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harts/chart2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jaysonsilva\Documents\Arquivos importantes (Não apagar)\Códigos do jupyter\codigo_PREPAJA\"/>
    </mc:Choice>
  </mc:AlternateContent>
  <xr:revisionPtr revIDLastSave="0" documentId="13_ncr:1_{578969F2-5E99-4906-9632-ACB48BE1C65F}" xr6:coauthVersionLast="47" xr6:coauthVersionMax="47" xr10:uidLastSave="{00000000-0000-0000-0000-000000000000}"/>
  <bookViews>
    <workbookView xWindow="-110" yWindow="-110" windowWidth="19420" windowHeight="10420" activeTab="2" xr2:uid="{16A8DD6A-7852-4B0D-961E-9728FEEEDF87}"/>
  </bookViews>
  <sheets>
    <sheet name="Bastidores" sheetId="25" r:id="rId1"/>
    <sheet name="BD2" sheetId="26" r:id="rId2"/>
    <sheet name="CAPA" sheetId="27" r:id="rId3"/>
    <sheet name="Efeito" sheetId="11" r:id="rId4"/>
    <sheet name="Fatos" sheetId="17" r:id="rId5"/>
    <sheet name="Apoio_Efeito" sheetId="29" r:id="rId6"/>
    <sheet name="Parcela B" sheetId="18" r:id="rId7"/>
    <sheet name="Parcela A" sheetId="12" r:id="rId8"/>
    <sheet name="Componentes Financeiros" sheetId="13" r:id="rId9"/>
    <sheet name="Subsídio e subvenção" sheetId="14" r:id="rId10"/>
    <sheet name="Descontos" sheetId="15" r:id="rId11"/>
    <sheet name="GRÁFICOS" sheetId="16" r:id="rId12"/>
  </sheets>
  <definedNames>
    <definedName name="_FilterDatabase" localSheetId="0" hidden="1">Bastidores!$A$1:$I$1</definedName>
    <definedName name="_FilterDatabase" localSheetId="8" hidden="1">'Componentes Financeiros'!#REF!</definedName>
    <definedName name="_FilterDatabase" localSheetId="10" hidden="1">Descontos!$I$90:$O$210</definedName>
    <definedName name="_FilterDatabase" localSheetId="3" hidden="1">Apoio_Efeito!$B$3:$B$112</definedName>
    <definedName name="_FilterDatabase" localSheetId="4" hidden="1">Fatos!$U$15:$V$67</definedName>
    <definedName name="_FilterDatabase" localSheetId="11" hidden="1">GRÁFICOS!$C$5:$S$56</definedName>
    <definedName name="_FilterDatabase" localSheetId="7" hidden="1">'Parcela A'!#REF!</definedName>
    <definedName name="_xlnm._FilterDatabase" localSheetId="5" hidden="1">Apoio_Efeito!$A$2:$CM$55</definedName>
    <definedName name="_xlnm._FilterDatabase" localSheetId="0" hidden="1">Bastidores!$A$1:$I$53</definedName>
    <definedName name="_xlnm._FilterDatabase" localSheetId="1" hidden="1">'BD2'!$BV$1:$CB$376</definedName>
    <definedName name="_xlnm._FilterDatabase" localSheetId="8" hidden="1">'Componentes Financeiros'!$D$5:$BE$47</definedName>
    <definedName name="_xlnm._FilterDatabase" localSheetId="3" hidden="1">Apoio_Efeito!$B$3:$B$112</definedName>
    <definedName name="_xlnm._FilterDatabase" localSheetId="4" hidden="1">Fatos!$C$13:$O$67</definedName>
    <definedName name="_xlnm._FilterDatabase" localSheetId="11" hidden="1">GRÁFICOS!$D$5:$D$57</definedName>
    <definedName name="DrillSubfolders">#REF!</definedName>
    <definedName name="filtrocapa1">Fatos!$B$16:$B$68</definedName>
    <definedName name="ListFiles">#REF!</definedName>
    <definedName name="ListFolders">#REF!</definedName>
    <definedName name="lnktxtCDEcovidceres">Efeito!$T$63</definedName>
    <definedName name="lnktxtCDEElecerfox">Efeito!$AY$64</definedName>
    <definedName name="lnktxtCDEelecerthil">Efeito!$AZ$64</definedName>
    <definedName name="lnktxtcdeeletceripa">Efeito!$Z$64</definedName>
    <definedName name="lnktxtCDEEletmedia">Efeito!$G$64</definedName>
    <definedName name="lnktxtCDEGDCastro">Efeito!$BA$65</definedName>
    <definedName name="lnktxtCDEGDCeral">Efeito!$P$65</definedName>
    <definedName name="lnktxtcdegdcerci">Efeito!$AW$65</definedName>
    <definedName name="lnktxtCDEGDmed">Efeito!$G$65</definedName>
    <definedName name="lnktxtCDEUso">Efeito!$G$62</definedName>
    <definedName name="lnktxtCDEusocastro">Efeito!$BA$62</definedName>
    <definedName name="lnktxtCompraCeraldis">Efeito!$P$75</definedName>
    <definedName name="Lnktxtdataani">Fatos!$E$75</definedName>
    <definedName name="lnktxtefCDEcovid">Efeito!$G$63</definedName>
    <definedName name="lnktxtefeitoenergceripa">Efeito!$Z$75</definedName>
    <definedName name="lnktxtenergiamed">Efeito!$G$75</definedName>
    <definedName name="lnktxtessararuama">Efeito!$AX$67</definedName>
    <definedName name="lnktxtESSEERCeraldis">Efeito!$P$67</definedName>
    <definedName name="lnktxticmsceral">Efeito!$AX$90</definedName>
    <definedName name="lnktxticmscerci">Efeito!$AW$90</definedName>
    <definedName name="lnktxticmsceres">Efeito!$T$90</definedName>
    <definedName name="lnktxtimpmedsubvençao">Efeito!$G$88</definedName>
    <definedName name="lnktxtmedICMS">Efeito!$G$90</definedName>
    <definedName name="Lnktxtnprocesso">Fatos!#REF!</definedName>
    <definedName name="lnktxtNRprocesso">Fatos!$D$8</definedName>
    <definedName name="LnkTXTNT">Fatos!#REF!</definedName>
    <definedName name="lnktxtNTNT">Fatos!$C$9</definedName>
    <definedName name="LnktxtPerdereferencia">Fatos!$E$76</definedName>
    <definedName name="Lnktxtperiodosub">Fatos!$E$77</definedName>
    <definedName name="lnktxtpiscifcastro">Efeito!$BA$79</definedName>
    <definedName name="lnktxtpiscofceral">Efeito!$P$79</definedName>
    <definedName name="lnktxtpiscofceris">Efeito!$AA$79</definedName>
    <definedName name="lnktxtSubcerthil">Efeito!$AZ$88</definedName>
    <definedName name="lnktxtsubmedcerci">Efeito!$AW$88</definedName>
    <definedName name="lnktxttransceral">Efeito!$P$70</definedName>
    <definedName name="lnktxttranscernhe">Efeito!$AE$70</definedName>
    <definedName name="lnktxttransmmedia">Efeito!$G$70</definedName>
    <definedName name="lnktxttranspCeres">Efeito!$T$70</definedName>
    <definedName name="lnktxttranspceripa">Efeito!$Z$70</definedName>
    <definedName name="TABACL">'Parcela A'!$AW$59:$BB$62</definedName>
    <definedName name="TabBilaterais">'Parcela A'!$AW$59:$BB$85</definedName>
    <definedName name="tabCompraenergia">'Parcela A'!$AD$4:$AJ$55</definedName>
    <definedName name="TabcontraACL2">'Parcela A'!$AM$4:$AV$34</definedName>
    <definedName name="TabContratosACL">'Parcela A'!$AW$59:$BB$75</definedName>
    <definedName name="TabContratosACL1">'Parcela A'!$AW$59:$BB$75</definedName>
    <definedName name="tabctoACL">'Parcela A'!$AW$59:$BA$67</definedName>
    <definedName name="tabCTOSACL">'Parcela A'!$AW$59:$BA$62</definedName>
    <definedName name="TABCustodeenergia">'Parcela A'!$AM$4:$AV$56</definedName>
    <definedName name="tabCustoenergia">'Parcela A'!$AD$4:$AJ$55</definedName>
    <definedName name="TabDEscCusd1">Descontos!$P$4:$X$49</definedName>
    <definedName name="TabdescontoTE">Descontos!$E$4:$K$81</definedName>
    <definedName name="TABdescontoTUSD">Descontos!$P$4:$X$81</definedName>
    <definedName name="TABEACL">'Parcela A'!$AW$59:$BB$60</definedName>
    <definedName name="TABefeito">Efeito!$C$4:$G$56</definedName>
    <definedName name="TabEfeitoSubvenção">'Componentes Financeiros'!$BI$23:$BK$58</definedName>
    <definedName name="Tabela_fatos">Fatos!$C$15:$H$67</definedName>
    <definedName name="TABEncargos">'Parcela A'!$K$4:$T$56</definedName>
    <definedName name="TABenereq">'Parcela A'!$AD$4:$AJ$56</definedName>
    <definedName name="tabenerrec">'Parcela A'!$AD$4:$AJ$34</definedName>
    <definedName name="TABFatos">Fatos!$D$15:$K$67</definedName>
    <definedName name="TABFatosvoto">Fatos!$L$15:$O$67</definedName>
    <definedName name="TABFinanceiros">'Componentes Financeiros'!$D$7:$BD$45</definedName>
    <definedName name="TABPArcelaB84">'Parcela B'!$E$5:$K$57</definedName>
    <definedName name="TABRA0">'Parcela A'!$C$4:$I$56</definedName>
    <definedName name="TABresumo">Efeito!$H$60:$BH$132</definedName>
    <definedName name="TABsub2">'Subsídio e subvenção'!$B$6:$J$58</definedName>
    <definedName name="TABSubvencao2">'Subsídio e subvenção'!$L$6:$M$58</definedName>
    <definedName name="TABTransporte">'Parcela A'!$V$4:$AA$56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67" i="17" l="1"/>
  <c r="V66" i="17"/>
  <c r="V65" i="17"/>
  <c r="V64" i="17"/>
  <c r="V63" i="17"/>
  <c r="V62" i="17"/>
  <c r="V61" i="17"/>
  <c r="V60" i="17"/>
  <c r="V59" i="17"/>
  <c r="V58" i="17"/>
  <c r="V57" i="17"/>
  <c r="V56" i="17"/>
  <c r="V55" i="17"/>
  <c r="V54" i="17"/>
  <c r="V53" i="17"/>
  <c r="V52" i="17"/>
  <c r="V51" i="17"/>
  <c r="V50" i="17"/>
  <c r="V49" i="17"/>
  <c r="V48" i="17"/>
  <c r="V47" i="17"/>
  <c r="V46" i="17"/>
  <c r="V45" i="17"/>
  <c r="V44" i="17"/>
  <c r="V43" i="17"/>
  <c r="V42" i="17"/>
  <c r="V41" i="17"/>
  <c r="V40" i="17"/>
  <c r="V39" i="17"/>
  <c r="V38" i="17"/>
  <c r="V37" i="17"/>
  <c r="V36" i="17"/>
  <c r="V35" i="17"/>
  <c r="V34" i="17"/>
  <c r="V33" i="17"/>
  <c r="V32" i="17"/>
  <c r="V31" i="17"/>
  <c r="V30" i="17"/>
  <c r="V29" i="17"/>
  <c r="V28" i="17"/>
  <c r="V27" i="17"/>
  <c r="V26" i="17"/>
  <c r="V25" i="17"/>
  <c r="V24" i="17"/>
  <c r="V23" i="17"/>
  <c r="V22" i="17"/>
  <c r="V21" i="17"/>
  <c r="V20" i="17"/>
  <c r="V19" i="17"/>
  <c r="V18" i="17"/>
  <c r="V17" i="17"/>
  <c r="V16" i="17"/>
  <c r="C48" i="17" l="1"/>
  <c r="H126" i="11"/>
  <c r="H127" i="11"/>
  <c r="H128" i="11"/>
  <c r="H129" i="11"/>
  <c r="H125" i="11"/>
  <c r="AI6" i="12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AI30" i="12"/>
  <c r="AI31" i="12"/>
  <c r="AI32" i="12"/>
  <c r="AI33" i="12"/>
  <c r="AI34" i="12"/>
  <c r="AI35" i="12"/>
  <c r="AI36" i="12"/>
  <c r="AI37" i="12"/>
  <c r="AI38" i="12"/>
  <c r="AI39" i="12"/>
  <c r="AI40" i="12"/>
  <c r="AI41" i="12"/>
  <c r="AI42" i="12"/>
  <c r="AI43" i="12"/>
  <c r="AI44" i="12"/>
  <c r="AI45" i="12"/>
  <c r="AI46" i="12"/>
  <c r="AI47" i="12"/>
  <c r="AI48" i="12"/>
  <c r="AI49" i="12"/>
  <c r="AI50" i="12"/>
  <c r="AI51" i="12"/>
  <c r="AI52" i="12"/>
  <c r="AI53" i="12"/>
  <c r="AI54" i="12"/>
  <c r="AI55" i="12"/>
  <c r="AI56" i="12"/>
  <c r="AH6" i="12"/>
  <c r="AH7" i="12"/>
  <c r="AH8" i="12"/>
  <c r="AH9" i="12"/>
  <c r="AH10" i="12"/>
  <c r="AH11" i="12"/>
  <c r="AH12" i="12"/>
  <c r="AH13" i="12"/>
  <c r="AH14" i="12"/>
  <c r="AH15" i="12"/>
  <c r="AH16" i="12"/>
  <c r="AH17" i="12"/>
  <c r="AH18" i="12"/>
  <c r="AH19" i="12"/>
  <c r="AH20" i="12"/>
  <c r="AH21" i="12"/>
  <c r="AH22" i="12"/>
  <c r="AH23" i="12"/>
  <c r="AH24" i="12"/>
  <c r="AH25" i="12"/>
  <c r="AH26" i="12"/>
  <c r="AH27" i="12"/>
  <c r="AH28" i="12"/>
  <c r="AH29" i="12"/>
  <c r="AH30" i="12"/>
  <c r="AH31" i="12"/>
  <c r="AH32" i="12"/>
  <c r="AH33" i="12"/>
  <c r="AH34" i="12"/>
  <c r="AH35" i="12"/>
  <c r="AH36" i="12"/>
  <c r="AH37" i="12"/>
  <c r="AH38" i="12"/>
  <c r="AH39" i="12"/>
  <c r="AH40" i="12"/>
  <c r="AH41" i="12"/>
  <c r="AH42" i="12"/>
  <c r="AH43" i="12"/>
  <c r="AH44" i="12"/>
  <c r="AH45" i="12"/>
  <c r="AH46" i="12"/>
  <c r="AH47" i="12"/>
  <c r="AH48" i="12"/>
  <c r="AH49" i="12"/>
  <c r="AH50" i="12"/>
  <c r="AH51" i="12"/>
  <c r="AH52" i="12"/>
  <c r="AH53" i="12"/>
  <c r="AH54" i="12"/>
  <c r="AH55" i="12"/>
  <c r="AH56" i="12"/>
  <c r="AH5" i="12"/>
  <c r="AI5" i="12"/>
  <c r="I19" i="25" l="1"/>
  <c r="K6" i="15"/>
  <c r="X6" i="15" s="1"/>
  <c r="K7" i="15"/>
  <c r="X7" i="15" s="1"/>
  <c r="K8" i="15"/>
  <c r="X8" i="15" s="1"/>
  <c r="K9" i="15"/>
  <c r="X9" i="15" s="1"/>
  <c r="K10" i="15"/>
  <c r="X10" i="15" s="1"/>
  <c r="K11" i="15"/>
  <c r="X11" i="15" s="1"/>
  <c r="K12" i="15"/>
  <c r="X12" i="15" s="1"/>
  <c r="K13" i="15"/>
  <c r="X13" i="15" s="1"/>
  <c r="K14" i="15"/>
  <c r="X14" i="15" s="1"/>
  <c r="K15" i="15"/>
  <c r="X15" i="15" s="1"/>
  <c r="K16" i="15"/>
  <c r="X16" i="15" s="1"/>
  <c r="K18" i="15"/>
  <c r="X18" i="15" s="1"/>
  <c r="K19" i="15"/>
  <c r="X19" i="15" s="1"/>
  <c r="K20" i="15"/>
  <c r="X20" i="15" s="1"/>
  <c r="K21" i="15"/>
  <c r="X21" i="15" s="1"/>
  <c r="K22" i="15"/>
  <c r="X22" i="15" s="1"/>
  <c r="K23" i="15"/>
  <c r="X23" i="15" s="1"/>
  <c r="K24" i="15"/>
  <c r="X24" i="15" s="1"/>
  <c r="K25" i="15"/>
  <c r="X25" i="15" s="1"/>
  <c r="K26" i="15"/>
  <c r="X26" i="15" s="1"/>
  <c r="K27" i="15"/>
  <c r="X27" i="15" s="1"/>
  <c r="K28" i="15"/>
  <c r="X28" i="15" s="1"/>
  <c r="K29" i="15"/>
  <c r="X29" i="15" s="1"/>
  <c r="K30" i="15"/>
  <c r="X30" i="15" s="1"/>
  <c r="K32" i="15"/>
  <c r="X32" i="15" s="1"/>
  <c r="K33" i="15"/>
  <c r="X33" i="15" s="1"/>
  <c r="K34" i="15"/>
  <c r="X34" i="15" s="1"/>
  <c r="K35" i="15"/>
  <c r="X35" i="15" s="1"/>
  <c r="K36" i="15"/>
  <c r="X36" i="15" s="1"/>
  <c r="K37" i="15"/>
  <c r="X37" i="15" s="1"/>
  <c r="K38" i="15"/>
  <c r="X38" i="15" s="1"/>
  <c r="K40" i="15"/>
  <c r="X40" i="15" s="1"/>
  <c r="K42" i="15"/>
  <c r="X42" i="15" s="1"/>
  <c r="K43" i="15"/>
  <c r="X43" i="15" s="1"/>
  <c r="K44" i="15"/>
  <c r="X44" i="15" s="1"/>
  <c r="K45" i="15"/>
  <c r="X45" i="15" s="1"/>
  <c r="K46" i="15"/>
  <c r="X46" i="15" s="1"/>
  <c r="K47" i="15"/>
  <c r="X47" i="15" s="1"/>
  <c r="K48" i="15"/>
  <c r="X48" i="15" s="1"/>
  <c r="K49" i="15"/>
  <c r="X49" i="15" s="1"/>
  <c r="K50" i="15"/>
  <c r="X50" i="15" s="1"/>
  <c r="K51" i="15"/>
  <c r="X51" i="15" s="1"/>
  <c r="K52" i="15"/>
  <c r="X52" i="15" s="1"/>
  <c r="K53" i="15"/>
  <c r="X53" i="15" s="1"/>
  <c r="K54" i="15"/>
  <c r="X54" i="15" s="1"/>
  <c r="K55" i="15"/>
  <c r="X55" i="15" s="1"/>
  <c r="K56" i="15"/>
  <c r="X56" i="15" s="1"/>
  <c r="K57" i="15"/>
  <c r="X57" i="15" s="1"/>
  <c r="K58" i="15"/>
  <c r="X58" i="15" s="1"/>
  <c r="K59" i="15"/>
  <c r="X59" i="15" s="1"/>
  <c r="K60" i="15"/>
  <c r="X60" i="15" s="1"/>
  <c r="K61" i="15"/>
  <c r="X61" i="15" s="1"/>
  <c r="K62" i="15"/>
  <c r="X62" i="15" s="1"/>
  <c r="K63" i="15"/>
  <c r="X63" i="15" s="1"/>
  <c r="K66" i="15"/>
  <c r="X66" i="15" s="1"/>
  <c r="K67" i="15"/>
  <c r="X67" i="15" s="1"/>
  <c r="K68" i="15"/>
  <c r="X68" i="15" s="1"/>
  <c r="K69" i="15"/>
  <c r="X69" i="15" s="1"/>
  <c r="K70" i="15"/>
  <c r="X70" i="15" s="1"/>
  <c r="K72" i="15"/>
  <c r="X72" i="15" s="1"/>
  <c r="K73" i="15"/>
  <c r="X73" i="15" s="1"/>
  <c r="K74" i="15"/>
  <c r="X74" i="15" s="1"/>
  <c r="K75" i="15"/>
  <c r="X75" i="15" s="1"/>
  <c r="K76" i="15"/>
  <c r="X76" i="15" s="1"/>
  <c r="K77" i="15"/>
  <c r="X77" i="15" s="1"/>
  <c r="K79" i="15"/>
  <c r="X79" i="15" s="1"/>
  <c r="K80" i="15"/>
  <c r="X80" i="15" s="1"/>
  <c r="K5" i="15"/>
  <c r="BV3" i="26"/>
  <c r="BV4" i="26"/>
  <c r="BV5" i="26"/>
  <c r="BV6" i="26"/>
  <c r="BV7" i="26"/>
  <c r="BV8" i="26"/>
  <c r="BV9" i="26"/>
  <c r="BV10" i="26"/>
  <c r="BV11" i="26"/>
  <c r="BV12" i="26"/>
  <c r="BV13" i="26"/>
  <c r="BV14" i="26"/>
  <c r="BV15" i="26"/>
  <c r="BV16" i="26"/>
  <c r="BV17" i="26"/>
  <c r="BV18" i="26"/>
  <c r="BV19" i="26"/>
  <c r="BV20" i="26"/>
  <c r="BV21" i="26"/>
  <c r="BV22" i="26"/>
  <c r="BV23" i="26"/>
  <c r="BV24" i="26"/>
  <c r="BV25" i="26"/>
  <c r="BV26" i="26"/>
  <c r="BV27" i="26"/>
  <c r="BV28" i="26"/>
  <c r="BV29" i="26"/>
  <c r="BV30" i="26"/>
  <c r="BV31" i="26"/>
  <c r="BV32" i="26"/>
  <c r="BV33" i="26"/>
  <c r="BV34" i="26"/>
  <c r="BV35" i="26"/>
  <c r="BV36" i="26"/>
  <c r="BV37" i="26"/>
  <c r="BV38" i="26"/>
  <c r="BV39" i="26"/>
  <c r="BV40" i="26"/>
  <c r="BV41" i="26"/>
  <c r="BV42" i="26"/>
  <c r="BV43" i="26"/>
  <c r="BV44" i="26"/>
  <c r="BV45" i="26"/>
  <c r="BV46" i="26"/>
  <c r="BV47" i="26"/>
  <c r="BV48" i="26"/>
  <c r="BV49" i="26"/>
  <c r="BV50" i="26"/>
  <c r="BV51" i="26"/>
  <c r="BV52" i="26"/>
  <c r="BV53" i="26"/>
  <c r="BV54" i="26"/>
  <c r="BV55" i="26"/>
  <c r="BV56" i="26"/>
  <c r="BV57" i="26"/>
  <c r="BV58" i="26"/>
  <c r="BV59" i="26"/>
  <c r="BV60" i="26"/>
  <c r="BV61" i="26"/>
  <c r="BV62" i="26"/>
  <c r="BV63" i="26"/>
  <c r="BV64" i="26"/>
  <c r="BV65" i="26"/>
  <c r="BV66" i="26"/>
  <c r="BV67" i="26"/>
  <c r="BV68" i="26"/>
  <c r="BV69" i="26"/>
  <c r="BV70" i="26"/>
  <c r="BV71" i="26"/>
  <c r="BV72" i="26"/>
  <c r="BV73" i="26"/>
  <c r="BV74" i="26"/>
  <c r="BV75" i="26"/>
  <c r="BV76" i="26"/>
  <c r="BV77" i="26"/>
  <c r="BV78" i="26"/>
  <c r="BV79" i="26"/>
  <c r="BV80" i="26"/>
  <c r="BV81" i="26"/>
  <c r="BV82" i="26"/>
  <c r="BV83" i="26"/>
  <c r="BV84" i="26"/>
  <c r="BV85" i="26"/>
  <c r="BV86" i="26"/>
  <c r="BV87" i="26"/>
  <c r="BV88" i="26"/>
  <c r="BV89" i="26"/>
  <c r="BV90" i="26"/>
  <c r="BV91" i="26"/>
  <c r="BV92" i="26"/>
  <c r="BV93" i="26"/>
  <c r="BV94" i="26"/>
  <c r="BV95" i="26"/>
  <c r="BV96" i="26"/>
  <c r="BV97" i="26"/>
  <c r="BV98" i="26"/>
  <c r="BV99" i="26"/>
  <c r="BV100" i="26"/>
  <c r="BV101" i="26"/>
  <c r="BV102" i="26"/>
  <c r="BV103" i="26"/>
  <c r="BV104" i="26"/>
  <c r="BV105" i="26"/>
  <c r="BV106" i="26"/>
  <c r="BV107" i="26"/>
  <c r="BV108" i="26"/>
  <c r="BV109" i="26"/>
  <c r="BV110" i="26"/>
  <c r="BV111" i="26"/>
  <c r="BV112" i="26"/>
  <c r="BV113" i="26"/>
  <c r="BV114" i="26"/>
  <c r="BV115" i="26"/>
  <c r="BV116" i="26"/>
  <c r="BV117" i="26"/>
  <c r="BV118" i="26"/>
  <c r="BV119" i="26"/>
  <c r="BV120" i="26"/>
  <c r="BV121" i="26"/>
  <c r="BV122" i="26"/>
  <c r="BV123" i="26"/>
  <c r="BV124" i="26"/>
  <c r="BV125" i="26"/>
  <c r="BV126" i="26"/>
  <c r="BV127" i="26"/>
  <c r="BV128" i="26"/>
  <c r="BV129" i="26"/>
  <c r="BV130" i="26"/>
  <c r="BV131" i="26"/>
  <c r="BV132" i="26"/>
  <c r="BV133" i="26"/>
  <c r="BV134" i="26"/>
  <c r="BV135" i="26"/>
  <c r="BV136" i="26"/>
  <c r="BV137" i="26"/>
  <c r="BV138" i="26"/>
  <c r="BV139" i="26"/>
  <c r="BV140" i="26"/>
  <c r="BV141" i="26"/>
  <c r="BV142" i="26"/>
  <c r="BV143" i="26"/>
  <c r="BV144" i="26"/>
  <c r="BV145" i="26"/>
  <c r="BV146" i="26"/>
  <c r="BV147" i="26"/>
  <c r="BV148" i="26"/>
  <c r="BV149" i="26"/>
  <c r="BV150" i="26"/>
  <c r="BV151" i="26"/>
  <c r="BV152" i="26"/>
  <c r="BV153" i="26"/>
  <c r="BV154" i="26"/>
  <c r="BV155" i="26"/>
  <c r="BV156" i="26"/>
  <c r="BV157" i="26"/>
  <c r="BV158" i="26"/>
  <c r="BV159" i="26"/>
  <c r="BV160" i="26"/>
  <c r="BV161" i="26"/>
  <c r="BV162" i="26"/>
  <c r="BV163" i="26"/>
  <c r="BV164" i="26"/>
  <c r="BV165" i="26"/>
  <c r="BV166" i="26"/>
  <c r="BV167" i="26"/>
  <c r="BV168" i="26"/>
  <c r="BV169" i="26"/>
  <c r="BV170" i="26"/>
  <c r="BV171" i="26"/>
  <c r="BV172" i="26"/>
  <c r="BV173" i="26"/>
  <c r="BV174" i="26"/>
  <c r="BV175" i="26"/>
  <c r="BV176" i="26"/>
  <c r="BV177" i="26"/>
  <c r="BV178" i="26"/>
  <c r="BV179" i="26"/>
  <c r="BV180" i="26"/>
  <c r="BV181" i="26"/>
  <c r="BV182" i="26"/>
  <c r="BV183" i="26"/>
  <c r="BV184" i="26"/>
  <c r="BV185" i="26"/>
  <c r="BV186" i="26"/>
  <c r="BV187" i="26"/>
  <c r="BV188" i="26"/>
  <c r="BV189" i="26"/>
  <c r="BV190" i="26"/>
  <c r="BV191" i="26"/>
  <c r="BV192" i="26"/>
  <c r="BV193" i="26"/>
  <c r="BV194" i="26"/>
  <c r="BV195" i="26"/>
  <c r="BV196" i="26"/>
  <c r="BV197" i="26"/>
  <c r="BV198" i="26"/>
  <c r="BV199" i="26"/>
  <c r="BV200" i="26"/>
  <c r="BV201" i="26"/>
  <c r="BV202" i="26"/>
  <c r="BV203" i="26"/>
  <c r="BV204" i="26"/>
  <c r="BV205" i="26"/>
  <c r="BV206" i="26"/>
  <c r="BV207" i="26"/>
  <c r="BV208" i="26"/>
  <c r="BV209" i="26"/>
  <c r="BV210" i="26"/>
  <c r="BV211" i="26"/>
  <c r="BV212" i="26"/>
  <c r="BV213" i="26"/>
  <c r="BV214" i="26"/>
  <c r="BV215" i="26"/>
  <c r="BV216" i="26"/>
  <c r="BV217" i="26"/>
  <c r="BV218" i="26"/>
  <c r="BV219" i="26"/>
  <c r="BV220" i="26"/>
  <c r="BV221" i="26"/>
  <c r="BV222" i="26"/>
  <c r="BV223" i="26"/>
  <c r="BV224" i="26"/>
  <c r="BV225" i="26"/>
  <c r="BV226" i="26"/>
  <c r="BV227" i="26"/>
  <c r="BV228" i="26"/>
  <c r="BV229" i="26"/>
  <c r="BV230" i="26"/>
  <c r="BV231" i="26"/>
  <c r="BV232" i="26"/>
  <c r="BV233" i="26"/>
  <c r="BV234" i="26"/>
  <c r="BV235" i="26"/>
  <c r="BV236" i="26"/>
  <c r="BV237" i="26"/>
  <c r="BV238" i="26"/>
  <c r="BV239" i="26"/>
  <c r="BV240" i="26"/>
  <c r="BV241" i="26"/>
  <c r="BV242" i="26"/>
  <c r="BV243" i="26"/>
  <c r="BV244" i="26"/>
  <c r="BV245" i="26"/>
  <c r="BV246" i="26"/>
  <c r="BV247" i="26"/>
  <c r="BV248" i="26"/>
  <c r="BV249" i="26"/>
  <c r="BV250" i="26"/>
  <c r="BV251" i="26"/>
  <c r="BV252" i="26"/>
  <c r="BV253" i="26"/>
  <c r="BV254" i="26"/>
  <c r="BV255" i="26"/>
  <c r="BV256" i="26"/>
  <c r="BV257" i="26"/>
  <c r="BV258" i="26"/>
  <c r="BV259" i="26"/>
  <c r="BV260" i="26"/>
  <c r="BV261" i="26"/>
  <c r="BV262" i="26"/>
  <c r="BV263" i="26"/>
  <c r="BV264" i="26"/>
  <c r="BV265" i="26"/>
  <c r="BV266" i="26"/>
  <c r="BV267" i="26"/>
  <c r="BV268" i="26"/>
  <c r="BV269" i="26"/>
  <c r="BV270" i="26"/>
  <c r="BV271" i="26"/>
  <c r="BV272" i="26"/>
  <c r="BV273" i="26"/>
  <c r="BV274" i="26"/>
  <c r="BV275" i="26"/>
  <c r="BV276" i="26"/>
  <c r="BV277" i="26"/>
  <c r="BV278" i="26"/>
  <c r="BV279" i="26"/>
  <c r="BV280" i="26"/>
  <c r="BV281" i="26"/>
  <c r="BV282" i="26"/>
  <c r="BV283" i="26"/>
  <c r="BV284" i="26"/>
  <c r="BV285" i="26"/>
  <c r="BV286" i="26"/>
  <c r="BV287" i="26"/>
  <c r="BV288" i="26"/>
  <c r="BV289" i="26"/>
  <c r="BV290" i="26"/>
  <c r="BV291" i="26"/>
  <c r="BV292" i="26"/>
  <c r="BV293" i="26"/>
  <c r="BV294" i="26"/>
  <c r="BV295" i="26"/>
  <c r="BV296" i="26"/>
  <c r="BV297" i="26"/>
  <c r="BV298" i="26"/>
  <c r="BV299" i="26"/>
  <c r="BV300" i="26"/>
  <c r="BV301" i="26"/>
  <c r="BV302" i="26"/>
  <c r="BV303" i="26"/>
  <c r="BV304" i="26"/>
  <c r="BV305" i="26"/>
  <c r="BV306" i="26"/>
  <c r="BV307" i="26"/>
  <c r="BV308" i="26"/>
  <c r="BV309" i="26"/>
  <c r="BV310" i="26"/>
  <c r="BV311" i="26"/>
  <c r="BV312" i="26"/>
  <c r="BV313" i="26"/>
  <c r="BV314" i="26"/>
  <c r="BV315" i="26"/>
  <c r="BV316" i="26"/>
  <c r="BV317" i="26"/>
  <c r="BV318" i="26"/>
  <c r="BV319" i="26"/>
  <c r="BV320" i="26"/>
  <c r="BV321" i="26"/>
  <c r="BV322" i="26"/>
  <c r="BV323" i="26"/>
  <c r="BV324" i="26"/>
  <c r="BV325" i="26"/>
  <c r="BV326" i="26"/>
  <c r="BV327" i="26"/>
  <c r="BV328" i="26"/>
  <c r="BV329" i="26"/>
  <c r="BV330" i="26"/>
  <c r="BV331" i="26"/>
  <c r="BV332" i="26"/>
  <c r="BV333" i="26"/>
  <c r="BV334" i="26"/>
  <c r="BV335" i="26"/>
  <c r="BV336" i="26"/>
  <c r="BV337" i="26"/>
  <c r="BV338" i="26"/>
  <c r="BV339" i="26"/>
  <c r="BV340" i="26"/>
  <c r="BV341" i="26"/>
  <c r="BV342" i="26"/>
  <c r="BV343" i="26"/>
  <c r="BV344" i="26"/>
  <c r="BV345" i="26"/>
  <c r="BV346" i="26"/>
  <c r="BV347" i="26"/>
  <c r="BV348" i="26"/>
  <c r="BV349" i="26"/>
  <c r="BV350" i="26"/>
  <c r="BV351" i="26"/>
  <c r="BV352" i="26"/>
  <c r="BV353" i="26"/>
  <c r="BV354" i="26"/>
  <c r="BV355" i="26"/>
  <c r="BV356" i="26"/>
  <c r="BV357" i="26"/>
  <c r="BV358" i="26"/>
  <c r="BV359" i="26"/>
  <c r="BV360" i="26"/>
  <c r="BV361" i="26"/>
  <c r="BV362" i="26"/>
  <c r="BV363" i="26"/>
  <c r="BV364" i="26"/>
  <c r="BV365" i="26"/>
  <c r="BV366" i="26"/>
  <c r="BV367" i="26"/>
  <c r="BV368" i="26"/>
  <c r="BV369" i="26"/>
  <c r="BV370" i="26"/>
  <c r="BV371" i="26"/>
  <c r="BV372" i="26"/>
  <c r="BV373" i="26"/>
  <c r="BV374" i="26"/>
  <c r="BV375" i="26"/>
  <c r="BV376" i="26"/>
  <c r="BV2" i="26"/>
  <c r="U59" i="15" l="1"/>
  <c r="W59" i="15"/>
  <c r="V59" i="15"/>
  <c r="BV56" i="12"/>
  <c r="BU56" i="12"/>
  <c r="BV55" i="12"/>
  <c r="BU55" i="12"/>
  <c r="BV54" i="12"/>
  <c r="BU54" i="12"/>
  <c r="BV53" i="12"/>
  <c r="BU53" i="12"/>
  <c r="BV52" i="12"/>
  <c r="BU52" i="12"/>
  <c r="BV51" i="12"/>
  <c r="BU51" i="12"/>
  <c r="BV50" i="12"/>
  <c r="BU50" i="12"/>
  <c r="BV49" i="12"/>
  <c r="BU49" i="12"/>
  <c r="BV48" i="12"/>
  <c r="BU48" i="12"/>
  <c r="BV47" i="12"/>
  <c r="BU47" i="12"/>
  <c r="BV46" i="12"/>
  <c r="BU46" i="12"/>
  <c r="BV45" i="12"/>
  <c r="BU45" i="12"/>
  <c r="BV44" i="12"/>
  <c r="BU44" i="12"/>
  <c r="BV43" i="12"/>
  <c r="BU43" i="12"/>
  <c r="BV42" i="12"/>
  <c r="BU42" i="12"/>
  <c r="BV41" i="12"/>
  <c r="BU41" i="12"/>
  <c r="BV40" i="12"/>
  <c r="BU40" i="12"/>
  <c r="BV39" i="12"/>
  <c r="BU39" i="12"/>
  <c r="BV38" i="12"/>
  <c r="BU38" i="12"/>
  <c r="BV37" i="12"/>
  <c r="BU37" i="12"/>
  <c r="BV36" i="12"/>
  <c r="BU36" i="12"/>
  <c r="BV35" i="12"/>
  <c r="BU35" i="12"/>
  <c r="BV34" i="12"/>
  <c r="BU34" i="12"/>
  <c r="BV33" i="12"/>
  <c r="BU33" i="12"/>
  <c r="BV32" i="12"/>
  <c r="BU32" i="12"/>
  <c r="BV31" i="12"/>
  <c r="BU31" i="12"/>
  <c r="BV30" i="12"/>
  <c r="BU30" i="12"/>
  <c r="BV29" i="12"/>
  <c r="BU29" i="12"/>
  <c r="BV28" i="12"/>
  <c r="BU28" i="12"/>
  <c r="BV27" i="12"/>
  <c r="BU27" i="12"/>
  <c r="BV26" i="12"/>
  <c r="BU26" i="12"/>
  <c r="BV25" i="12"/>
  <c r="BU25" i="12"/>
  <c r="BV24" i="12"/>
  <c r="BU24" i="12"/>
  <c r="BV23" i="12"/>
  <c r="BU23" i="12"/>
  <c r="BV22" i="12"/>
  <c r="BU22" i="12"/>
  <c r="BV21" i="12"/>
  <c r="BU21" i="12"/>
  <c r="BV20" i="12"/>
  <c r="BU20" i="12"/>
  <c r="BV19" i="12"/>
  <c r="BU19" i="12"/>
  <c r="BV18" i="12"/>
  <c r="BU18" i="12"/>
  <c r="BV17" i="12"/>
  <c r="BU17" i="12"/>
  <c r="BV16" i="12"/>
  <c r="BU16" i="12"/>
  <c r="BV15" i="12"/>
  <c r="BU15" i="12"/>
  <c r="BV14" i="12"/>
  <c r="BU14" i="12"/>
  <c r="BV13" i="12"/>
  <c r="BU13" i="12"/>
  <c r="BV12" i="12"/>
  <c r="BU12" i="12"/>
  <c r="BV11" i="12"/>
  <c r="BU11" i="12"/>
  <c r="BV10" i="12"/>
  <c r="BU10" i="12"/>
  <c r="BV9" i="12"/>
  <c r="BU9" i="12"/>
  <c r="BV8" i="12"/>
  <c r="BU8" i="12"/>
  <c r="BV7" i="12"/>
  <c r="BU7" i="12"/>
  <c r="BV6" i="12"/>
  <c r="BU6" i="12"/>
  <c r="BV5" i="12"/>
  <c r="BU5" i="12"/>
  <c r="BS56" i="12"/>
  <c r="BR56" i="12"/>
  <c r="BQ56" i="12"/>
  <c r="BS55" i="12"/>
  <c r="BR55" i="12"/>
  <c r="BQ55" i="12"/>
  <c r="BS54" i="12"/>
  <c r="BR54" i="12"/>
  <c r="BQ54" i="12"/>
  <c r="BS53" i="12"/>
  <c r="BR53" i="12"/>
  <c r="BQ53" i="12"/>
  <c r="BS52" i="12"/>
  <c r="BR52" i="12"/>
  <c r="BQ52" i="12"/>
  <c r="BS51" i="12"/>
  <c r="BR51" i="12"/>
  <c r="BQ51" i="12"/>
  <c r="BS50" i="12"/>
  <c r="BR50" i="12"/>
  <c r="BQ50" i="12"/>
  <c r="BS49" i="12"/>
  <c r="BR49" i="12"/>
  <c r="BQ49" i="12"/>
  <c r="BS48" i="12"/>
  <c r="BR48" i="12"/>
  <c r="BQ48" i="12"/>
  <c r="BS47" i="12"/>
  <c r="BR47" i="12"/>
  <c r="BQ47" i="12"/>
  <c r="BS46" i="12"/>
  <c r="BR46" i="12"/>
  <c r="BQ46" i="12"/>
  <c r="BS45" i="12"/>
  <c r="BR45" i="12"/>
  <c r="BQ45" i="12"/>
  <c r="BS44" i="12"/>
  <c r="BR44" i="12"/>
  <c r="BQ44" i="12"/>
  <c r="BS43" i="12"/>
  <c r="BR43" i="12"/>
  <c r="BQ43" i="12"/>
  <c r="BS42" i="12"/>
  <c r="BR42" i="12"/>
  <c r="BQ42" i="12"/>
  <c r="BS41" i="12"/>
  <c r="BR41" i="12"/>
  <c r="BQ41" i="12"/>
  <c r="BS40" i="12"/>
  <c r="BR40" i="12"/>
  <c r="BQ40" i="12"/>
  <c r="BS39" i="12"/>
  <c r="BR39" i="12"/>
  <c r="BQ39" i="12"/>
  <c r="BS38" i="12"/>
  <c r="BR38" i="12"/>
  <c r="BQ38" i="12"/>
  <c r="BS37" i="12"/>
  <c r="BR37" i="12"/>
  <c r="BQ37" i="12"/>
  <c r="BS36" i="12"/>
  <c r="BR36" i="12"/>
  <c r="BQ36" i="12"/>
  <c r="BS35" i="12"/>
  <c r="BR35" i="12"/>
  <c r="BQ35" i="12"/>
  <c r="BS34" i="12"/>
  <c r="BR34" i="12"/>
  <c r="BQ34" i="12"/>
  <c r="BS33" i="12"/>
  <c r="BR33" i="12"/>
  <c r="BQ33" i="12"/>
  <c r="BS32" i="12"/>
  <c r="BR32" i="12"/>
  <c r="BQ32" i="12"/>
  <c r="BS31" i="12"/>
  <c r="BR31" i="12"/>
  <c r="BQ31" i="12"/>
  <c r="BS30" i="12"/>
  <c r="BR30" i="12"/>
  <c r="BQ30" i="12"/>
  <c r="BS29" i="12"/>
  <c r="BR29" i="12"/>
  <c r="BQ29" i="12"/>
  <c r="BS28" i="12"/>
  <c r="BR28" i="12"/>
  <c r="BQ28" i="12"/>
  <c r="BS27" i="12"/>
  <c r="BR27" i="12"/>
  <c r="BQ27" i="12"/>
  <c r="BS26" i="12"/>
  <c r="BR26" i="12"/>
  <c r="BQ26" i="12"/>
  <c r="BS25" i="12"/>
  <c r="BR25" i="12"/>
  <c r="BQ25" i="12"/>
  <c r="BS24" i="12"/>
  <c r="BR24" i="12"/>
  <c r="BQ24" i="12"/>
  <c r="BS23" i="12"/>
  <c r="BR23" i="12"/>
  <c r="BQ23" i="12"/>
  <c r="BS22" i="12"/>
  <c r="BR22" i="12"/>
  <c r="BQ22" i="12"/>
  <c r="BS21" i="12"/>
  <c r="BR21" i="12"/>
  <c r="BQ21" i="12"/>
  <c r="BS20" i="12"/>
  <c r="BR20" i="12"/>
  <c r="BQ20" i="12"/>
  <c r="BS19" i="12"/>
  <c r="BR19" i="12"/>
  <c r="BQ19" i="12"/>
  <c r="BS18" i="12"/>
  <c r="BR18" i="12"/>
  <c r="BQ18" i="12"/>
  <c r="BS17" i="12"/>
  <c r="BR17" i="12"/>
  <c r="BQ17" i="12"/>
  <c r="BS16" i="12"/>
  <c r="BR16" i="12"/>
  <c r="BQ16" i="12"/>
  <c r="BS15" i="12"/>
  <c r="BR15" i="12"/>
  <c r="BQ15" i="12"/>
  <c r="BS14" i="12"/>
  <c r="BR14" i="12"/>
  <c r="BQ14" i="12"/>
  <c r="BS13" i="12"/>
  <c r="BR13" i="12"/>
  <c r="BQ13" i="12"/>
  <c r="BS12" i="12"/>
  <c r="BR12" i="12"/>
  <c r="BQ12" i="12"/>
  <c r="BS11" i="12"/>
  <c r="BR11" i="12"/>
  <c r="BQ11" i="12"/>
  <c r="BS10" i="12"/>
  <c r="BR10" i="12"/>
  <c r="BQ10" i="12"/>
  <c r="BS9" i="12"/>
  <c r="BR9" i="12"/>
  <c r="BQ9" i="12"/>
  <c r="BS8" i="12"/>
  <c r="BR8" i="12"/>
  <c r="BQ8" i="12"/>
  <c r="BS7" i="12"/>
  <c r="BR7" i="12"/>
  <c r="BQ7" i="12"/>
  <c r="BS6" i="12"/>
  <c r="BR6" i="12"/>
  <c r="BQ6" i="12"/>
  <c r="BS5" i="12"/>
  <c r="BR5" i="12"/>
  <c r="BQ5" i="12"/>
  <c r="BT9" i="12" l="1"/>
  <c r="BT25" i="12"/>
  <c r="BT17" i="12"/>
  <c r="BT28" i="12"/>
  <c r="BT36" i="12"/>
  <c r="BT44" i="12"/>
  <c r="BT52" i="12"/>
  <c r="BT20" i="12"/>
  <c r="BT12" i="12"/>
  <c r="BT13" i="12"/>
  <c r="BT5" i="12"/>
  <c r="BT21" i="12"/>
  <c r="BT8" i="12"/>
  <c r="BT16" i="12"/>
  <c r="BT24" i="12"/>
  <c r="BT32" i="12"/>
  <c r="BT40" i="12"/>
  <c r="BT48" i="12"/>
  <c r="BT56" i="12"/>
  <c r="BT19" i="12"/>
  <c r="BT23" i="12"/>
  <c r="BT27" i="12"/>
  <c r="BT31" i="12"/>
  <c r="BT35" i="12"/>
  <c r="BT39" i="12"/>
  <c r="BT43" i="12"/>
  <c r="BT47" i="12"/>
  <c r="BT51" i="12"/>
  <c r="BT55" i="12"/>
  <c r="BT29" i="12"/>
  <c r="BT33" i="12"/>
  <c r="BT37" i="12"/>
  <c r="BT41" i="12"/>
  <c r="BT45" i="12"/>
  <c r="BT49" i="12"/>
  <c r="BT53" i="12"/>
  <c r="BT15" i="12"/>
  <c r="BT7" i="12"/>
  <c r="BT11" i="12"/>
  <c r="BT6" i="12"/>
  <c r="BT10" i="12"/>
  <c r="BT14" i="12"/>
  <c r="BT18" i="12"/>
  <c r="BT22" i="12"/>
  <c r="BT26" i="12"/>
  <c r="BT30" i="12"/>
  <c r="BT34" i="12"/>
  <c r="BT38" i="12"/>
  <c r="BT42" i="12"/>
  <c r="BT46" i="12"/>
  <c r="BT50" i="12"/>
  <c r="BT54" i="12"/>
  <c r="H123" i="11"/>
  <c r="H124" i="11"/>
  <c r="BO3" i="29" l="1"/>
  <c r="BN3" i="29"/>
  <c r="L52" i="13" l="1"/>
  <c r="L53" i="13"/>
  <c r="L54" i="13"/>
  <c r="L55" i="13"/>
  <c r="L56" i="13"/>
  <c r="L57" i="13"/>
  <c r="L58" i="13"/>
  <c r="L59" i="13"/>
  <c r="L60" i="13"/>
  <c r="L61" i="13"/>
  <c r="L62" i="13"/>
  <c r="L63" i="13"/>
  <c r="L64" i="13"/>
  <c r="L65" i="13"/>
  <c r="L66" i="13"/>
  <c r="L67" i="13"/>
  <c r="L68" i="13"/>
  <c r="L69" i="13"/>
  <c r="L70" i="13"/>
  <c r="L71" i="13"/>
  <c r="L72" i="13"/>
  <c r="L73" i="13"/>
  <c r="L74" i="13"/>
  <c r="L75" i="13"/>
  <c r="L76" i="13"/>
  <c r="L77" i="13"/>
  <c r="L78" i="13"/>
  <c r="L79" i="13"/>
  <c r="L80" i="13"/>
  <c r="L81" i="13"/>
  <c r="L82" i="13"/>
  <c r="L83" i="13"/>
  <c r="L84" i="13"/>
  <c r="L85" i="13"/>
  <c r="L86" i="13"/>
  <c r="L87" i="13"/>
  <c r="L88" i="13"/>
  <c r="L89" i="13"/>
  <c r="L90" i="13"/>
  <c r="L91" i="13"/>
  <c r="L92" i="13"/>
  <c r="L93" i="13"/>
  <c r="L94" i="13"/>
  <c r="L95" i="13"/>
  <c r="L96" i="13"/>
  <c r="L97" i="13"/>
  <c r="L98" i="13"/>
  <c r="L99" i="13"/>
  <c r="L100" i="13"/>
  <c r="L101" i="13"/>
  <c r="L102" i="13"/>
  <c r="L103" i="13"/>
  <c r="D37" i="13"/>
  <c r="H122" i="11" s="1"/>
  <c r="BL3" i="29" l="1"/>
  <c r="F13" i="13"/>
  <c r="E13" i="13"/>
  <c r="D35" i="13"/>
  <c r="H120" i="11" s="1"/>
  <c r="D33" i="13"/>
  <c r="D32" i="13"/>
  <c r="D31" i="13"/>
  <c r="D30" i="13"/>
  <c r="D29" i="13"/>
  <c r="D28" i="13"/>
  <c r="BD13" i="13"/>
  <c r="BC13" i="13"/>
  <c r="BB13" i="13"/>
  <c r="BA13" i="13"/>
  <c r="AZ13" i="13"/>
  <c r="AY13" i="13"/>
  <c r="AX13" i="13"/>
  <c r="AW13" i="13"/>
  <c r="AV13" i="13"/>
  <c r="AU13" i="13"/>
  <c r="AT13" i="13"/>
  <c r="AS13" i="13"/>
  <c r="AR13" i="13"/>
  <c r="AQ13" i="13"/>
  <c r="AP13" i="13"/>
  <c r="AO13" i="13"/>
  <c r="AN13" i="13"/>
  <c r="AM13" i="13"/>
  <c r="AL13" i="13"/>
  <c r="AK13" i="13"/>
  <c r="AJ13" i="13"/>
  <c r="AI13" i="13"/>
  <c r="AH13" i="13"/>
  <c r="AG13" i="13"/>
  <c r="AF13" i="13"/>
  <c r="AE13" i="13"/>
  <c r="AD13" i="13"/>
  <c r="AC13" i="13"/>
  <c r="AB13" i="13"/>
  <c r="AA13" i="13"/>
  <c r="Z13" i="13"/>
  <c r="Y13" i="13"/>
  <c r="X13" i="13"/>
  <c r="W13" i="13"/>
  <c r="V13" i="13"/>
  <c r="U13" i="13"/>
  <c r="T13" i="13"/>
  <c r="S13" i="13"/>
  <c r="R13" i="13"/>
  <c r="Q13" i="13"/>
  <c r="P13" i="13"/>
  <c r="O13" i="13"/>
  <c r="N13" i="13"/>
  <c r="M13" i="13"/>
  <c r="L13" i="13"/>
  <c r="K13" i="13"/>
  <c r="J13" i="13"/>
  <c r="I13" i="13"/>
  <c r="H13" i="13"/>
  <c r="G13" i="13"/>
  <c r="BE13" i="13" l="1"/>
  <c r="B13" i="13"/>
  <c r="A13" i="13"/>
  <c r="BJ3" i="29"/>
  <c r="AT24" i="12" l="1"/>
  <c r="BF6" i="12"/>
  <c r="BG6" i="12"/>
  <c r="BF7" i="12"/>
  <c r="BG7" i="12"/>
  <c r="BF8" i="12"/>
  <c r="BG8" i="12"/>
  <c r="BF9" i="12"/>
  <c r="BG9" i="12"/>
  <c r="BF10" i="12"/>
  <c r="BG10" i="12"/>
  <c r="BF11" i="12"/>
  <c r="BG11" i="12"/>
  <c r="BF12" i="12"/>
  <c r="BG12" i="12"/>
  <c r="BF13" i="12"/>
  <c r="BG13" i="12"/>
  <c r="BF14" i="12"/>
  <c r="BG14" i="12"/>
  <c r="BF15" i="12"/>
  <c r="BG15" i="12"/>
  <c r="BF16" i="12"/>
  <c r="BG16" i="12"/>
  <c r="BF17" i="12"/>
  <c r="BG17" i="12"/>
  <c r="BF18" i="12"/>
  <c r="BG18" i="12"/>
  <c r="BF19" i="12"/>
  <c r="BG19" i="12"/>
  <c r="BF20" i="12"/>
  <c r="BG20" i="12"/>
  <c r="BF21" i="12"/>
  <c r="BG21" i="12"/>
  <c r="BF22" i="12"/>
  <c r="BG22" i="12"/>
  <c r="BF23" i="12"/>
  <c r="BG23" i="12"/>
  <c r="BF24" i="12"/>
  <c r="BG24" i="12"/>
  <c r="BF25" i="12"/>
  <c r="BG25" i="12"/>
  <c r="BF26" i="12"/>
  <c r="BG26" i="12"/>
  <c r="BF27" i="12"/>
  <c r="BG27" i="12"/>
  <c r="BF28" i="12"/>
  <c r="BG28" i="12"/>
  <c r="BF29" i="12"/>
  <c r="BG29" i="12"/>
  <c r="BF30" i="12"/>
  <c r="BG30" i="12"/>
  <c r="BF31" i="12"/>
  <c r="BG31" i="12"/>
  <c r="BF32" i="12"/>
  <c r="BG32" i="12"/>
  <c r="BF33" i="12"/>
  <c r="BG33" i="12"/>
  <c r="BF34" i="12"/>
  <c r="BG34" i="12"/>
  <c r="BF35" i="12"/>
  <c r="BG35" i="12"/>
  <c r="BF36" i="12"/>
  <c r="BG36" i="12"/>
  <c r="BF37" i="12"/>
  <c r="BG37" i="12"/>
  <c r="BF38" i="12"/>
  <c r="BG38" i="12"/>
  <c r="BF39" i="12"/>
  <c r="BG39" i="12"/>
  <c r="BF40" i="12"/>
  <c r="BG40" i="12"/>
  <c r="BF41" i="12"/>
  <c r="BG41" i="12"/>
  <c r="BF42" i="12"/>
  <c r="BG42" i="12"/>
  <c r="BF43" i="12"/>
  <c r="BG43" i="12"/>
  <c r="BF44" i="12"/>
  <c r="BG44" i="12"/>
  <c r="BF45" i="12"/>
  <c r="BG45" i="12"/>
  <c r="BF46" i="12"/>
  <c r="BG46" i="12"/>
  <c r="BF47" i="12"/>
  <c r="BG47" i="12"/>
  <c r="BF48" i="12"/>
  <c r="BG48" i="12"/>
  <c r="BF49" i="12"/>
  <c r="BG49" i="12"/>
  <c r="BF50" i="12"/>
  <c r="BG50" i="12"/>
  <c r="BF51" i="12"/>
  <c r="BG51" i="12"/>
  <c r="BF52" i="12"/>
  <c r="BG52" i="12"/>
  <c r="BF53" i="12"/>
  <c r="BG53" i="12"/>
  <c r="BF54" i="12"/>
  <c r="BG54" i="12"/>
  <c r="BF55" i="12"/>
  <c r="BG55" i="12"/>
  <c r="BF56" i="12"/>
  <c r="BG56" i="12"/>
  <c r="BG5" i="12"/>
  <c r="BF5" i="12"/>
  <c r="AB2" i="29" l="1"/>
  <c r="AH2" i="29"/>
  <c r="AK2" i="29"/>
  <c r="AL2" i="29"/>
  <c r="AM2" i="29"/>
  <c r="AN2" i="29"/>
  <c r="AO2" i="29"/>
  <c r="AP2" i="29"/>
  <c r="AQ2" i="29"/>
  <c r="AR2" i="29"/>
  <c r="AS2" i="29"/>
  <c r="C41" i="15" l="1"/>
  <c r="K41" i="15" s="1"/>
  <c r="X41" i="15" s="1"/>
  <c r="C78" i="15"/>
  <c r="K78" i="15" s="1"/>
  <c r="X78" i="15" s="1"/>
  <c r="C39" i="15"/>
  <c r="K39" i="15" s="1"/>
  <c r="X39" i="15" s="1"/>
  <c r="X5" i="15" l="1"/>
  <c r="B17" i="15" l="1"/>
  <c r="N17" i="15" s="1"/>
  <c r="H118" i="11" l="1"/>
  <c r="H117" i="11" l="1"/>
  <c r="N6" i="12" l="1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" i="12"/>
  <c r="J58" i="17" l="1"/>
  <c r="J52" i="17"/>
  <c r="J20" i="17"/>
  <c r="A17" i="17"/>
  <c r="J17" i="17" s="1"/>
  <c r="A18" i="17"/>
  <c r="J18" i="17" s="1"/>
  <c r="A19" i="17"/>
  <c r="J19" i="17" s="1"/>
  <c r="A21" i="17"/>
  <c r="J21" i="17" s="1"/>
  <c r="A22" i="17"/>
  <c r="J22" i="17" s="1"/>
  <c r="A23" i="17"/>
  <c r="J23" i="17" s="1"/>
  <c r="A24" i="17"/>
  <c r="J24" i="17" s="1"/>
  <c r="A25" i="17"/>
  <c r="J25" i="17" s="1"/>
  <c r="A26" i="17"/>
  <c r="J26" i="17" s="1"/>
  <c r="A27" i="17"/>
  <c r="J27" i="17" s="1"/>
  <c r="A28" i="17"/>
  <c r="J28" i="17" s="1"/>
  <c r="A29" i="17"/>
  <c r="J29" i="17" s="1"/>
  <c r="A30" i="17"/>
  <c r="J30" i="17" s="1"/>
  <c r="A31" i="17"/>
  <c r="J31" i="17" s="1"/>
  <c r="A32" i="17"/>
  <c r="A33" i="17"/>
  <c r="J33" i="17" s="1"/>
  <c r="A34" i="17"/>
  <c r="J34" i="17" s="1"/>
  <c r="A35" i="17"/>
  <c r="J35" i="17" s="1"/>
  <c r="A36" i="17"/>
  <c r="J36" i="17" s="1"/>
  <c r="A37" i="17"/>
  <c r="J37" i="17" s="1"/>
  <c r="A38" i="17"/>
  <c r="J38" i="17" s="1"/>
  <c r="A39" i="17"/>
  <c r="J39" i="17" s="1"/>
  <c r="A40" i="17"/>
  <c r="J40" i="17" s="1"/>
  <c r="A41" i="17"/>
  <c r="J41" i="17" s="1"/>
  <c r="A42" i="17"/>
  <c r="J42" i="17" s="1"/>
  <c r="A43" i="17"/>
  <c r="A44" i="17"/>
  <c r="J44" i="17" s="1"/>
  <c r="A45" i="17"/>
  <c r="J45" i="17" s="1"/>
  <c r="A46" i="17"/>
  <c r="J46" i="17" s="1"/>
  <c r="A47" i="17"/>
  <c r="J47" i="17" s="1"/>
  <c r="A48" i="17"/>
  <c r="J48" i="17" s="1"/>
  <c r="A49" i="17"/>
  <c r="J49" i="17" s="1"/>
  <c r="A50" i="17"/>
  <c r="J50" i="17" s="1"/>
  <c r="A51" i="17"/>
  <c r="J51" i="17" s="1"/>
  <c r="A53" i="17"/>
  <c r="J53" i="17" s="1"/>
  <c r="A54" i="17"/>
  <c r="J54" i="17" s="1"/>
  <c r="A55" i="17"/>
  <c r="A56" i="17"/>
  <c r="J56" i="17" s="1"/>
  <c r="A57" i="17"/>
  <c r="J57" i="17" s="1"/>
  <c r="A59" i="17"/>
  <c r="J59" i="17" s="1"/>
  <c r="A60" i="17"/>
  <c r="J60" i="17" s="1"/>
  <c r="A61" i="17"/>
  <c r="J61" i="17" s="1"/>
  <c r="A62" i="17"/>
  <c r="J62" i="17" s="1"/>
  <c r="A63" i="17"/>
  <c r="J63" i="17" s="1"/>
  <c r="A64" i="17"/>
  <c r="J64" i="17" s="1"/>
  <c r="A65" i="17"/>
  <c r="J65" i="17" s="1"/>
  <c r="A66" i="17"/>
  <c r="J66" i="17" s="1"/>
  <c r="A67" i="17"/>
  <c r="J67" i="17" s="1"/>
  <c r="A16" i="17"/>
  <c r="J16" i="17" s="1"/>
  <c r="B6" i="15" l="1"/>
  <c r="N6" i="15" s="1"/>
  <c r="B7" i="15"/>
  <c r="N7" i="15" s="1"/>
  <c r="B8" i="15"/>
  <c r="N8" i="15" s="1"/>
  <c r="B9" i="15"/>
  <c r="N9" i="15" s="1"/>
  <c r="B10" i="15"/>
  <c r="N10" i="15" s="1"/>
  <c r="B11" i="15"/>
  <c r="N11" i="15" s="1"/>
  <c r="B12" i="15"/>
  <c r="N12" i="15" s="1"/>
  <c r="B13" i="15"/>
  <c r="N13" i="15" s="1"/>
  <c r="B14" i="15"/>
  <c r="N14" i="15" s="1"/>
  <c r="B15" i="15"/>
  <c r="N15" i="15" s="1"/>
  <c r="B16" i="15"/>
  <c r="N16" i="15" s="1"/>
  <c r="B18" i="15"/>
  <c r="N18" i="15" s="1"/>
  <c r="B19" i="15"/>
  <c r="N19" i="15" s="1"/>
  <c r="B20" i="15"/>
  <c r="N20" i="15" s="1"/>
  <c r="B21" i="15"/>
  <c r="N21" i="15" s="1"/>
  <c r="B22" i="15"/>
  <c r="N22" i="15" s="1"/>
  <c r="B23" i="15"/>
  <c r="N23" i="15" s="1"/>
  <c r="B24" i="15"/>
  <c r="B25" i="15"/>
  <c r="N25" i="15" s="1"/>
  <c r="B26" i="15"/>
  <c r="N26" i="15" s="1"/>
  <c r="B27" i="15"/>
  <c r="N27" i="15" s="1"/>
  <c r="B28" i="15"/>
  <c r="N28" i="15" s="1"/>
  <c r="B29" i="15"/>
  <c r="N29" i="15" s="1"/>
  <c r="B30" i="15"/>
  <c r="N30" i="15" s="1"/>
  <c r="B31" i="15"/>
  <c r="N31" i="15" s="1"/>
  <c r="B32" i="15"/>
  <c r="N32" i="15" s="1"/>
  <c r="B33" i="15"/>
  <c r="N33" i="15" s="1"/>
  <c r="B34" i="15"/>
  <c r="N34" i="15" s="1"/>
  <c r="B35" i="15"/>
  <c r="N35" i="15" s="1"/>
  <c r="B36" i="15"/>
  <c r="N36" i="15" s="1"/>
  <c r="B37" i="15"/>
  <c r="N37" i="15" s="1"/>
  <c r="B38" i="15"/>
  <c r="N38" i="15" s="1"/>
  <c r="B39" i="15"/>
  <c r="N39" i="15" s="1"/>
  <c r="B40" i="15"/>
  <c r="N40" i="15" s="1"/>
  <c r="B41" i="15"/>
  <c r="N41" i="15" s="1"/>
  <c r="B42" i="15"/>
  <c r="N42" i="15" s="1"/>
  <c r="B43" i="15"/>
  <c r="N43" i="15" s="1"/>
  <c r="B44" i="15"/>
  <c r="N44" i="15" s="1"/>
  <c r="B45" i="15"/>
  <c r="N45" i="15" s="1"/>
  <c r="B46" i="15"/>
  <c r="N46" i="15" s="1"/>
  <c r="B47" i="15"/>
  <c r="N47" i="15" s="1"/>
  <c r="B48" i="15"/>
  <c r="N48" i="15" s="1"/>
  <c r="B49" i="15"/>
  <c r="N49" i="15" s="1"/>
  <c r="B50" i="15"/>
  <c r="N50" i="15" s="1"/>
  <c r="B51" i="15"/>
  <c r="N51" i="15" s="1"/>
  <c r="B52" i="15"/>
  <c r="N52" i="15" s="1"/>
  <c r="B53" i="15"/>
  <c r="N53" i="15" s="1"/>
  <c r="B54" i="15"/>
  <c r="N54" i="15" s="1"/>
  <c r="B55" i="15"/>
  <c r="N55" i="15" s="1"/>
  <c r="B56" i="15"/>
  <c r="N56" i="15" s="1"/>
  <c r="B57" i="15"/>
  <c r="N57" i="15" s="1"/>
  <c r="B58" i="15"/>
  <c r="N58" i="15" s="1"/>
  <c r="B60" i="15"/>
  <c r="N60" i="15" s="1"/>
  <c r="B61" i="15"/>
  <c r="N61" i="15" s="1"/>
  <c r="B62" i="15"/>
  <c r="N62" i="15" s="1"/>
  <c r="B63" i="15"/>
  <c r="B64" i="15"/>
  <c r="N64" i="15" s="1"/>
  <c r="B65" i="15"/>
  <c r="N65" i="15" s="1"/>
  <c r="B66" i="15"/>
  <c r="N66" i="15" s="1"/>
  <c r="B67" i="15"/>
  <c r="N67" i="15" s="1"/>
  <c r="B68" i="15"/>
  <c r="N68" i="15" s="1"/>
  <c r="B69" i="15"/>
  <c r="N69" i="15" s="1"/>
  <c r="B70" i="15"/>
  <c r="N70" i="15" s="1"/>
  <c r="B71" i="15"/>
  <c r="N71" i="15" s="1"/>
  <c r="B72" i="15"/>
  <c r="N72" i="15" s="1"/>
  <c r="B73" i="15"/>
  <c r="N73" i="15" s="1"/>
  <c r="B74" i="15"/>
  <c r="N74" i="15" s="1"/>
  <c r="B75" i="15"/>
  <c r="N75" i="15" s="1"/>
  <c r="B76" i="15"/>
  <c r="N76" i="15" s="1"/>
  <c r="B77" i="15"/>
  <c r="N77" i="15" s="1"/>
  <c r="B78" i="15"/>
  <c r="N78" i="15" s="1"/>
  <c r="B79" i="15"/>
  <c r="N79" i="15" s="1"/>
  <c r="B80" i="15"/>
  <c r="N80" i="15" s="1"/>
  <c r="B81" i="15"/>
  <c r="N81" i="15" s="1"/>
  <c r="B5" i="15"/>
  <c r="N5" i="15" s="1"/>
  <c r="C17" i="15" l="1"/>
  <c r="K17" i="15" s="1"/>
  <c r="X17" i="15" s="1"/>
  <c r="C31" i="15"/>
  <c r="K31" i="15" s="1"/>
  <c r="X31" i="15" s="1"/>
  <c r="C64" i="15"/>
  <c r="K64" i="15" s="1"/>
  <c r="X64" i="15" s="1"/>
  <c r="C65" i="15"/>
  <c r="K65" i="15" s="1"/>
  <c r="X65" i="15" s="1"/>
  <c r="C71" i="15"/>
  <c r="K71" i="15" s="1"/>
  <c r="X71" i="15" s="1"/>
  <c r="C81" i="15"/>
  <c r="K81" i="15" s="1"/>
  <c r="X81" i="15" s="1"/>
  <c r="G19" i="16" l="1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6" i="16"/>
  <c r="AS7" i="12" l="1"/>
  <c r="AS8" i="12"/>
  <c r="AS9" i="12"/>
  <c r="AS10" i="12"/>
  <c r="AS11" i="12"/>
  <c r="AS12" i="12"/>
  <c r="AS13" i="12"/>
  <c r="AS14" i="12"/>
  <c r="AS15" i="12"/>
  <c r="AS16" i="12"/>
  <c r="AS17" i="12"/>
  <c r="AS18" i="12"/>
  <c r="AS19" i="12"/>
  <c r="AS20" i="12"/>
  <c r="AS21" i="12"/>
  <c r="AS22" i="12"/>
  <c r="AS23" i="12"/>
  <c r="AS24" i="12"/>
  <c r="AS25" i="12"/>
  <c r="AS26" i="12"/>
  <c r="AS27" i="12"/>
  <c r="AS28" i="12"/>
  <c r="AS29" i="12"/>
  <c r="AS30" i="12"/>
  <c r="AS31" i="12"/>
  <c r="AS32" i="12"/>
  <c r="AS33" i="12"/>
  <c r="AS34" i="12"/>
  <c r="AS35" i="12"/>
  <c r="AS36" i="12"/>
  <c r="AS37" i="12"/>
  <c r="AS38" i="12"/>
  <c r="AS39" i="12"/>
  <c r="AS40" i="12"/>
  <c r="AS41" i="12"/>
  <c r="AS42" i="12"/>
  <c r="AS43" i="12"/>
  <c r="AS44" i="12"/>
  <c r="AS45" i="12"/>
  <c r="AS46" i="12"/>
  <c r="AS47" i="12"/>
  <c r="AS48" i="12"/>
  <c r="AS49" i="12"/>
  <c r="AS50" i="12"/>
  <c r="AS51" i="12"/>
  <c r="AS52" i="12"/>
  <c r="AS53" i="12"/>
  <c r="AS54" i="12"/>
  <c r="AS55" i="12"/>
  <c r="AS56" i="12"/>
  <c r="AS6" i="12"/>
  <c r="AS5" i="12"/>
  <c r="AR6" i="12"/>
  <c r="AR7" i="12"/>
  <c r="AR8" i="12"/>
  <c r="AR9" i="12"/>
  <c r="AR10" i="12"/>
  <c r="AR11" i="12"/>
  <c r="AR12" i="12"/>
  <c r="AR13" i="12"/>
  <c r="AR14" i="12"/>
  <c r="AR15" i="12"/>
  <c r="AR16" i="12"/>
  <c r="AR17" i="12"/>
  <c r="AR18" i="12"/>
  <c r="AR19" i="12"/>
  <c r="AR20" i="12"/>
  <c r="AR21" i="12"/>
  <c r="AR22" i="12"/>
  <c r="AR23" i="12"/>
  <c r="AR24" i="12"/>
  <c r="AR25" i="12"/>
  <c r="AR26" i="12"/>
  <c r="AR27" i="12"/>
  <c r="AR28" i="12"/>
  <c r="AR29" i="12"/>
  <c r="AR30" i="12"/>
  <c r="AR31" i="12"/>
  <c r="AR32" i="12"/>
  <c r="AR33" i="12"/>
  <c r="AR34" i="12"/>
  <c r="AR35" i="12"/>
  <c r="AR36" i="12"/>
  <c r="AR37" i="12"/>
  <c r="AR38" i="12"/>
  <c r="AR39" i="12"/>
  <c r="AR40" i="12"/>
  <c r="AR41" i="12"/>
  <c r="AR42" i="12"/>
  <c r="AR43" i="12"/>
  <c r="AR44" i="12"/>
  <c r="AR45" i="12"/>
  <c r="AR46" i="12"/>
  <c r="AR47" i="12"/>
  <c r="AR48" i="12"/>
  <c r="AR49" i="12"/>
  <c r="AR50" i="12"/>
  <c r="AR51" i="12"/>
  <c r="AR52" i="12"/>
  <c r="AR53" i="12"/>
  <c r="AR54" i="12"/>
  <c r="AR55" i="12"/>
  <c r="AR56" i="12"/>
  <c r="AR5" i="12"/>
  <c r="BO3" i="26" l="1"/>
  <c r="BO4" i="26"/>
  <c r="BO5" i="26"/>
  <c r="BO6" i="26"/>
  <c r="BO7" i="26"/>
  <c r="BO8" i="26"/>
  <c r="BO9" i="26"/>
  <c r="BO10" i="26"/>
  <c r="BO11" i="26"/>
  <c r="BO12" i="26"/>
  <c r="BO13" i="26"/>
  <c r="BO14" i="26"/>
  <c r="BO15" i="26"/>
  <c r="BO16" i="26"/>
  <c r="BO17" i="26"/>
  <c r="BO18" i="26"/>
  <c r="BO19" i="26"/>
  <c r="BO20" i="26"/>
  <c r="BO21" i="26"/>
  <c r="BO22" i="26"/>
  <c r="BO23" i="26"/>
  <c r="BO24" i="26"/>
  <c r="BO25" i="26"/>
  <c r="BO26" i="26"/>
  <c r="BO27" i="26"/>
  <c r="BO28" i="26"/>
  <c r="BO29" i="26"/>
  <c r="BO30" i="26"/>
  <c r="BO31" i="26"/>
  <c r="BO32" i="26"/>
  <c r="BO33" i="26"/>
  <c r="BO34" i="26"/>
  <c r="BO35" i="26"/>
  <c r="BO36" i="26"/>
  <c r="BO37" i="26"/>
  <c r="BO38" i="26"/>
  <c r="BO39" i="26"/>
  <c r="BO40" i="26"/>
  <c r="BO41" i="26"/>
  <c r="BO42" i="26"/>
  <c r="BO43" i="26"/>
  <c r="BO44" i="26"/>
  <c r="BO45" i="26"/>
  <c r="BO46" i="26"/>
  <c r="BO47" i="26"/>
  <c r="BO48" i="26"/>
  <c r="BO49" i="26"/>
  <c r="BO50" i="26"/>
  <c r="BO51" i="26"/>
  <c r="BO52" i="26"/>
  <c r="BO53" i="26"/>
  <c r="BO54" i="26"/>
  <c r="BO55" i="26"/>
  <c r="BO56" i="26"/>
  <c r="BO57" i="26"/>
  <c r="BO58" i="26"/>
  <c r="BO59" i="26"/>
  <c r="BO60" i="26"/>
  <c r="BO61" i="26"/>
  <c r="BO62" i="26"/>
  <c r="BO63" i="26"/>
  <c r="BO64" i="26"/>
  <c r="BO65" i="26"/>
  <c r="BO66" i="26"/>
  <c r="BO67" i="26"/>
  <c r="BO68" i="26"/>
  <c r="BO69" i="26"/>
  <c r="BO70" i="26"/>
  <c r="BO71" i="26"/>
  <c r="BO72" i="26"/>
  <c r="BO73" i="26"/>
  <c r="BO74" i="26"/>
  <c r="BO75" i="26"/>
  <c r="BO76" i="26"/>
  <c r="BO77" i="26"/>
  <c r="BO78" i="26"/>
  <c r="BO79" i="26"/>
  <c r="BO80" i="26"/>
  <c r="BO81" i="26"/>
  <c r="BO82" i="26"/>
  <c r="BO83" i="26"/>
  <c r="BO84" i="26"/>
  <c r="BO85" i="26"/>
  <c r="BO86" i="26"/>
  <c r="BO87" i="26"/>
  <c r="BO88" i="26"/>
  <c r="BO89" i="26"/>
  <c r="BO90" i="26"/>
  <c r="BO91" i="26"/>
  <c r="BO92" i="26"/>
  <c r="BO93" i="26"/>
  <c r="BO94" i="26"/>
  <c r="BO95" i="26"/>
  <c r="BO96" i="26"/>
  <c r="BO97" i="26"/>
  <c r="BO98" i="26"/>
  <c r="BO99" i="26"/>
  <c r="BO100" i="26"/>
  <c r="BO101" i="26"/>
  <c r="BO102" i="26"/>
  <c r="BO103" i="26"/>
  <c r="BO104" i="26"/>
  <c r="BO105" i="26"/>
  <c r="BO106" i="26"/>
  <c r="BO107" i="26"/>
  <c r="BO108" i="26"/>
  <c r="BO109" i="26"/>
  <c r="BO110" i="26"/>
  <c r="BO111" i="26"/>
  <c r="BO112" i="26"/>
  <c r="BO113" i="26"/>
  <c r="BO114" i="26"/>
  <c r="BO115" i="26"/>
  <c r="BO116" i="26"/>
  <c r="BO117" i="26"/>
  <c r="BO118" i="26"/>
  <c r="BO119" i="26"/>
  <c r="BO120" i="26"/>
  <c r="BO121" i="26"/>
  <c r="BO122" i="26"/>
  <c r="BO123" i="26"/>
  <c r="BO124" i="26"/>
  <c r="BO125" i="26"/>
  <c r="BO126" i="26"/>
  <c r="BO127" i="26"/>
  <c r="BO128" i="26"/>
  <c r="BO129" i="26"/>
  <c r="BO130" i="26"/>
  <c r="BO131" i="26"/>
  <c r="BO132" i="26"/>
  <c r="BO133" i="26"/>
  <c r="BO134" i="26"/>
  <c r="BO135" i="26"/>
  <c r="BO136" i="26"/>
  <c r="BO137" i="26"/>
  <c r="BO138" i="26"/>
  <c r="BO139" i="26"/>
  <c r="BO140" i="26"/>
  <c r="BO141" i="26"/>
  <c r="BO142" i="26"/>
  <c r="BO143" i="26"/>
  <c r="BO144" i="26"/>
  <c r="BO145" i="26"/>
  <c r="BO146" i="26"/>
  <c r="BO147" i="26"/>
  <c r="BO148" i="26"/>
  <c r="BO149" i="26"/>
  <c r="BO150" i="26"/>
  <c r="BO151" i="26"/>
  <c r="BO152" i="26"/>
  <c r="BO153" i="26"/>
  <c r="BO154" i="26"/>
  <c r="BO155" i="26"/>
  <c r="BO156" i="26"/>
  <c r="BO157" i="26"/>
  <c r="BO158" i="26"/>
  <c r="BO159" i="26"/>
  <c r="BO160" i="26"/>
  <c r="BO161" i="26"/>
  <c r="BO162" i="26"/>
  <c r="BO163" i="26"/>
  <c r="BO164" i="26"/>
  <c r="BO165" i="26"/>
  <c r="BO166" i="26"/>
  <c r="BO167" i="26"/>
  <c r="BO168" i="26"/>
  <c r="BO169" i="26"/>
  <c r="BO170" i="26"/>
  <c r="BO171" i="26"/>
  <c r="BO172" i="26"/>
  <c r="BO173" i="26"/>
  <c r="BO174" i="26"/>
  <c r="BO175" i="26"/>
  <c r="BO176" i="26"/>
  <c r="BO2" i="26"/>
  <c r="AN6" i="12" l="1"/>
  <c r="AN7" i="12"/>
  <c r="AN8" i="12"/>
  <c r="AN9" i="12"/>
  <c r="AN10" i="12"/>
  <c r="AN11" i="12"/>
  <c r="AN12" i="12"/>
  <c r="AN13" i="12"/>
  <c r="AN14" i="12"/>
  <c r="AN15" i="12"/>
  <c r="AN16" i="12"/>
  <c r="AN17" i="12"/>
  <c r="AN18" i="12"/>
  <c r="AN19" i="12"/>
  <c r="AN20" i="12"/>
  <c r="AN21" i="12"/>
  <c r="AN22" i="12"/>
  <c r="AN23" i="12"/>
  <c r="AN24" i="12"/>
  <c r="AN25" i="12"/>
  <c r="AN26" i="12"/>
  <c r="AN27" i="12"/>
  <c r="AN28" i="12"/>
  <c r="AN29" i="12"/>
  <c r="AN30" i="12"/>
  <c r="AN31" i="12"/>
  <c r="AN32" i="12"/>
  <c r="AN33" i="12"/>
  <c r="AN34" i="12"/>
  <c r="AN35" i="12"/>
  <c r="AN36" i="12"/>
  <c r="AN37" i="12"/>
  <c r="AN38" i="12"/>
  <c r="AN39" i="12"/>
  <c r="AN40" i="12"/>
  <c r="AN41" i="12"/>
  <c r="AN42" i="12"/>
  <c r="AN43" i="12"/>
  <c r="AN44" i="12"/>
  <c r="AN45" i="12"/>
  <c r="AN46" i="12"/>
  <c r="AN47" i="12"/>
  <c r="AN48" i="12"/>
  <c r="AN49" i="12"/>
  <c r="AN50" i="12"/>
  <c r="AN51" i="12"/>
  <c r="AN52" i="12"/>
  <c r="AN53" i="12"/>
  <c r="AN54" i="12"/>
  <c r="AN55" i="12"/>
  <c r="AN56" i="12"/>
  <c r="AN5" i="12"/>
  <c r="I20" i="25" l="1"/>
  <c r="I21" i="25"/>
  <c r="I22" i="25"/>
  <c r="I23" i="25"/>
  <c r="I24" i="25"/>
  <c r="I25" i="25"/>
  <c r="I26" i="25"/>
  <c r="I27" i="25"/>
  <c r="I28" i="25"/>
  <c r="I29" i="25"/>
  <c r="I30" i="25"/>
  <c r="I31" i="25"/>
  <c r="I32" i="25"/>
  <c r="I33" i="25"/>
  <c r="I34" i="25"/>
  <c r="I35" i="25"/>
  <c r="I36" i="25"/>
  <c r="I37" i="25"/>
  <c r="I38" i="25"/>
  <c r="I39" i="25"/>
  <c r="I40" i="25"/>
  <c r="I41" i="25"/>
  <c r="I42" i="25"/>
  <c r="I43" i="25"/>
  <c r="I44" i="25"/>
  <c r="I45" i="25"/>
  <c r="I46" i="25"/>
  <c r="I47" i="25"/>
  <c r="I48" i="25"/>
  <c r="I49" i="25"/>
  <c r="I50" i="25"/>
  <c r="I51" i="25"/>
  <c r="I52" i="25"/>
  <c r="I53" i="25"/>
  <c r="I3" i="25"/>
  <c r="I4" i="25"/>
  <c r="I5" i="25"/>
  <c r="I6" i="25"/>
  <c r="I7" i="25"/>
  <c r="I8" i="25"/>
  <c r="I9" i="25"/>
  <c r="I10" i="25"/>
  <c r="I11" i="25"/>
  <c r="I12" i="25"/>
  <c r="I13" i="25"/>
  <c r="I14" i="25"/>
  <c r="I15" i="25"/>
  <c r="I16" i="25"/>
  <c r="I17" i="25"/>
  <c r="I18" i="25"/>
  <c r="I2" i="25"/>
  <c r="D6" i="17"/>
  <c r="C19" i="25" l="1"/>
  <c r="BJ134" i="11"/>
  <c r="BJ135" i="11"/>
  <c r="A56" i="11" l="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U9" i="12" l="1"/>
  <c r="AU10" i="12"/>
  <c r="AU11" i="12"/>
  <c r="AU12" i="12"/>
  <c r="AU13" i="12"/>
  <c r="AU14" i="12"/>
  <c r="AU15" i="12"/>
  <c r="AU16" i="12"/>
  <c r="AU17" i="12"/>
  <c r="AU18" i="12"/>
  <c r="AU19" i="12"/>
  <c r="AU20" i="12"/>
  <c r="AU21" i="12"/>
  <c r="AU22" i="12"/>
  <c r="AU23" i="12"/>
  <c r="AU24" i="12"/>
  <c r="AV24" i="12" s="1"/>
  <c r="AU25" i="12"/>
  <c r="AU26" i="12"/>
  <c r="AU27" i="12"/>
  <c r="AU28" i="12"/>
  <c r="AU29" i="12"/>
  <c r="AU30" i="12"/>
  <c r="AU31" i="12"/>
  <c r="AU32" i="12"/>
  <c r="AU33" i="12"/>
  <c r="AU34" i="12"/>
  <c r="AU35" i="12"/>
  <c r="AU36" i="12"/>
  <c r="AU37" i="12"/>
  <c r="AU38" i="12"/>
  <c r="AU39" i="12"/>
  <c r="AU40" i="12"/>
  <c r="AU41" i="12"/>
  <c r="AU42" i="12"/>
  <c r="AU43" i="12"/>
  <c r="AU44" i="12"/>
  <c r="AU45" i="12"/>
  <c r="AU46" i="12"/>
  <c r="AU47" i="12"/>
  <c r="AU48" i="12"/>
  <c r="AU49" i="12"/>
  <c r="AU50" i="12"/>
  <c r="AU51" i="12"/>
  <c r="AU52" i="12"/>
  <c r="AU53" i="12"/>
  <c r="AU54" i="12"/>
  <c r="AU55" i="12"/>
  <c r="AU56" i="12"/>
  <c r="AU6" i="12"/>
  <c r="AU7" i="12"/>
  <c r="AU8" i="12"/>
  <c r="AU5" i="12"/>
  <c r="AT9" i="12"/>
  <c r="AT10" i="12"/>
  <c r="AT11" i="12"/>
  <c r="AT12" i="12"/>
  <c r="AT13" i="12"/>
  <c r="AT14" i="12"/>
  <c r="AT15" i="12"/>
  <c r="AT16" i="12"/>
  <c r="AT17" i="12"/>
  <c r="AT18" i="12"/>
  <c r="AT19" i="12"/>
  <c r="AT20" i="12"/>
  <c r="AT21" i="12"/>
  <c r="AT22" i="12"/>
  <c r="AT23" i="12"/>
  <c r="AT25" i="12"/>
  <c r="AT26" i="12"/>
  <c r="AT27" i="12"/>
  <c r="AT28" i="12"/>
  <c r="AT29" i="12"/>
  <c r="AT30" i="12"/>
  <c r="AT31" i="12"/>
  <c r="AT32" i="12"/>
  <c r="AT33" i="12"/>
  <c r="AT34" i="12"/>
  <c r="AT35" i="12"/>
  <c r="AT36" i="12"/>
  <c r="AT37" i="12"/>
  <c r="AT38" i="12"/>
  <c r="AT39" i="12"/>
  <c r="AT40" i="12"/>
  <c r="AT41" i="12"/>
  <c r="AT42" i="12"/>
  <c r="AT43" i="12"/>
  <c r="AT44" i="12"/>
  <c r="AT45" i="12"/>
  <c r="AT46" i="12"/>
  <c r="AT47" i="12"/>
  <c r="AT48" i="12"/>
  <c r="AT49" i="12"/>
  <c r="AT50" i="12"/>
  <c r="AT51" i="12"/>
  <c r="AT52" i="12"/>
  <c r="AT53" i="12"/>
  <c r="AT54" i="12"/>
  <c r="AT55" i="12"/>
  <c r="AT56" i="12"/>
  <c r="AT6" i="12"/>
  <c r="AT7" i="12"/>
  <c r="AT8" i="12"/>
  <c r="AT5" i="12"/>
  <c r="AQ9" i="12"/>
  <c r="AQ10" i="12"/>
  <c r="AQ11" i="12"/>
  <c r="AQ12" i="12"/>
  <c r="AQ13" i="12"/>
  <c r="AQ14" i="12"/>
  <c r="AQ15" i="12"/>
  <c r="AQ16" i="12"/>
  <c r="AQ17" i="12"/>
  <c r="AQ18" i="12"/>
  <c r="AQ19" i="12"/>
  <c r="AQ20" i="12"/>
  <c r="AQ21" i="12"/>
  <c r="AQ22" i="12"/>
  <c r="AQ23" i="12"/>
  <c r="AQ24" i="12"/>
  <c r="AQ25" i="12"/>
  <c r="AQ26" i="12"/>
  <c r="AQ27" i="12"/>
  <c r="AQ28" i="12"/>
  <c r="AQ29" i="12"/>
  <c r="AQ30" i="12"/>
  <c r="AQ31" i="12"/>
  <c r="AQ32" i="12"/>
  <c r="AQ33" i="12"/>
  <c r="AQ34" i="12"/>
  <c r="AQ35" i="12"/>
  <c r="AQ36" i="12"/>
  <c r="AQ37" i="12"/>
  <c r="AQ38" i="12"/>
  <c r="AQ39" i="12"/>
  <c r="AQ40" i="12"/>
  <c r="AQ41" i="12"/>
  <c r="AQ42" i="12"/>
  <c r="AQ43" i="12"/>
  <c r="AQ44" i="12"/>
  <c r="AQ45" i="12"/>
  <c r="AQ46" i="12"/>
  <c r="AQ47" i="12"/>
  <c r="AQ48" i="12"/>
  <c r="AQ49" i="12"/>
  <c r="AQ50" i="12"/>
  <c r="AQ51" i="12"/>
  <c r="AQ52" i="12"/>
  <c r="AQ53" i="12"/>
  <c r="AQ54" i="12"/>
  <c r="AQ55" i="12"/>
  <c r="AQ56" i="12"/>
  <c r="AQ6" i="12"/>
  <c r="AQ7" i="12"/>
  <c r="AQ8" i="12"/>
  <c r="AQ5" i="12"/>
  <c r="AP9" i="12"/>
  <c r="AP10" i="12"/>
  <c r="AP11" i="12"/>
  <c r="AP12" i="12"/>
  <c r="AP13" i="12"/>
  <c r="AP14" i="12"/>
  <c r="AP15" i="12"/>
  <c r="AP16" i="12"/>
  <c r="AP17" i="12"/>
  <c r="AP18" i="12"/>
  <c r="AP19" i="12"/>
  <c r="AP20" i="12"/>
  <c r="AP21" i="12"/>
  <c r="AP22" i="12"/>
  <c r="AP23" i="12"/>
  <c r="AP24" i="12"/>
  <c r="AP25" i="12"/>
  <c r="AP26" i="12"/>
  <c r="AP27" i="12"/>
  <c r="AP28" i="12"/>
  <c r="AP29" i="12"/>
  <c r="AP30" i="12"/>
  <c r="AP31" i="12"/>
  <c r="AP32" i="12"/>
  <c r="AP33" i="12"/>
  <c r="AP34" i="12"/>
  <c r="AP35" i="12"/>
  <c r="AP36" i="12"/>
  <c r="AP37" i="12"/>
  <c r="AP38" i="12"/>
  <c r="AP39" i="12"/>
  <c r="AP40" i="12"/>
  <c r="AP41" i="12"/>
  <c r="AP42" i="12"/>
  <c r="AP43" i="12"/>
  <c r="AP44" i="12"/>
  <c r="AP45" i="12"/>
  <c r="AP46" i="12"/>
  <c r="AP47" i="12"/>
  <c r="AP48" i="12"/>
  <c r="AP49" i="12"/>
  <c r="AP50" i="12"/>
  <c r="AP51" i="12"/>
  <c r="AP52" i="12"/>
  <c r="AP53" i="12"/>
  <c r="AP54" i="12"/>
  <c r="AP55" i="12"/>
  <c r="AP56" i="12"/>
  <c r="AP6" i="12"/>
  <c r="AP7" i="12"/>
  <c r="AP8" i="12"/>
  <c r="AV6" i="12" l="1"/>
  <c r="AV8" i="12"/>
  <c r="BH8" i="12" s="1"/>
  <c r="AP5" i="12"/>
  <c r="AO9" i="12" l="1"/>
  <c r="AO10" i="12"/>
  <c r="AO11" i="12"/>
  <c r="AO12" i="12"/>
  <c r="AO13" i="12"/>
  <c r="AO14" i="12"/>
  <c r="AO15" i="12"/>
  <c r="AO16" i="12"/>
  <c r="AO17" i="12"/>
  <c r="AO18" i="12"/>
  <c r="AO19" i="12"/>
  <c r="AO20" i="12"/>
  <c r="AO21" i="12"/>
  <c r="AO22" i="12"/>
  <c r="AO23" i="12"/>
  <c r="AO24" i="12"/>
  <c r="AO25" i="12"/>
  <c r="AO26" i="12"/>
  <c r="AO27" i="12"/>
  <c r="AO28" i="12"/>
  <c r="AO29" i="12"/>
  <c r="AO30" i="12"/>
  <c r="AO31" i="12"/>
  <c r="AO32" i="12"/>
  <c r="AO33" i="12"/>
  <c r="AO34" i="12"/>
  <c r="AO35" i="12"/>
  <c r="AO36" i="12"/>
  <c r="AO37" i="12"/>
  <c r="AO38" i="12"/>
  <c r="AO39" i="12"/>
  <c r="AO40" i="12"/>
  <c r="AO41" i="12"/>
  <c r="AO42" i="12"/>
  <c r="AO43" i="12"/>
  <c r="AO44" i="12"/>
  <c r="AO45" i="12"/>
  <c r="AO46" i="12"/>
  <c r="AO47" i="12"/>
  <c r="AO48" i="12"/>
  <c r="AO49" i="12"/>
  <c r="AO50" i="12"/>
  <c r="AO51" i="12"/>
  <c r="AO52" i="12"/>
  <c r="AO53" i="12"/>
  <c r="AO54" i="12"/>
  <c r="AO55" i="12"/>
  <c r="AO56" i="12"/>
  <c r="AO6" i="12"/>
  <c r="AO7" i="12"/>
  <c r="AO8" i="12"/>
  <c r="AO5" i="12"/>
  <c r="AG56" i="12"/>
  <c r="AG55" i="12"/>
  <c r="AG54" i="12"/>
  <c r="AG53" i="12"/>
  <c r="AG52" i="12"/>
  <c r="AG51" i="12"/>
  <c r="AG50" i="12"/>
  <c r="AG49" i="12"/>
  <c r="AG48" i="12"/>
  <c r="AG47" i="12"/>
  <c r="AG46" i="12"/>
  <c r="AG45" i="12"/>
  <c r="AG44" i="12"/>
  <c r="AG43" i="12"/>
  <c r="AG42" i="12"/>
  <c r="AG41" i="12"/>
  <c r="AG40" i="12"/>
  <c r="AG39" i="12"/>
  <c r="AG38" i="12"/>
  <c r="AG37" i="12"/>
  <c r="AG36" i="12"/>
  <c r="AG35" i="12"/>
  <c r="AG34" i="12"/>
  <c r="AG33" i="12"/>
  <c r="AG32" i="12"/>
  <c r="AG31" i="12"/>
  <c r="AG30" i="12"/>
  <c r="AG29" i="12"/>
  <c r="AG28" i="12"/>
  <c r="AG27" i="12"/>
  <c r="AG26" i="12"/>
  <c r="AG25" i="12"/>
  <c r="AG24" i="12"/>
  <c r="AG23" i="12"/>
  <c r="AG22" i="12"/>
  <c r="AG21" i="12"/>
  <c r="AG20" i="12"/>
  <c r="AG19" i="12"/>
  <c r="AG18" i="12"/>
  <c r="AG17" i="12"/>
  <c r="AG16" i="12"/>
  <c r="AG15" i="12"/>
  <c r="AG14" i="12"/>
  <c r="AG13" i="12"/>
  <c r="AG12" i="12"/>
  <c r="AG11" i="12"/>
  <c r="AG10" i="12"/>
  <c r="AG9" i="12"/>
  <c r="AG6" i="12"/>
  <c r="AG7" i="12"/>
  <c r="AG8" i="12"/>
  <c r="AG5" i="12"/>
  <c r="AE9" i="12"/>
  <c r="AE10" i="12"/>
  <c r="AE11" i="12"/>
  <c r="AE12" i="12"/>
  <c r="AE13" i="12"/>
  <c r="AE14" i="12"/>
  <c r="AE15" i="12"/>
  <c r="AE16" i="12"/>
  <c r="AE17" i="12"/>
  <c r="AE18" i="12"/>
  <c r="AE19" i="12"/>
  <c r="AE20" i="12"/>
  <c r="AE21" i="12"/>
  <c r="AE22" i="12"/>
  <c r="AE23" i="12"/>
  <c r="AE24" i="12"/>
  <c r="AE25" i="12"/>
  <c r="AE26" i="12"/>
  <c r="AE27" i="12"/>
  <c r="AE28" i="12"/>
  <c r="AE29" i="12"/>
  <c r="AE30" i="12"/>
  <c r="AE31" i="12"/>
  <c r="AE32" i="12"/>
  <c r="AE33" i="12"/>
  <c r="AE34" i="12"/>
  <c r="AJ34" i="12" s="1"/>
  <c r="AX34" i="12" s="1"/>
  <c r="AE35" i="12"/>
  <c r="AE36" i="12"/>
  <c r="AE37" i="12"/>
  <c r="AE38" i="12"/>
  <c r="AE39" i="12"/>
  <c r="AE40" i="12"/>
  <c r="AE41" i="12"/>
  <c r="AE42" i="12"/>
  <c r="AJ42" i="12" s="1"/>
  <c r="AX42" i="12" s="1"/>
  <c r="AE43" i="12"/>
  <c r="AE44" i="12"/>
  <c r="AE45" i="12"/>
  <c r="AE46" i="12"/>
  <c r="AE47" i="12"/>
  <c r="AE48" i="12"/>
  <c r="AE49" i="12"/>
  <c r="AE50" i="12"/>
  <c r="AE51" i="12"/>
  <c r="AE52" i="12"/>
  <c r="AE53" i="12"/>
  <c r="AE54" i="12"/>
  <c r="AE55" i="12"/>
  <c r="AE56" i="12"/>
  <c r="AE6" i="12"/>
  <c r="AE7" i="12"/>
  <c r="AE8" i="12"/>
  <c r="AE5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6" i="12"/>
  <c r="Z7" i="12"/>
  <c r="Z8" i="12"/>
  <c r="Z5" i="12"/>
  <c r="X6" i="12"/>
  <c r="Y6" i="12"/>
  <c r="X7" i="12"/>
  <c r="Y7" i="12"/>
  <c r="X8" i="12"/>
  <c r="Y8" i="12"/>
  <c r="X9" i="12"/>
  <c r="Y9" i="12"/>
  <c r="X10" i="12"/>
  <c r="Y10" i="12"/>
  <c r="X11" i="12"/>
  <c r="Y11" i="12"/>
  <c r="X12" i="12"/>
  <c r="Y12" i="12"/>
  <c r="X13" i="12"/>
  <c r="Y13" i="12"/>
  <c r="X14" i="12"/>
  <c r="Y14" i="12"/>
  <c r="X15" i="12"/>
  <c r="Y15" i="12"/>
  <c r="X16" i="12"/>
  <c r="Y16" i="12"/>
  <c r="X17" i="12"/>
  <c r="Y17" i="12"/>
  <c r="X18" i="12"/>
  <c r="Y18" i="12"/>
  <c r="X19" i="12"/>
  <c r="Y19" i="12"/>
  <c r="X20" i="12"/>
  <c r="Y20" i="12"/>
  <c r="X21" i="12"/>
  <c r="Y21" i="12"/>
  <c r="X22" i="12"/>
  <c r="Y22" i="12"/>
  <c r="X23" i="12"/>
  <c r="Y23" i="12"/>
  <c r="X24" i="12"/>
  <c r="Y24" i="12"/>
  <c r="X25" i="12"/>
  <c r="Y25" i="12"/>
  <c r="X26" i="12"/>
  <c r="Y26" i="12"/>
  <c r="X27" i="12"/>
  <c r="Y27" i="12"/>
  <c r="X28" i="12"/>
  <c r="Y28" i="12"/>
  <c r="X29" i="12"/>
  <c r="Y29" i="12"/>
  <c r="X30" i="12"/>
  <c r="Y30" i="12"/>
  <c r="X31" i="12"/>
  <c r="Y31" i="12"/>
  <c r="X32" i="12"/>
  <c r="Y32" i="12"/>
  <c r="X33" i="12"/>
  <c r="Y33" i="12"/>
  <c r="X34" i="12"/>
  <c r="Y34" i="12"/>
  <c r="X35" i="12"/>
  <c r="Y35" i="12"/>
  <c r="X36" i="12"/>
  <c r="Y36" i="12"/>
  <c r="X37" i="12"/>
  <c r="Y37" i="12"/>
  <c r="X38" i="12"/>
  <c r="Y38" i="12"/>
  <c r="X39" i="12"/>
  <c r="Y39" i="12"/>
  <c r="X40" i="12"/>
  <c r="Y40" i="12"/>
  <c r="X41" i="12"/>
  <c r="Y41" i="12"/>
  <c r="X42" i="12"/>
  <c r="Y42" i="12"/>
  <c r="X43" i="12"/>
  <c r="Y43" i="12"/>
  <c r="X44" i="12"/>
  <c r="Y44" i="12"/>
  <c r="X45" i="12"/>
  <c r="Y45" i="12"/>
  <c r="X46" i="12"/>
  <c r="Y46" i="12"/>
  <c r="X47" i="12"/>
  <c r="Y47" i="12"/>
  <c r="X48" i="12"/>
  <c r="Y48" i="12"/>
  <c r="X49" i="12"/>
  <c r="Y49" i="12"/>
  <c r="X50" i="12"/>
  <c r="Y50" i="12"/>
  <c r="X51" i="12"/>
  <c r="Y51" i="12"/>
  <c r="X52" i="12"/>
  <c r="Y52" i="12"/>
  <c r="X53" i="12"/>
  <c r="Y53" i="12"/>
  <c r="X54" i="12"/>
  <c r="Y54" i="12"/>
  <c r="X55" i="12"/>
  <c r="Y55" i="12"/>
  <c r="X56" i="12"/>
  <c r="Y56" i="12"/>
  <c r="Y5" i="12"/>
  <c r="X5" i="12"/>
  <c r="W6" i="12"/>
  <c r="W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W39" i="12"/>
  <c r="W40" i="12"/>
  <c r="W41" i="12"/>
  <c r="W42" i="12"/>
  <c r="W43" i="12"/>
  <c r="W44" i="12"/>
  <c r="W45" i="12"/>
  <c r="W46" i="12"/>
  <c r="W47" i="12"/>
  <c r="W48" i="12"/>
  <c r="W49" i="12"/>
  <c r="W50" i="12"/>
  <c r="W51" i="12"/>
  <c r="W52" i="12"/>
  <c r="W53" i="12"/>
  <c r="W54" i="12"/>
  <c r="W55" i="12"/>
  <c r="W56" i="12"/>
  <c r="W5" i="12"/>
  <c r="T9" i="12"/>
  <c r="BD9" i="12" s="1"/>
  <c r="T10" i="12"/>
  <c r="BD10" i="12" s="1"/>
  <c r="T11" i="12"/>
  <c r="BD11" i="12" s="1"/>
  <c r="T12" i="12"/>
  <c r="BD12" i="12" s="1"/>
  <c r="T13" i="12"/>
  <c r="BD13" i="12" s="1"/>
  <c r="T14" i="12"/>
  <c r="BD14" i="12" s="1"/>
  <c r="T15" i="12"/>
  <c r="BD15" i="12" s="1"/>
  <c r="T16" i="12"/>
  <c r="BD16" i="12" s="1"/>
  <c r="T17" i="12"/>
  <c r="BD17" i="12" s="1"/>
  <c r="T18" i="12"/>
  <c r="BD18" i="12" s="1"/>
  <c r="T19" i="12"/>
  <c r="BD19" i="12" s="1"/>
  <c r="T20" i="12"/>
  <c r="BD20" i="12" s="1"/>
  <c r="T21" i="12"/>
  <c r="BD21" i="12" s="1"/>
  <c r="T22" i="12"/>
  <c r="BD22" i="12" s="1"/>
  <c r="T23" i="12"/>
  <c r="BD23" i="12" s="1"/>
  <c r="T24" i="12"/>
  <c r="BD24" i="12" s="1"/>
  <c r="T25" i="12"/>
  <c r="BD25" i="12" s="1"/>
  <c r="T26" i="12"/>
  <c r="BD26" i="12" s="1"/>
  <c r="T27" i="12"/>
  <c r="BD27" i="12" s="1"/>
  <c r="T28" i="12"/>
  <c r="BD28" i="12" s="1"/>
  <c r="T29" i="12"/>
  <c r="BD29" i="12" s="1"/>
  <c r="T30" i="12"/>
  <c r="BD30" i="12" s="1"/>
  <c r="T31" i="12"/>
  <c r="BD31" i="12" s="1"/>
  <c r="T32" i="12"/>
  <c r="BD32" i="12" s="1"/>
  <c r="T33" i="12"/>
  <c r="BD33" i="12" s="1"/>
  <c r="T34" i="12"/>
  <c r="BD34" i="12" s="1"/>
  <c r="T35" i="12"/>
  <c r="BD35" i="12" s="1"/>
  <c r="T36" i="12"/>
  <c r="BD36" i="12" s="1"/>
  <c r="T37" i="12"/>
  <c r="BD37" i="12" s="1"/>
  <c r="T38" i="12"/>
  <c r="BD38" i="12" s="1"/>
  <c r="T39" i="12"/>
  <c r="BD39" i="12" s="1"/>
  <c r="T40" i="12"/>
  <c r="BD40" i="12" s="1"/>
  <c r="T41" i="12"/>
  <c r="BD41" i="12" s="1"/>
  <c r="T42" i="12"/>
  <c r="BD42" i="12" s="1"/>
  <c r="T43" i="12"/>
  <c r="BD43" i="12" s="1"/>
  <c r="T44" i="12"/>
  <c r="BD44" i="12" s="1"/>
  <c r="T45" i="12"/>
  <c r="BD45" i="12" s="1"/>
  <c r="T46" i="12"/>
  <c r="BD46" i="12" s="1"/>
  <c r="T47" i="12"/>
  <c r="BD47" i="12" s="1"/>
  <c r="T48" i="12"/>
  <c r="BD48" i="12" s="1"/>
  <c r="T49" i="12"/>
  <c r="BD49" i="12" s="1"/>
  <c r="T50" i="12"/>
  <c r="BD50" i="12" s="1"/>
  <c r="T51" i="12"/>
  <c r="BD51" i="12" s="1"/>
  <c r="T52" i="12"/>
  <c r="BD52" i="12" s="1"/>
  <c r="T53" i="12"/>
  <c r="BD53" i="12" s="1"/>
  <c r="T54" i="12"/>
  <c r="BD54" i="12" s="1"/>
  <c r="T55" i="12"/>
  <c r="BD55" i="12" s="1"/>
  <c r="T56" i="12"/>
  <c r="BD56" i="12" s="1"/>
  <c r="T6" i="12"/>
  <c r="BD6" i="12" s="1"/>
  <c r="T7" i="12"/>
  <c r="BD7" i="12" s="1"/>
  <c r="T8" i="12"/>
  <c r="BD8" i="12" s="1"/>
  <c r="T5" i="12"/>
  <c r="BD5" i="12" s="1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S56" i="12"/>
  <c r="S6" i="12"/>
  <c r="S7" i="12"/>
  <c r="S8" i="12"/>
  <c r="S5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6" i="12"/>
  <c r="R7" i="12"/>
  <c r="R8" i="12"/>
  <c r="R5" i="12"/>
  <c r="Q9" i="12"/>
  <c r="Q10" i="12"/>
  <c r="Q11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Q42" i="12"/>
  <c r="Q43" i="12"/>
  <c r="Q44" i="12"/>
  <c r="Q45" i="12"/>
  <c r="Q46" i="12"/>
  <c r="Q47" i="12"/>
  <c r="Q48" i="12"/>
  <c r="Q49" i="12"/>
  <c r="Q50" i="12"/>
  <c r="Q51" i="12"/>
  <c r="Q52" i="12"/>
  <c r="Q53" i="12"/>
  <c r="Q54" i="12"/>
  <c r="Q55" i="12"/>
  <c r="Q56" i="12"/>
  <c r="Q6" i="12"/>
  <c r="Q7" i="12"/>
  <c r="Q8" i="12"/>
  <c r="Q5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6" i="12"/>
  <c r="P7" i="12"/>
  <c r="P8" i="12"/>
  <c r="P5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6" i="12"/>
  <c r="O7" i="12"/>
  <c r="O8" i="12"/>
  <c r="O5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M55" i="12"/>
  <c r="M56" i="12"/>
  <c r="M6" i="12"/>
  <c r="M7" i="12"/>
  <c r="M8" i="12"/>
  <c r="M5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51" i="12"/>
  <c r="L52" i="12"/>
  <c r="L53" i="12"/>
  <c r="L54" i="12"/>
  <c r="L55" i="12"/>
  <c r="L56" i="12"/>
  <c r="L6" i="12"/>
  <c r="L7" i="12"/>
  <c r="L8" i="12"/>
  <c r="L9" i="12"/>
  <c r="L10" i="12"/>
  <c r="L5" i="12"/>
  <c r="I54" i="12"/>
  <c r="I55" i="12"/>
  <c r="I56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6" i="12"/>
  <c r="I7" i="12"/>
  <c r="I8" i="12"/>
  <c r="I5" i="12"/>
  <c r="AJ20" i="12" l="1"/>
  <c r="AJ51" i="12"/>
  <c r="AX51" i="12" s="1"/>
  <c r="AJ47" i="12"/>
  <c r="AX47" i="12" s="1"/>
  <c r="AJ39" i="12"/>
  <c r="AX39" i="12" s="1"/>
  <c r="U9" i="12"/>
  <c r="AJ50" i="12"/>
  <c r="AX50" i="12" s="1"/>
  <c r="U6" i="12"/>
  <c r="U7" i="12"/>
  <c r="U5" i="12"/>
  <c r="U8" i="12"/>
  <c r="AJ35" i="12"/>
  <c r="AX35" i="12" s="1"/>
  <c r="AJ33" i="12"/>
  <c r="AX33" i="12" s="1"/>
  <c r="AJ54" i="12"/>
  <c r="AJ46" i="12"/>
  <c r="AX46" i="12" s="1"/>
  <c r="AJ38" i="12"/>
  <c r="AX38" i="12" s="1"/>
  <c r="AJ23" i="12"/>
  <c r="AX23" i="12" s="1"/>
  <c r="AJ8" i="12"/>
  <c r="AX8" i="12" s="1"/>
  <c r="AJ30" i="12"/>
  <c r="AX30" i="12" s="1"/>
  <c r="AJ49" i="12"/>
  <c r="AX49" i="12" s="1"/>
  <c r="AJ22" i="12"/>
  <c r="AX22" i="12" s="1"/>
  <c r="AJ14" i="12"/>
  <c r="AX14" i="12" s="1"/>
  <c r="AJ25" i="12"/>
  <c r="AX25" i="12" s="1"/>
  <c r="AJ7" i="12"/>
  <c r="AX7" i="12" s="1"/>
  <c r="AJ55" i="12"/>
  <c r="AJ43" i="12"/>
  <c r="AX43" i="12" s="1"/>
  <c r="AJ31" i="12"/>
  <c r="AX31" i="12" s="1"/>
  <c r="AJ19" i="12"/>
  <c r="AX19" i="12" s="1"/>
  <c r="AJ41" i="12"/>
  <c r="AX41" i="12" s="1"/>
  <c r="AJ27" i="12"/>
  <c r="AX27" i="12" s="1"/>
  <c r="AJ15" i="12"/>
  <c r="AX15" i="12" s="1"/>
  <c r="AJ11" i="12"/>
  <c r="AX11" i="12" s="1"/>
  <c r="AJ53" i="12"/>
  <c r="AJ45" i="12"/>
  <c r="AX45" i="12" s="1"/>
  <c r="AJ37" i="12"/>
  <c r="AX37" i="12" s="1"/>
  <c r="AJ29" i="12"/>
  <c r="AX29" i="12" s="1"/>
  <c r="AJ21" i="12"/>
  <c r="AX21" i="12" s="1"/>
  <c r="AJ13" i="12"/>
  <c r="AX13" i="12" s="1"/>
  <c r="AJ26" i="12"/>
  <c r="AX26" i="12" s="1"/>
  <c r="AJ18" i="12"/>
  <c r="AX18" i="12" s="1"/>
  <c r="AJ10" i="12"/>
  <c r="AX10" i="12" s="1"/>
  <c r="AJ6" i="12"/>
  <c r="AX6" i="12" s="1"/>
  <c r="AJ17" i="12"/>
  <c r="AX17" i="12" s="1"/>
  <c r="AJ9" i="12"/>
  <c r="AX9" i="12" s="1"/>
  <c r="AJ56" i="12"/>
  <c r="AJ52" i="12"/>
  <c r="AX52" i="12" s="1"/>
  <c r="AJ48" i="12"/>
  <c r="AX48" i="12" s="1"/>
  <c r="AJ44" i="12"/>
  <c r="AX44" i="12" s="1"/>
  <c r="AJ40" i="12"/>
  <c r="AX40" i="12" s="1"/>
  <c r="AJ36" i="12"/>
  <c r="AX36" i="12" s="1"/>
  <c r="AJ32" i="12"/>
  <c r="AX32" i="12" s="1"/>
  <c r="AJ28" i="12"/>
  <c r="AX28" i="12" s="1"/>
  <c r="AJ24" i="12"/>
  <c r="AX24" i="12" s="1"/>
  <c r="AX20" i="12"/>
  <c r="AJ16" i="12"/>
  <c r="AX16" i="12" s="1"/>
  <c r="AJ12" i="12"/>
  <c r="AX12" i="12" s="1"/>
  <c r="AF6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" i="12"/>
  <c r="F56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" i="12"/>
  <c r="D54" i="12" l="1"/>
  <c r="H54" i="12" s="1"/>
  <c r="D55" i="12"/>
  <c r="H55" i="12" s="1"/>
  <c r="D56" i="12"/>
  <c r="H56" i="12" s="1"/>
  <c r="D9" i="12"/>
  <c r="H9" i="12" s="1"/>
  <c r="D10" i="12"/>
  <c r="H10" i="12" s="1"/>
  <c r="D11" i="12"/>
  <c r="H11" i="12" s="1"/>
  <c r="D12" i="12"/>
  <c r="H12" i="12" s="1"/>
  <c r="D13" i="12"/>
  <c r="H13" i="12" s="1"/>
  <c r="D14" i="12"/>
  <c r="H14" i="12" s="1"/>
  <c r="D15" i="12"/>
  <c r="H15" i="12" s="1"/>
  <c r="D16" i="12"/>
  <c r="H16" i="12" s="1"/>
  <c r="D17" i="12"/>
  <c r="H17" i="12" s="1"/>
  <c r="D18" i="12"/>
  <c r="H18" i="12" s="1"/>
  <c r="D19" i="12"/>
  <c r="H19" i="12" s="1"/>
  <c r="D20" i="12"/>
  <c r="H20" i="12" s="1"/>
  <c r="D21" i="12"/>
  <c r="H21" i="12" s="1"/>
  <c r="D22" i="12"/>
  <c r="H22" i="12" s="1"/>
  <c r="D23" i="12"/>
  <c r="H23" i="12" s="1"/>
  <c r="D24" i="12"/>
  <c r="H24" i="12" s="1"/>
  <c r="D25" i="12"/>
  <c r="H25" i="12" s="1"/>
  <c r="D26" i="12"/>
  <c r="H26" i="12" s="1"/>
  <c r="D27" i="12"/>
  <c r="H27" i="12" s="1"/>
  <c r="D28" i="12"/>
  <c r="H28" i="12" s="1"/>
  <c r="D29" i="12"/>
  <c r="H29" i="12" s="1"/>
  <c r="D30" i="12"/>
  <c r="H30" i="12" s="1"/>
  <c r="D31" i="12"/>
  <c r="H31" i="12" s="1"/>
  <c r="D32" i="12"/>
  <c r="H32" i="12" s="1"/>
  <c r="D33" i="12"/>
  <c r="H33" i="12" s="1"/>
  <c r="D34" i="12"/>
  <c r="H34" i="12" s="1"/>
  <c r="D35" i="12"/>
  <c r="H35" i="12" s="1"/>
  <c r="D36" i="12"/>
  <c r="H36" i="12" s="1"/>
  <c r="D37" i="12"/>
  <c r="H37" i="12" s="1"/>
  <c r="D38" i="12"/>
  <c r="H38" i="12" s="1"/>
  <c r="D39" i="12"/>
  <c r="H39" i="12" s="1"/>
  <c r="D40" i="12"/>
  <c r="H40" i="12" s="1"/>
  <c r="D41" i="12"/>
  <c r="H41" i="12" s="1"/>
  <c r="D42" i="12"/>
  <c r="H42" i="12" s="1"/>
  <c r="D43" i="12"/>
  <c r="H43" i="12" s="1"/>
  <c r="D44" i="12"/>
  <c r="H44" i="12" s="1"/>
  <c r="D45" i="12"/>
  <c r="H45" i="12" s="1"/>
  <c r="D46" i="12"/>
  <c r="H46" i="12" s="1"/>
  <c r="D47" i="12"/>
  <c r="H47" i="12" s="1"/>
  <c r="D48" i="12"/>
  <c r="H48" i="12" s="1"/>
  <c r="D49" i="12"/>
  <c r="H49" i="12" s="1"/>
  <c r="D50" i="12"/>
  <c r="H50" i="12" s="1"/>
  <c r="D51" i="12"/>
  <c r="H51" i="12" s="1"/>
  <c r="D52" i="12"/>
  <c r="H52" i="12" s="1"/>
  <c r="D53" i="12"/>
  <c r="H53" i="12" s="1"/>
  <c r="D6" i="12"/>
  <c r="H6" i="12" s="1"/>
  <c r="D7" i="12"/>
  <c r="H7" i="12" s="1"/>
  <c r="D8" i="12"/>
  <c r="H8" i="12" s="1"/>
  <c r="D5" i="12"/>
  <c r="H5" i="12" s="1"/>
  <c r="C53" i="25" l="1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A19" i="25" l="1"/>
  <c r="B19" i="25" s="1"/>
  <c r="A40" i="25"/>
  <c r="B40" i="25" s="1"/>
  <c r="A44" i="25"/>
  <c r="B44" i="25" s="1"/>
  <c r="A41" i="25"/>
  <c r="B41" i="25" s="1"/>
  <c r="A10" i="25"/>
  <c r="B10" i="25" s="1"/>
  <c r="A46" i="25"/>
  <c r="B46" i="25" s="1"/>
  <c r="A50" i="25"/>
  <c r="B50" i="25" s="1"/>
  <c r="A3" i="25"/>
  <c r="B3" i="25" s="1"/>
  <c r="A42" i="25"/>
  <c r="B42" i="25" s="1"/>
  <c r="A6" i="25"/>
  <c r="B6" i="25" s="1"/>
  <c r="A14" i="25"/>
  <c r="B14" i="25" s="1"/>
  <c r="A18" i="25"/>
  <c r="B18" i="25" s="1"/>
  <c r="A22" i="25"/>
  <c r="B22" i="25" s="1"/>
  <c r="A26" i="25"/>
  <c r="B26" i="25" s="1"/>
  <c r="A30" i="25"/>
  <c r="B30" i="25" s="1"/>
  <c r="A34" i="25"/>
  <c r="B34" i="25" s="1"/>
  <c r="A38" i="25"/>
  <c r="B38" i="25" s="1"/>
  <c r="A52" i="25"/>
  <c r="B52" i="25" s="1"/>
  <c r="A7" i="25"/>
  <c r="B7" i="25" s="1"/>
  <c r="A11" i="25"/>
  <c r="B11" i="25" s="1"/>
  <c r="A15" i="25"/>
  <c r="B15" i="25" s="1"/>
  <c r="A23" i="25"/>
  <c r="B23" i="25" s="1"/>
  <c r="A27" i="25"/>
  <c r="B27" i="25" s="1"/>
  <c r="A31" i="25"/>
  <c r="B31" i="25" s="1"/>
  <c r="A35" i="25"/>
  <c r="B35" i="25" s="1"/>
  <c r="A39" i="25"/>
  <c r="B39" i="25" s="1"/>
  <c r="A43" i="25"/>
  <c r="B43" i="25" s="1"/>
  <c r="A47" i="25"/>
  <c r="B47" i="25" s="1"/>
  <c r="A51" i="25"/>
  <c r="B51" i="25" s="1"/>
  <c r="A2" i="25"/>
  <c r="B2" i="25" s="1"/>
  <c r="A49" i="25"/>
  <c r="B49" i="25" s="1"/>
  <c r="A53" i="25"/>
  <c r="B53" i="25" s="1"/>
  <c r="A5" i="25"/>
  <c r="B5" i="25" s="1"/>
  <c r="A9" i="25"/>
  <c r="B9" i="25" s="1"/>
  <c r="A13" i="25"/>
  <c r="B13" i="25" s="1"/>
  <c r="A17" i="25"/>
  <c r="B17" i="25" s="1"/>
  <c r="A21" i="25"/>
  <c r="B21" i="25" s="1"/>
  <c r="A25" i="25"/>
  <c r="B25" i="25" s="1"/>
  <c r="A29" i="25"/>
  <c r="B29" i="25" s="1"/>
  <c r="A33" i="25"/>
  <c r="B33" i="25" s="1"/>
  <c r="A37" i="25"/>
  <c r="B37" i="25" s="1"/>
  <c r="A45" i="25"/>
  <c r="B45" i="25" s="1"/>
  <c r="A8" i="25"/>
  <c r="B8" i="25" s="1"/>
  <c r="A16" i="25"/>
  <c r="B16" i="25" s="1"/>
  <c r="A20" i="25"/>
  <c r="B20" i="25" s="1"/>
  <c r="A24" i="25"/>
  <c r="B24" i="25" s="1"/>
  <c r="A32" i="25"/>
  <c r="B32" i="25" s="1"/>
  <c r="A36" i="25"/>
  <c r="B36" i="25" s="1"/>
  <c r="A48" i="25"/>
  <c r="B48" i="25" s="1"/>
  <c r="A4" i="25"/>
  <c r="B4" i="25" s="1"/>
  <c r="A12" i="25"/>
  <c r="B12" i="25" s="1"/>
  <c r="A28" i="25"/>
  <c r="B28" i="25" s="1"/>
  <c r="L73" i="18"/>
  <c r="L72" i="18"/>
  <c r="L71" i="18"/>
  <c r="B12" i="27" l="1"/>
  <c r="G12" i="27" s="1"/>
  <c r="B16" i="27"/>
  <c r="G16" i="27" s="1"/>
  <c r="B20" i="27"/>
  <c r="G20" i="27" s="1"/>
  <c r="B24" i="27"/>
  <c r="G24" i="27" s="1"/>
  <c r="B28" i="27"/>
  <c r="G28" i="27" s="1"/>
  <c r="B32" i="27"/>
  <c r="G32" i="27" s="1"/>
  <c r="B13" i="27"/>
  <c r="G13" i="27" s="1"/>
  <c r="B17" i="27"/>
  <c r="G17" i="27" s="1"/>
  <c r="B21" i="27"/>
  <c r="G21" i="27" s="1"/>
  <c r="B25" i="27"/>
  <c r="G25" i="27" s="1"/>
  <c r="B29" i="27"/>
  <c r="G29" i="27" s="1"/>
  <c r="B14" i="27"/>
  <c r="G14" i="27" s="1"/>
  <c r="B18" i="27"/>
  <c r="G18" i="27" s="1"/>
  <c r="B22" i="27"/>
  <c r="G22" i="27" s="1"/>
  <c r="B26" i="27"/>
  <c r="G26" i="27" s="1"/>
  <c r="B30" i="27"/>
  <c r="G30" i="27" s="1"/>
  <c r="B15" i="27"/>
  <c r="G15" i="27" s="1"/>
  <c r="B19" i="27"/>
  <c r="G19" i="27" s="1"/>
  <c r="B23" i="27"/>
  <c r="G23" i="27" s="1"/>
  <c r="B27" i="27"/>
  <c r="G27" i="27" s="1"/>
  <c r="B31" i="27"/>
  <c r="G31" i="27" s="1"/>
  <c r="D13" i="27"/>
  <c r="D17" i="27"/>
  <c r="D21" i="27"/>
  <c r="D25" i="27"/>
  <c r="D29" i="27"/>
  <c r="D12" i="27"/>
  <c r="C16" i="27"/>
  <c r="H16" i="27" s="1"/>
  <c r="C20" i="27"/>
  <c r="H20" i="27" s="1"/>
  <c r="C24" i="27"/>
  <c r="H24" i="27" s="1"/>
  <c r="C28" i="27"/>
  <c r="H28" i="27" s="1"/>
  <c r="C32" i="27"/>
  <c r="H32" i="27" s="1"/>
  <c r="D14" i="27"/>
  <c r="D18" i="27"/>
  <c r="D22" i="27"/>
  <c r="D26" i="27"/>
  <c r="D30" i="27"/>
  <c r="C13" i="27"/>
  <c r="H13" i="27" s="1"/>
  <c r="C17" i="27"/>
  <c r="H17" i="27" s="1"/>
  <c r="C21" i="27"/>
  <c r="H21" i="27" s="1"/>
  <c r="C25" i="27"/>
  <c r="H25" i="27" s="1"/>
  <c r="C29" i="27"/>
  <c r="H29" i="27" s="1"/>
  <c r="C12" i="27"/>
  <c r="H12" i="27" s="1"/>
  <c r="D20" i="27"/>
  <c r="D32" i="27"/>
  <c r="C19" i="27"/>
  <c r="H19" i="27" s="1"/>
  <c r="C27" i="27"/>
  <c r="H27" i="27" s="1"/>
  <c r="D15" i="27"/>
  <c r="D19" i="27"/>
  <c r="D23" i="27"/>
  <c r="D27" i="27"/>
  <c r="D31" i="27"/>
  <c r="C14" i="27"/>
  <c r="H14" i="27" s="1"/>
  <c r="C18" i="27"/>
  <c r="H18" i="27" s="1"/>
  <c r="C22" i="27"/>
  <c r="H22" i="27" s="1"/>
  <c r="C26" i="27"/>
  <c r="H26" i="27" s="1"/>
  <c r="C30" i="27"/>
  <c r="H30" i="27" s="1"/>
  <c r="D16" i="27"/>
  <c r="D24" i="27"/>
  <c r="D28" i="27"/>
  <c r="C15" i="27"/>
  <c r="H15" i="27" s="1"/>
  <c r="C23" i="27"/>
  <c r="H23" i="27" s="1"/>
  <c r="C31" i="27"/>
  <c r="H31" i="27" s="1"/>
  <c r="I12" i="27" l="1"/>
  <c r="J12" i="27"/>
  <c r="I30" i="27"/>
  <c r="J30" i="27"/>
  <c r="J26" i="27"/>
  <c r="I26" i="27"/>
  <c r="J32" i="27"/>
  <c r="I32" i="27"/>
  <c r="I22" i="27"/>
  <c r="J22" i="27"/>
  <c r="I28" i="27"/>
  <c r="J28" i="27"/>
  <c r="J19" i="27"/>
  <c r="I19" i="27"/>
  <c r="I18" i="27"/>
  <c r="J18" i="27"/>
  <c r="I24" i="27"/>
  <c r="J24" i="27"/>
  <c r="I25" i="27"/>
  <c r="J25" i="27"/>
  <c r="J20" i="27"/>
  <c r="I20" i="27"/>
  <c r="I29" i="27"/>
  <c r="J29" i="27"/>
  <c r="J14" i="27"/>
  <c r="I14" i="27"/>
  <c r="I21" i="27"/>
  <c r="J21" i="27"/>
  <c r="I16" i="27"/>
  <c r="J16" i="27"/>
  <c r="I27" i="27"/>
  <c r="J27" i="27"/>
  <c r="J31" i="27"/>
  <c r="I31" i="27"/>
  <c r="I17" i="27"/>
  <c r="J17" i="27"/>
  <c r="I23" i="27"/>
  <c r="J23" i="27"/>
  <c r="I13" i="27"/>
  <c r="J13" i="27"/>
  <c r="I15" i="27"/>
  <c r="J15" i="27"/>
  <c r="B5" i="12"/>
  <c r="B5" i="11" s="1"/>
  <c r="E45" i="13" s="1"/>
  <c r="B9" i="12"/>
  <c r="B9" i="11" s="1"/>
  <c r="B17" i="12"/>
  <c r="B17" i="11" s="1"/>
  <c r="B25" i="12"/>
  <c r="B25" i="11" s="1"/>
  <c r="B33" i="12"/>
  <c r="B33" i="11" s="1"/>
  <c r="B45" i="12"/>
  <c r="B45" i="11" s="1"/>
  <c r="B34" i="12"/>
  <c r="B34" i="11" s="1"/>
  <c r="AH45" i="13" s="1"/>
  <c r="B50" i="12"/>
  <c r="B50" i="11" s="1"/>
  <c r="B47" i="12"/>
  <c r="B47" i="11" s="1"/>
  <c r="B6" i="12"/>
  <c r="B6" i="11" s="1"/>
  <c r="F45" i="13" s="1"/>
  <c r="B10" i="12"/>
  <c r="B10" i="11" s="1"/>
  <c r="B14" i="12"/>
  <c r="B14" i="11" s="1"/>
  <c r="B18" i="12"/>
  <c r="B18" i="11" s="1"/>
  <c r="B22" i="12"/>
  <c r="B22" i="11" s="1"/>
  <c r="B26" i="12"/>
  <c r="B26" i="11" s="1"/>
  <c r="B30" i="12"/>
  <c r="B30" i="11" s="1"/>
  <c r="B42" i="12"/>
  <c r="B42" i="11" s="1"/>
  <c r="B54" i="12"/>
  <c r="B54" i="11" s="1"/>
  <c r="B7" i="12"/>
  <c r="B7" i="11" s="1"/>
  <c r="B11" i="12"/>
  <c r="B11" i="11" s="1"/>
  <c r="B15" i="12"/>
  <c r="B15" i="11" s="1"/>
  <c r="O5" i="13" s="1"/>
  <c r="B19" i="12"/>
  <c r="B19" i="11" s="1"/>
  <c r="S45" i="13" s="1"/>
  <c r="B23" i="12"/>
  <c r="B23" i="11" s="1"/>
  <c r="B27" i="12"/>
  <c r="B27" i="11" s="1"/>
  <c r="B31" i="12"/>
  <c r="B31" i="11" s="1"/>
  <c r="B35" i="12"/>
  <c r="B35" i="11" s="1"/>
  <c r="B39" i="12"/>
  <c r="B39" i="11" s="1"/>
  <c r="B51" i="12"/>
  <c r="B51" i="11" s="1"/>
  <c r="B8" i="12"/>
  <c r="B8" i="11" s="1"/>
  <c r="B12" i="12"/>
  <c r="B12" i="11" s="1"/>
  <c r="B16" i="12"/>
  <c r="B16" i="11" s="1"/>
  <c r="B20" i="12"/>
  <c r="B20" i="11" s="1"/>
  <c r="B24" i="12"/>
  <c r="B24" i="11" s="1"/>
  <c r="B28" i="12"/>
  <c r="B28" i="11" s="1"/>
  <c r="B32" i="12"/>
  <c r="B32" i="11" s="1"/>
  <c r="B36" i="12"/>
  <c r="B36" i="11" s="1"/>
  <c r="B40" i="12"/>
  <c r="B40" i="11" s="1"/>
  <c r="D59" i="15" s="1"/>
  <c r="I59" i="15" s="1"/>
  <c r="B44" i="12"/>
  <c r="B44" i="11" s="1"/>
  <c r="B48" i="12"/>
  <c r="B48" i="11" s="1"/>
  <c r="B52" i="12"/>
  <c r="B52" i="11" s="1"/>
  <c r="B56" i="12"/>
  <c r="B56" i="11" s="1"/>
  <c r="B13" i="12"/>
  <c r="B13" i="11" s="1"/>
  <c r="B21" i="12"/>
  <c r="B21" i="11" s="1"/>
  <c r="B29" i="12"/>
  <c r="B29" i="11" s="1"/>
  <c r="B37" i="12"/>
  <c r="B37" i="11" s="1"/>
  <c r="B41" i="12"/>
  <c r="B41" i="11" s="1"/>
  <c r="B49" i="12"/>
  <c r="B49" i="11" s="1"/>
  <c r="B53" i="12"/>
  <c r="B53" i="11" s="1"/>
  <c r="B38" i="12"/>
  <c r="B38" i="11" s="1"/>
  <c r="B46" i="12"/>
  <c r="B46" i="11" s="1"/>
  <c r="B43" i="12"/>
  <c r="B43" i="11" s="1"/>
  <c r="AQ5" i="13" s="1"/>
  <c r="B55" i="12"/>
  <c r="B55" i="11" s="1"/>
  <c r="C8" i="18"/>
  <c r="I8" i="18" s="1"/>
  <c r="C12" i="18"/>
  <c r="I12" i="18" s="1"/>
  <c r="C16" i="18"/>
  <c r="I16" i="18" s="1"/>
  <c r="C20" i="18"/>
  <c r="I20" i="18" s="1"/>
  <c r="C24" i="18"/>
  <c r="I24" i="18" s="1"/>
  <c r="C28" i="18"/>
  <c r="I28" i="18" s="1"/>
  <c r="C32" i="18"/>
  <c r="I32" i="18" s="1"/>
  <c r="C36" i="18"/>
  <c r="I36" i="18" s="1"/>
  <c r="C40" i="18"/>
  <c r="I40" i="18" s="1"/>
  <c r="C44" i="18"/>
  <c r="I44" i="18" s="1"/>
  <c r="C48" i="18"/>
  <c r="I48" i="18" s="1"/>
  <c r="C52" i="18"/>
  <c r="I52" i="18" s="1"/>
  <c r="C56" i="18"/>
  <c r="I56" i="18" s="1"/>
  <c r="C29" i="18"/>
  <c r="I29" i="18" s="1"/>
  <c r="C37" i="18"/>
  <c r="I37" i="18" s="1"/>
  <c r="C49" i="18"/>
  <c r="I49" i="18" s="1"/>
  <c r="C57" i="18"/>
  <c r="I57" i="18" s="1"/>
  <c r="C27" i="18"/>
  <c r="I27" i="18" s="1"/>
  <c r="C39" i="18"/>
  <c r="I39" i="18" s="1"/>
  <c r="C51" i="18"/>
  <c r="I51" i="18" s="1"/>
  <c r="C9" i="18"/>
  <c r="I9" i="18" s="1"/>
  <c r="C13" i="18"/>
  <c r="I13" i="18" s="1"/>
  <c r="C17" i="18"/>
  <c r="I17" i="18" s="1"/>
  <c r="C21" i="18"/>
  <c r="I21" i="18" s="1"/>
  <c r="C25" i="18"/>
  <c r="I25" i="18" s="1"/>
  <c r="C33" i="18"/>
  <c r="I33" i="18" s="1"/>
  <c r="C41" i="18"/>
  <c r="I41" i="18" s="1"/>
  <c r="C45" i="18"/>
  <c r="I45" i="18" s="1"/>
  <c r="C53" i="18"/>
  <c r="I53" i="18" s="1"/>
  <c r="C31" i="18"/>
  <c r="I31" i="18" s="1"/>
  <c r="C43" i="18"/>
  <c r="I43" i="18" s="1"/>
  <c r="C55" i="18"/>
  <c r="I55" i="18" s="1"/>
  <c r="C6" i="18"/>
  <c r="I6" i="18" s="1"/>
  <c r="C10" i="18"/>
  <c r="I10" i="18" s="1"/>
  <c r="C14" i="18"/>
  <c r="I14" i="18" s="1"/>
  <c r="C18" i="18"/>
  <c r="I18" i="18" s="1"/>
  <c r="C22" i="18"/>
  <c r="I22" i="18" s="1"/>
  <c r="C26" i="18"/>
  <c r="I26" i="18" s="1"/>
  <c r="C30" i="18"/>
  <c r="I30" i="18" s="1"/>
  <c r="C34" i="18"/>
  <c r="I34" i="18" s="1"/>
  <c r="C38" i="18"/>
  <c r="I38" i="18" s="1"/>
  <c r="C42" i="18"/>
  <c r="I42" i="18" s="1"/>
  <c r="C46" i="18"/>
  <c r="I46" i="18" s="1"/>
  <c r="C50" i="18"/>
  <c r="I50" i="18" s="1"/>
  <c r="C54" i="18"/>
  <c r="I54" i="18" s="1"/>
  <c r="C7" i="18"/>
  <c r="I7" i="18" s="1"/>
  <c r="C11" i="18"/>
  <c r="I11" i="18" s="1"/>
  <c r="C15" i="18"/>
  <c r="I15" i="18" s="1"/>
  <c r="C19" i="18"/>
  <c r="I19" i="18" s="1"/>
  <c r="C23" i="18"/>
  <c r="I23" i="18" s="1"/>
  <c r="C35" i="18"/>
  <c r="I35" i="18" s="1"/>
  <c r="C47" i="18"/>
  <c r="I47" i="18" s="1"/>
  <c r="E5" i="13" l="1"/>
  <c r="M58" i="11"/>
  <c r="BC5" i="13"/>
  <c r="BG58" i="11"/>
  <c r="BA5" i="13"/>
  <c r="AH58" i="11"/>
  <c r="AC5" i="13"/>
  <c r="BF58" i="11"/>
  <c r="AZ5" i="13"/>
  <c r="AP58" i="11"/>
  <c r="AJ5" i="13"/>
  <c r="Y58" i="11"/>
  <c r="T5" i="13"/>
  <c r="BE58" i="11"/>
  <c r="AY5" i="13"/>
  <c r="AF58" i="11"/>
  <c r="AA5" i="13"/>
  <c r="P58" i="11"/>
  <c r="K5" i="13"/>
  <c r="AI58" i="11"/>
  <c r="AD5" i="13"/>
  <c r="S58" i="11"/>
  <c r="N5" i="13"/>
  <c r="BD58" i="11"/>
  <c r="AX5" i="13"/>
  <c r="AD58" i="11"/>
  <c r="Y5" i="13"/>
  <c r="BC58" i="11"/>
  <c r="AW5" i="13"/>
  <c r="Z58" i="11"/>
  <c r="U5" i="13"/>
  <c r="BB58" i="11"/>
  <c r="AV5" i="13"/>
  <c r="AL58" i="11"/>
  <c r="AF5" i="13"/>
  <c r="U58" i="11"/>
  <c r="P5" i="13"/>
  <c r="AS58" i="11"/>
  <c r="AM5" i="13"/>
  <c r="AB58" i="11"/>
  <c r="W5" i="13"/>
  <c r="K58" i="11"/>
  <c r="G5" i="13"/>
  <c r="AE58" i="11"/>
  <c r="Z5" i="13"/>
  <c r="O58" i="11"/>
  <c r="J5" i="13"/>
  <c r="AN58" i="11"/>
  <c r="AH5" i="13"/>
  <c r="V58" i="11"/>
  <c r="Q5" i="13"/>
  <c r="AZ58" i="11"/>
  <c r="AT5" i="13"/>
  <c r="AU58" i="11"/>
  <c r="AO5" i="13"/>
  <c r="R58" i="11"/>
  <c r="M5" i="13"/>
  <c r="AX58" i="11"/>
  <c r="AR5" i="13"/>
  <c r="AG58" i="11"/>
  <c r="AB5" i="13"/>
  <c r="Q58" i="11"/>
  <c r="L5" i="13"/>
  <c r="AO58" i="11"/>
  <c r="AI5" i="13"/>
  <c r="X58" i="11"/>
  <c r="S5" i="13"/>
  <c r="BH58" i="11"/>
  <c r="BB5" i="13"/>
  <c r="AA58" i="11"/>
  <c r="V5" i="13"/>
  <c r="J58" i="11"/>
  <c r="F5" i="13"/>
  <c r="AY58" i="11"/>
  <c r="AS5" i="13"/>
  <c r="N58" i="11"/>
  <c r="I5" i="13"/>
  <c r="AR58" i="11"/>
  <c r="AL5" i="13"/>
  <c r="AQ58" i="11"/>
  <c r="AK5" i="13"/>
  <c r="AK58" i="11"/>
  <c r="BD5" i="13"/>
  <c r="AT58" i="11"/>
  <c r="AN5" i="13"/>
  <c r="AC58" i="11"/>
  <c r="X5" i="13"/>
  <c r="L58" i="11"/>
  <c r="H5" i="13"/>
  <c r="AJ58" i="11"/>
  <c r="AE5" i="13"/>
  <c r="AV58" i="11"/>
  <c r="AP5" i="13"/>
  <c r="W58" i="11"/>
  <c r="R5" i="13"/>
  <c r="BA58" i="11"/>
  <c r="AU5" i="13"/>
  <c r="AM58" i="11"/>
  <c r="AG5" i="13"/>
  <c r="AQ45" i="13"/>
  <c r="AW58" i="11"/>
  <c r="O45" i="13"/>
  <c r="T58" i="11"/>
  <c r="I58" i="11"/>
  <c r="G41" i="11"/>
  <c r="BX40" i="29"/>
  <c r="B40" i="29"/>
  <c r="G52" i="11"/>
  <c r="BX51" i="29"/>
  <c r="B51" i="29"/>
  <c r="G43" i="11"/>
  <c r="BX42" i="29"/>
  <c r="B42" i="29"/>
  <c r="G48" i="11"/>
  <c r="BX47" i="29"/>
  <c r="B47" i="29"/>
  <c r="G44" i="11"/>
  <c r="BX43" i="29"/>
  <c r="B43" i="29"/>
  <c r="G35" i="11"/>
  <c r="BX34" i="29"/>
  <c r="B34" i="29"/>
  <c r="G38" i="11"/>
  <c r="BX37" i="29"/>
  <c r="B37" i="29"/>
  <c r="G31" i="11"/>
  <c r="BX30" i="29"/>
  <c r="B30" i="29"/>
  <c r="G53" i="11"/>
  <c r="BX52" i="29"/>
  <c r="B52" i="29"/>
  <c r="G36" i="11"/>
  <c r="BX35" i="29"/>
  <c r="B35" i="29"/>
  <c r="G27" i="11"/>
  <c r="BX26" i="29"/>
  <c r="B26" i="29"/>
  <c r="G14" i="11"/>
  <c r="BX13" i="29"/>
  <c r="B13" i="29"/>
  <c r="G19" i="11"/>
  <c r="BX18" i="29"/>
  <c r="B18" i="29"/>
  <c r="G6" i="11"/>
  <c r="BX5" i="29"/>
  <c r="B5" i="29"/>
  <c r="G24" i="11"/>
  <c r="BX23" i="29"/>
  <c r="B23" i="29"/>
  <c r="BX14" i="29"/>
  <c r="B14" i="29"/>
  <c r="G47" i="11"/>
  <c r="BX46" i="29"/>
  <c r="B46" i="29"/>
  <c r="G10" i="11"/>
  <c r="BX9" i="29"/>
  <c r="B9" i="29"/>
  <c r="G20" i="11"/>
  <c r="BX19" i="29"/>
  <c r="B19" i="29"/>
  <c r="G11" i="11"/>
  <c r="BX10" i="29"/>
  <c r="B10" i="29"/>
  <c r="G50" i="11"/>
  <c r="BX49" i="29"/>
  <c r="B49" i="29"/>
  <c r="G49" i="11"/>
  <c r="BX48" i="29"/>
  <c r="B48" i="29"/>
  <c r="G21" i="11"/>
  <c r="BX20" i="29"/>
  <c r="B20" i="29"/>
  <c r="G34" i="11"/>
  <c r="BX33" i="29"/>
  <c r="B33" i="29"/>
  <c r="G23" i="11"/>
  <c r="BX22" i="29"/>
  <c r="B22" i="29"/>
  <c r="G45" i="11"/>
  <c r="BX44" i="29"/>
  <c r="B44" i="29"/>
  <c r="G28" i="11"/>
  <c r="B27" i="29"/>
  <c r="BX27" i="29"/>
  <c r="G37" i="11"/>
  <c r="BX36" i="29"/>
  <c r="B36" i="29"/>
  <c r="G29" i="11"/>
  <c r="BX28" i="29"/>
  <c r="B28" i="29"/>
  <c r="G16" i="11"/>
  <c r="BX15" i="29"/>
  <c r="B15" i="29"/>
  <c r="G7" i="11"/>
  <c r="BX6" i="29"/>
  <c r="B6" i="29"/>
  <c r="G13" i="11"/>
  <c r="BX12" i="29"/>
  <c r="B12" i="29"/>
  <c r="G12" i="11"/>
  <c r="BX11" i="29"/>
  <c r="B11" i="29"/>
  <c r="G54" i="11"/>
  <c r="BX53" i="29"/>
  <c r="B53" i="29"/>
  <c r="G56" i="11"/>
  <c r="BX55" i="29"/>
  <c r="B55" i="29"/>
  <c r="G8" i="11"/>
  <c r="BX7" i="29"/>
  <c r="B7" i="29"/>
  <c r="G42" i="11"/>
  <c r="BX41" i="29"/>
  <c r="B41" i="29"/>
  <c r="G33" i="11"/>
  <c r="BX32" i="29"/>
  <c r="B32" i="29"/>
  <c r="G51" i="11"/>
  <c r="BX50" i="29"/>
  <c r="B50" i="29"/>
  <c r="G30" i="11"/>
  <c r="BX29" i="29"/>
  <c r="B29" i="29"/>
  <c r="G25" i="11"/>
  <c r="BX24" i="29"/>
  <c r="B24" i="29"/>
  <c r="G32" i="11"/>
  <c r="BX31" i="29"/>
  <c r="B31" i="29"/>
  <c r="G39" i="11"/>
  <c r="BX38" i="29"/>
  <c r="B38" i="29"/>
  <c r="G26" i="11"/>
  <c r="BX25" i="29"/>
  <c r="B25" i="29"/>
  <c r="G17" i="11"/>
  <c r="BX16" i="29"/>
  <c r="B16" i="29"/>
  <c r="G46" i="11"/>
  <c r="BX45" i="29"/>
  <c r="B45" i="29"/>
  <c r="G22" i="11"/>
  <c r="BX21" i="29"/>
  <c r="B21" i="29"/>
  <c r="G9" i="11"/>
  <c r="BX8" i="29"/>
  <c r="B8" i="29"/>
  <c r="G55" i="11"/>
  <c r="BX54" i="29"/>
  <c r="B54" i="29"/>
  <c r="G40" i="11"/>
  <c r="BX39" i="29"/>
  <c r="B39" i="29"/>
  <c r="G18" i="11"/>
  <c r="BX17" i="29"/>
  <c r="B17" i="29"/>
  <c r="G5" i="11"/>
  <c r="BX4" i="29"/>
  <c r="B4" i="29"/>
  <c r="G15" i="11"/>
  <c r="B54" i="16"/>
  <c r="H54" i="16" s="1"/>
  <c r="B149" i="16"/>
  <c r="B31" i="16"/>
  <c r="H31" i="16" s="1"/>
  <c r="B125" i="16"/>
  <c r="B53" i="16"/>
  <c r="F53" i="16" s="1"/>
  <c r="B148" i="16"/>
  <c r="B38" i="16"/>
  <c r="H38" i="16" s="1"/>
  <c r="B132" i="16"/>
  <c r="B22" i="16"/>
  <c r="I22" i="16" s="1"/>
  <c r="B116" i="16"/>
  <c r="B52" i="16"/>
  <c r="H52" i="16" s="1"/>
  <c r="B147" i="16"/>
  <c r="B29" i="16"/>
  <c r="F29" i="16" s="1"/>
  <c r="B123" i="16"/>
  <c r="B13" i="16"/>
  <c r="F13" i="16" s="1"/>
  <c r="B107" i="16"/>
  <c r="B32" i="16"/>
  <c r="I32" i="16" s="1"/>
  <c r="B126" i="16"/>
  <c r="B16" i="16"/>
  <c r="I16" i="16" s="1"/>
  <c r="B110" i="16"/>
  <c r="B51" i="16"/>
  <c r="I51" i="16" s="1"/>
  <c r="B146" i="16"/>
  <c r="B27" i="16"/>
  <c r="I27" i="16" s="1"/>
  <c r="B121" i="16"/>
  <c r="B56" i="16"/>
  <c r="F56" i="16" s="1"/>
  <c r="B151" i="16"/>
  <c r="B45" i="16"/>
  <c r="H45" i="16" s="1"/>
  <c r="B139" i="16"/>
  <c r="B50" i="16"/>
  <c r="F50" i="16" s="1"/>
  <c r="B145" i="16"/>
  <c r="B23" i="16"/>
  <c r="F23" i="16" s="1"/>
  <c r="B117" i="16"/>
  <c r="B7" i="16"/>
  <c r="F7" i="16" s="1"/>
  <c r="B144" i="16"/>
  <c r="B34" i="16"/>
  <c r="I34" i="16" s="1"/>
  <c r="B128" i="16"/>
  <c r="B18" i="16"/>
  <c r="H18" i="16" s="1"/>
  <c r="B112" i="16"/>
  <c r="B41" i="16"/>
  <c r="I41" i="16" s="1"/>
  <c r="B135" i="16"/>
  <c r="B25" i="16"/>
  <c r="H25" i="16" s="1"/>
  <c r="B119" i="16"/>
  <c r="B9" i="16"/>
  <c r="F9" i="16" s="1"/>
  <c r="B103" i="16"/>
  <c r="B28" i="16"/>
  <c r="H28" i="16" s="1"/>
  <c r="B122" i="16"/>
  <c r="B12" i="16"/>
  <c r="H12" i="16" s="1"/>
  <c r="B106" i="16"/>
  <c r="B36" i="16"/>
  <c r="F36" i="16" s="1"/>
  <c r="B130" i="16"/>
  <c r="B19" i="16"/>
  <c r="I19" i="16" s="1"/>
  <c r="B113" i="16"/>
  <c r="B48" i="16"/>
  <c r="I48" i="16" s="1"/>
  <c r="B142" i="16"/>
  <c r="B15" i="16"/>
  <c r="I15" i="16" s="1"/>
  <c r="B109" i="16"/>
  <c r="B46" i="16"/>
  <c r="I46" i="16" s="1"/>
  <c r="B140" i="16"/>
  <c r="B30" i="16"/>
  <c r="I30" i="16" s="1"/>
  <c r="B124" i="16"/>
  <c r="B14" i="16"/>
  <c r="F14" i="16" s="1"/>
  <c r="B108" i="16"/>
  <c r="B37" i="16"/>
  <c r="I37" i="16" s="1"/>
  <c r="B131" i="16"/>
  <c r="B21" i="16"/>
  <c r="I21" i="16" s="1"/>
  <c r="B115" i="16"/>
  <c r="B55" i="16"/>
  <c r="H55" i="16" s="1"/>
  <c r="B150" i="16"/>
  <c r="B24" i="16"/>
  <c r="F24" i="16" s="1"/>
  <c r="B118" i="16"/>
  <c r="B6" i="16"/>
  <c r="F6" i="16" s="1"/>
  <c r="B102" i="16"/>
  <c r="B47" i="16"/>
  <c r="I47" i="16" s="1"/>
  <c r="B141" i="16"/>
  <c r="B11" i="16"/>
  <c r="H11" i="16" s="1"/>
  <c r="B105" i="16"/>
  <c r="B43" i="16"/>
  <c r="F43" i="16" s="1"/>
  <c r="B137" i="16"/>
  <c r="B40" i="16"/>
  <c r="F40" i="16" s="1"/>
  <c r="B134" i="16"/>
  <c r="B39" i="16"/>
  <c r="I39" i="16" s="1"/>
  <c r="B133" i="16"/>
  <c r="B57" i="16"/>
  <c r="H57" i="16" s="1"/>
  <c r="B152" i="16"/>
  <c r="B42" i="16"/>
  <c r="F42" i="16" s="1"/>
  <c r="B136" i="16"/>
  <c r="B26" i="16"/>
  <c r="I26" i="16" s="1"/>
  <c r="B120" i="16"/>
  <c r="B10" i="16"/>
  <c r="I10" i="16" s="1"/>
  <c r="B104" i="16"/>
  <c r="B33" i="16"/>
  <c r="H33" i="16" s="1"/>
  <c r="B127" i="16"/>
  <c r="B17" i="16"/>
  <c r="F17" i="16" s="1"/>
  <c r="B111" i="16"/>
  <c r="B44" i="16"/>
  <c r="I44" i="16" s="1"/>
  <c r="B138" i="16"/>
  <c r="B20" i="16"/>
  <c r="I20" i="16" s="1"/>
  <c r="B114" i="16"/>
  <c r="B49" i="16"/>
  <c r="H49" i="16" s="1"/>
  <c r="B143" i="16"/>
  <c r="B35" i="16"/>
  <c r="F35" i="16" s="1"/>
  <c r="B129" i="16"/>
  <c r="B8" i="16"/>
  <c r="F8" i="16" s="1"/>
  <c r="B101" i="16"/>
  <c r="F49" i="11"/>
  <c r="BC132" i="11" s="1"/>
  <c r="AW45" i="13"/>
  <c r="D72" i="15"/>
  <c r="I72" i="15" s="1"/>
  <c r="A51" i="14"/>
  <c r="D49" i="11"/>
  <c r="E49" i="11"/>
  <c r="D78" i="15"/>
  <c r="I78" i="15" s="1"/>
  <c r="D79" i="15"/>
  <c r="I79" i="15" s="1"/>
  <c r="BC45" i="13"/>
  <c r="A57" i="14"/>
  <c r="F55" i="11"/>
  <c r="M132" i="11" s="1"/>
  <c r="E55" i="11"/>
  <c r="D55" i="11"/>
  <c r="D76" i="15"/>
  <c r="I76" i="15" s="1"/>
  <c r="BA45" i="13"/>
  <c r="A55" i="14"/>
  <c r="F53" i="11"/>
  <c r="BG132" i="11" s="1"/>
  <c r="E53" i="11"/>
  <c r="D53" i="11"/>
  <c r="F29" i="11"/>
  <c r="AH132" i="11" s="1"/>
  <c r="D41" i="15"/>
  <c r="I41" i="15" s="1"/>
  <c r="D40" i="15"/>
  <c r="I40" i="15" s="1"/>
  <c r="AC45" i="13"/>
  <c r="A31" i="14"/>
  <c r="D29" i="11"/>
  <c r="E29" i="11"/>
  <c r="F52" i="11"/>
  <c r="BF132" i="11" s="1"/>
  <c r="AZ45" i="13"/>
  <c r="D75" i="15"/>
  <c r="I75" i="15" s="1"/>
  <c r="A54" i="14"/>
  <c r="D52" i="11"/>
  <c r="E52" i="11"/>
  <c r="F36" i="11"/>
  <c r="AP132" i="11" s="1"/>
  <c r="AJ45" i="13"/>
  <c r="D51" i="15"/>
  <c r="I51" i="15" s="1"/>
  <c r="D52" i="15"/>
  <c r="I52" i="15" s="1"/>
  <c r="A38" i="14"/>
  <c r="E36" i="11"/>
  <c r="D36" i="11"/>
  <c r="F20" i="11"/>
  <c r="Y132" i="11" s="1"/>
  <c r="T45" i="13"/>
  <c r="D25" i="15"/>
  <c r="I25" i="15" s="1"/>
  <c r="A22" i="14"/>
  <c r="E20" i="11"/>
  <c r="D20" i="11"/>
  <c r="F51" i="11"/>
  <c r="BE132" i="11" s="1"/>
  <c r="D74" i="15"/>
  <c r="I74" i="15" s="1"/>
  <c r="AY45" i="13"/>
  <c r="A53" i="14"/>
  <c r="D51" i="11"/>
  <c r="E51" i="11"/>
  <c r="D27" i="11"/>
  <c r="D38" i="15"/>
  <c r="I38" i="15" s="1"/>
  <c r="AA45" i="13"/>
  <c r="A29" i="14"/>
  <c r="E27" i="11"/>
  <c r="F27" i="11"/>
  <c r="AF132" i="11" s="1"/>
  <c r="D11" i="11"/>
  <c r="K45" i="13"/>
  <c r="D12" i="15"/>
  <c r="D13" i="15"/>
  <c r="A13" i="14"/>
  <c r="E11" i="11"/>
  <c r="F11" i="11"/>
  <c r="P132" i="11" s="1"/>
  <c r="D42" i="15"/>
  <c r="I42" i="15" s="1"/>
  <c r="D43" i="15"/>
  <c r="I43" i="15" s="1"/>
  <c r="AD45" i="13"/>
  <c r="A32" i="14"/>
  <c r="D30" i="11"/>
  <c r="E30" i="11"/>
  <c r="F30" i="11"/>
  <c r="AI132" i="11" s="1"/>
  <c r="D16" i="15"/>
  <c r="N45" i="13"/>
  <c r="A16" i="14"/>
  <c r="D14" i="11"/>
  <c r="E14" i="11"/>
  <c r="F14" i="11"/>
  <c r="S132" i="11" s="1"/>
  <c r="F50" i="11"/>
  <c r="BD132" i="11" s="1"/>
  <c r="AX45" i="13"/>
  <c r="D73" i="15"/>
  <c r="I73" i="15" s="1"/>
  <c r="A52" i="14"/>
  <c r="E50" i="11"/>
  <c r="D50" i="11"/>
  <c r="F25" i="11"/>
  <c r="AD132" i="11" s="1"/>
  <c r="Y45" i="13"/>
  <c r="D35" i="15"/>
  <c r="I35" i="15" s="1"/>
  <c r="D36" i="15"/>
  <c r="I36" i="15" s="1"/>
  <c r="A27" i="14"/>
  <c r="D25" i="11"/>
  <c r="E25" i="11"/>
  <c r="F21" i="11"/>
  <c r="Z132" i="11" s="1"/>
  <c r="D26" i="15"/>
  <c r="I26" i="15" s="1"/>
  <c r="D30" i="15"/>
  <c r="I30" i="15" s="1"/>
  <c r="D29" i="15"/>
  <c r="I29" i="15" s="1"/>
  <c r="D27" i="15"/>
  <c r="I27" i="15" s="1"/>
  <c r="D28" i="15"/>
  <c r="I28" i="15" s="1"/>
  <c r="U45" i="13"/>
  <c r="A23" i="14"/>
  <c r="D21" i="11"/>
  <c r="E21" i="11"/>
  <c r="D70" i="15"/>
  <c r="I70" i="15" s="1"/>
  <c r="AV45" i="13"/>
  <c r="D71" i="15"/>
  <c r="I71" i="15" s="1"/>
  <c r="A50" i="14"/>
  <c r="D48" i="11"/>
  <c r="E48" i="11"/>
  <c r="F48" i="11"/>
  <c r="BB132" i="11" s="1"/>
  <c r="F32" i="11"/>
  <c r="AL132" i="11" s="1"/>
  <c r="AF45" i="13"/>
  <c r="D46" i="15"/>
  <c r="I46" i="15" s="1"/>
  <c r="A34" i="14"/>
  <c r="D32" i="11"/>
  <c r="E32" i="11"/>
  <c r="F16" i="11"/>
  <c r="U132" i="11" s="1"/>
  <c r="D18" i="15"/>
  <c r="P45" i="13"/>
  <c r="D19" i="15"/>
  <c r="A18" i="14"/>
  <c r="D16" i="11"/>
  <c r="E16" i="11"/>
  <c r="D39" i="11"/>
  <c r="AM45" i="13"/>
  <c r="D55" i="15"/>
  <c r="I55" i="15" s="1"/>
  <c r="A41" i="14"/>
  <c r="E39" i="11"/>
  <c r="F39" i="11"/>
  <c r="AS132" i="11" s="1"/>
  <c r="D23" i="11"/>
  <c r="W45" i="13"/>
  <c r="D32" i="15"/>
  <c r="I32" i="15" s="1"/>
  <c r="A25" i="14"/>
  <c r="E23" i="11"/>
  <c r="F23" i="11"/>
  <c r="AB132" i="11" s="1"/>
  <c r="D8" i="15"/>
  <c r="I8" i="15" s="1"/>
  <c r="G45" i="13"/>
  <c r="A9" i="14"/>
  <c r="F7" i="11"/>
  <c r="K132" i="11" s="1"/>
  <c r="E7" i="11"/>
  <c r="D7" i="11"/>
  <c r="D37" i="15"/>
  <c r="I37" i="15" s="1"/>
  <c r="Z45" i="13"/>
  <c r="A28" i="14"/>
  <c r="D26" i="11"/>
  <c r="E26" i="11"/>
  <c r="F26" i="11"/>
  <c r="AE132" i="11" s="1"/>
  <c r="D11" i="15"/>
  <c r="I11" i="15" s="1"/>
  <c r="J45" i="13"/>
  <c r="A12" i="14"/>
  <c r="D10" i="11"/>
  <c r="E10" i="11"/>
  <c r="F10" i="11"/>
  <c r="O132" i="11" s="1"/>
  <c r="D49" i="15"/>
  <c r="I49" i="15" s="1"/>
  <c r="D48" i="15"/>
  <c r="I48" i="15" s="1"/>
  <c r="A36" i="14"/>
  <c r="E34" i="11"/>
  <c r="D34" i="11"/>
  <c r="F34" i="11"/>
  <c r="AN132" i="11" s="1"/>
  <c r="F17" i="11"/>
  <c r="V132" i="11" s="1"/>
  <c r="Q45" i="13"/>
  <c r="D20" i="15"/>
  <c r="A19" i="14"/>
  <c r="D17" i="11"/>
  <c r="E17" i="11"/>
  <c r="F46" i="11"/>
  <c r="AZ132" i="11" s="1"/>
  <c r="D67" i="15"/>
  <c r="I67" i="15" s="1"/>
  <c r="AT45" i="13"/>
  <c r="A48" i="14"/>
  <c r="D46" i="11"/>
  <c r="E46" i="11"/>
  <c r="F41" i="11"/>
  <c r="AU132" i="11" s="1"/>
  <c r="D60" i="15"/>
  <c r="I60" i="15" s="1"/>
  <c r="D61" i="15"/>
  <c r="I61" i="15" s="1"/>
  <c r="AO45" i="13"/>
  <c r="A43" i="14"/>
  <c r="D41" i="11"/>
  <c r="E41" i="11"/>
  <c r="F13" i="11"/>
  <c r="R132" i="11" s="1"/>
  <c r="M45" i="13"/>
  <c r="D15" i="15"/>
  <c r="A15" i="14"/>
  <c r="D13" i="11"/>
  <c r="E13" i="11"/>
  <c r="F44" i="11"/>
  <c r="AX132" i="11" s="1"/>
  <c r="AR45" i="13"/>
  <c r="D65" i="15"/>
  <c r="I65" i="15" s="1"/>
  <c r="A46" i="14"/>
  <c r="E44" i="11"/>
  <c r="D44" i="11"/>
  <c r="F28" i="11"/>
  <c r="AG132" i="11" s="1"/>
  <c r="AB45" i="13"/>
  <c r="D39" i="15"/>
  <c r="I39" i="15" s="1"/>
  <c r="A30" i="14"/>
  <c r="E28" i="11"/>
  <c r="D28" i="11"/>
  <c r="F12" i="11"/>
  <c r="Q132" i="11" s="1"/>
  <c r="D14" i="15"/>
  <c r="L45" i="13"/>
  <c r="A14" i="14"/>
  <c r="E12" i="11"/>
  <c r="D12" i="11"/>
  <c r="D35" i="11"/>
  <c r="D50" i="15"/>
  <c r="I50" i="15" s="1"/>
  <c r="AI45" i="13"/>
  <c r="A37" i="14"/>
  <c r="F35" i="11"/>
  <c r="AO132" i="11" s="1"/>
  <c r="E35" i="11"/>
  <c r="D19" i="11"/>
  <c r="D22" i="15"/>
  <c r="D23" i="15"/>
  <c r="D24" i="15"/>
  <c r="A21" i="14"/>
  <c r="F19" i="11"/>
  <c r="X132" i="11" s="1"/>
  <c r="E19" i="11"/>
  <c r="F54" i="11"/>
  <c r="BH132" i="11" s="1"/>
  <c r="D77" i="15"/>
  <c r="I77" i="15" s="1"/>
  <c r="BB45" i="13"/>
  <c r="A56" i="14"/>
  <c r="E54" i="11"/>
  <c r="D54" i="11"/>
  <c r="D31" i="15"/>
  <c r="I31" i="15" s="1"/>
  <c r="V45" i="13"/>
  <c r="A24" i="14"/>
  <c r="E22" i="11"/>
  <c r="D22" i="11"/>
  <c r="F22" i="11"/>
  <c r="AA132" i="11" s="1"/>
  <c r="D7" i="15"/>
  <c r="I7" i="15" s="1"/>
  <c r="A8" i="14"/>
  <c r="E6" i="11"/>
  <c r="D6" i="11"/>
  <c r="F6" i="11"/>
  <c r="J132" i="11" s="1"/>
  <c r="F45" i="11"/>
  <c r="AY132" i="11" s="1"/>
  <c r="D66" i="15"/>
  <c r="I66" i="15" s="1"/>
  <c r="AS45" i="13"/>
  <c r="A47" i="14"/>
  <c r="E45" i="11"/>
  <c r="D45" i="11"/>
  <c r="F9" i="11"/>
  <c r="N132" i="11" s="1"/>
  <c r="D10" i="15"/>
  <c r="I10" i="15" s="1"/>
  <c r="I45" i="13"/>
  <c r="A11" i="14"/>
  <c r="E9" i="11"/>
  <c r="D9" i="11"/>
  <c r="D43" i="11"/>
  <c r="D64" i="15"/>
  <c r="I64" i="15" s="1"/>
  <c r="A45" i="14"/>
  <c r="F43" i="11"/>
  <c r="AW132" i="11" s="1"/>
  <c r="E43" i="11"/>
  <c r="D54" i="15"/>
  <c r="I54" i="15" s="1"/>
  <c r="AL45" i="13"/>
  <c r="A40" i="14"/>
  <c r="E38" i="11"/>
  <c r="D38" i="11"/>
  <c r="F38" i="11"/>
  <c r="AR132" i="11" s="1"/>
  <c r="F37" i="11"/>
  <c r="AQ132" i="11" s="1"/>
  <c r="D53" i="15"/>
  <c r="I53" i="15" s="1"/>
  <c r="AK45" i="13"/>
  <c r="A39" i="14"/>
  <c r="D37" i="11"/>
  <c r="E37" i="11"/>
  <c r="BD45" i="13"/>
  <c r="D81" i="15"/>
  <c r="I81" i="15" s="1"/>
  <c r="D80" i="15"/>
  <c r="I80" i="15" s="1"/>
  <c r="A58" i="14"/>
  <c r="E56" i="11"/>
  <c r="F56" i="11"/>
  <c r="AK132" i="11" s="1"/>
  <c r="D56" i="11"/>
  <c r="F40" i="11"/>
  <c r="AT132" i="11" s="1"/>
  <c r="D57" i="15"/>
  <c r="I57" i="15" s="1"/>
  <c r="AN45" i="13"/>
  <c r="D56" i="15"/>
  <c r="I56" i="15" s="1"/>
  <c r="D58" i="15"/>
  <c r="I58" i="15" s="1"/>
  <c r="A42" i="14"/>
  <c r="E40" i="11"/>
  <c r="D40" i="11"/>
  <c r="F24" i="11"/>
  <c r="AC132" i="11" s="1"/>
  <c r="D34" i="15"/>
  <c r="I34" i="15" s="1"/>
  <c r="X45" i="13"/>
  <c r="D33" i="15"/>
  <c r="I33" i="15" s="1"/>
  <c r="A26" i="14"/>
  <c r="D24" i="11"/>
  <c r="E24" i="11"/>
  <c r="E8" i="11"/>
  <c r="H45" i="13"/>
  <c r="D9" i="15"/>
  <c r="I9" i="15" s="1"/>
  <c r="A10" i="14"/>
  <c r="F8" i="11"/>
  <c r="L132" i="11" s="1"/>
  <c r="D8" i="11"/>
  <c r="D31" i="11"/>
  <c r="D45" i="15"/>
  <c r="I45" i="15" s="1"/>
  <c r="AE45" i="13"/>
  <c r="D44" i="15"/>
  <c r="I44" i="15" s="1"/>
  <c r="A33" i="14"/>
  <c r="F31" i="11"/>
  <c r="AJ132" i="11" s="1"/>
  <c r="E31" i="11"/>
  <c r="D15" i="11"/>
  <c r="D17" i="15"/>
  <c r="A17" i="14"/>
  <c r="F15" i="11"/>
  <c r="T132" i="11" s="1"/>
  <c r="E15" i="11"/>
  <c r="D62" i="15"/>
  <c r="I62" i="15" s="1"/>
  <c r="D63" i="15"/>
  <c r="I63" i="15" s="1"/>
  <c r="AP45" i="13"/>
  <c r="A44" i="14"/>
  <c r="D42" i="11"/>
  <c r="E42" i="11"/>
  <c r="F42" i="11"/>
  <c r="AV132" i="11" s="1"/>
  <c r="R45" i="13"/>
  <c r="D21" i="15"/>
  <c r="A20" i="14"/>
  <c r="E18" i="11"/>
  <c r="D18" i="11"/>
  <c r="F18" i="11"/>
  <c r="W132" i="11" s="1"/>
  <c r="F47" i="11"/>
  <c r="BA132" i="11" s="1"/>
  <c r="D69" i="15"/>
  <c r="I69" i="15" s="1"/>
  <c r="AU45" i="13"/>
  <c r="D68" i="15"/>
  <c r="I68" i="15" s="1"/>
  <c r="A49" i="14"/>
  <c r="D47" i="11"/>
  <c r="E47" i="11"/>
  <c r="F33" i="11"/>
  <c r="AM132" i="11" s="1"/>
  <c r="AG45" i="13"/>
  <c r="D47" i="15"/>
  <c r="I47" i="15" s="1"/>
  <c r="A35" i="14"/>
  <c r="D33" i="11"/>
  <c r="E33" i="11"/>
  <c r="E5" i="11"/>
  <c r="D5" i="15"/>
  <c r="D6" i="15"/>
  <c r="A7" i="14"/>
  <c r="F5" i="11"/>
  <c r="I132" i="11" s="1"/>
  <c r="D5" i="11"/>
  <c r="J23" i="18"/>
  <c r="BI22" i="12" s="1"/>
  <c r="F23" i="18"/>
  <c r="G23" i="18"/>
  <c r="J7" i="18"/>
  <c r="BI6" i="12" s="1"/>
  <c r="G7" i="18"/>
  <c r="F7" i="18"/>
  <c r="J42" i="18"/>
  <c r="BI41" i="12" s="1"/>
  <c r="G42" i="18"/>
  <c r="F42" i="18"/>
  <c r="J26" i="18"/>
  <c r="BI25" i="12" s="1"/>
  <c r="G26" i="18"/>
  <c r="F26" i="18"/>
  <c r="J10" i="18"/>
  <c r="BI9" i="12" s="1"/>
  <c r="F10" i="18"/>
  <c r="G10" i="18"/>
  <c r="G31" i="18"/>
  <c r="F31" i="18"/>
  <c r="J31" i="18"/>
  <c r="BI30" i="12" s="1"/>
  <c r="J33" i="18"/>
  <c r="BI32" i="12" s="1"/>
  <c r="G33" i="18"/>
  <c r="F33" i="18"/>
  <c r="G13" i="18"/>
  <c r="F13" i="18"/>
  <c r="J13" i="18"/>
  <c r="BI12" i="12" s="1"/>
  <c r="J27" i="18"/>
  <c r="BI26" i="12" s="1"/>
  <c r="G27" i="18"/>
  <c r="F27" i="18"/>
  <c r="G29" i="18"/>
  <c r="F29" i="18"/>
  <c r="J29" i="18"/>
  <c r="BI28" i="12" s="1"/>
  <c r="G44" i="18"/>
  <c r="F44" i="18"/>
  <c r="J44" i="18"/>
  <c r="BI43" i="12" s="1"/>
  <c r="G28" i="18"/>
  <c r="F28" i="18"/>
  <c r="J28" i="18"/>
  <c r="BI27" i="12" s="1"/>
  <c r="G12" i="18"/>
  <c r="F12" i="18"/>
  <c r="J12" i="18"/>
  <c r="BI11" i="12" s="1"/>
  <c r="G19" i="18"/>
  <c r="F19" i="18"/>
  <c r="J19" i="18"/>
  <c r="BI18" i="12" s="1"/>
  <c r="J54" i="18"/>
  <c r="BI53" i="12" s="1"/>
  <c r="G54" i="18"/>
  <c r="F54" i="18"/>
  <c r="J38" i="18"/>
  <c r="G38" i="18"/>
  <c r="F38" i="18"/>
  <c r="J22" i="18"/>
  <c r="BI21" i="12" s="1"/>
  <c r="G22" i="18"/>
  <c r="F22" i="18"/>
  <c r="J6" i="18"/>
  <c r="BI5" i="12" s="1"/>
  <c r="G6" i="18"/>
  <c r="F6" i="18"/>
  <c r="G53" i="18"/>
  <c r="F53" i="18"/>
  <c r="J53" i="18"/>
  <c r="BI52" i="12" s="1"/>
  <c r="G25" i="18"/>
  <c r="F25" i="18"/>
  <c r="J25" i="18"/>
  <c r="BI24" i="12" s="1"/>
  <c r="J9" i="18"/>
  <c r="BI8" i="12" s="1"/>
  <c r="G9" i="18"/>
  <c r="F9" i="18"/>
  <c r="G57" i="18"/>
  <c r="F57" i="18"/>
  <c r="J57" i="18"/>
  <c r="BI56" i="12" s="1"/>
  <c r="G56" i="18"/>
  <c r="F56" i="18"/>
  <c r="J56" i="18"/>
  <c r="BI55" i="12" s="1"/>
  <c r="G40" i="18"/>
  <c r="F40" i="18"/>
  <c r="J40" i="18"/>
  <c r="BI39" i="12" s="1"/>
  <c r="G24" i="18"/>
  <c r="F24" i="18"/>
  <c r="J24" i="18"/>
  <c r="J8" i="18"/>
  <c r="BI7" i="12" s="1"/>
  <c r="G8" i="18"/>
  <c r="F8" i="18"/>
  <c r="J47" i="18"/>
  <c r="BI46" i="12" s="1"/>
  <c r="F47" i="18"/>
  <c r="G47" i="18"/>
  <c r="J15" i="18"/>
  <c r="BI14" i="12" s="1"/>
  <c r="G15" i="18"/>
  <c r="F15" i="18"/>
  <c r="J50" i="18"/>
  <c r="BI49" i="12" s="1"/>
  <c r="G50" i="18"/>
  <c r="F50" i="18"/>
  <c r="J34" i="18"/>
  <c r="BI33" i="12" s="1"/>
  <c r="G34" i="18"/>
  <c r="F34" i="18"/>
  <c r="J18" i="18"/>
  <c r="BI17" i="12" s="1"/>
  <c r="G18" i="18"/>
  <c r="F18" i="18"/>
  <c r="F55" i="18"/>
  <c r="G55" i="18"/>
  <c r="J55" i="18"/>
  <c r="BI54" i="12" s="1"/>
  <c r="G45" i="18"/>
  <c r="F45" i="18"/>
  <c r="J45" i="18"/>
  <c r="BI44" i="12" s="1"/>
  <c r="G21" i="18"/>
  <c r="F21" i="18"/>
  <c r="J21" i="18"/>
  <c r="BI20" i="12" s="1"/>
  <c r="J51" i="18"/>
  <c r="BI50" i="12" s="1"/>
  <c r="G51" i="18"/>
  <c r="F51" i="18"/>
  <c r="J49" i="18"/>
  <c r="BI48" i="12" s="1"/>
  <c r="G49" i="18"/>
  <c r="F49" i="18"/>
  <c r="G52" i="18"/>
  <c r="F52" i="18"/>
  <c r="J52" i="18"/>
  <c r="BI51" i="12" s="1"/>
  <c r="G36" i="18"/>
  <c r="F36" i="18"/>
  <c r="J36" i="18"/>
  <c r="BI35" i="12" s="1"/>
  <c r="G20" i="18"/>
  <c r="F20" i="18"/>
  <c r="J20" i="18"/>
  <c r="BI19" i="12" s="1"/>
  <c r="J35" i="18"/>
  <c r="BI34" i="12" s="1"/>
  <c r="F35" i="18"/>
  <c r="G35" i="18"/>
  <c r="J11" i="18"/>
  <c r="BI10" i="12" s="1"/>
  <c r="F11" i="18"/>
  <c r="G11" i="18"/>
  <c r="J46" i="18"/>
  <c r="BI45" i="12" s="1"/>
  <c r="G46" i="18"/>
  <c r="F46" i="18"/>
  <c r="J30" i="18"/>
  <c r="BI29" i="12" s="1"/>
  <c r="G30" i="18"/>
  <c r="F30" i="18"/>
  <c r="J14" i="18"/>
  <c r="BI13" i="12" s="1"/>
  <c r="G14" i="18"/>
  <c r="F14" i="18"/>
  <c r="G43" i="18"/>
  <c r="F43" i="18"/>
  <c r="J43" i="18"/>
  <c r="BI42" i="12" s="1"/>
  <c r="G41" i="18"/>
  <c r="F41" i="18"/>
  <c r="J41" i="18"/>
  <c r="BI40" i="12" s="1"/>
  <c r="J17" i="18"/>
  <c r="BI16" i="12" s="1"/>
  <c r="G17" i="18"/>
  <c r="F17" i="18"/>
  <c r="J39" i="18"/>
  <c r="BI38" i="12" s="1"/>
  <c r="G39" i="18"/>
  <c r="F39" i="18"/>
  <c r="G37" i="18"/>
  <c r="F37" i="18"/>
  <c r="J37" i="18"/>
  <c r="BI36" i="12" s="1"/>
  <c r="G48" i="18"/>
  <c r="F48" i="18"/>
  <c r="J48" i="18"/>
  <c r="BI47" i="12" s="1"/>
  <c r="G32" i="18"/>
  <c r="F32" i="18"/>
  <c r="J32" i="18"/>
  <c r="BI31" i="12" s="1"/>
  <c r="G16" i="18"/>
  <c r="F16" i="18"/>
  <c r="J16" i="18"/>
  <c r="BI15" i="12" s="1"/>
  <c r="E19" i="16"/>
  <c r="L19" i="14"/>
  <c r="K19" i="12"/>
  <c r="N19" i="17"/>
  <c r="G19" i="17"/>
  <c r="C19" i="17"/>
  <c r="V19" i="12"/>
  <c r="BT17" i="29" l="1"/>
  <c r="BC17" i="29"/>
  <c r="R26" i="13" s="1"/>
  <c r="AJ17" i="29"/>
  <c r="AF17" i="29"/>
  <c r="BT38" i="29"/>
  <c r="BC38" i="29"/>
  <c r="AM26" i="13" s="1"/>
  <c r="AJ38" i="29"/>
  <c r="AM27" i="13" s="1"/>
  <c r="AF38" i="29"/>
  <c r="AM17" i="13" s="1"/>
  <c r="BT55" i="29"/>
  <c r="BC55" i="29"/>
  <c r="AJ55" i="29"/>
  <c r="AF55" i="29"/>
  <c r="BT19" i="29"/>
  <c r="BC19" i="29"/>
  <c r="T26" i="13" s="1"/>
  <c r="AJ19" i="29"/>
  <c r="T27" i="13" s="1"/>
  <c r="AF19" i="29"/>
  <c r="T17" i="13" s="1"/>
  <c r="BT30" i="29"/>
  <c r="BC30" i="29"/>
  <c r="AJ30" i="29"/>
  <c r="AF30" i="29"/>
  <c r="AE17" i="13" s="1"/>
  <c r="BT14" i="29"/>
  <c r="BC14" i="29"/>
  <c r="O26" i="13" s="1"/>
  <c r="AJ14" i="29"/>
  <c r="O27" i="13" s="1"/>
  <c r="AF14" i="29"/>
  <c r="O17" i="13" s="1"/>
  <c r="BT18" i="29"/>
  <c r="BC18" i="29"/>
  <c r="AJ18" i="29"/>
  <c r="AF18" i="29"/>
  <c r="BT16" i="29"/>
  <c r="BC16" i="29"/>
  <c r="Q26" i="13" s="1"/>
  <c r="AJ16" i="29"/>
  <c r="Q27" i="13" s="1"/>
  <c r="AF16" i="29"/>
  <c r="Q17" i="13" s="1"/>
  <c r="BT41" i="29"/>
  <c r="BC41" i="29"/>
  <c r="AJ41" i="29"/>
  <c r="AF41" i="29"/>
  <c r="BT28" i="29"/>
  <c r="BC28" i="29"/>
  <c r="AC26" i="13" s="1"/>
  <c r="AJ28" i="29"/>
  <c r="AC27" i="13" s="1"/>
  <c r="AF28" i="29"/>
  <c r="AC17" i="13" s="1"/>
  <c r="BT49" i="29"/>
  <c r="BC49" i="29"/>
  <c r="AJ49" i="29"/>
  <c r="AF49" i="29"/>
  <c r="BT35" i="29"/>
  <c r="BC35" i="29"/>
  <c r="AJ26" i="13" s="1"/>
  <c r="AJ35" i="29"/>
  <c r="AJ27" i="13" s="1"/>
  <c r="AF35" i="29"/>
  <c r="AJ17" i="13" s="1"/>
  <c r="BT51" i="29"/>
  <c r="BC51" i="29"/>
  <c r="AZ26" i="13" s="1"/>
  <c r="AJ51" i="29"/>
  <c r="AF51" i="29"/>
  <c r="BT12" i="29"/>
  <c r="BC12" i="29"/>
  <c r="M26" i="13" s="1"/>
  <c r="AJ12" i="29"/>
  <c r="AF12" i="29"/>
  <c r="M17" i="13" s="1"/>
  <c r="BT43" i="29"/>
  <c r="BC43" i="29"/>
  <c r="AJ43" i="29"/>
  <c r="AF43" i="29"/>
  <c r="BT39" i="29"/>
  <c r="BC39" i="29"/>
  <c r="AJ39" i="29"/>
  <c r="AN27" i="13" s="1"/>
  <c r="AF39" i="29"/>
  <c r="AN17" i="13" s="1"/>
  <c r="BT31" i="29"/>
  <c r="BC31" i="29"/>
  <c r="AJ31" i="29"/>
  <c r="AF31" i="29"/>
  <c r="BT53" i="29"/>
  <c r="BC53" i="29"/>
  <c r="BB26" i="13" s="1"/>
  <c r="AJ53" i="29"/>
  <c r="BB27" i="13" s="1"/>
  <c r="AF53" i="29"/>
  <c r="BB17" i="13" s="1"/>
  <c r="BT44" i="29"/>
  <c r="BC44" i="29"/>
  <c r="AJ44" i="29"/>
  <c r="AF44" i="29"/>
  <c r="BT9" i="29"/>
  <c r="BC9" i="29"/>
  <c r="AJ9" i="29"/>
  <c r="J27" i="13" s="1"/>
  <c r="AF9" i="29"/>
  <c r="J17" i="13" s="1"/>
  <c r="BT23" i="29"/>
  <c r="BC23" i="29"/>
  <c r="AJ23" i="29"/>
  <c r="AF23" i="29"/>
  <c r="X17" i="13" s="1"/>
  <c r="BT37" i="29"/>
  <c r="BC37" i="29"/>
  <c r="AL26" i="13" s="1"/>
  <c r="AJ37" i="29"/>
  <c r="AL27" i="13" s="1"/>
  <c r="AF37" i="29"/>
  <c r="AL17" i="13" s="1"/>
  <c r="BT8" i="29"/>
  <c r="BC8" i="29"/>
  <c r="AJ8" i="29"/>
  <c r="AF8" i="29"/>
  <c r="I17" i="13" s="1"/>
  <c r="BT29" i="29"/>
  <c r="BC29" i="29"/>
  <c r="AD26" i="13" s="1"/>
  <c r="AJ29" i="29"/>
  <c r="AD27" i="13" s="1"/>
  <c r="AF29" i="29"/>
  <c r="AD17" i="13" s="1"/>
  <c r="BT27" i="29"/>
  <c r="BC27" i="29"/>
  <c r="AJ27" i="29"/>
  <c r="AF27" i="29"/>
  <c r="BT33" i="29"/>
  <c r="BC33" i="29"/>
  <c r="AH26" i="13" s="1"/>
  <c r="AJ33" i="29"/>
  <c r="AH27" i="13" s="1"/>
  <c r="AF33" i="29"/>
  <c r="BT21" i="29"/>
  <c r="BC21" i="29"/>
  <c r="AJ21" i="29"/>
  <c r="AF21" i="29"/>
  <c r="BT50" i="29"/>
  <c r="BC50" i="29"/>
  <c r="AY26" i="13" s="1"/>
  <c r="AJ50" i="29"/>
  <c r="AY27" i="13" s="1"/>
  <c r="AF50" i="29"/>
  <c r="BT6" i="29"/>
  <c r="BC6" i="29"/>
  <c r="G26" i="13" s="1"/>
  <c r="AJ6" i="29"/>
  <c r="AF6" i="29"/>
  <c r="BT20" i="29"/>
  <c r="BC20" i="29"/>
  <c r="AJ20" i="29"/>
  <c r="U27" i="13" s="1"/>
  <c r="AF20" i="29"/>
  <c r="U17" i="13" s="1"/>
  <c r="BT13" i="29"/>
  <c r="BC13" i="29"/>
  <c r="AJ13" i="29"/>
  <c r="AF13" i="29"/>
  <c r="N17" i="13" s="1"/>
  <c r="BT47" i="29"/>
  <c r="BC47" i="29"/>
  <c r="AV26" i="13" s="1"/>
  <c r="AJ47" i="29"/>
  <c r="AV27" i="13" s="1"/>
  <c r="AF47" i="29"/>
  <c r="AV17" i="13" s="1"/>
  <c r="BT4" i="29"/>
  <c r="BC4" i="29"/>
  <c r="AJ4" i="29"/>
  <c r="AF4" i="29"/>
  <c r="E17" i="13" s="1"/>
  <c r="BT25" i="29"/>
  <c r="BC25" i="29"/>
  <c r="Z26" i="13" s="1"/>
  <c r="AJ25" i="29"/>
  <c r="Z27" i="13" s="1"/>
  <c r="AF25" i="29"/>
  <c r="Z17" i="13" s="1"/>
  <c r="BT7" i="29"/>
  <c r="BC7" i="29"/>
  <c r="AJ7" i="29"/>
  <c r="AF7" i="29"/>
  <c r="BT36" i="29"/>
  <c r="BC36" i="29"/>
  <c r="AK26" i="13" s="1"/>
  <c r="AJ36" i="29"/>
  <c r="AK27" i="13" s="1"/>
  <c r="AF36" i="29"/>
  <c r="AK17" i="13" s="1"/>
  <c r="BT10" i="29"/>
  <c r="BC10" i="29"/>
  <c r="AJ10" i="29"/>
  <c r="AF10" i="29"/>
  <c r="K17" i="13" s="1"/>
  <c r="BT52" i="29"/>
  <c r="BC52" i="29"/>
  <c r="BA26" i="13" s="1"/>
  <c r="AJ52" i="29"/>
  <c r="AF52" i="29"/>
  <c r="BA17" i="13" s="1"/>
  <c r="BT40" i="29"/>
  <c r="BC40" i="29"/>
  <c r="AJ40" i="29"/>
  <c r="AF40" i="29"/>
  <c r="BT54" i="29"/>
  <c r="BC54" i="29"/>
  <c r="BC26" i="13" s="1"/>
  <c r="AJ54" i="29"/>
  <c r="AF54" i="29"/>
  <c r="BT24" i="29"/>
  <c r="BC24" i="29"/>
  <c r="AJ24" i="29"/>
  <c r="AF24" i="29"/>
  <c r="BT11" i="29"/>
  <c r="BC11" i="29"/>
  <c r="L26" i="13" s="1"/>
  <c r="AJ11" i="29"/>
  <c r="L27" i="13" s="1"/>
  <c r="AF11" i="29"/>
  <c r="L17" i="13" s="1"/>
  <c r="BT22" i="29"/>
  <c r="BC22" i="29"/>
  <c r="AJ22" i="29"/>
  <c r="AF22" i="29"/>
  <c r="BT46" i="29"/>
  <c r="BC46" i="29"/>
  <c r="AU26" i="13" s="1"/>
  <c r="AJ46" i="29"/>
  <c r="AU27" i="13" s="1"/>
  <c r="AF46" i="29"/>
  <c r="BT5" i="29"/>
  <c r="BC5" i="29"/>
  <c r="AJ5" i="29"/>
  <c r="AF5" i="29"/>
  <c r="BT34" i="29"/>
  <c r="BC34" i="29"/>
  <c r="AI26" i="13" s="1"/>
  <c r="AJ34" i="29"/>
  <c r="AI27" i="13" s="1"/>
  <c r="AF34" i="29"/>
  <c r="BT45" i="29"/>
  <c r="BC45" i="29"/>
  <c r="AJ45" i="29"/>
  <c r="AF45" i="29"/>
  <c r="BT32" i="29"/>
  <c r="BC32" i="29"/>
  <c r="AG26" i="13" s="1"/>
  <c r="AJ32" i="29"/>
  <c r="AG27" i="13" s="1"/>
  <c r="AF32" i="29"/>
  <c r="AG17" i="13" s="1"/>
  <c r="BT15" i="29"/>
  <c r="BC15" i="29"/>
  <c r="P26" i="13" s="1"/>
  <c r="AJ15" i="29"/>
  <c r="AF15" i="29"/>
  <c r="BT48" i="29"/>
  <c r="BC48" i="29"/>
  <c r="AW26" i="13" s="1"/>
  <c r="AJ48" i="29"/>
  <c r="AW27" i="13" s="1"/>
  <c r="AF48" i="29"/>
  <c r="AW17" i="13" s="1"/>
  <c r="BT26" i="29"/>
  <c r="BC26" i="29"/>
  <c r="AJ26" i="29"/>
  <c r="AF26" i="29"/>
  <c r="BT42" i="29"/>
  <c r="BC42" i="29"/>
  <c r="AQ26" i="13" s="1"/>
  <c r="AJ42" i="29"/>
  <c r="AQ27" i="13" s="1"/>
  <c r="AF42" i="29"/>
  <c r="AQ17" i="13" s="1"/>
  <c r="BE45" i="13"/>
  <c r="A45" i="13"/>
  <c r="B45" i="13"/>
  <c r="BQ18" i="29"/>
  <c r="BS18" i="29"/>
  <c r="BR18" i="29"/>
  <c r="BP18" i="29"/>
  <c r="BS43" i="29"/>
  <c r="BR43" i="29"/>
  <c r="BQ43" i="29"/>
  <c r="BP43" i="29"/>
  <c r="BS54" i="29"/>
  <c r="BR54" i="29"/>
  <c r="BQ54" i="29"/>
  <c r="BP54" i="29"/>
  <c r="BJ16" i="29"/>
  <c r="BS16" i="29"/>
  <c r="BR16" i="29"/>
  <c r="BQ16" i="29"/>
  <c r="BP16" i="29"/>
  <c r="BS24" i="29"/>
  <c r="BR24" i="29"/>
  <c r="BQ24" i="29"/>
  <c r="BP24" i="29"/>
  <c r="BR41" i="29"/>
  <c r="BQ41" i="29"/>
  <c r="BS41" i="29"/>
  <c r="BP41" i="29"/>
  <c r="BP11" i="29"/>
  <c r="BS11" i="29"/>
  <c r="BR11" i="29"/>
  <c r="BQ11" i="29"/>
  <c r="BS28" i="29"/>
  <c r="BR28" i="29"/>
  <c r="BQ28" i="29"/>
  <c r="BP28" i="29"/>
  <c r="BS22" i="29"/>
  <c r="BR22" i="29"/>
  <c r="BQ22" i="29"/>
  <c r="BP22" i="29"/>
  <c r="BS49" i="29"/>
  <c r="BR49" i="29"/>
  <c r="BQ49" i="29"/>
  <c r="BP49" i="29"/>
  <c r="BS46" i="29"/>
  <c r="BR46" i="29"/>
  <c r="BQ46" i="29"/>
  <c r="BP46" i="29"/>
  <c r="BS13" i="29"/>
  <c r="BR13" i="29"/>
  <c r="BQ13" i="29"/>
  <c r="BP13" i="29"/>
  <c r="BQ30" i="29"/>
  <c r="BS30" i="29"/>
  <c r="BR30" i="29"/>
  <c r="BP30" i="29"/>
  <c r="BP47" i="29"/>
  <c r="BR47" i="29"/>
  <c r="BS47" i="29"/>
  <c r="BQ47" i="29"/>
  <c r="BR4" i="29"/>
  <c r="BS4" i="29"/>
  <c r="BQ4" i="29"/>
  <c r="BP4" i="29"/>
  <c r="BQ8" i="29"/>
  <c r="BP8" i="29"/>
  <c r="BR8" i="29"/>
  <c r="BS8" i="29"/>
  <c r="BS25" i="29"/>
  <c r="BR25" i="29"/>
  <c r="BQ25" i="29"/>
  <c r="BP25" i="29"/>
  <c r="BR29" i="29"/>
  <c r="BQ29" i="29"/>
  <c r="BS29" i="29"/>
  <c r="BP29" i="29"/>
  <c r="BS7" i="29"/>
  <c r="BR7" i="29"/>
  <c r="BQ7" i="29"/>
  <c r="BP7" i="29"/>
  <c r="BR12" i="29"/>
  <c r="BS12" i="29"/>
  <c r="BQ12" i="29"/>
  <c r="BP12" i="29"/>
  <c r="BS36" i="29"/>
  <c r="BR36" i="29"/>
  <c r="BQ36" i="29"/>
  <c r="BP36" i="29"/>
  <c r="BS33" i="29"/>
  <c r="BR33" i="29"/>
  <c r="BQ33" i="29"/>
  <c r="BP33" i="29"/>
  <c r="BS10" i="29"/>
  <c r="BR10" i="29"/>
  <c r="BQ10" i="29"/>
  <c r="BP10" i="29"/>
  <c r="BQ14" i="29"/>
  <c r="BP14" i="29"/>
  <c r="BS14" i="29"/>
  <c r="BR14" i="29"/>
  <c r="BP23" i="29"/>
  <c r="BR23" i="29"/>
  <c r="BQ23" i="29"/>
  <c r="BS23" i="29"/>
  <c r="BP26" i="29"/>
  <c r="BS26" i="29"/>
  <c r="BR26" i="29"/>
  <c r="BQ26" i="29"/>
  <c r="BS37" i="29"/>
  <c r="BR37" i="29"/>
  <c r="BQ37" i="29"/>
  <c r="BP37" i="29"/>
  <c r="BS42" i="29"/>
  <c r="BR42" i="29"/>
  <c r="BQ42" i="29"/>
  <c r="BP42" i="29"/>
  <c r="BS52" i="29"/>
  <c r="BR52" i="29"/>
  <c r="BQ52" i="29"/>
  <c r="BP52" i="29"/>
  <c r="BR17" i="29"/>
  <c r="BQ17" i="29"/>
  <c r="BS17" i="29"/>
  <c r="BP17" i="29"/>
  <c r="BS21" i="29"/>
  <c r="BR21" i="29"/>
  <c r="BQ21" i="29"/>
  <c r="BP21" i="29"/>
  <c r="BP38" i="29"/>
  <c r="BS38" i="29"/>
  <c r="BR38" i="29"/>
  <c r="BQ38" i="29"/>
  <c r="BP50" i="29"/>
  <c r="BR50" i="29"/>
  <c r="BQ50" i="29"/>
  <c r="BS50" i="29"/>
  <c r="BS55" i="29"/>
  <c r="BR55" i="29"/>
  <c r="BQ55" i="29"/>
  <c r="BP55" i="29"/>
  <c r="BS6" i="29"/>
  <c r="BQ6" i="29"/>
  <c r="BR6" i="29"/>
  <c r="BP6" i="29"/>
  <c r="BP20" i="29"/>
  <c r="BS20" i="29"/>
  <c r="BR20" i="29"/>
  <c r="BQ20" i="29"/>
  <c r="BS19" i="29"/>
  <c r="BR19" i="29"/>
  <c r="BQ19" i="29"/>
  <c r="BP19" i="29"/>
  <c r="BS40" i="29"/>
  <c r="BR40" i="29"/>
  <c r="BQ40" i="29"/>
  <c r="BP40" i="29"/>
  <c r="BS27" i="29"/>
  <c r="BQ27" i="29"/>
  <c r="BR27" i="29"/>
  <c r="BP27" i="29"/>
  <c r="BR5" i="29"/>
  <c r="BQ5" i="29"/>
  <c r="BS5" i="29"/>
  <c r="BP5" i="29"/>
  <c r="BP35" i="29"/>
  <c r="BR35" i="29"/>
  <c r="BQ35" i="29"/>
  <c r="BS35" i="29"/>
  <c r="BS34" i="29"/>
  <c r="BR34" i="29"/>
  <c r="BQ34" i="29"/>
  <c r="BP34" i="29"/>
  <c r="BS51" i="29"/>
  <c r="BR51" i="29"/>
  <c r="BQ51" i="29"/>
  <c r="BP51" i="29"/>
  <c r="BS39" i="29"/>
  <c r="BR39" i="29"/>
  <c r="BQ39" i="29"/>
  <c r="BP39" i="29"/>
  <c r="BS45" i="29"/>
  <c r="BR45" i="29"/>
  <c r="BQ45" i="29"/>
  <c r="BP45" i="29"/>
  <c r="BS31" i="29"/>
  <c r="BR31" i="29"/>
  <c r="BQ31" i="29"/>
  <c r="BP31" i="29"/>
  <c r="BP32" i="29"/>
  <c r="BS32" i="29"/>
  <c r="BR32" i="29"/>
  <c r="BQ32" i="29"/>
  <c r="BP53" i="29"/>
  <c r="BS53" i="29"/>
  <c r="BR53" i="29"/>
  <c r="BQ53" i="29"/>
  <c r="BR15" i="29"/>
  <c r="BQ15" i="29"/>
  <c r="BS15" i="29"/>
  <c r="BP15" i="29"/>
  <c r="BP44" i="29"/>
  <c r="BQ44" i="29"/>
  <c r="BS44" i="29"/>
  <c r="BR44" i="29"/>
  <c r="BJ48" i="29"/>
  <c r="BS48" i="29"/>
  <c r="BR48" i="29"/>
  <c r="BQ48" i="29"/>
  <c r="BP48" i="29"/>
  <c r="BS9" i="29"/>
  <c r="BR9" i="29"/>
  <c r="BQ9" i="29"/>
  <c r="BP9" i="29"/>
  <c r="BI23" i="12"/>
  <c r="K24" i="18"/>
  <c r="I15" i="15"/>
  <c r="J15" i="15"/>
  <c r="I18" i="15"/>
  <c r="J18" i="15"/>
  <c r="I23" i="15"/>
  <c r="J23" i="15"/>
  <c r="I17" i="15"/>
  <c r="J17" i="15"/>
  <c r="I22" i="15"/>
  <c r="J22" i="15"/>
  <c r="I20" i="15"/>
  <c r="J20" i="15"/>
  <c r="I16" i="15"/>
  <c r="J16" i="15"/>
  <c r="I24" i="15"/>
  <c r="J24" i="15"/>
  <c r="I19" i="15"/>
  <c r="J19" i="15"/>
  <c r="I13" i="15"/>
  <c r="J13" i="15"/>
  <c r="I21" i="15"/>
  <c r="J21" i="15"/>
  <c r="I14" i="15"/>
  <c r="J14" i="15"/>
  <c r="I12" i="15"/>
  <c r="J12" i="15"/>
  <c r="BB8" i="29"/>
  <c r="I25" i="13" s="1"/>
  <c r="BJ8" i="29"/>
  <c r="BB29" i="29"/>
  <c r="AD25" i="13" s="1"/>
  <c r="BJ29" i="29"/>
  <c r="BB12" i="29"/>
  <c r="M25" i="13" s="1"/>
  <c r="BJ12" i="29"/>
  <c r="BB27" i="29"/>
  <c r="AB25" i="13" s="1"/>
  <c r="BJ27" i="29"/>
  <c r="BB33" i="29"/>
  <c r="AH25" i="13" s="1"/>
  <c r="BJ33" i="29"/>
  <c r="BB14" i="29"/>
  <c r="O25" i="13" s="1"/>
  <c r="BJ14" i="29"/>
  <c r="BB18" i="29"/>
  <c r="S25" i="13" s="1"/>
  <c r="BJ18" i="29"/>
  <c r="BB43" i="29"/>
  <c r="AR25" i="13" s="1"/>
  <c r="BJ43" i="29"/>
  <c r="BB41" i="29"/>
  <c r="AP25" i="13" s="1"/>
  <c r="BJ41" i="29"/>
  <c r="BB28" i="29"/>
  <c r="AC25" i="13" s="1"/>
  <c r="BJ28" i="29"/>
  <c r="BB49" i="29"/>
  <c r="AX25" i="13" s="1"/>
  <c r="BJ49" i="29"/>
  <c r="BB35" i="29"/>
  <c r="AJ25" i="13" s="1"/>
  <c r="BJ35" i="29"/>
  <c r="BB51" i="29"/>
  <c r="AZ25" i="13" s="1"/>
  <c r="BJ51" i="29"/>
  <c r="BB39" i="29"/>
  <c r="AN25" i="13" s="1"/>
  <c r="BJ39" i="29"/>
  <c r="BB31" i="29"/>
  <c r="AF25" i="13" s="1"/>
  <c r="BJ31" i="29"/>
  <c r="BB53" i="29"/>
  <c r="BB25" i="13" s="1"/>
  <c r="BJ53" i="29"/>
  <c r="BB44" i="29"/>
  <c r="AS25" i="13" s="1"/>
  <c r="BJ44" i="29"/>
  <c r="BB9" i="29"/>
  <c r="J25" i="13" s="1"/>
  <c r="BJ9" i="29"/>
  <c r="BB23" i="29"/>
  <c r="X25" i="13" s="1"/>
  <c r="BJ23" i="29"/>
  <c r="BB37" i="29"/>
  <c r="AL25" i="13" s="1"/>
  <c r="BJ37" i="29"/>
  <c r="BB21" i="29"/>
  <c r="V25" i="13" s="1"/>
  <c r="BJ21" i="29"/>
  <c r="BB50" i="29"/>
  <c r="AY25" i="13" s="1"/>
  <c r="BJ50" i="29"/>
  <c r="BB6" i="29"/>
  <c r="G25" i="13" s="1"/>
  <c r="BJ6" i="29"/>
  <c r="BB20" i="29"/>
  <c r="U25" i="13" s="1"/>
  <c r="BJ20" i="29"/>
  <c r="BB13" i="29"/>
  <c r="N25" i="13" s="1"/>
  <c r="BJ13" i="29"/>
  <c r="BB47" i="29"/>
  <c r="AV25" i="13" s="1"/>
  <c r="BJ47" i="29"/>
  <c r="BB4" i="29"/>
  <c r="E25" i="13" s="1"/>
  <c r="BJ4" i="29"/>
  <c r="BB25" i="29"/>
  <c r="Z25" i="13" s="1"/>
  <c r="BJ25" i="29"/>
  <c r="BB7" i="29"/>
  <c r="H25" i="13" s="1"/>
  <c r="BJ7" i="29"/>
  <c r="BB36" i="29"/>
  <c r="AK25" i="13" s="1"/>
  <c r="BJ36" i="29"/>
  <c r="BB10" i="29"/>
  <c r="K25" i="13" s="1"/>
  <c r="BJ10" i="29"/>
  <c r="BB52" i="29"/>
  <c r="BA25" i="13" s="1"/>
  <c r="BJ52" i="29"/>
  <c r="BB40" i="29"/>
  <c r="AO25" i="13" s="1"/>
  <c r="BJ40" i="29"/>
  <c r="BB54" i="29"/>
  <c r="BC25" i="13" s="1"/>
  <c r="BJ54" i="29"/>
  <c r="BB24" i="29"/>
  <c r="Y25" i="13" s="1"/>
  <c r="BJ24" i="29"/>
  <c r="BB22" i="29"/>
  <c r="W25" i="13" s="1"/>
  <c r="BJ22" i="29"/>
  <c r="BB46" i="29"/>
  <c r="AU25" i="13" s="1"/>
  <c r="BJ46" i="29"/>
  <c r="BB5" i="29"/>
  <c r="F25" i="13" s="1"/>
  <c r="BJ5" i="29"/>
  <c r="BB34" i="29"/>
  <c r="AI25" i="13" s="1"/>
  <c r="BJ34" i="29"/>
  <c r="BB45" i="29"/>
  <c r="AT25" i="13" s="1"/>
  <c r="BJ45" i="29"/>
  <c r="BB32" i="29"/>
  <c r="AG25" i="13" s="1"/>
  <c r="BJ32" i="29"/>
  <c r="BJ15" i="29"/>
  <c r="BB26" i="29"/>
  <c r="AA25" i="13" s="1"/>
  <c r="BJ26" i="29"/>
  <c r="BB42" i="29"/>
  <c r="AQ25" i="13" s="1"/>
  <c r="BJ42" i="29"/>
  <c r="BB17" i="29"/>
  <c r="R25" i="13" s="1"/>
  <c r="BJ17" i="29"/>
  <c r="BB38" i="29"/>
  <c r="AM25" i="13" s="1"/>
  <c r="BJ38" i="29"/>
  <c r="BB55" i="29"/>
  <c r="BD25" i="13" s="1"/>
  <c r="BJ55" i="29"/>
  <c r="BB19" i="29"/>
  <c r="T25" i="13" s="1"/>
  <c r="BJ19" i="29"/>
  <c r="BB30" i="29"/>
  <c r="AE25" i="13" s="1"/>
  <c r="BJ30" i="29"/>
  <c r="BB16" i="29"/>
  <c r="Q25" i="13" s="1"/>
  <c r="BB11" i="29"/>
  <c r="L25" i="13" s="1"/>
  <c r="BB15" i="29"/>
  <c r="P25" i="13" s="1"/>
  <c r="BB48" i="29"/>
  <c r="AW25" i="13" s="1"/>
  <c r="I26" i="13"/>
  <c r="I27" i="13"/>
  <c r="AX26" i="13"/>
  <c r="AX27" i="13"/>
  <c r="AZ27" i="13"/>
  <c r="G27" i="13"/>
  <c r="N26" i="13"/>
  <c r="N27" i="13"/>
  <c r="Y27" i="13"/>
  <c r="F27" i="13"/>
  <c r="P27" i="13"/>
  <c r="AA27" i="13"/>
  <c r="R27" i="13"/>
  <c r="BJ11" i="29"/>
  <c r="O5" i="15"/>
  <c r="W5" i="15" s="1"/>
  <c r="I5" i="15"/>
  <c r="O6" i="15"/>
  <c r="V6" i="15" s="1"/>
  <c r="I6" i="15"/>
  <c r="O24" i="15"/>
  <c r="V24" i="15" s="1"/>
  <c r="O50" i="15"/>
  <c r="U50" i="15" s="1"/>
  <c r="O46" i="15"/>
  <c r="W46" i="15" s="1"/>
  <c r="O29" i="15"/>
  <c r="V29" i="15" s="1"/>
  <c r="O35" i="15"/>
  <c r="U35" i="15" s="1"/>
  <c r="O43" i="15"/>
  <c r="V43" i="15" s="1"/>
  <c r="O25" i="15"/>
  <c r="V25" i="15" s="1"/>
  <c r="O40" i="15"/>
  <c r="U40" i="15" s="1"/>
  <c r="O76" i="15"/>
  <c r="V76" i="15" s="1"/>
  <c r="O45" i="15"/>
  <c r="U45" i="15" s="1"/>
  <c r="O81" i="15"/>
  <c r="W81" i="15" s="1"/>
  <c r="O23" i="15"/>
  <c r="V23" i="15" s="1"/>
  <c r="O65" i="15"/>
  <c r="U65" i="15" s="1"/>
  <c r="O67" i="15"/>
  <c r="V67" i="15" s="1"/>
  <c r="O11" i="15"/>
  <c r="U11" i="15" s="1"/>
  <c r="O8" i="15"/>
  <c r="W8" i="15" s="1"/>
  <c r="O32" i="15"/>
  <c r="V32" i="15" s="1"/>
  <c r="O19" i="15"/>
  <c r="U19" i="15" s="1"/>
  <c r="O70" i="15"/>
  <c r="U70" i="15" s="1"/>
  <c r="O42" i="15"/>
  <c r="U42" i="15" s="1"/>
  <c r="O13" i="15"/>
  <c r="U13" i="15" s="1"/>
  <c r="O38" i="15"/>
  <c r="V38" i="15" s="1"/>
  <c r="O75" i="15"/>
  <c r="V75" i="15" s="1"/>
  <c r="O41" i="15"/>
  <c r="W41" i="15" s="1"/>
  <c r="O44" i="15"/>
  <c r="V44" i="15" s="1"/>
  <c r="O58" i="15"/>
  <c r="V58" i="15" s="1"/>
  <c r="O53" i="15"/>
  <c r="U53" i="15" s="1"/>
  <c r="O77" i="15"/>
  <c r="U77" i="15" s="1"/>
  <c r="O39" i="15"/>
  <c r="W39" i="15" s="1"/>
  <c r="O15" i="15"/>
  <c r="U15" i="15" s="1"/>
  <c r="O60" i="15"/>
  <c r="U60" i="15" s="1"/>
  <c r="O49" i="15"/>
  <c r="U49" i="15" s="1"/>
  <c r="O37" i="15"/>
  <c r="U37" i="15" s="1"/>
  <c r="O55" i="15"/>
  <c r="U55" i="15" s="1"/>
  <c r="O18" i="15"/>
  <c r="U18" i="15" s="1"/>
  <c r="O71" i="15"/>
  <c r="U71" i="15" s="1"/>
  <c r="O27" i="15"/>
  <c r="W27" i="15" s="1"/>
  <c r="O36" i="15"/>
  <c r="U36" i="15" s="1"/>
  <c r="O74" i="15"/>
  <c r="U74" i="15" s="1"/>
  <c r="O51" i="15"/>
  <c r="W51" i="15" s="1"/>
  <c r="O78" i="15"/>
  <c r="V78" i="15" s="1"/>
  <c r="O72" i="15"/>
  <c r="W72" i="15" s="1"/>
  <c r="O47" i="15"/>
  <c r="V47" i="15" s="1"/>
  <c r="O69" i="15"/>
  <c r="W69" i="15" s="1"/>
  <c r="O33" i="15"/>
  <c r="W33" i="15" s="1"/>
  <c r="O56" i="15"/>
  <c r="U56" i="15" s="1"/>
  <c r="O80" i="15"/>
  <c r="W80" i="15" s="1"/>
  <c r="O68" i="15"/>
  <c r="U68" i="15" s="1"/>
  <c r="O21" i="15"/>
  <c r="U21" i="15" s="1"/>
  <c r="O62" i="15"/>
  <c r="U62" i="15" s="1"/>
  <c r="O17" i="15"/>
  <c r="U17" i="15" s="1"/>
  <c r="O9" i="15"/>
  <c r="U9" i="15" s="1"/>
  <c r="O34" i="15"/>
  <c r="U34" i="15" s="1"/>
  <c r="O57" i="15"/>
  <c r="V57" i="15" s="1"/>
  <c r="O54" i="15"/>
  <c r="V54" i="15" s="1"/>
  <c r="O66" i="15"/>
  <c r="U66" i="15" s="1"/>
  <c r="O31" i="15"/>
  <c r="V31" i="15" s="1"/>
  <c r="O22" i="15"/>
  <c r="V22" i="15" s="1"/>
  <c r="O14" i="15"/>
  <c r="U14" i="15" s="1"/>
  <c r="O61" i="15"/>
  <c r="U61" i="15" s="1"/>
  <c r="O20" i="15"/>
  <c r="V20" i="15" s="1"/>
  <c r="O48" i="15"/>
  <c r="U48" i="15" s="1"/>
  <c r="O28" i="15"/>
  <c r="U28" i="15" s="1"/>
  <c r="O26" i="15"/>
  <c r="V26" i="15" s="1"/>
  <c r="O73" i="15"/>
  <c r="U73" i="15" s="1"/>
  <c r="O16" i="15"/>
  <c r="U16" i="15" s="1"/>
  <c r="O12" i="15"/>
  <c r="V12" i="15" s="1"/>
  <c r="O52" i="15"/>
  <c r="U52" i="15" s="1"/>
  <c r="O79" i="15"/>
  <c r="W79" i="15" s="1"/>
  <c r="O10" i="15"/>
  <c r="W10" i="15" s="1"/>
  <c r="O7" i="15"/>
  <c r="W7" i="15" s="1"/>
  <c r="BI37" i="12"/>
  <c r="K38" i="18"/>
  <c r="O63" i="15"/>
  <c r="BO39" i="29"/>
  <c r="BN39" i="29"/>
  <c r="BO45" i="29"/>
  <c r="BN45" i="29"/>
  <c r="BO31" i="29"/>
  <c r="BN31" i="29"/>
  <c r="BO32" i="29"/>
  <c r="BN32" i="29"/>
  <c r="BO53" i="29"/>
  <c r="BN53" i="29"/>
  <c r="BO15" i="29"/>
  <c r="BN15" i="29"/>
  <c r="BO44" i="29"/>
  <c r="BN44" i="29"/>
  <c r="BO48" i="29"/>
  <c r="BN48" i="29"/>
  <c r="BN9" i="29"/>
  <c r="BO9" i="29"/>
  <c r="BO23" i="29"/>
  <c r="BN23" i="29"/>
  <c r="BO26" i="29"/>
  <c r="BN26" i="29"/>
  <c r="BN37" i="29"/>
  <c r="BO37" i="29"/>
  <c r="BO42" i="29"/>
  <c r="BN42" i="29"/>
  <c r="BN17" i="29"/>
  <c r="BO17" i="29"/>
  <c r="BO21" i="29"/>
  <c r="BN21" i="29"/>
  <c r="BO38" i="29"/>
  <c r="BN38" i="29"/>
  <c r="BO50" i="29"/>
  <c r="BN50" i="29"/>
  <c r="BO55" i="29"/>
  <c r="BN55" i="29"/>
  <c r="BO6" i="29"/>
  <c r="BN6" i="29"/>
  <c r="BO20" i="29"/>
  <c r="BN20" i="29"/>
  <c r="BO19" i="29"/>
  <c r="BN19" i="29"/>
  <c r="BO13" i="29"/>
  <c r="BN13" i="29"/>
  <c r="BO30" i="29"/>
  <c r="BN30" i="29"/>
  <c r="BO47" i="29"/>
  <c r="BN47" i="29"/>
  <c r="BL4" i="29"/>
  <c r="E36" i="13" s="1"/>
  <c r="BO4" i="29"/>
  <c r="BN4" i="29"/>
  <c r="BO8" i="29"/>
  <c r="BN8" i="29"/>
  <c r="BO25" i="29"/>
  <c r="BN25" i="29"/>
  <c r="BN29" i="29"/>
  <c r="BO29" i="29"/>
  <c r="BO7" i="29"/>
  <c r="BN7" i="29"/>
  <c r="BO12" i="29"/>
  <c r="BN12" i="29"/>
  <c r="BO36" i="29"/>
  <c r="BN36" i="29"/>
  <c r="BO27" i="29"/>
  <c r="BN27" i="29"/>
  <c r="BO33" i="29"/>
  <c r="BN33" i="29"/>
  <c r="BO10" i="29"/>
  <c r="BN10" i="29"/>
  <c r="BO14" i="29"/>
  <c r="BN14" i="29"/>
  <c r="BO18" i="29"/>
  <c r="BN18" i="29"/>
  <c r="BO52" i="29"/>
  <c r="BN52" i="29"/>
  <c r="BO43" i="29"/>
  <c r="BN43" i="29"/>
  <c r="BO40" i="29"/>
  <c r="BN40" i="29"/>
  <c r="BO54" i="29"/>
  <c r="BN54" i="29"/>
  <c r="BO16" i="29"/>
  <c r="BN16" i="29"/>
  <c r="BO24" i="29"/>
  <c r="BN24" i="29"/>
  <c r="BO41" i="29"/>
  <c r="BN41" i="29"/>
  <c r="BO11" i="29"/>
  <c r="BN11" i="29"/>
  <c r="BO28" i="29"/>
  <c r="BN28" i="29"/>
  <c r="BO22" i="29"/>
  <c r="BN22" i="29"/>
  <c r="BN49" i="29"/>
  <c r="BO49" i="29"/>
  <c r="BO46" i="29"/>
  <c r="BN46" i="29"/>
  <c r="BO5" i="29"/>
  <c r="BN5" i="29"/>
  <c r="BO35" i="29"/>
  <c r="BN35" i="29"/>
  <c r="BO34" i="29"/>
  <c r="BN34" i="29"/>
  <c r="BO51" i="29"/>
  <c r="BN51" i="29"/>
  <c r="V39" i="29"/>
  <c r="AN8" i="13" s="1"/>
  <c r="BM39" i="29"/>
  <c r="V45" i="29"/>
  <c r="AT8" i="13" s="1"/>
  <c r="BM45" i="29"/>
  <c r="AA31" i="29"/>
  <c r="AF12" i="13" s="1"/>
  <c r="V31" i="29"/>
  <c r="AF8" i="13" s="1"/>
  <c r="BM31" i="29"/>
  <c r="V32" i="29"/>
  <c r="AG8" i="13" s="1"/>
  <c r="BM32" i="29"/>
  <c r="V53" i="29"/>
  <c r="BB8" i="13" s="1"/>
  <c r="BM53" i="29"/>
  <c r="V15" i="29"/>
  <c r="P8" i="13" s="1"/>
  <c r="BM15" i="29"/>
  <c r="V44" i="29"/>
  <c r="AS8" i="13" s="1"/>
  <c r="BM44" i="29"/>
  <c r="V48" i="29"/>
  <c r="AW8" i="13" s="1"/>
  <c r="BM48" i="29"/>
  <c r="V9" i="29"/>
  <c r="J8" i="13" s="1"/>
  <c r="BM9" i="29"/>
  <c r="V23" i="29"/>
  <c r="X8" i="13" s="1"/>
  <c r="BM23" i="29"/>
  <c r="V26" i="29"/>
  <c r="AA8" i="13" s="1"/>
  <c r="BM26" i="29"/>
  <c r="V37" i="29"/>
  <c r="AL8" i="13" s="1"/>
  <c r="BM37" i="29"/>
  <c r="V42" i="29"/>
  <c r="AQ8" i="13" s="1"/>
  <c r="BM42" i="29"/>
  <c r="V17" i="29"/>
  <c r="R8" i="13" s="1"/>
  <c r="BM17" i="29"/>
  <c r="V21" i="29"/>
  <c r="V8" i="13" s="1"/>
  <c r="BM21" i="29"/>
  <c r="V38" i="29"/>
  <c r="AM8" i="13" s="1"/>
  <c r="BM38" i="29"/>
  <c r="V50" i="29"/>
  <c r="AY8" i="13" s="1"/>
  <c r="BM50" i="29"/>
  <c r="V57" i="29"/>
  <c r="V55" i="29"/>
  <c r="BD8" i="13" s="1"/>
  <c r="BM55" i="29"/>
  <c r="V6" i="29"/>
  <c r="G8" i="13" s="1"/>
  <c r="BM6" i="29"/>
  <c r="V20" i="29"/>
  <c r="U8" i="13" s="1"/>
  <c r="BM20" i="29"/>
  <c r="V19" i="29"/>
  <c r="T8" i="13" s="1"/>
  <c r="BM19" i="29"/>
  <c r="V13" i="29"/>
  <c r="N8" i="13" s="1"/>
  <c r="BM13" i="29"/>
  <c r="BL30" i="29"/>
  <c r="V30" i="29"/>
  <c r="AE8" i="13" s="1"/>
  <c r="BM30" i="29"/>
  <c r="V47" i="29"/>
  <c r="AV8" i="13" s="1"/>
  <c r="BM47" i="29"/>
  <c r="V4" i="29"/>
  <c r="E8" i="13" s="1"/>
  <c r="BM4" i="29"/>
  <c r="V8" i="29"/>
  <c r="I8" i="13" s="1"/>
  <c r="BM8" i="29"/>
  <c r="V25" i="29"/>
  <c r="Z8" i="13" s="1"/>
  <c r="BM25" i="29"/>
  <c r="V29" i="29"/>
  <c r="AD8" i="13" s="1"/>
  <c r="BM29" i="29"/>
  <c r="V7" i="29"/>
  <c r="H8" i="13" s="1"/>
  <c r="BM7" i="29"/>
  <c r="V12" i="29"/>
  <c r="M8" i="13" s="1"/>
  <c r="BM12" i="29"/>
  <c r="V36" i="29"/>
  <c r="AK8" i="13" s="1"/>
  <c r="BM36" i="29"/>
  <c r="V27" i="29"/>
  <c r="AB8" i="13" s="1"/>
  <c r="BM27" i="29"/>
  <c r="V33" i="29"/>
  <c r="AH8" i="13" s="1"/>
  <c r="BM33" i="29"/>
  <c r="V10" i="29"/>
  <c r="K8" i="13" s="1"/>
  <c r="BM10" i="29"/>
  <c r="V14" i="29"/>
  <c r="O8" i="13" s="1"/>
  <c r="BM14" i="29"/>
  <c r="V18" i="29"/>
  <c r="S8" i="13" s="1"/>
  <c r="BM18" i="29"/>
  <c r="V52" i="29"/>
  <c r="BA8" i="13" s="1"/>
  <c r="BM52" i="29"/>
  <c r="V43" i="29"/>
  <c r="AR8" i="13" s="1"/>
  <c r="BM43" i="29"/>
  <c r="V40" i="29"/>
  <c r="AO8" i="13" s="1"/>
  <c r="BM40" i="29"/>
  <c r="V54" i="29"/>
  <c r="BC8" i="13" s="1"/>
  <c r="BM54" i="29"/>
  <c r="V16" i="29"/>
  <c r="Q8" i="13" s="1"/>
  <c r="BM16" i="29"/>
  <c r="V24" i="29"/>
  <c r="Y8" i="13" s="1"/>
  <c r="BM24" i="29"/>
  <c r="V41" i="29"/>
  <c r="AP8" i="13" s="1"/>
  <c r="BM41" i="29"/>
  <c r="V11" i="29"/>
  <c r="L8" i="13" s="1"/>
  <c r="BM11" i="29"/>
  <c r="V28" i="29"/>
  <c r="AC8" i="13" s="1"/>
  <c r="BM28" i="29"/>
  <c r="V22" i="29"/>
  <c r="W8" i="13" s="1"/>
  <c r="BM22" i="29"/>
  <c r="V49" i="29"/>
  <c r="BM49" i="29"/>
  <c r="V46" i="29"/>
  <c r="AU8" i="13" s="1"/>
  <c r="BM46" i="29"/>
  <c r="V5" i="29"/>
  <c r="F8" i="13" s="1"/>
  <c r="BM5" i="29"/>
  <c r="V35" i="29"/>
  <c r="AJ8" i="13" s="1"/>
  <c r="BM35" i="29"/>
  <c r="V34" i="29"/>
  <c r="AI8" i="13" s="1"/>
  <c r="BM34" i="29"/>
  <c r="V51" i="29"/>
  <c r="AZ8" i="13" s="1"/>
  <c r="BM51" i="29"/>
  <c r="BK39" i="29"/>
  <c r="BL39" i="29"/>
  <c r="BK45" i="29"/>
  <c r="BL45" i="29"/>
  <c r="W31" i="29"/>
  <c r="AF9" i="13" s="1"/>
  <c r="BL31" i="29"/>
  <c r="BK32" i="29"/>
  <c r="BL32" i="29"/>
  <c r="BK53" i="29"/>
  <c r="BL53" i="29"/>
  <c r="BK15" i="29"/>
  <c r="BL15" i="29"/>
  <c r="BK44" i="29"/>
  <c r="BL44" i="29"/>
  <c r="BK48" i="29"/>
  <c r="BL48" i="29"/>
  <c r="BK9" i="29"/>
  <c r="BL9" i="29"/>
  <c r="BK23" i="29"/>
  <c r="BL23" i="29"/>
  <c r="BK26" i="29"/>
  <c r="BL26" i="29"/>
  <c r="BK37" i="29"/>
  <c r="BL37" i="29"/>
  <c r="BK42" i="29"/>
  <c r="BL42" i="29"/>
  <c r="BK17" i="29"/>
  <c r="BL17" i="29"/>
  <c r="BK21" i="29"/>
  <c r="BL21" i="29"/>
  <c r="BK38" i="29"/>
  <c r="BL38" i="29"/>
  <c r="BK50" i="29"/>
  <c r="BL50" i="29"/>
  <c r="BK55" i="29"/>
  <c r="BL55" i="29"/>
  <c r="BK6" i="29"/>
  <c r="BL6" i="29"/>
  <c r="BK20" i="29"/>
  <c r="BL20" i="29"/>
  <c r="BK19" i="29"/>
  <c r="BL19" i="29"/>
  <c r="BK13" i="29"/>
  <c r="BL13" i="29"/>
  <c r="BK47" i="29"/>
  <c r="BL47" i="29"/>
  <c r="BK8" i="29"/>
  <c r="BL8" i="29"/>
  <c r="BK25" i="29"/>
  <c r="BL25" i="29"/>
  <c r="BK29" i="29"/>
  <c r="BL29" i="29"/>
  <c r="BK7" i="29"/>
  <c r="BL7" i="29"/>
  <c r="BK12" i="29"/>
  <c r="BL12" i="29"/>
  <c r="BK36" i="29"/>
  <c r="BL36" i="29"/>
  <c r="BK27" i="29"/>
  <c r="BL27" i="29"/>
  <c r="BK33" i="29"/>
  <c r="BL33" i="29"/>
  <c r="BK10" i="29"/>
  <c r="BL10" i="29"/>
  <c r="BK14" i="29"/>
  <c r="BL14" i="29"/>
  <c r="BK18" i="29"/>
  <c r="BL18" i="29"/>
  <c r="BK52" i="29"/>
  <c r="BL52" i="29"/>
  <c r="BK43" i="29"/>
  <c r="BL43" i="29"/>
  <c r="BK40" i="29"/>
  <c r="BL40" i="29"/>
  <c r="BK54" i="29"/>
  <c r="BL54" i="29"/>
  <c r="BK16" i="29"/>
  <c r="BL16" i="29"/>
  <c r="BK24" i="29"/>
  <c r="BL24" i="29"/>
  <c r="BK41" i="29"/>
  <c r="BL41" i="29"/>
  <c r="BK11" i="29"/>
  <c r="BL11" i="29"/>
  <c r="BK28" i="29"/>
  <c r="BL28" i="29"/>
  <c r="BK22" i="29"/>
  <c r="BL22" i="29"/>
  <c r="BK49" i="29"/>
  <c r="BL49" i="29"/>
  <c r="BK46" i="29"/>
  <c r="BL46" i="29"/>
  <c r="BK5" i="29"/>
  <c r="BL5" i="29"/>
  <c r="BK35" i="29"/>
  <c r="BL35" i="29"/>
  <c r="BK34" i="29"/>
  <c r="BL34" i="29"/>
  <c r="BK51" i="29"/>
  <c r="BL51" i="29"/>
  <c r="BK31" i="29"/>
  <c r="AA30" i="29"/>
  <c r="AE12" i="13" s="1"/>
  <c r="BK30" i="29"/>
  <c r="BK4" i="29"/>
  <c r="BH8" i="29"/>
  <c r="BH25" i="29"/>
  <c r="BH29" i="29"/>
  <c r="BH7" i="29"/>
  <c r="BH12" i="29"/>
  <c r="BH36" i="29"/>
  <c r="BH27" i="29"/>
  <c r="BH33" i="29"/>
  <c r="BH10" i="29"/>
  <c r="BH14" i="29"/>
  <c r="BH18" i="29"/>
  <c r="BH52" i="29"/>
  <c r="BH43" i="29"/>
  <c r="BH40" i="29"/>
  <c r="BH39" i="29"/>
  <c r="BH45" i="29"/>
  <c r="BH31" i="29"/>
  <c r="BH32" i="29"/>
  <c r="BH53" i="29"/>
  <c r="BH15" i="29"/>
  <c r="BH44" i="29"/>
  <c r="BH48" i="29"/>
  <c r="BH9" i="29"/>
  <c r="BH23" i="29"/>
  <c r="BH26" i="29"/>
  <c r="BH37" i="29"/>
  <c r="BH42" i="29"/>
  <c r="BH17" i="29"/>
  <c r="BH21" i="29"/>
  <c r="BH38" i="29"/>
  <c r="BH50" i="29"/>
  <c r="BH55" i="29"/>
  <c r="BH6" i="29"/>
  <c r="BH20" i="29"/>
  <c r="BH19" i="29"/>
  <c r="BH13" i="29"/>
  <c r="BH30" i="29"/>
  <c r="BH47" i="29"/>
  <c r="BH54" i="29"/>
  <c r="BH16" i="29"/>
  <c r="BH24" i="29"/>
  <c r="BH41" i="29"/>
  <c r="BH11" i="29"/>
  <c r="BH28" i="29"/>
  <c r="BH22" i="29"/>
  <c r="BH49" i="29"/>
  <c r="BH46" i="29"/>
  <c r="BH5" i="29"/>
  <c r="BH35" i="29"/>
  <c r="BH34" i="29"/>
  <c r="BH51" i="29"/>
  <c r="AA4" i="29"/>
  <c r="E12" i="13" s="1"/>
  <c r="BH4" i="29"/>
  <c r="CK45" i="29"/>
  <c r="AA45" i="29"/>
  <c r="AT12" i="13" s="1"/>
  <c r="CK32" i="29"/>
  <c r="AA32" i="29"/>
  <c r="AG12" i="13" s="1"/>
  <c r="CK15" i="29"/>
  <c r="AA15" i="29"/>
  <c r="P12" i="13" s="1"/>
  <c r="CK48" i="29"/>
  <c r="AA48" i="29"/>
  <c r="AW12" i="13" s="1"/>
  <c r="CK26" i="29"/>
  <c r="AA26" i="29"/>
  <c r="AA12" i="13" s="1"/>
  <c r="CK42" i="29"/>
  <c r="AA42" i="29"/>
  <c r="AQ12" i="13" s="1"/>
  <c r="CK55" i="29"/>
  <c r="AA55" i="29"/>
  <c r="BD12" i="13" s="1"/>
  <c r="CK30" i="29"/>
  <c r="CK8" i="29"/>
  <c r="AA8" i="29"/>
  <c r="I12" i="13" s="1"/>
  <c r="CK29" i="29"/>
  <c r="AA29" i="29"/>
  <c r="AD12" i="13" s="1"/>
  <c r="CK12" i="29"/>
  <c r="AA12" i="29"/>
  <c r="M12" i="13" s="1"/>
  <c r="CK27" i="29"/>
  <c r="AA27" i="29"/>
  <c r="AB12" i="13" s="1"/>
  <c r="CK33" i="29"/>
  <c r="AA33" i="29"/>
  <c r="AH12" i="13" s="1"/>
  <c r="CK14" i="29"/>
  <c r="AA14" i="29"/>
  <c r="O12" i="13" s="1"/>
  <c r="CK18" i="29"/>
  <c r="AA18" i="29"/>
  <c r="S12" i="13" s="1"/>
  <c r="CK43" i="29"/>
  <c r="AA43" i="29"/>
  <c r="AR12" i="13" s="1"/>
  <c r="CK38" i="29"/>
  <c r="AA38" i="29"/>
  <c r="AM12" i="13" s="1"/>
  <c r="CK16" i="29"/>
  <c r="AA16" i="29"/>
  <c r="Q12" i="13" s="1"/>
  <c r="CK41" i="29"/>
  <c r="AA41" i="29"/>
  <c r="AP12" i="13" s="1"/>
  <c r="CK28" i="29"/>
  <c r="AA28" i="29"/>
  <c r="AC12" i="13" s="1"/>
  <c r="CK49" i="29"/>
  <c r="AA49" i="29"/>
  <c r="AX12" i="13" s="1"/>
  <c r="CK35" i="29"/>
  <c r="AA35" i="29"/>
  <c r="AJ12" i="13" s="1"/>
  <c r="CK51" i="29"/>
  <c r="AA51" i="29"/>
  <c r="AZ12" i="13" s="1"/>
  <c r="CK19" i="29"/>
  <c r="AA19" i="29"/>
  <c r="T12" i="13" s="1"/>
  <c r="CK39" i="29"/>
  <c r="AA39" i="29"/>
  <c r="AN12" i="13" s="1"/>
  <c r="CK31" i="29"/>
  <c r="CK53" i="29"/>
  <c r="AA53" i="29"/>
  <c r="BB12" i="13" s="1"/>
  <c r="CK44" i="29"/>
  <c r="AA44" i="29"/>
  <c r="AS12" i="13" s="1"/>
  <c r="CK9" i="29"/>
  <c r="AA9" i="29"/>
  <c r="J12" i="13" s="1"/>
  <c r="CK23" i="29"/>
  <c r="AA23" i="29"/>
  <c r="X12" i="13" s="1"/>
  <c r="CK37" i="29"/>
  <c r="AA37" i="29"/>
  <c r="AL12" i="13" s="1"/>
  <c r="CK17" i="29"/>
  <c r="AA17" i="29"/>
  <c r="R12" i="13" s="1"/>
  <c r="CK21" i="29"/>
  <c r="AA21" i="29"/>
  <c r="V12" i="13" s="1"/>
  <c r="CK50" i="29"/>
  <c r="AA50" i="29"/>
  <c r="AY12" i="13" s="1"/>
  <c r="CK6" i="29"/>
  <c r="AA6" i="29"/>
  <c r="G12" i="13" s="1"/>
  <c r="CK20" i="29"/>
  <c r="AA20" i="29"/>
  <c r="U12" i="13" s="1"/>
  <c r="CK13" i="29"/>
  <c r="AA13" i="29"/>
  <c r="N12" i="13" s="1"/>
  <c r="CK47" i="29"/>
  <c r="AA47" i="29"/>
  <c r="AV12" i="13" s="1"/>
  <c r="CK25" i="29"/>
  <c r="AA25" i="29"/>
  <c r="Z12" i="13" s="1"/>
  <c r="CK7" i="29"/>
  <c r="AA7" i="29"/>
  <c r="H12" i="13" s="1"/>
  <c r="CK36" i="29"/>
  <c r="AA36" i="29"/>
  <c r="AK12" i="13" s="1"/>
  <c r="CK10" i="29"/>
  <c r="AA10" i="29"/>
  <c r="K12" i="13" s="1"/>
  <c r="CK52" i="29"/>
  <c r="AA52" i="29"/>
  <c r="BA12" i="13" s="1"/>
  <c r="CK40" i="29"/>
  <c r="AA40" i="29"/>
  <c r="AO12" i="13" s="1"/>
  <c r="CK54" i="29"/>
  <c r="AA54" i="29"/>
  <c r="BC12" i="13" s="1"/>
  <c r="CK24" i="29"/>
  <c r="AA24" i="29"/>
  <c r="Y12" i="13" s="1"/>
  <c r="CK11" i="29"/>
  <c r="AA11" i="29"/>
  <c r="L12" i="13" s="1"/>
  <c r="CK22" i="29"/>
  <c r="AA22" i="29"/>
  <c r="W12" i="13" s="1"/>
  <c r="CK46" i="29"/>
  <c r="AA46" i="29"/>
  <c r="AU12" i="13" s="1"/>
  <c r="CK5" i="29"/>
  <c r="AA5" i="29"/>
  <c r="F12" i="13" s="1"/>
  <c r="CK34" i="29"/>
  <c r="AA34" i="29"/>
  <c r="AI12" i="13" s="1"/>
  <c r="BI4" i="29"/>
  <c r="E52" i="13" s="1"/>
  <c r="CK4" i="29"/>
  <c r="J64" i="15"/>
  <c r="O64" i="15"/>
  <c r="J30" i="15"/>
  <c r="O30" i="15"/>
  <c r="C55" i="14"/>
  <c r="D55" i="14"/>
  <c r="E55" i="14"/>
  <c r="H55" i="14"/>
  <c r="I55" i="14"/>
  <c r="G55" i="14"/>
  <c r="F55" i="14"/>
  <c r="F51" i="14"/>
  <c r="G51" i="14"/>
  <c r="H51" i="14"/>
  <c r="I51" i="14"/>
  <c r="C51" i="14"/>
  <c r="E51" i="14"/>
  <c r="D51" i="14"/>
  <c r="C56" i="14"/>
  <c r="G56" i="14"/>
  <c r="H56" i="14"/>
  <c r="I56" i="14"/>
  <c r="E56" i="14"/>
  <c r="D56" i="14"/>
  <c r="F56" i="14"/>
  <c r="F23" i="14"/>
  <c r="H23" i="14"/>
  <c r="I23" i="14"/>
  <c r="C23" i="14"/>
  <c r="D23" i="14"/>
  <c r="E23" i="14"/>
  <c r="G23" i="14"/>
  <c r="G16" i="14"/>
  <c r="H16" i="14"/>
  <c r="I16" i="14"/>
  <c r="C16" i="14"/>
  <c r="D16" i="14"/>
  <c r="E16" i="14"/>
  <c r="F16" i="14"/>
  <c r="D13" i="14"/>
  <c r="E13" i="14"/>
  <c r="F13" i="14"/>
  <c r="G13" i="14"/>
  <c r="H13" i="14"/>
  <c r="I13" i="14"/>
  <c r="C13" i="14"/>
  <c r="F11" i="14"/>
  <c r="G11" i="14"/>
  <c r="H11" i="14"/>
  <c r="I11" i="14"/>
  <c r="C11" i="14"/>
  <c r="D11" i="14"/>
  <c r="E11" i="14"/>
  <c r="G35" i="14"/>
  <c r="H35" i="14"/>
  <c r="I35" i="14"/>
  <c r="C35" i="14"/>
  <c r="D35" i="14"/>
  <c r="E35" i="14"/>
  <c r="F35" i="14"/>
  <c r="E58" i="14"/>
  <c r="F58" i="14"/>
  <c r="G58" i="14"/>
  <c r="H58" i="14"/>
  <c r="C58" i="14"/>
  <c r="I58" i="14"/>
  <c r="D58" i="14"/>
  <c r="C8" i="14"/>
  <c r="D8" i="14"/>
  <c r="E8" i="14"/>
  <c r="F8" i="14"/>
  <c r="G8" i="14"/>
  <c r="H8" i="14"/>
  <c r="I8" i="14"/>
  <c r="H40" i="14"/>
  <c r="E40" i="14"/>
  <c r="F40" i="14"/>
  <c r="G40" i="14"/>
  <c r="C40" i="14"/>
  <c r="D40" i="14"/>
  <c r="I40" i="14"/>
  <c r="G37" i="14"/>
  <c r="H37" i="14"/>
  <c r="I37" i="14"/>
  <c r="C37" i="14"/>
  <c r="D37" i="14"/>
  <c r="E37" i="14"/>
  <c r="F37" i="14"/>
  <c r="E30" i="14"/>
  <c r="F30" i="14"/>
  <c r="G30" i="14"/>
  <c r="H30" i="14"/>
  <c r="I30" i="14"/>
  <c r="C30" i="14"/>
  <c r="D30" i="14"/>
  <c r="C15" i="14"/>
  <c r="D15" i="14"/>
  <c r="E15" i="14"/>
  <c r="F15" i="14"/>
  <c r="G15" i="14"/>
  <c r="H15" i="14"/>
  <c r="I15" i="14"/>
  <c r="D53" i="14"/>
  <c r="E53" i="14"/>
  <c r="F53" i="14"/>
  <c r="G53" i="14"/>
  <c r="C53" i="14"/>
  <c r="H53" i="14"/>
  <c r="I53" i="14"/>
  <c r="I38" i="14"/>
  <c r="C38" i="14"/>
  <c r="D38" i="14"/>
  <c r="G38" i="14"/>
  <c r="H38" i="14"/>
  <c r="E38" i="14"/>
  <c r="F38" i="14"/>
  <c r="D20" i="14"/>
  <c r="E20" i="14"/>
  <c r="F20" i="14"/>
  <c r="G20" i="14"/>
  <c r="H20" i="14"/>
  <c r="I20" i="14"/>
  <c r="C20" i="14"/>
  <c r="C17" i="14"/>
  <c r="D17" i="14"/>
  <c r="E17" i="14"/>
  <c r="F17" i="14"/>
  <c r="G17" i="14"/>
  <c r="H17" i="14"/>
  <c r="I17" i="14"/>
  <c r="C10" i="14"/>
  <c r="D10" i="14"/>
  <c r="E10" i="14"/>
  <c r="F10" i="14"/>
  <c r="G10" i="14"/>
  <c r="H10" i="14"/>
  <c r="I10" i="14"/>
  <c r="C48" i="14"/>
  <c r="E48" i="14"/>
  <c r="F48" i="14"/>
  <c r="D48" i="14"/>
  <c r="I48" i="14"/>
  <c r="G48" i="14"/>
  <c r="H48" i="14"/>
  <c r="C31" i="14"/>
  <c r="D31" i="14"/>
  <c r="E31" i="14"/>
  <c r="F31" i="14"/>
  <c r="G31" i="14"/>
  <c r="H31" i="14"/>
  <c r="I31" i="14"/>
  <c r="H9" i="14"/>
  <c r="I9" i="14"/>
  <c r="C9" i="14"/>
  <c r="D9" i="14"/>
  <c r="E9" i="14"/>
  <c r="F9" i="14"/>
  <c r="G9" i="14"/>
  <c r="C34" i="14"/>
  <c r="D34" i="14"/>
  <c r="E34" i="14"/>
  <c r="F34" i="14"/>
  <c r="H34" i="14"/>
  <c r="G34" i="14"/>
  <c r="I34" i="14"/>
  <c r="E25" i="14"/>
  <c r="F25" i="14"/>
  <c r="G25" i="14"/>
  <c r="H25" i="14"/>
  <c r="I25" i="14"/>
  <c r="C25" i="14"/>
  <c r="D25" i="14"/>
  <c r="E52" i="14"/>
  <c r="F52" i="14"/>
  <c r="G52" i="14"/>
  <c r="H52" i="14"/>
  <c r="C52" i="14"/>
  <c r="D52" i="14"/>
  <c r="I52" i="14"/>
  <c r="C12" i="14"/>
  <c r="D12" i="14"/>
  <c r="E12" i="14"/>
  <c r="F12" i="14"/>
  <c r="G12" i="14"/>
  <c r="H12" i="14"/>
  <c r="I12" i="14"/>
  <c r="C7" i="14"/>
  <c r="D7" i="14"/>
  <c r="E7" i="14"/>
  <c r="E32" i="14"/>
  <c r="F32" i="14"/>
  <c r="G32" i="14"/>
  <c r="H32" i="14"/>
  <c r="I32" i="14"/>
  <c r="C32" i="14"/>
  <c r="D32" i="14"/>
  <c r="I42" i="14"/>
  <c r="C42" i="14"/>
  <c r="D42" i="14"/>
  <c r="E42" i="14"/>
  <c r="F42" i="14"/>
  <c r="H42" i="14"/>
  <c r="G42" i="14"/>
  <c r="H28" i="14"/>
  <c r="I28" i="14"/>
  <c r="C28" i="14"/>
  <c r="D28" i="14"/>
  <c r="E28" i="14"/>
  <c r="F28" i="14"/>
  <c r="G28" i="14"/>
  <c r="C57" i="14"/>
  <c r="F57" i="14"/>
  <c r="G57" i="14"/>
  <c r="H57" i="14"/>
  <c r="E57" i="14"/>
  <c r="D57" i="14"/>
  <c r="I57" i="14"/>
  <c r="F47" i="14"/>
  <c r="D47" i="14"/>
  <c r="E47" i="14"/>
  <c r="G47" i="14"/>
  <c r="I47" i="14"/>
  <c r="C47" i="14"/>
  <c r="H47" i="14"/>
  <c r="H21" i="14"/>
  <c r="I21" i="14"/>
  <c r="C21" i="14"/>
  <c r="D21" i="14"/>
  <c r="E21" i="14"/>
  <c r="F21" i="14"/>
  <c r="G21" i="14"/>
  <c r="C50" i="14"/>
  <c r="D50" i="14"/>
  <c r="G50" i="14"/>
  <c r="H50" i="14"/>
  <c r="I50" i="14"/>
  <c r="E50" i="14"/>
  <c r="F50" i="14"/>
  <c r="E49" i="14"/>
  <c r="H49" i="14"/>
  <c r="I49" i="14"/>
  <c r="C49" i="14"/>
  <c r="D49" i="14"/>
  <c r="F49" i="14"/>
  <c r="G49" i="14"/>
  <c r="F39" i="14"/>
  <c r="G39" i="14"/>
  <c r="H39" i="14"/>
  <c r="I39" i="14"/>
  <c r="C39" i="14"/>
  <c r="D39" i="14"/>
  <c r="E39" i="14"/>
  <c r="C45" i="14"/>
  <c r="F45" i="14"/>
  <c r="G45" i="14"/>
  <c r="H45" i="14"/>
  <c r="D45" i="14"/>
  <c r="E45" i="14"/>
  <c r="C24" i="14"/>
  <c r="D24" i="14"/>
  <c r="E24" i="14"/>
  <c r="F24" i="14"/>
  <c r="G24" i="14"/>
  <c r="H24" i="14"/>
  <c r="I24" i="14"/>
  <c r="C29" i="14"/>
  <c r="D29" i="14"/>
  <c r="E29" i="14"/>
  <c r="F29" i="14"/>
  <c r="G29" i="14"/>
  <c r="H29" i="14"/>
  <c r="I29" i="14"/>
  <c r="C36" i="14"/>
  <c r="E36" i="14"/>
  <c r="D36" i="14"/>
  <c r="F36" i="14"/>
  <c r="G36" i="14"/>
  <c r="H36" i="14"/>
  <c r="I36" i="14"/>
  <c r="E18" i="14"/>
  <c r="F18" i="14"/>
  <c r="G18" i="14"/>
  <c r="H18" i="14"/>
  <c r="I18" i="14"/>
  <c r="C18" i="14"/>
  <c r="D18" i="14"/>
  <c r="I14" i="14"/>
  <c r="C14" i="14"/>
  <c r="D14" i="14"/>
  <c r="E14" i="14"/>
  <c r="F14" i="14"/>
  <c r="G14" i="14"/>
  <c r="H14" i="14"/>
  <c r="E46" i="14"/>
  <c r="F46" i="14"/>
  <c r="G46" i="14"/>
  <c r="H46" i="14"/>
  <c r="C46" i="14"/>
  <c r="D46" i="14"/>
  <c r="I46" i="14"/>
  <c r="C43" i="14"/>
  <c r="D43" i="14"/>
  <c r="E43" i="14"/>
  <c r="H43" i="14"/>
  <c r="I43" i="14"/>
  <c r="F43" i="14"/>
  <c r="G43" i="14"/>
  <c r="C22" i="14"/>
  <c r="D22" i="14"/>
  <c r="E22" i="14"/>
  <c r="F22" i="14"/>
  <c r="G22" i="14"/>
  <c r="H22" i="14"/>
  <c r="I22" i="14"/>
  <c r="I33" i="14"/>
  <c r="D33" i="14"/>
  <c r="C33" i="14"/>
  <c r="E33" i="14"/>
  <c r="F33" i="14"/>
  <c r="G33" i="14"/>
  <c r="H33" i="14"/>
  <c r="G44" i="14"/>
  <c r="H44" i="14"/>
  <c r="I44" i="14"/>
  <c r="C44" i="14"/>
  <c r="D44" i="14"/>
  <c r="E44" i="14"/>
  <c r="F44" i="14"/>
  <c r="C26" i="14"/>
  <c r="D26" i="14"/>
  <c r="E26" i="14"/>
  <c r="F26" i="14"/>
  <c r="G26" i="14"/>
  <c r="H26" i="14"/>
  <c r="I26" i="14"/>
  <c r="D19" i="14"/>
  <c r="E19" i="14"/>
  <c r="C19" i="14"/>
  <c r="F19" i="14"/>
  <c r="G19" i="14"/>
  <c r="H19" i="14"/>
  <c r="I19" i="14"/>
  <c r="I54" i="14"/>
  <c r="C54" i="14"/>
  <c r="D54" i="14"/>
  <c r="E54" i="14"/>
  <c r="F54" i="14"/>
  <c r="G54" i="14"/>
  <c r="H54" i="14"/>
  <c r="D41" i="14"/>
  <c r="E41" i="14"/>
  <c r="F41" i="14"/>
  <c r="G41" i="14"/>
  <c r="C41" i="14"/>
  <c r="H41" i="14"/>
  <c r="I41" i="14"/>
  <c r="C27" i="14"/>
  <c r="D27" i="14"/>
  <c r="E27" i="14"/>
  <c r="F27" i="14"/>
  <c r="G27" i="14"/>
  <c r="I27" i="14"/>
  <c r="H27" i="14"/>
  <c r="BI13" i="29"/>
  <c r="E61" i="13" s="1"/>
  <c r="BI30" i="29"/>
  <c r="E78" i="13" s="1"/>
  <c r="BI47" i="29"/>
  <c r="BI8" i="29"/>
  <c r="E56" i="13" s="1"/>
  <c r="BI25" i="29"/>
  <c r="E73" i="13" s="1"/>
  <c r="BI29" i="29"/>
  <c r="E77" i="13" s="1"/>
  <c r="BI7" i="29"/>
  <c r="E55" i="13" s="1"/>
  <c r="BI12" i="29"/>
  <c r="E60" i="13" s="1"/>
  <c r="BI36" i="29"/>
  <c r="E84" i="13" s="1"/>
  <c r="BI33" i="29"/>
  <c r="E81" i="13" s="1"/>
  <c r="BI10" i="29"/>
  <c r="E58" i="13" s="1"/>
  <c r="BI14" i="29"/>
  <c r="E62" i="13" s="1"/>
  <c r="BI23" i="29"/>
  <c r="E71" i="13" s="1"/>
  <c r="BI26" i="29"/>
  <c r="E74" i="13" s="1"/>
  <c r="BI37" i="29"/>
  <c r="E85" i="13" s="1"/>
  <c r="BI42" i="29"/>
  <c r="E90" i="13" s="1"/>
  <c r="BI17" i="29"/>
  <c r="E65" i="13" s="1"/>
  <c r="BI21" i="29"/>
  <c r="E69" i="13" s="1"/>
  <c r="BI38" i="29"/>
  <c r="E86" i="13" s="1"/>
  <c r="BI50" i="29"/>
  <c r="BI55" i="29"/>
  <c r="BI6" i="29"/>
  <c r="E54" i="13" s="1"/>
  <c r="BI20" i="29"/>
  <c r="E68" i="13" s="1"/>
  <c r="BI19" i="29"/>
  <c r="E67" i="13" s="1"/>
  <c r="BI27" i="29"/>
  <c r="E75" i="13" s="1"/>
  <c r="BI5" i="29"/>
  <c r="E53" i="13" s="1"/>
  <c r="BI35" i="29"/>
  <c r="E83" i="13" s="1"/>
  <c r="BI34" i="29"/>
  <c r="E82" i="13" s="1"/>
  <c r="BI51" i="29"/>
  <c r="BI39" i="29"/>
  <c r="E87" i="13" s="1"/>
  <c r="BI45" i="29"/>
  <c r="BI31" i="29"/>
  <c r="E79" i="13" s="1"/>
  <c r="BI32" i="29"/>
  <c r="E80" i="13" s="1"/>
  <c r="BI53" i="29"/>
  <c r="BI15" i="29"/>
  <c r="E63" i="13" s="1"/>
  <c r="BI44" i="29"/>
  <c r="E92" i="13" s="1"/>
  <c r="BI48" i="29"/>
  <c r="BI9" i="29"/>
  <c r="E57" i="13" s="1"/>
  <c r="BI18" i="29"/>
  <c r="E66" i="13" s="1"/>
  <c r="BI52" i="29"/>
  <c r="BI43" i="29"/>
  <c r="E91" i="13" s="1"/>
  <c r="BI40" i="29"/>
  <c r="E88" i="13" s="1"/>
  <c r="BI54" i="29"/>
  <c r="BI16" i="29"/>
  <c r="E64" i="13" s="1"/>
  <c r="BI24" i="29"/>
  <c r="E72" i="13" s="1"/>
  <c r="BI41" i="29"/>
  <c r="E89" i="13" s="1"/>
  <c r="BI11" i="29"/>
  <c r="E59" i="13" s="1"/>
  <c r="BI28" i="29"/>
  <c r="E76" i="13" s="1"/>
  <c r="BI22" i="29"/>
  <c r="E70" i="13" s="1"/>
  <c r="BI49" i="29"/>
  <c r="BI46" i="29"/>
  <c r="I54" i="16"/>
  <c r="AU30" i="29"/>
  <c r="AE19" i="13" s="1"/>
  <c r="AG30" i="29"/>
  <c r="AE18" i="13" s="1"/>
  <c r="AU4" i="29"/>
  <c r="E19" i="13" s="1"/>
  <c r="AG4" i="29"/>
  <c r="E18" i="13" s="1"/>
  <c r="AU8" i="29"/>
  <c r="I19" i="13" s="1"/>
  <c r="AG8" i="29"/>
  <c r="I18" i="13" s="1"/>
  <c r="AU25" i="29"/>
  <c r="Z19" i="13" s="1"/>
  <c r="AG25" i="29"/>
  <c r="Z18" i="13" s="1"/>
  <c r="AU29" i="29"/>
  <c r="AD19" i="13" s="1"/>
  <c r="AG29" i="29"/>
  <c r="AD18" i="13" s="1"/>
  <c r="AU7" i="29"/>
  <c r="H19" i="13" s="1"/>
  <c r="AG7" i="29"/>
  <c r="H18" i="13" s="1"/>
  <c r="AU12" i="29"/>
  <c r="M19" i="13" s="1"/>
  <c r="AG12" i="29"/>
  <c r="M18" i="13" s="1"/>
  <c r="AU36" i="29"/>
  <c r="AK19" i="13" s="1"/>
  <c r="AG36" i="29"/>
  <c r="AK18" i="13" s="1"/>
  <c r="AU33" i="29"/>
  <c r="AH19" i="13" s="1"/>
  <c r="AG33" i="29"/>
  <c r="AH18" i="13" s="1"/>
  <c r="AU10" i="29"/>
  <c r="K19" i="13" s="1"/>
  <c r="AG10" i="29"/>
  <c r="K18" i="13" s="1"/>
  <c r="AU14" i="29"/>
  <c r="O19" i="13" s="1"/>
  <c r="AG14" i="29"/>
  <c r="O18" i="13" s="1"/>
  <c r="AU13" i="29"/>
  <c r="N19" i="13" s="1"/>
  <c r="AG13" i="29"/>
  <c r="N18" i="13" s="1"/>
  <c r="AU47" i="29"/>
  <c r="AV19" i="13" s="1"/>
  <c r="AG47" i="29"/>
  <c r="AV18" i="13" s="1"/>
  <c r="AU23" i="29"/>
  <c r="X19" i="13" s="1"/>
  <c r="AG23" i="29"/>
  <c r="X18" i="13" s="1"/>
  <c r="AU26" i="29"/>
  <c r="AA19" i="13" s="1"/>
  <c r="AG26" i="29"/>
  <c r="AA18" i="13" s="1"/>
  <c r="AU37" i="29"/>
  <c r="AL19" i="13" s="1"/>
  <c r="AG37" i="29"/>
  <c r="AL18" i="13" s="1"/>
  <c r="AU42" i="29"/>
  <c r="AQ19" i="13" s="1"/>
  <c r="AG42" i="29"/>
  <c r="AQ18" i="13" s="1"/>
  <c r="AU17" i="29"/>
  <c r="R19" i="13" s="1"/>
  <c r="AG17" i="29"/>
  <c r="R18" i="13" s="1"/>
  <c r="AU21" i="29"/>
  <c r="V19" i="13" s="1"/>
  <c r="AG21" i="29"/>
  <c r="V18" i="13" s="1"/>
  <c r="AU38" i="29"/>
  <c r="AM19" i="13" s="1"/>
  <c r="AG38" i="29"/>
  <c r="AM18" i="13" s="1"/>
  <c r="AU50" i="29"/>
  <c r="AY19" i="13" s="1"/>
  <c r="AG50" i="29"/>
  <c r="AY18" i="13" s="1"/>
  <c r="AU55" i="29"/>
  <c r="BD19" i="13" s="1"/>
  <c r="AG55" i="29"/>
  <c r="BD18" i="13" s="1"/>
  <c r="AU6" i="29"/>
  <c r="G19" i="13" s="1"/>
  <c r="AG6" i="29"/>
  <c r="G18" i="13" s="1"/>
  <c r="AU20" i="29"/>
  <c r="U19" i="13" s="1"/>
  <c r="AG20" i="29"/>
  <c r="U18" i="13" s="1"/>
  <c r="AU19" i="29"/>
  <c r="T19" i="13" s="1"/>
  <c r="AG19" i="29"/>
  <c r="T18" i="13" s="1"/>
  <c r="AU27" i="29"/>
  <c r="AB19" i="13" s="1"/>
  <c r="AG27" i="29"/>
  <c r="AB18" i="13" s="1"/>
  <c r="AU5" i="29"/>
  <c r="F19" i="13" s="1"/>
  <c r="AG5" i="29"/>
  <c r="F18" i="13" s="1"/>
  <c r="AU35" i="29"/>
  <c r="AJ19" i="13" s="1"/>
  <c r="AG35" i="29"/>
  <c r="AJ18" i="13" s="1"/>
  <c r="AU34" i="29"/>
  <c r="AI19" i="13" s="1"/>
  <c r="AG34" i="29"/>
  <c r="AI18" i="13" s="1"/>
  <c r="AU51" i="29"/>
  <c r="AZ19" i="13" s="1"/>
  <c r="AG51" i="29"/>
  <c r="AZ18" i="13" s="1"/>
  <c r="AU39" i="29"/>
  <c r="AN19" i="13" s="1"/>
  <c r="AG39" i="29"/>
  <c r="AN18" i="13" s="1"/>
  <c r="AU45" i="29"/>
  <c r="AT19" i="13" s="1"/>
  <c r="AG45" i="29"/>
  <c r="AT18" i="13" s="1"/>
  <c r="AU31" i="29"/>
  <c r="AF19" i="13" s="1"/>
  <c r="AG31" i="29"/>
  <c r="AF18" i="13" s="1"/>
  <c r="AU32" i="29"/>
  <c r="AG19" i="13" s="1"/>
  <c r="AG32" i="29"/>
  <c r="AG18" i="13" s="1"/>
  <c r="AU53" i="29"/>
  <c r="BB19" i="13" s="1"/>
  <c r="AG53" i="29"/>
  <c r="BB18" i="13" s="1"/>
  <c r="AU15" i="29"/>
  <c r="P19" i="13" s="1"/>
  <c r="AG15" i="29"/>
  <c r="P18" i="13" s="1"/>
  <c r="AU44" i="29"/>
  <c r="AS19" i="13" s="1"/>
  <c r="AG44" i="29"/>
  <c r="AS18" i="13" s="1"/>
  <c r="AU48" i="29"/>
  <c r="AW19" i="13" s="1"/>
  <c r="AG48" i="29"/>
  <c r="AW18" i="13" s="1"/>
  <c r="AU9" i="29"/>
  <c r="J19" i="13" s="1"/>
  <c r="AG9" i="29"/>
  <c r="J18" i="13" s="1"/>
  <c r="AU18" i="29"/>
  <c r="S19" i="13" s="1"/>
  <c r="AG18" i="29"/>
  <c r="S18" i="13" s="1"/>
  <c r="AU52" i="29"/>
  <c r="BA19" i="13" s="1"/>
  <c r="AG52" i="29"/>
  <c r="BA18" i="13" s="1"/>
  <c r="AU43" i="29"/>
  <c r="AR19" i="13" s="1"/>
  <c r="AG43" i="29"/>
  <c r="AR18" i="13" s="1"/>
  <c r="AU40" i="29"/>
  <c r="AO19" i="13" s="1"/>
  <c r="AG40" i="29"/>
  <c r="AO18" i="13" s="1"/>
  <c r="AU54" i="29"/>
  <c r="BC19" i="13" s="1"/>
  <c r="AG54" i="29"/>
  <c r="BC18" i="13" s="1"/>
  <c r="AU16" i="29"/>
  <c r="Q19" i="13" s="1"/>
  <c r="AG16" i="29"/>
  <c r="Q18" i="13" s="1"/>
  <c r="AU24" i="29"/>
  <c r="Y19" i="13" s="1"/>
  <c r="AG24" i="29"/>
  <c r="Y18" i="13" s="1"/>
  <c r="AU41" i="29"/>
  <c r="AP19" i="13" s="1"/>
  <c r="AG41" i="29"/>
  <c r="AP18" i="13" s="1"/>
  <c r="AU11" i="29"/>
  <c r="L19" i="13" s="1"/>
  <c r="AG11" i="29"/>
  <c r="L18" i="13" s="1"/>
  <c r="AU28" i="29"/>
  <c r="AC19" i="13" s="1"/>
  <c r="AG28" i="29"/>
  <c r="AC18" i="13" s="1"/>
  <c r="AU22" i="29"/>
  <c r="W19" i="13" s="1"/>
  <c r="AG22" i="29"/>
  <c r="W18" i="13" s="1"/>
  <c r="AU49" i="29"/>
  <c r="AX19" i="13" s="1"/>
  <c r="AG49" i="29"/>
  <c r="AX18" i="13" s="1"/>
  <c r="AU46" i="29"/>
  <c r="AU19" i="13" s="1"/>
  <c r="AG46" i="29"/>
  <c r="AU18" i="13" s="1"/>
  <c r="H46" i="11"/>
  <c r="BE13" i="29"/>
  <c r="N29" i="13" s="1"/>
  <c r="BF13" i="29"/>
  <c r="BG13" i="29"/>
  <c r="BE30" i="29"/>
  <c r="AE29" i="13" s="1"/>
  <c r="BF30" i="29"/>
  <c r="BG30" i="29"/>
  <c r="BE47" i="29"/>
  <c r="AV29" i="13" s="1"/>
  <c r="BG47" i="29"/>
  <c r="BF47" i="29"/>
  <c r="BE29" i="29"/>
  <c r="AD29" i="13" s="1"/>
  <c r="BF29" i="29"/>
  <c r="BG29" i="29"/>
  <c r="BF8" i="29"/>
  <c r="BG8" i="29"/>
  <c r="BE8" i="29"/>
  <c r="I29" i="13" s="1"/>
  <c r="BE7" i="29"/>
  <c r="H29" i="13" s="1"/>
  <c r="BF7" i="29"/>
  <c r="BG7" i="29"/>
  <c r="BF36" i="29"/>
  <c r="BG36" i="29"/>
  <c r="BE36" i="29"/>
  <c r="AK29" i="13" s="1"/>
  <c r="BE33" i="29"/>
  <c r="AH29" i="13" s="1"/>
  <c r="BF33" i="29"/>
  <c r="BG33" i="29"/>
  <c r="BE14" i="29"/>
  <c r="O29" i="13" s="1"/>
  <c r="BF14" i="29"/>
  <c r="BG14" i="29"/>
  <c r="BG23" i="29"/>
  <c r="BE23" i="29"/>
  <c r="X29" i="13" s="1"/>
  <c r="BF23" i="29"/>
  <c r="BE26" i="29"/>
  <c r="AA29" i="13" s="1"/>
  <c r="BF26" i="29"/>
  <c r="BG26" i="29"/>
  <c r="BE37" i="29"/>
  <c r="AL29" i="13" s="1"/>
  <c r="BF37" i="29"/>
  <c r="BG37" i="29"/>
  <c r="BE42" i="29"/>
  <c r="AQ29" i="13" s="1"/>
  <c r="BF42" i="29"/>
  <c r="BG42" i="29"/>
  <c r="BE17" i="29"/>
  <c r="R29" i="13" s="1"/>
  <c r="BF17" i="29"/>
  <c r="BG17" i="29"/>
  <c r="BE21" i="29"/>
  <c r="V29" i="13" s="1"/>
  <c r="BF21" i="29"/>
  <c r="BG21" i="29"/>
  <c r="BE38" i="29"/>
  <c r="AM29" i="13" s="1"/>
  <c r="BF38" i="29"/>
  <c r="BG38" i="29"/>
  <c r="BE50" i="29"/>
  <c r="AY29" i="13" s="1"/>
  <c r="BF50" i="29"/>
  <c r="BG50" i="29"/>
  <c r="BG55" i="29"/>
  <c r="BE55" i="29"/>
  <c r="BD29" i="13" s="1"/>
  <c r="BF55" i="29"/>
  <c r="BE6" i="29"/>
  <c r="G29" i="13" s="1"/>
  <c r="BF6" i="29"/>
  <c r="BG6" i="29"/>
  <c r="BF20" i="29"/>
  <c r="BG20" i="29"/>
  <c r="BE20" i="29"/>
  <c r="U29" i="13" s="1"/>
  <c r="BG19" i="29"/>
  <c r="BE19" i="29"/>
  <c r="T29" i="13" s="1"/>
  <c r="BF19" i="29"/>
  <c r="BG27" i="29"/>
  <c r="BE27" i="29"/>
  <c r="AB29" i="13" s="1"/>
  <c r="BF27" i="29"/>
  <c r="BE5" i="29"/>
  <c r="F29" i="13" s="1"/>
  <c r="BF5" i="29"/>
  <c r="BG5" i="29"/>
  <c r="BG35" i="29"/>
  <c r="BE35" i="29"/>
  <c r="AJ29" i="13" s="1"/>
  <c r="BF35" i="29"/>
  <c r="BE34" i="29"/>
  <c r="AI29" i="13" s="1"/>
  <c r="BF34" i="29"/>
  <c r="BG34" i="29"/>
  <c r="BG51" i="29"/>
  <c r="BE51" i="29"/>
  <c r="AZ29" i="13" s="1"/>
  <c r="BF51" i="29"/>
  <c r="E26" i="13"/>
  <c r="BF4" i="29"/>
  <c r="BD4" i="29"/>
  <c r="E28" i="13" s="1"/>
  <c r="BE4" i="29"/>
  <c r="E29" i="13" s="1"/>
  <c r="BG4" i="29"/>
  <c r="BE25" i="29"/>
  <c r="Z29" i="13" s="1"/>
  <c r="BF25" i="29"/>
  <c r="BG25" i="29"/>
  <c r="BF12" i="29"/>
  <c r="BG12" i="29"/>
  <c r="BE12" i="29"/>
  <c r="M29" i="13" s="1"/>
  <c r="BE10" i="29"/>
  <c r="K29" i="13" s="1"/>
  <c r="BF10" i="29"/>
  <c r="BG10" i="29"/>
  <c r="BG39" i="29"/>
  <c r="BE39" i="29"/>
  <c r="AN29" i="13" s="1"/>
  <c r="BF39" i="29"/>
  <c r="BE45" i="29"/>
  <c r="AT29" i="13" s="1"/>
  <c r="BF45" i="29"/>
  <c r="BG45" i="29"/>
  <c r="BG31" i="29"/>
  <c r="BE31" i="29"/>
  <c r="AF29" i="13" s="1"/>
  <c r="BF31" i="29"/>
  <c r="BF32" i="29"/>
  <c r="BG32" i="29"/>
  <c r="BE32" i="29"/>
  <c r="AG29" i="13" s="1"/>
  <c r="BE53" i="29"/>
  <c r="BB29" i="13" s="1"/>
  <c r="BF53" i="29"/>
  <c r="BG53" i="29"/>
  <c r="BG15" i="29"/>
  <c r="BE15" i="29"/>
  <c r="P29" i="13" s="1"/>
  <c r="BF15" i="29"/>
  <c r="BF44" i="29"/>
  <c r="BG44" i="29"/>
  <c r="BE44" i="29"/>
  <c r="AS29" i="13" s="1"/>
  <c r="BF48" i="29"/>
  <c r="BG48" i="29"/>
  <c r="BE48" i="29"/>
  <c r="AW29" i="13" s="1"/>
  <c r="BE9" i="29"/>
  <c r="J29" i="13" s="1"/>
  <c r="BF9" i="29"/>
  <c r="BG9" i="29"/>
  <c r="BE18" i="29"/>
  <c r="S29" i="13" s="1"/>
  <c r="BF18" i="29"/>
  <c r="BG18" i="29"/>
  <c r="BF52" i="29"/>
  <c r="BG52" i="29"/>
  <c r="BE52" i="29"/>
  <c r="BA29" i="13" s="1"/>
  <c r="BG43" i="29"/>
  <c r="BE43" i="29"/>
  <c r="AR29" i="13" s="1"/>
  <c r="BF43" i="29"/>
  <c r="BF40" i="29"/>
  <c r="BG40" i="29"/>
  <c r="BE40" i="29"/>
  <c r="AO29" i="13" s="1"/>
  <c r="BE54" i="29"/>
  <c r="BC29" i="13" s="1"/>
  <c r="BF54" i="29"/>
  <c r="BG54" i="29"/>
  <c r="BF16" i="29"/>
  <c r="BG16" i="29"/>
  <c r="BE16" i="29"/>
  <c r="Q29" i="13" s="1"/>
  <c r="BF24" i="29"/>
  <c r="BG24" i="29"/>
  <c r="BE24" i="29"/>
  <c r="Y29" i="13" s="1"/>
  <c r="BE41" i="29"/>
  <c r="AP29" i="13" s="1"/>
  <c r="BF41" i="29"/>
  <c r="BG41" i="29"/>
  <c r="BE11" i="29"/>
  <c r="L29" i="13" s="1"/>
  <c r="BF11" i="29"/>
  <c r="BG11" i="29"/>
  <c r="BF28" i="29"/>
  <c r="BG28" i="29"/>
  <c r="BE28" i="29"/>
  <c r="AC29" i="13" s="1"/>
  <c r="BE22" i="29"/>
  <c r="W29" i="13" s="1"/>
  <c r="BF22" i="29"/>
  <c r="BG22" i="29"/>
  <c r="BE49" i="29"/>
  <c r="AX29" i="13" s="1"/>
  <c r="BF49" i="29"/>
  <c r="BG49" i="29"/>
  <c r="BE46" i="29"/>
  <c r="AU29" i="13" s="1"/>
  <c r="BF46" i="29"/>
  <c r="BG46" i="29"/>
  <c r="CE54" i="29"/>
  <c r="CD54" i="29"/>
  <c r="CC54" i="29"/>
  <c r="CB54" i="29"/>
  <c r="CA54" i="29"/>
  <c r="BZ54" i="29"/>
  <c r="BY54" i="29"/>
  <c r="CJ54" i="29"/>
  <c r="CI54" i="29"/>
  <c r="CH54" i="29"/>
  <c r="CF54" i="29"/>
  <c r="CG54" i="29"/>
  <c r="CG16" i="29"/>
  <c r="CB16" i="29"/>
  <c r="CJ16" i="29"/>
  <c r="CI16" i="29"/>
  <c r="CH16" i="29"/>
  <c r="CF16" i="29"/>
  <c r="CE16" i="29"/>
  <c r="CD16" i="29"/>
  <c r="CC16" i="29"/>
  <c r="CA16" i="29"/>
  <c r="BZ16" i="29"/>
  <c r="BY16" i="29"/>
  <c r="BY24" i="29"/>
  <c r="CF24" i="29"/>
  <c r="CJ24" i="29"/>
  <c r="CI24" i="29"/>
  <c r="CH24" i="29"/>
  <c r="CG24" i="29"/>
  <c r="CE24" i="29"/>
  <c r="CD24" i="29"/>
  <c r="CC24" i="29"/>
  <c r="CB24" i="29"/>
  <c r="BZ24" i="29"/>
  <c r="CA24" i="29"/>
  <c r="CI41" i="29"/>
  <c r="CE41" i="29"/>
  <c r="CC41" i="29"/>
  <c r="CB41" i="29"/>
  <c r="CJ41" i="29"/>
  <c r="CH41" i="29"/>
  <c r="CG41" i="29"/>
  <c r="CF41" i="29"/>
  <c r="CD41" i="29"/>
  <c r="CA41" i="29"/>
  <c r="BZ41" i="29"/>
  <c r="BY41" i="29"/>
  <c r="CC11" i="29"/>
  <c r="CJ11" i="29"/>
  <c r="CE11" i="29"/>
  <c r="CD11" i="29"/>
  <c r="CB11" i="29"/>
  <c r="CA11" i="29"/>
  <c r="BZ11" i="29"/>
  <c r="BY11" i="29"/>
  <c r="CI11" i="29"/>
  <c r="CH11" i="29"/>
  <c r="CF11" i="29"/>
  <c r="CG11" i="29"/>
  <c r="CG28" i="29"/>
  <c r="CB28" i="29"/>
  <c r="CF28" i="29"/>
  <c r="CE28" i="29"/>
  <c r="CD28" i="29"/>
  <c r="CC28" i="29"/>
  <c r="CA28" i="29"/>
  <c r="BZ28" i="29"/>
  <c r="BY28" i="29"/>
  <c r="CJ28" i="29"/>
  <c r="CH28" i="29"/>
  <c r="CI28" i="29"/>
  <c r="CG22" i="29"/>
  <c r="CB22" i="29"/>
  <c r="CA22" i="29"/>
  <c r="BZ22" i="29"/>
  <c r="BY22" i="29"/>
  <c r="CJ22" i="29"/>
  <c r="CI22" i="29"/>
  <c r="CH22" i="29"/>
  <c r="CF22" i="29"/>
  <c r="CE22" i="29"/>
  <c r="CC22" i="29"/>
  <c r="CD22" i="29"/>
  <c r="CA49" i="29"/>
  <c r="CI49" i="29"/>
  <c r="CG49" i="29"/>
  <c r="CF49" i="29"/>
  <c r="CB49" i="29"/>
  <c r="CJ49" i="29"/>
  <c r="CH49" i="29"/>
  <c r="CE49" i="29"/>
  <c r="CD49" i="29"/>
  <c r="CC49" i="29"/>
  <c r="BZ49" i="29"/>
  <c r="BY49" i="29"/>
  <c r="CA46" i="29"/>
  <c r="CI46" i="29"/>
  <c r="CG46" i="29"/>
  <c r="CF46" i="29"/>
  <c r="CB46" i="29"/>
  <c r="CJ46" i="29"/>
  <c r="CH46" i="29"/>
  <c r="CE46" i="29"/>
  <c r="CD46" i="29"/>
  <c r="CC46" i="29"/>
  <c r="BZ46" i="29"/>
  <c r="BY46" i="29"/>
  <c r="CM13" i="29"/>
  <c r="CL13" i="29"/>
  <c r="BD13" i="29"/>
  <c r="N28" i="13" s="1"/>
  <c r="Q13" i="29"/>
  <c r="E13" i="29"/>
  <c r="AX13" i="29"/>
  <c r="L13" i="29"/>
  <c r="J13" i="29"/>
  <c r="AZ13" i="29"/>
  <c r="N23" i="13" s="1"/>
  <c r="Y13" i="29"/>
  <c r="N11" i="13" s="1"/>
  <c r="AE13" i="29"/>
  <c r="N16" i="13" s="1"/>
  <c r="H13" i="29"/>
  <c r="AW13" i="29"/>
  <c r="N21" i="13" s="1"/>
  <c r="X13" i="29"/>
  <c r="N10" i="13" s="1"/>
  <c r="G13" i="29"/>
  <c r="AV13" i="29"/>
  <c r="N20" i="13" s="1"/>
  <c r="W13" i="29"/>
  <c r="N9" i="13" s="1"/>
  <c r="F13" i="29"/>
  <c r="D13" i="29"/>
  <c r="AT13" i="29"/>
  <c r="R13" i="29"/>
  <c r="C13" i="29"/>
  <c r="AI13" i="29"/>
  <c r="O13" i="29"/>
  <c r="N13" i="29"/>
  <c r="M13" i="29"/>
  <c r="AD13" i="29"/>
  <c r="N15" i="13" s="1"/>
  <c r="K13" i="29"/>
  <c r="BA13" i="29"/>
  <c r="N24" i="13" s="1"/>
  <c r="AC13" i="29"/>
  <c r="N14" i="13" s="1"/>
  <c r="Z13" i="29"/>
  <c r="I13" i="29"/>
  <c r="AY13" i="29"/>
  <c r="N22" i="13" s="1"/>
  <c r="CM30" i="29"/>
  <c r="CL30" i="29"/>
  <c r="BD30" i="29"/>
  <c r="AE28" i="13" s="1"/>
  <c r="Q30" i="29"/>
  <c r="E30" i="29"/>
  <c r="AX30" i="29"/>
  <c r="L30" i="29"/>
  <c r="BA30" i="29"/>
  <c r="AE24" i="13" s="1"/>
  <c r="AC30" i="29"/>
  <c r="AE14" i="13" s="1"/>
  <c r="J30" i="29"/>
  <c r="D30" i="29"/>
  <c r="AE26" i="13"/>
  <c r="Y30" i="29"/>
  <c r="AE11" i="13" s="1"/>
  <c r="F30" i="29"/>
  <c r="AZ30" i="29"/>
  <c r="AE23" i="13" s="1"/>
  <c r="X30" i="29"/>
  <c r="AE10" i="13" s="1"/>
  <c r="C30" i="29"/>
  <c r="AY30" i="29"/>
  <c r="AE22" i="13" s="1"/>
  <c r="W30" i="29"/>
  <c r="AE9" i="13" s="1"/>
  <c r="AW30" i="29"/>
  <c r="AE21" i="13" s="1"/>
  <c r="R30" i="29"/>
  <c r="AV30" i="29"/>
  <c r="AE20" i="13" s="1"/>
  <c r="AT30" i="29"/>
  <c r="O30" i="29"/>
  <c r="AE27" i="13"/>
  <c r="N30" i="29"/>
  <c r="AD30" i="29"/>
  <c r="AE15" i="13" s="1"/>
  <c r="AI30" i="29"/>
  <c r="M30" i="29"/>
  <c r="K30" i="29"/>
  <c r="H30" i="29"/>
  <c r="AE30" i="29"/>
  <c r="AE16" i="13" s="1"/>
  <c r="I30" i="29"/>
  <c r="Z30" i="29"/>
  <c r="G30" i="29"/>
  <c r="CM47" i="29"/>
  <c r="CL47" i="29"/>
  <c r="AI47" i="29"/>
  <c r="R47" i="29"/>
  <c r="F47" i="29"/>
  <c r="AY47" i="29"/>
  <c r="AV22" i="13" s="1"/>
  <c r="AC47" i="29"/>
  <c r="AV14" i="13" s="1"/>
  <c r="M47" i="29"/>
  <c r="AW47" i="29"/>
  <c r="AV21" i="13" s="1"/>
  <c r="X47" i="29"/>
  <c r="AV10" i="13" s="1"/>
  <c r="G47" i="29"/>
  <c r="AV47" i="29"/>
  <c r="AV20" i="13" s="1"/>
  <c r="W47" i="29"/>
  <c r="AV9" i="13" s="1"/>
  <c r="E47" i="29"/>
  <c r="D47" i="29"/>
  <c r="AT47" i="29"/>
  <c r="Q47" i="29"/>
  <c r="C47" i="29"/>
  <c r="O47" i="29"/>
  <c r="N47" i="29"/>
  <c r="BD47" i="29"/>
  <c r="AV28" i="13" s="1"/>
  <c r="AE47" i="29"/>
  <c r="AV16" i="13" s="1"/>
  <c r="L47" i="29"/>
  <c r="AD47" i="29"/>
  <c r="AV15" i="13" s="1"/>
  <c r="K47" i="29"/>
  <c r="BA47" i="29"/>
  <c r="AV24" i="13" s="1"/>
  <c r="J47" i="29"/>
  <c r="AX47" i="29"/>
  <c r="Y47" i="29"/>
  <c r="AV11" i="13" s="1"/>
  <c r="H47" i="29"/>
  <c r="I47" i="29"/>
  <c r="AZ47" i="29"/>
  <c r="AV23" i="13" s="1"/>
  <c r="Z47" i="29"/>
  <c r="CM4" i="29"/>
  <c r="CL4" i="29"/>
  <c r="AT4" i="29"/>
  <c r="W4" i="29"/>
  <c r="E9" i="13" s="1"/>
  <c r="H4" i="29"/>
  <c r="BA4" i="29"/>
  <c r="E24" i="13" s="1"/>
  <c r="AE4" i="29"/>
  <c r="E16" i="13" s="1"/>
  <c r="O4" i="29"/>
  <c r="C4" i="29"/>
  <c r="Z4" i="29"/>
  <c r="X4" i="29"/>
  <c r="E10" i="13" s="1"/>
  <c r="AX4" i="29"/>
  <c r="Q4" i="29"/>
  <c r="D4" i="29"/>
  <c r="R4" i="29"/>
  <c r="E27" i="13"/>
  <c r="AI4" i="29"/>
  <c r="N4" i="29"/>
  <c r="M4" i="29"/>
  <c r="AD4" i="29"/>
  <c r="E15" i="13" s="1"/>
  <c r="L4" i="29"/>
  <c r="AZ4" i="29"/>
  <c r="E23" i="13" s="1"/>
  <c r="J4" i="29"/>
  <c r="AY4" i="29"/>
  <c r="E22" i="13" s="1"/>
  <c r="I4" i="29"/>
  <c r="Y4" i="29"/>
  <c r="E11" i="13" s="1"/>
  <c r="G4" i="29"/>
  <c r="AW4" i="29"/>
  <c r="E21" i="13" s="1"/>
  <c r="F4" i="29"/>
  <c r="AV4" i="29"/>
  <c r="E20" i="13" s="1"/>
  <c r="E4" i="29"/>
  <c r="AC4" i="29"/>
  <c r="E14" i="13" s="1"/>
  <c r="K4" i="29"/>
  <c r="CM8" i="29"/>
  <c r="CL8" i="29"/>
  <c r="D8" i="29"/>
  <c r="AW8" i="29"/>
  <c r="I21" i="13" s="1"/>
  <c r="Z8" i="29"/>
  <c r="K8" i="29"/>
  <c r="AZ8" i="29"/>
  <c r="I23" i="13" s="1"/>
  <c r="X8" i="29"/>
  <c r="I10" i="13" s="1"/>
  <c r="E8" i="29"/>
  <c r="W8" i="29"/>
  <c r="I9" i="13" s="1"/>
  <c r="AT8" i="29"/>
  <c r="R8" i="29"/>
  <c r="C8" i="29"/>
  <c r="Q8" i="29"/>
  <c r="AI8" i="29"/>
  <c r="O8" i="29"/>
  <c r="N8" i="29"/>
  <c r="M8" i="29"/>
  <c r="AD8" i="29"/>
  <c r="I15" i="13" s="1"/>
  <c r="AE8" i="29"/>
  <c r="I16" i="13" s="1"/>
  <c r="BA8" i="29"/>
  <c r="I24" i="13" s="1"/>
  <c r="AC8" i="29"/>
  <c r="I14" i="13" s="1"/>
  <c r="J8" i="29"/>
  <c r="I8" i="29"/>
  <c r="AY8" i="29"/>
  <c r="I22" i="13" s="1"/>
  <c r="Y8" i="29"/>
  <c r="I11" i="13" s="1"/>
  <c r="H8" i="29"/>
  <c r="AX8" i="29"/>
  <c r="G8" i="29"/>
  <c r="AV8" i="29"/>
  <c r="I20" i="13" s="1"/>
  <c r="F8" i="29"/>
  <c r="BD8" i="29"/>
  <c r="I28" i="13" s="1"/>
  <c r="L8" i="29"/>
  <c r="D25" i="29"/>
  <c r="CL25" i="29"/>
  <c r="AW25" i="29"/>
  <c r="Z21" i="13" s="1"/>
  <c r="Z25" i="29"/>
  <c r="K25" i="29"/>
  <c r="AZ25" i="29"/>
  <c r="Z23" i="13" s="1"/>
  <c r="I25" i="29"/>
  <c r="AT25" i="29"/>
  <c r="R25" i="29"/>
  <c r="C25" i="29"/>
  <c r="M25" i="29"/>
  <c r="CM25" i="29"/>
  <c r="L25" i="29"/>
  <c r="AE25" i="29"/>
  <c r="Z16" i="13" s="1"/>
  <c r="J25" i="29"/>
  <c r="AD25" i="29"/>
  <c r="Z15" i="13" s="1"/>
  <c r="H25" i="29"/>
  <c r="AC25" i="29"/>
  <c r="Z14" i="13" s="1"/>
  <c r="G25" i="29"/>
  <c r="BD25" i="29"/>
  <c r="Z28" i="13" s="1"/>
  <c r="Y25" i="29"/>
  <c r="Z11" i="13" s="1"/>
  <c r="F25" i="29"/>
  <c r="BA25" i="29"/>
  <c r="Z24" i="13" s="1"/>
  <c r="X25" i="29"/>
  <c r="Z10" i="13" s="1"/>
  <c r="E25" i="29"/>
  <c r="AY25" i="29"/>
  <c r="Z22" i="13" s="1"/>
  <c r="O25" i="29"/>
  <c r="W25" i="29"/>
  <c r="Z9" i="13" s="1"/>
  <c r="AX25" i="29"/>
  <c r="AV25" i="29"/>
  <c r="Z20" i="13" s="1"/>
  <c r="Q25" i="29"/>
  <c r="N25" i="29"/>
  <c r="AI25" i="29"/>
  <c r="CM29" i="29"/>
  <c r="CL29" i="29"/>
  <c r="AX29" i="29"/>
  <c r="L29" i="29"/>
  <c r="G29" i="29"/>
  <c r="BA29" i="29"/>
  <c r="AD24" i="13" s="1"/>
  <c r="AC29" i="29"/>
  <c r="AD14" i="13" s="1"/>
  <c r="J29" i="29"/>
  <c r="R29" i="29"/>
  <c r="D29" i="29"/>
  <c r="AI29" i="29"/>
  <c r="N29" i="29"/>
  <c r="M29" i="29"/>
  <c r="K29" i="29"/>
  <c r="AE29" i="29"/>
  <c r="AD16" i="13" s="1"/>
  <c r="I29" i="29"/>
  <c r="AD29" i="29"/>
  <c r="AD15" i="13" s="1"/>
  <c r="H29" i="29"/>
  <c r="BD29" i="29"/>
  <c r="AD28" i="13" s="1"/>
  <c r="Z29" i="29"/>
  <c r="F29" i="29"/>
  <c r="Y29" i="29"/>
  <c r="AD11" i="13" s="1"/>
  <c r="E29" i="29"/>
  <c r="AZ29" i="29"/>
  <c r="AD23" i="13" s="1"/>
  <c r="AV29" i="29"/>
  <c r="AD20" i="13" s="1"/>
  <c r="X29" i="29"/>
  <c r="AD10" i="13" s="1"/>
  <c r="C29" i="29"/>
  <c r="AY29" i="29"/>
  <c r="AD22" i="13" s="1"/>
  <c r="W29" i="29"/>
  <c r="AD9" i="13" s="1"/>
  <c r="AW29" i="29"/>
  <c r="AD21" i="13" s="1"/>
  <c r="Q29" i="29"/>
  <c r="AT29" i="29"/>
  <c r="O29" i="29"/>
  <c r="CL7" i="29"/>
  <c r="CM7" i="29"/>
  <c r="AW7" i="29"/>
  <c r="H21" i="13" s="1"/>
  <c r="Z7" i="29"/>
  <c r="K7" i="29"/>
  <c r="AI7" i="29"/>
  <c r="R7" i="29"/>
  <c r="F7" i="29"/>
  <c r="AY7" i="29"/>
  <c r="H22" i="13" s="1"/>
  <c r="AX7" i="29"/>
  <c r="AV7" i="29"/>
  <c r="H20" i="13" s="1"/>
  <c r="D7" i="29"/>
  <c r="E7" i="29"/>
  <c r="AT7" i="29"/>
  <c r="Q7" i="29"/>
  <c r="H27" i="13"/>
  <c r="O7" i="29"/>
  <c r="N7" i="29"/>
  <c r="BD7" i="29"/>
  <c r="H28" i="13" s="1"/>
  <c r="AE7" i="29"/>
  <c r="H16" i="13" s="1"/>
  <c r="M7" i="29"/>
  <c r="H26" i="13"/>
  <c r="H17" i="13"/>
  <c r="BA7" i="29"/>
  <c r="H24" i="13" s="1"/>
  <c r="AC7" i="29"/>
  <c r="H14" i="13" s="1"/>
  <c r="J7" i="29"/>
  <c r="AZ7" i="29"/>
  <c r="H23" i="13" s="1"/>
  <c r="I7" i="29"/>
  <c r="Y7" i="29"/>
  <c r="H11" i="13" s="1"/>
  <c r="H7" i="29"/>
  <c r="X7" i="29"/>
  <c r="H10" i="13" s="1"/>
  <c r="G7" i="29"/>
  <c r="W7" i="29"/>
  <c r="H9" i="13" s="1"/>
  <c r="C7" i="29"/>
  <c r="AD7" i="29"/>
  <c r="H15" i="13" s="1"/>
  <c r="L7" i="29"/>
  <c r="CM12" i="29"/>
  <c r="CL12" i="29"/>
  <c r="AX12" i="29"/>
  <c r="L12" i="29"/>
  <c r="M27" i="13"/>
  <c r="G12" i="29"/>
  <c r="AZ12" i="29"/>
  <c r="M23" i="13" s="1"/>
  <c r="Y12" i="29"/>
  <c r="M11" i="13" s="1"/>
  <c r="AY12" i="29"/>
  <c r="M22" i="13" s="1"/>
  <c r="AW12" i="29"/>
  <c r="M21" i="13" s="1"/>
  <c r="X12" i="29"/>
  <c r="M10" i="13" s="1"/>
  <c r="F12" i="29"/>
  <c r="BD12" i="29"/>
  <c r="M28" i="13" s="1"/>
  <c r="AV12" i="29"/>
  <c r="M20" i="13" s="1"/>
  <c r="W12" i="29"/>
  <c r="M9" i="13" s="1"/>
  <c r="E12" i="29"/>
  <c r="R12" i="29"/>
  <c r="D12" i="29"/>
  <c r="AT12" i="29"/>
  <c r="Q12" i="29"/>
  <c r="C12" i="29"/>
  <c r="AI12" i="29"/>
  <c r="O12" i="29"/>
  <c r="N12" i="29"/>
  <c r="M12" i="29"/>
  <c r="AD12" i="29"/>
  <c r="M15" i="13" s="1"/>
  <c r="K12" i="29"/>
  <c r="BA12" i="29"/>
  <c r="M24" i="13" s="1"/>
  <c r="AC12" i="29"/>
  <c r="M14" i="13" s="1"/>
  <c r="J12" i="29"/>
  <c r="Z12" i="29"/>
  <c r="I12" i="29"/>
  <c r="H12" i="29"/>
  <c r="AE12" i="29"/>
  <c r="M16" i="13" s="1"/>
  <c r="CM36" i="29"/>
  <c r="CL36" i="29"/>
  <c r="AW36" i="29"/>
  <c r="AK21" i="13" s="1"/>
  <c r="Z36" i="29"/>
  <c r="K36" i="29"/>
  <c r="AI36" i="29"/>
  <c r="R36" i="29"/>
  <c r="F36" i="29"/>
  <c r="AT36" i="29"/>
  <c r="Q36" i="29"/>
  <c r="AD36" i="29"/>
  <c r="AK15" i="13" s="1"/>
  <c r="L36" i="29"/>
  <c r="AC36" i="29"/>
  <c r="AK14" i="13" s="1"/>
  <c r="BA36" i="29"/>
  <c r="AK24" i="13" s="1"/>
  <c r="J36" i="29"/>
  <c r="AZ36" i="29"/>
  <c r="AK23" i="13" s="1"/>
  <c r="AY36" i="29"/>
  <c r="AK22" i="13" s="1"/>
  <c r="Y36" i="29"/>
  <c r="AK11" i="13" s="1"/>
  <c r="H36" i="29"/>
  <c r="AV36" i="29"/>
  <c r="AK20" i="13" s="1"/>
  <c r="W36" i="29"/>
  <c r="AK9" i="13" s="1"/>
  <c r="E36" i="29"/>
  <c r="D36" i="29"/>
  <c r="BD36" i="29"/>
  <c r="AK28" i="13" s="1"/>
  <c r="AX36" i="29"/>
  <c r="AE36" i="29"/>
  <c r="AK16" i="13" s="1"/>
  <c r="X36" i="29"/>
  <c r="AK10" i="13" s="1"/>
  <c r="O36" i="29"/>
  <c r="G36" i="29"/>
  <c r="N36" i="29"/>
  <c r="M36" i="29"/>
  <c r="I36" i="29"/>
  <c r="C36" i="29"/>
  <c r="CM33" i="29"/>
  <c r="CL33" i="29"/>
  <c r="AT33" i="29"/>
  <c r="W33" i="29"/>
  <c r="AH9" i="13" s="1"/>
  <c r="H33" i="29"/>
  <c r="BA33" i="29"/>
  <c r="AH24" i="13" s="1"/>
  <c r="AE33" i="29"/>
  <c r="AH16" i="13" s="1"/>
  <c r="O33" i="29"/>
  <c r="C33" i="29"/>
  <c r="AC33" i="29"/>
  <c r="AH14" i="13" s="1"/>
  <c r="K33" i="29"/>
  <c r="J33" i="29"/>
  <c r="AZ33" i="29"/>
  <c r="AH23" i="13" s="1"/>
  <c r="AV33" i="29"/>
  <c r="AH20" i="13" s="1"/>
  <c r="E33" i="29"/>
  <c r="R33" i="29"/>
  <c r="D33" i="29"/>
  <c r="Z33" i="29"/>
  <c r="Y33" i="29"/>
  <c r="AH11" i="13" s="1"/>
  <c r="X33" i="29"/>
  <c r="AH10" i="13" s="1"/>
  <c r="BD33" i="29"/>
  <c r="AH28" i="13" s="1"/>
  <c r="Q33" i="29"/>
  <c r="AY33" i="29"/>
  <c r="AH22" i="13" s="1"/>
  <c r="AX33" i="29"/>
  <c r="N33" i="29"/>
  <c r="AW33" i="29"/>
  <c r="AH21" i="13" s="1"/>
  <c r="M33" i="29"/>
  <c r="AH17" i="13"/>
  <c r="F33" i="29"/>
  <c r="L33" i="29"/>
  <c r="AI33" i="29"/>
  <c r="I33" i="29"/>
  <c r="G33" i="29"/>
  <c r="AD33" i="29"/>
  <c r="AH15" i="13" s="1"/>
  <c r="CM10" i="29"/>
  <c r="CL10" i="29"/>
  <c r="AZ10" i="29"/>
  <c r="K23" i="13" s="1"/>
  <c r="AD10" i="29"/>
  <c r="K15" i="13" s="1"/>
  <c r="N10" i="29"/>
  <c r="X10" i="29"/>
  <c r="K10" i="13" s="1"/>
  <c r="I10" i="29"/>
  <c r="J10" i="29"/>
  <c r="H10" i="29"/>
  <c r="Y10" i="29"/>
  <c r="K11" i="13" s="1"/>
  <c r="F10" i="29"/>
  <c r="W10" i="29"/>
  <c r="K9" i="13" s="1"/>
  <c r="AV10" i="29"/>
  <c r="K20" i="13" s="1"/>
  <c r="E10" i="29"/>
  <c r="AT10" i="29"/>
  <c r="R10" i="29"/>
  <c r="D10" i="29"/>
  <c r="K27" i="13"/>
  <c r="Q10" i="29"/>
  <c r="C10" i="29"/>
  <c r="AI10" i="29"/>
  <c r="O10" i="29"/>
  <c r="M10" i="29"/>
  <c r="AE10" i="29"/>
  <c r="K16" i="13" s="1"/>
  <c r="L10" i="29"/>
  <c r="K26" i="13"/>
  <c r="AC10" i="29"/>
  <c r="K14" i="13" s="1"/>
  <c r="K10" i="29"/>
  <c r="BA10" i="29"/>
  <c r="K24" i="13" s="1"/>
  <c r="AY10" i="29"/>
  <c r="K22" i="13" s="1"/>
  <c r="Z10" i="29"/>
  <c r="AX10" i="29"/>
  <c r="G10" i="29"/>
  <c r="AW10" i="29"/>
  <c r="K21" i="13" s="1"/>
  <c r="BD10" i="29"/>
  <c r="K28" i="13" s="1"/>
  <c r="CM14" i="29"/>
  <c r="CL14" i="29"/>
  <c r="AV14" i="29"/>
  <c r="O20" i="13" s="1"/>
  <c r="Y14" i="29"/>
  <c r="O11" i="13" s="1"/>
  <c r="J14" i="29"/>
  <c r="BD14" i="29"/>
  <c r="O28" i="13" s="1"/>
  <c r="Q14" i="29"/>
  <c r="E14" i="29"/>
  <c r="BA14" i="29"/>
  <c r="O24" i="13" s="1"/>
  <c r="AZ14" i="29"/>
  <c r="O23" i="13" s="1"/>
  <c r="AY14" i="29"/>
  <c r="O22" i="13" s="1"/>
  <c r="Z14" i="29"/>
  <c r="H14" i="29"/>
  <c r="AE14" i="29"/>
  <c r="O16" i="13" s="1"/>
  <c r="AX14" i="29"/>
  <c r="X14" i="29"/>
  <c r="O10" i="13" s="1"/>
  <c r="G14" i="29"/>
  <c r="AW14" i="29"/>
  <c r="O21" i="13" s="1"/>
  <c r="W14" i="29"/>
  <c r="O9" i="13" s="1"/>
  <c r="F14" i="29"/>
  <c r="D14" i="29"/>
  <c r="AT14" i="29"/>
  <c r="R14" i="29"/>
  <c r="C14" i="29"/>
  <c r="O14" i="29"/>
  <c r="AI14" i="29"/>
  <c r="N14" i="29"/>
  <c r="AD14" i="29"/>
  <c r="O15" i="13" s="1"/>
  <c r="L14" i="29"/>
  <c r="AC14" i="29"/>
  <c r="O14" i="13" s="1"/>
  <c r="K14" i="29"/>
  <c r="I14" i="29"/>
  <c r="M14" i="29"/>
  <c r="CG13" i="29"/>
  <c r="CB13" i="29"/>
  <c r="CA13" i="29"/>
  <c r="BZ13" i="29"/>
  <c r="BY13" i="29"/>
  <c r="CJ13" i="29"/>
  <c r="CI13" i="29"/>
  <c r="CH13" i="29"/>
  <c r="CF13" i="29"/>
  <c r="CE13" i="29"/>
  <c r="CC13" i="29"/>
  <c r="CD13" i="29"/>
  <c r="BY30" i="29"/>
  <c r="CF30" i="29"/>
  <c r="CC30" i="29"/>
  <c r="CB30" i="29"/>
  <c r="CA30" i="29"/>
  <c r="BZ30" i="29"/>
  <c r="CJ30" i="29"/>
  <c r="CI30" i="29"/>
  <c r="CH30" i="29"/>
  <c r="CG30" i="29"/>
  <c r="CD30" i="29"/>
  <c r="CE30" i="29"/>
  <c r="CI47" i="29"/>
  <c r="CE47" i="29"/>
  <c r="CC47" i="29"/>
  <c r="CB47" i="29"/>
  <c r="CJ47" i="29"/>
  <c r="BZ47" i="29"/>
  <c r="BY47" i="29"/>
  <c r="CH47" i="29"/>
  <c r="CG47" i="29"/>
  <c r="CF47" i="29"/>
  <c r="CA47" i="29"/>
  <c r="CD47" i="29"/>
  <c r="CG4" i="29"/>
  <c r="CB4" i="29"/>
  <c r="CA4" i="29"/>
  <c r="BZ4" i="29"/>
  <c r="BY4" i="29"/>
  <c r="CJ4" i="29"/>
  <c r="CI4" i="29"/>
  <c r="CH4" i="29"/>
  <c r="CF4" i="29"/>
  <c r="CE4" i="29"/>
  <c r="CC4" i="29"/>
  <c r="CD4" i="29"/>
  <c r="CC8" i="29"/>
  <c r="CJ8" i="29"/>
  <c r="CI8" i="29"/>
  <c r="CH8" i="29"/>
  <c r="CG8" i="29"/>
  <c r="CF8" i="29"/>
  <c r="CE8" i="29"/>
  <c r="CD8" i="29"/>
  <c r="CB8" i="29"/>
  <c r="CA8" i="29"/>
  <c r="BZ8" i="29"/>
  <c r="BY8" i="29"/>
  <c r="CG25" i="29"/>
  <c r="CB25" i="29"/>
  <c r="CJ25" i="29"/>
  <c r="CI25" i="29"/>
  <c r="CH25" i="29"/>
  <c r="CF25" i="29"/>
  <c r="CE25" i="29"/>
  <c r="CD25" i="29"/>
  <c r="CC25" i="29"/>
  <c r="CA25" i="29"/>
  <c r="BZ25" i="29"/>
  <c r="BY25" i="29"/>
  <c r="CC29" i="29"/>
  <c r="CJ29" i="29"/>
  <c r="CE29" i="29"/>
  <c r="CD29" i="29"/>
  <c r="CB29" i="29"/>
  <c r="CA29" i="29"/>
  <c r="BZ29" i="29"/>
  <c r="BY29" i="29"/>
  <c r="CI29" i="29"/>
  <c r="CH29" i="29"/>
  <c r="CF29" i="29"/>
  <c r="CG29" i="29"/>
  <c r="CG7" i="29"/>
  <c r="CB7" i="29"/>
  <c r="CJ7" i="29"/>
  <c r="CI7" i="29"/>
  <c r="CH7" i="29"/>
  <c r="CF7" i="29"/>
  <c r="CE7" i="29"/>
  <c r="CD7" i="29"/>
  <c r="CC7" i="29"/>
  <c r="CA7" i="29"/>
  <c r="BZ7" i="29"/>
  <c r="BY7" i="29"/>
  <c r="BY12" i="29"/>
  <c r="CF12" i="29"/>
  <c r="CC12" i="29"/>
  <c r="CB12" i="29"/>
  <c r="CA12" i="29"/>
  <c r="BZ12" i="29"/>
  <c r="CJ12" i="29"/>
  <c r="CI12" i="29"/>
  <c r="CH12" i="29"/>
  <c r="CG12" i="29"/>
  <c r="CD12" i="29"/>
  <c r="CE12" i="29"/>
  <c r="CE36" i="29"/>
  <c r="CA36" i="29"/>
  <c r="BY36" i="29"/>
  <c r="CJ36" i="29"/>
  <c r="CF36" i="29"/>
  <c r="CI36" i="29"/>
  <c r="CH36" i="29"/>
  <c r="CG36" i="29"/>
  <c r="CD36" i="29"/>
  <c r="CC36" i="29"/>
  <c r="CB36" i="29"/>
  <c r="BZ36" i="29"/>
  <c r="CE33" i="29"/>
  <c r="BY33" i="29"/>
  <c r="CJ33" i="29"/>
  <c r="CF33" i="29"/>
  <c r="BZ33" i="29"/>
  <c r="CI33" i="29"/>
  <c r="CH33" i="29"/>
  <c r="CG33" i="29"/>
  <c r="CD33" i="29"/>
  <c r="CC33" i="29"/>
  <c r="CA33" i="29"/>
  <c r="CB33" i="29"/>
  <c r="CG10" i="29"/>
  <c r="CB10" i="29"/>
  <c r="CF10" i="29"/>
  <c r="CE10" i="29"/>
  <c r="CD10" i="29"/>
  <c r="CC10" i="29"/>
  <c r="CA10" i="29"/>
  <c r="BZ10" i="29"/>
  <c r="BY10" i="29"/>
  <c r="CJ10" i="29"/>
  <c r="CH10" i="29"/>
  <c r="CI10" i="29"/>
  <c r="CC14" i="29"/>
  <c r="CJ14" i="29"/>
  <c r="BZ14" i="29"/>
  <c r="BY14" i="29"/>
  <c r="CI14" i="29"/>
  <c r="CH14" i="29"/>
  <c r="CG14" i="29"/>
  <c r="CF14" i="29"/>
  <c r="CE14" i="29"/>
  <c r="CD14" i="29"/>
  <c r="CA14" i="29"/>
  <c r="CB14" i="29"/>
  <c r="CM23" i="29"/>
  <c r="CL23" i="29"/>
  <c r="AI23" i="29"/>
  <c r="R23" i="29"/>
  <c r="F23" i="29"/>
  <c r="AY23" i="29"/>
  <c r="X22" i="13" s="1"/>
  <c r="AC23" i="29"/>
  <c r="X14" i="13" s="1"/>
  <c r="M23" i="29"/>
  <c r="AZ23" i="29"/>
  <c r="X23" i="13" s="1"/>
  <c r="Z23" i="29"/>
  <c r="I23" i="29"/>
  <c r="AT23" i="29"/>
  <c r="Q23" i="29"/>
  <c r="C23" i="29"/>
  <c r="L23" i="29"/>
  <c r="K23" i="29"/>
  <c r="AE23" i="29"/>
  <c r="X16" i="13" s="1"/>
  <c r="J23" i="29"/>
  <c r="AD23" i="29"/>
  <c r="X15" i="13" s="1"/>
  <c r="H23" i="29"/>
  <c r="BD23" i="29"/>
  <c r="X28" i="13" s="1"/>
  <c r="G23" i="29"/>
  <c r="X26" i="13"/>
  <c r="Y23" i="29"/>
  <c r="X11" i="13" s="1"/>
  <c r="E23" i="29"/>
  <c r="BA23" i="29"/>
  <c r="X24" i="13" s="1"/>
  <c r="X23" i="29"/>
  <c r="X10" i="13" s="1"/>
  <c r="D23" i="29"/>
  <c r="W23" i="29"/>
  <c r="X9" i="13" s="1"/>
  <c r="AX23" i="29"/>
  <c r="AW23" i="29"/>
  <c r="X21" i="13" s="1"/>
  <c r="O23" i="29"/>
  <c r="AV23" i="29"/>
  <c r="X20" i="13" s="1"/>
  <c r="X27" i="13"/>
  <c r="N23" i="29"/>
  <c r="X26" i="29"/>
  <c r="AA10" i="13" s="1"/>
  <c r="I26" i="29"/>
  <c r="CM26" i="29"/>
  <c r="AA26" i="13"/>
  <c r="AA17" i="13"/>
  <c r="D26" i="29"/>
  <c r="AZ26" i="29"/>
  <c r="AA23" i="13" s="1"/>
  <c r="J26" i="29"/>
  <c r="CL26" i="29"/>
  <c r="AT26" i="29"/>
  <c r="R26" i="29"/>
  <c r="C26" i="29"/>
  <c r="BA26" i="29"/>
  <c r="AA24" i="13" s="1"/>
  <c r="Y26" i="29"/>
  <c r="AA11" i="13" s="1"/>
  <c r="E26" i="29"/>
  <c r="AY26" i="29"/>
  <c r="AA22" i="13" s="1"/>
  <c r="W26" i="29"/>
  <c r="AA9" i="13" s="1"/>
  <c r="AX26" i="29"/>
  <c r="AW26" i="29"/>
  <c r="AA21" i="13" s="1"/>
  <c r="Q26" i="29"/>
  <c r="AV26" i="29"/>
  <c r="AA20" i="13" s="1"/>
  <c r="O26" i="29"/>
  <c r="N26" i="29"/>
  <c r="AI26" i="29"/>
  <c r="M26" i="29"/>
  <c r="L26" i="29"/>
  <c r="AC26" i="29"/>
  <c r="AA14" i="13" s="1"/>
  <c r="AE26" i="29"/>
  <c r="AA16" i="13" s="1"/>
  <c r="K26" i="29"/>
  <c r="G26" i="29"/>
  <c r="AD26" i="29"/>
  <c r="AA15" i="13" s="1"/>
  <c r="H26" i="29"/>
  <c r="BD26" i="29"/>
  <c r="AA28" i="13" s="1"/>
  <c r="Z26" i="29"/>
  <c r="F26" i="29"/>
  <c r="CM37" i="29"/>
  <c r="CL37" i="29"/>
  <c r="D37" i="29"/>
  <c r="AW37" i="29"/>
  <c r="AL21" i="13" s="1"/>
  <c r="Z37" i="29"/>
  <c r="K37" i="29"/>
  <c r="E37" i="29"/>
  <c r="AT37" i="29"/>
  <c r="R37" i="29"/>
  <c r="C37" i="29"/>
  <c r="Q37" i="29"/>
  <c r="AI37" i="29"/>
  <c r="O37" i="29"/>
  <c r="BD37" i="29"/>
  <c r="AL28" i="13" s="1"/>
  <c r="AD37" i="29"/>
  <c r="AL15" i="13" s="1"/>
  <c r="L37" i="29"/>
  <c r="BA37" i="29"/>
  <c r="AL24" i="13" s="1"/>
  <c r="AC37" i="29"/>
  <c r="AL14" i="13" s="1"/>
  <c r="J37" i="29"/>
  <c r="AZ37" i="29"/>
  <c r="AL23" i="13" s="1"/>
  <c r="I37" i="29"/>
  <c r="AY37" i="29"/>
  <c r="AL22" i="13" s="1"/>
  <c r="Y37" i="29"/>
  <c r="AL11" i="13" s="1"/>
  <c r="H37" i="29"/>
  <c r="AV37" i="29"/>
  <c r="AL20" i="13" s="1"/>
  <c r="W37" i="29"/>
  <c r="AL9" i="13" s="1"/>
  <c r="F37" i="29"/>
  <c r="AX37" i="29"/>
  <c r="AE37" i="29"/>
  <c r="AL16" i="13" s="1"/>
  <c r="G37" i="29"/>
  <c r="X37" i="29"/>
  <c r="AL10" i="13" s="1"/>
  <c r="N37" i="29"/>
  <c r="M37" i="29"/>
  <c r="CM42" i="29"/>
  <c r="CL42" i="29"/>
  <c r="BD42" i="29"/>
  <c r="AQ28" i="13" s="1"/>
  <c r="Q42" i="29"/>
  <c r="E42" i="29"/>
  <c r="AX42" i="29"/>
  <c r="L42" i="29"/>
  <c r="AV42" i="29"/>
  <c r="AQ20" i="13" s="1"/>
  <c r="W42" i="29"/>
  <c r="AQ9" i="13" s="1"/>
  <c r="F42" i="29"/>
  <c r="D42" i="29"/>
  <c r="AT42" i="29"/>
  <c r="R42" i="29"/>
  <c r="C42" i="29"/>
  <c r="AI42" i="29"/>
  <c r="O42" i="29"/>
  <c r="N42" i="29"/>
  <c r="AE42" i="29"/>
  <c r="AQ16" i="13" s="1"/>
  <c r="M42" i="29"/>
  <c r="AD42" i="29"/>
  <c r="AQ15" i="13" s="1"/>
  <c r="K42" i="29"/>
  <c r="BA42" i="29"/>
  <c r="AQ24" i="13" s="1"/>
  <c r="AC42" i="29"/>
  <c r="AQ14" i="13" s="1"/>
  <c r="J42" i="29"/>
  <c r="AZ42" i="29"/>
  <c r="AQ23" i="13" s="1"/>
  <c r="Z42" i="29"/>
  <c r="I42" i="29"/>
  <c r="AW42" i="29"/>
  <c r="AQ21" i="13" s="1"/>
  <c r="X42" i="29"/>
  <c r="AQ10" i="13" s="1"/>
  <c r="G42" i="29"/>
  <c r="AY42" i="29"/>
  <c r="AQ22" i="13" s="1"/>
  <c r="Y42" i="29"/>
  <c r="AQ11" i="13" s="1"/>
  <c r="H42" i="29"/>
  <c r="CM17" i="29"/>
  <c r="AY17" i="29"/>
  <c r="R22" i="13" s="1"/>
  <c r="AC17" i="29"/>
  <c r="R14" i="13" s="1"/>
  <c r="M17" i="29"/>
  <c r="CL17" i="29"/>
  <c r="AT17" i="29"/>
  <c r="W17" i="29"/>
  <c r="R9" i="13" s="1"/>
  <c r="H17" i="29"/>
  <c r="AD17" i="29"/>
  <c r="R15" i="13" s="1"/>
  <c r="AZ17" i="29"/>
  <c r="R23" i="13" s="1"/>
  <c r="Z17" i="29"/>
  <c r="I17" i="29"/>
  <c r="AX17" i="29"/>
  <c r="Y17" i="29"/>
  <c r="R11" i="13" s="1"/>
  <c r="G17" i="29"/>
  <c r="AW17" i="29"/>
  <c r="R21" i="13" s="1"/>
  <c r="X17" i="29"/>
  <c r="R10" i="13" s="1"/>
  <c r="F17" i="29"/>
  <c r="AV17" i="29"/>
  <c r="R20" i="13" s="1"/>
  <c r="E17" i="29"/>
  <c r="R17" i="29"/>
  <c r="D17" i="29"/>
  <c r="Q17" i="29"/>
  <c r="R17" i="13"/>
  <c r="C17" i="29"/>
  <c r="N17" i="29"/>
  <c r="AI17" i="29"/>
  <c r="O17" i="29"/>
  <c r="BD17" i="29"/>
  <c r="R28" i="13" s="1"/>
  <c r="AE17" i="29"/>
  <c r="R16" i="13" s="1"/>
  <c r="L17" i="29"/>
  <c r="K17" i="29"/>
  <c r="BA17" i="29"/>
  <c r="R24" i="13" s="1"/>
  <c r="J17" i="29"/>
  <c r="CM21" i="29"/>
  <c r="CL21" i="29"/>
  <c r="AT21" i="29"/>
  <c r="W21" i="29"/>
  <c r="V9" i="13" s="1"/>
  <c r="H21" i="29"/>
  <c r="BA21" i="29"/>
  <c r="V24" i="13" s="1"/>
  <c r="AE21" i="29"/>
  <c r="V16" i="13" s="1"/>
  <c r="AY21" i="29"/>
  <c r="V22" i="13" s="1"/>
  <c r="Z21" i="29"/>
  <c r="J21" i="29"/>
  <c r="V27" i="13"/>
  <c r="Q21" i="29"/>
  <c r="D21" i="29"/>
  <c r="V17" i="13"/>
  <c r="L21" i="29"/>
  <c r="AD21" i="29"/>
  <c r="V15" i="13" s="1"/>
  <c r="K21" i="29"/>
  <c r="AC21" i="29"/>
  <c r="V14" i="13" s="1"/>
  <c r="I21" i="29"/>
  <c r="BD21" i="29"/>
  <c r="V28" i="13" s="1"/>
  <c r="G21" i="29"/>
  <c r="V26" i="13"/>
  <c r="Y21" i="29"/>
  <c r="V11" i="13" s="1"/>
  <c r="F21" i="29"/>
  <c r="AZ21" i="29"/>
  <c r="V23" i="13" s="1"/>
  <c r="X21" i="29"/>
  <c r="V10" i="13" s="1"/>
  <c r="E21" i="29"/>
  <c r="AX21" i="29"/>
  <c r="C21" i="29"/>
  <c r="O21" i="29"/>
  <c r="AW21" i="29"/>
  <c r="V21" i="13" s="1"/>
  <c r="R21" i="29"/>
  <c r="AV21" i="29"/>
  <c r="V20" i="13" s="1"/>
  <c r="AI21" i="29"/>
  <c r="N21" i="29"/>
  <c r="M21" i="29"/>
  <c r="CM38" i="29"/>
  <c r="CL38" i="29"/>
  <c r="X38" i="29"/>
  <c r="AM10" i="13" s="1"/>
  <c r="I38" i="29"/>
  <c r="D38" i="29"/>
  <c r="AV38" i="29"/>
  <c r="AM20" i="13" s="1"/>
  <c r="E38" i="29"/>
  <c r="AT38" i="29"/>
  <c r="R38" i="29"/>
  <c r="C38" i="29"/>
  <c r="Q38" i="29"/>
  <c r="AI38" i="29"/>
  <c r="O38" i="29"/>
  <c r="N38" i="29"/>
  <c r="AE38" i="29"/>
  <c r="AM16" i="13" s="1"/>
  <c r="M38" i="29"/>
  <c r="BD38" i="29"/>
  <c r="AM28" i="13" s="1"/>
  <c r="AD38" i="29"/>
  <c r="AM15" i="13" s="1"/>
  <c r="L38" i="29"/>
  <c r="BA38" i="29"/>
  <c r="AM24" i="13" s="1"/>
  <c r="AC38" i="29"/>
  <c r="AM14" i="13" s="1"/>
  <c r="K38" i="29"/>
  <c r="AZ38" i="29"/>
  <c r="AM23" i="13" s="1"/>
  <c r="J38" i="29"/>
  <c r="AY38" i="29"/>
  <c r="AM22" i="13" s="1"/>
  <c r="Z38" i="29"/>
  <c r="H38" i="29"/>
  <c r="AW38" i="29"/>
  <c r="AM21" i="13" s="1"/>
  <c r="W38" i="29"/>
  <c r="AM9" i="13" s="1"/>
  <c r="F38" i="29"/>
  <c r="AX38" i="29"/>
  <c r="Y38" i="29"/>
  <c r="AM11" i="13" s="1"/>
  <c r="G38" i="29"/>
  <c r="CL50" i="29"/>
  <c r="CM50" i="29"/>
  <c r="X50" i="29"/>
  <c r="AY10" i="13" s="1"/>
  <c r="I50" i="29"/>
  <c r="AY17" i="13"/>
  <c r="D50" i="29"/>
  <c r="AX50" i="29"/>
  <c r="Y50" i="29"/>
  <c r="AY11" i="13" s="1"/>
  <c r="G50" i="29"/>
  <c r="AW50" i="29"/>
  <c r="AY21" i="13" s="1"/>
  <c r="W50" i="29"/>
  <c r="AY9" i="13" s="1"/>
  <c r="F50" i="29"/>
  <c r="AV50" i="29"/>
  <c r="AY20" i="13" s="1"/>
  <c r="E50" i="29"/>
  <c r="AT50" i="29"/>
  <c r="R50" i="29"/>
  <c r="C50" i="29"/>
  <c r="Q50" i="29"/>
  <c r="AI50" i="29"/>
  <c r="O50" i="29"/>
  <c r="N50" i="29"/>
  <c r="AE50" i="29"/>
  <c r="AY16" i="13" s="1"/>
  <c r="M50" i="29"/>
  <c r="BD50" i="29"/>
  <c r="AY28" i="13" s="1"/>
  <c r="AD50" i="29"/>
  <c r="AY15" i="13" s="1"/>
  <c r="L50" i="29"/>
  <c r="BA50" i="29"/>
  <c r="AY24" i="13" s="1"/>
  <c r="AC50" i="29"/>
  <c r="AY14" i="13" s="1"/>
  <c r="K50" i="29"/>
  <c r="AY50" i="29"/>
  <c r="AY22" i="13" s="1"/>
  <c r="Z50" i="29"/>
  <c r="H50" i="29"/>
  <c r="AZ50" i="29"/>
  <c r="AY23" i="13" s="1"/>
  <c r="J50" i="29"/>
  <c r="CM55" i="29"/>
  <c r="CL55" i="29"/>
  <c r="AI55" i="29"/>
  <c r="R55" i="29"/>
  <c r="F55" i="29"/>
  <c r="AY55" i="29"/>
  <c r="BD22" i="13" s="1"/>
  <c r="AC55" i="29"/>
  <c r="BD14" i="13" s="1"/>
  <c r="M55" i="29"/>
  <c r="AV55" i="29"/>
  <c r="BD20" i="13" s="1"/>
  <c r="W55" i="29"/>
  <c r="BD9" i="13" s="1"/>
  <c r="E55" i="29"/>
  <c r="D55" i="29"/>
  <c r="AT55" i="29"/>
  <c r="Q55" i="29"/>
  <c r="C55" i="29"/>
  <c r="BD27" i="13"/>
  <c r="BD17" i="13"/>
  <c r="BD55" i="29"/>
  <c r="BD28" i="13" s="1"/>
  <c r="AE55" i="29"/>
  <c r="BD16" i="13" s="1"/>
  <c r="L55" i="29"/>
  <c r="BD26" i="13"/>
  <c r="AD55" i="29"/>
  <c r="BD15" i="13" s="1"/>
  <c r="K55" i="29"/>
  <c r="BA55" i="29"/>
  <c r="BD24" i="13" s="1"/>
  <c r="J55" i="29"/>
  <c r="AZ55" i="29"/>
  <c r="BD23" i="13" s="1"/>
  <c r="Z55" i="29"/>
  <c r="I55" i="29"/>
  <c r="AW55" i="29"/>
  <c r="BD21" i="13" s="1"/>
  <c r="X55" i="29"/>
  <c r="BD10" i="13" s="1"/>
  <c r="G55" i="29"/>
  <c r="Y55" i="29"/>
  <c r="BD11" i="13" s="1"/>
  <c r="O55" i="29"/>
  <c r="N55" i="29"/>
  <c r="H55" i="29"/>
  <c r="AX55" i="29"/>
  <c r="CM6" i="29"/>
  <c r="CL6" i="29"/>
  <c r="AI6" i="29"/>
  <c r="R6" i="29"/>
  <c r="F6" i="29"/>
  <c r="AY6" i="29"/>
  <c r="G22" i="13" s="1"/>
  <c r="AC6" i="29"/>
  <c r="G14" i="13" s="1"/>
  <c r="M6" i="29"/>
  <c r="G6" i="29"/>
  <c r="E6" i="29"/>
  <c r="AX6" i="29"/>
  <c r="X6" i="29"/>
  <c r="G10" i="13" s="1"/>
  <c r="AT6" i="29"/>
  <c r="O6" i="29"/>
  <c r="G17" i="13"/>
  <c r="N6" i="29"/>
  <c r="BD6" i="29"/>
  <c r="G28" i="13" s="1"/>
  <c r="L6" i="29"/>
  <c r="AE6" i="29"/>
  <c r="G16" i="13" s="1"/>
  <c r="BA6" i="29"/>
  <c r="G24" i="13" s="1"/>
  <c r="J6" i="29"/>
  <c r="AZ6" i="29"/>
  <c r="G23" i="13" s="1"/>
  <c r="Z6" i="29"/>
  <c r="I6" i="29"/>
  <c r="Y6" i="29"/>
  <c r="G11" i="13" s="1"/>
  <c r="H6" i="29"/>
  <c r="AW6" i="29"/>
  <c r="G21" i="13" s="1"/>
  <c r="AV6" i="29"/>
  <c r="G20" i="13" s="1"/>
  <c r="W6" i="29"/>
  <c r="G9" i="13" s="1"/>
  <c r="D6" i="29"/>
  <c r="Q6" i="29"/>
  <c r="C6" i="29"/>
  <c r="AD6" i="29"/>
  <c r="G15" i="13" s="1"/>
  <c r="K6" i="29"/>
  <c r="BY27" i="29"/>
  <c r="CF27" i="29"/>
  <c r="CH27" i="29"/>
  <c r="CG27" i="29"/>
  <c r="CE27" i="29"/>
  <c r="CD27" i="29"/>
  <c r="CC27" i="29"/>
  <c r="CB27" i="29"/>
  <c r="CA27" i="29"/>
  <c r="BZ27" i="29"/>
  <c r="CI27" i="29"/>
  <c r="CJ27" i="29"/>
  <c r="CM20" i="29"/>
  <c r="CL20" i="29"/>
  <c r="U26" i="13"/>
  <c r="D20" i="29"/>
  <c r="AW20" i="29"/>
  <c r="U21" i="13" s="1"/>
  <c r="Z20" i="29"/>
  <c r="K20" i="29"/>
  <c r="L20" i="29"/>
  <c r="BA20" i="29"/>
  <c r="U24" i="13" s="1"/>
  <c r="AC20" i="29"/>
  <c r="U14" i="13" s="1"/>
  <c r="J20" i="29"/>
  <c r="AZ20" i="29"/>
  <c r="U23" i="13" s="1"/>
  <c r="I20" i="29"/>
  <c r="AY20" i="29"/>
  <c r="U22" i="13" s="1"/>
  <c r="Y20" i="29"/>
  <c r="U11" i="13" s="1"/>
  <c r="H20" i="29"/>
  <c r="AX20" i="29"/>
  <c r="X20" i="29"/>
  <c r="U10" i="13" s="1"/>
  <c r="G20" i="29"/>
  <c r="AV20" i="29"/>
  <c r="U20" i="13" s="1"/>
  <c r="W20" i="29"/>
  <c r="U9" i="13" s="1"/>
  <c r="F20" i="29"/>
  <c r="E20" i="29"/>
  <c r="AT20" i="29"/>
  <c r="R20" i="29"/>
  <c r="C20" i="29"/>
  <c r="Q20" i="29"/>
  <c r="N20" i="29"/>
  <c r="AI20" i="29"/>
  <c r="O20" i="29"/>
  <c r="AE20" i="29"/>
  <c r="U16" i="13" s="1"/>
  <c r="M20" i="29"/>
  <c r="BD20" i="29"/>
  <c r="U28" i="13" s="1"/>
  <c r="AD20" i="29"/>
  <c r="U15" i="13" s="1"/>
  <c r="CM19" i="29"/>
  <c r="CL19" i="29"/>
  <c r="AW19" i="29"/>
  <c r="T21" i="13" s="1"/>
  <c r="Z19" i="29"/>
  <c r="K19" i="29"/>
  <c r="AI19" i="29"/>
  <c r="R19" i="29"/>
  <c r="F19" i="29"/>
  <c r="BA19" i="29"/>
  <c r="T24" i="13" s="1"/>
  <c r="J19" i="29"/>
  <c r="AZ19" i="29"/>
  <c r="T23" i="13" s="1"/>
  <c r="I19" i="29"/>
  <c r="AY19" i="29"/>
  <c r="T22" i="13" s="1"/>
  <c r="Y19" i="29"/>
  <c r="T11" i="13" s="1"/>
  <c r="H19" i="29"/>
  <c r="AX19" i="29"/>
  <c r="X19" i="29"/>
  <c r="T10" i="13" s="1"/>
  <c r="G19" i="29"/>
  <c r="AV19" i="29"/>
  <c r="T20" i="13" s="1"/>
  <c r="W19" i="29"/>
  <c r="T9" i="13" s="1"/>
  <c r="E19" i="29"/>
  <c r="D19" i="29"/>
  <c r="Q19" i="29"/>
  <c r="C19" i="29"/>
  <c r="N19" i="29"/>
  <c r="AT19" i="29"/>
  <c r="O19" i="29"/>
  <c r="BD19" i="29"/>
  <c r="T28" i="13" s="1"/>
  <c r="AE19" i="29"/>
  <c r="T16" i="13" s="1"/>
  <c r="M19" i="29"/>
  <c r="AD19" i="29"/>
  <c r="T15" i="13" s="1"/>
  <c r="L19" i="29"/>
  <c r="AC19" i="29"/>
  <c r="T14" i="13" s="1"/>
  <c r="CC23" i="29"/>
  <c r="CJ23" i="29"/>
  <c r="BZ23" i="29"/>
  <c r="BY23" i="29"/>
  <c r="CI23" i="29"/>
  <c r="CH23" i="29"/>
  <c r="CG23" i="29"/>
  <c r="CF23" i="29"/>
  <c r="CE23" i="29"/>
  <c r="CD23" i="29"/>
  <c r="CA23" i="29"/>
  <c r="CB23" i="29"/>
  <c r="CC26" i="29"/>
  <c r="CJ26" i="29"/>
  <c r="CI26" i="29"/>
  <c r="CH26" i="29"/>
  <c r="CG26" i="29"/>
  <c r="CF26" i="29"/>
  <c r="CE26" i="29"/>
  <c r="CD26" i="29"/>
  <c r="CB26" i="29"/>
  <c r="CA26" i="29"/>
  <c r="BZ26" i="29"/>
  <c r="BY26" i="29"/>
  <c r="CA37" i="29"/>
  <c r="CI37" i="29"/>
  <c r="CG37" i="29"/>
  <c r="CF37" i="29"/>
  <c r="CB37" i="29"/>
  <c r="CJ37" i="29"/>
  <c r="CH37" i="29"/>
  <c r="CE37" i="29"/>
  <c r="CD37" i="29"/>
  <c r="CC37" i="29"/>
  <c r="BZ37" i="29"/>
  <c r="BY37" i="29"/>
  <c r="CE42" i="29"/>
  <c r="CA42" i="29"/>
  <c r="BY42" i="29"/>
  <c r="CJ42" i="29"/>
  <c r="CF42" i="29"/>
  <c r="CI42" i="29"/>
  <c r="CH42" i="29"/>
  <c r="CG42" i="29"/>
  <c r="CD42" i="29"/>
  <c r="CC42" i="29"/>
  <c r="BZ42" i="29"/>
  <c r="CB42" i="29"/>
  <c r="CC17" i="29"/>
  <c r="CJ17" i="29"/>
  <c r="CI17" i="29"/>
  <c r="CH17" i="29"/>
  <c r="CG17" i="29"/>
  <c r="CF17" i="29"/>
  <c r="CE17" i="29"/>
  <c r="CD17" i="29"/>
  <c r="CB17" i="29"/>
  <c r="CA17" i="29"/>
  <c r="BZ17" i="29"/>
  <c r="BY17" i="29"/>
  <c r="BY21" i="29"/>
  <c r="CF21" i="29"/>
  <c r="CC21" i="29"/>
  <c r="CB21" i="29"/>
  <c r="CA21" i="29"/>
  <c r="BZ21" i="29"/>
  <c r="CJ21" i="29"/>
  <c r="CI21" i="29"/>
  <c r="CH21" i="29"/>
  <c r="CG21" i="29"/>
  <c r="CD21" i="29"/>
  <c r="CE21" i="29"/>
  <c r="CI38" i="29"/>
  <c r="CE38" i="29"/>
  <c r="CC38" i="29"/>
  <c r="CB38" i="29"/>
  <c r="CJ38" i="29"/>
  <c r="BZ38" i="29"/>
  <c r="BY38" i="29"/>
  <c r="CH38" i="29"/>
  <c r="CG38" i="29"/>
  <c r="CF38" i="29"/>
  <c r="CA38" i="29"/>
  <c r="CD38" i="29"/>
  <c r="CI50" i="29"/>
  <c r="CH50" i="29"/>
  <c r="CE50" i="29"/>
  <c r="CC50" i="29"/>
  <c r="CB50" i="29"/>
  <c r="BZ50" i="29"/>
  <c r="CJ50" i="29"/>
  <c r="CG50" i="29"/>
  <c r="CF50" i="29"/>
  <c r="CD50" i="29"/>
  <c r="CA50" i="29"/>
  <c r="BY50" i="29"/>
  <c r="CA55" i="29"/>
  <c r="BZ55" i="29"/>
  <c r="BY55" i="29"/>
  <c r="CJ55" i="29"/>
  <c r="CI55" i="29"/>
  <c r="CH55" i="29"/>
  <c r="CG55" i="29"/>
  <c r="CF55" i="29"/>
  <c r="CE55" i="29"/>
  <c r="CD55" i="29"/>
  <c r="CB55" i="29"/>
  <c r="CC55" i="29"/>
  <c r="BY6" i="29"/>
  <c r="CF6" i="29"/>
  <c r="CJ6" i="29"/>
  <c r="CI6" i="29"/>
  <c r="CH6" i="29"/>
  <c r="CG6" i="29"/>
  <c r="CE6" i="29"/>
  <c r="CD6" i="29"/>
  <c r="CC6" i="29"/>
  <c r="CB6" i="29"/>
  <c r="BZ6" i="29"/>
  <c r="CA6" i="29"/>
  <c r="AZ27" i="29"/>
  <c r="AB23" i="13" s="1"/>
  <c r="AD27" i="29"/>
  <c r="AB15" i="13" s="1"/>
  <c r="N27" i="29"/>
  <c r="CM27" i="29"/>
  <c r="CL27" i="29"/>
  <c r="X27" i="29"/>
  <c r="AB10" i="13" s="1"/>
  <c r="I27" i="29"/>
  <c r="BA27" i="29"/>
  <c r="AB24" i="13" s="1"/>
  <c r="J27" i="29"/>
  <c r="AT27" i="29"/>
  <c r="R27" i="29"/>
  <c r="D27" i="29"/>
  <c r="AI27" i="29"/>
  <c r="M27" i="29"/>
  <c r="L27" i="29"/>
  <c r="AB17" i="13"/>
  <c r="K27" i="29"/>
  <c r="AE27" i="29"/>
  <c r="AB16" i="13" s="1"/>
  <c r="H27" i="29"/>
  <c r="AC27" i="29"/>
  <c r="AB14" i="13" s="1"/>
  <c r="G27" i="29"/>
  <c r="BD27" i="29"/>
  <c r="AB28" i="13" s="1"/>
  <c r="Z27" i="29"/>
  <c r="F27" i="29"/>
  <c r="AB26" i="13"/>
  <c r="Y27" i="29"/>
  <c r="AB11" i="13" s="1"/>
  <c r="E27" i="29"/>
  <c r="W27" i="29"/>
  <c r="AB9" i="13" s="1"/>
  <c r="C27" i="29"/>
  <c r="AV27" i="29"/>
  <c r="AB20" i="13" s="1"/>
  <c r="AY27" i="29"/>
  <c r="AB22" i="13" s="1"/>
  <c r="AX27" i="29"/>
  <c r="AW27" i="29"/>
  <c r="AB21" i="13" s="1"/>
  <c r="Q27" i="29"/>
  <c r="AB27" i="13"/>
  <c r="O27" i="29"/>
  <c r="CC20" i="29"/>
  <c r="CJ20" i="29"/>
  <c r="CE20" i="29"/>
  <c r="CD20" i="29"/>
  <c r="CB20" i="29"/>
  <c r="CA20" i="29"/>
  <c r="BZ20" i="29"/>
  <c r="BY20" i="29"/>
  <c r="CI20" i="29"/>
  <c r="CH20" i="29"/>
  <c r="CF20" i="29"/>
  <c r="CG20" i="29"/>
  <c r="CG19" i="29"/>
  <c r="CB19" i="29"/>
  <c r="CF19" i="29"/>
  <c r="CE19" i="29"/>
  <c r="CD19" i="29"/>
  <c r="CC19" i="29"/>
  <c r="CA19" i="29"/>
  <c r="BZ19" i="29"/>
  <c r="BY19" i="29"/>
  <c r="CJ19" i="29"/>
  <c r="CH19" i="29"/>
  <c r="CI19" i="29"/>
  <c r="CM5" i="29"/>
  <c r="CL5" i="29"/>
  <c r="AY5" i="29"/>
  <c r="F22" i="13" s="1"/>
  <c r="AC5" i="29"/>
  <c r="F14" i="13" s="1"/>
  <c r="M5" i="29"/>
  <c r="AT5" i="29"/>
  <c r="W5" i="29"/>
  <c r="F9" i="13" s="1"/>
  <c r="H5" i="29"/>
  <c r="AZ5" i="29"/>
  <c r="F23" i="13" s="1"/>
  <c r="AX5" i="29"/>
  <c r="AV5" i="29"/>
  <c r="F20" i="13" s="1"/>
  <c r="F5" i="29"/>
  <c r="E5" i="29"/>
  <c r="Q5" i="29"/>
  <c r="AI5" i="29"/>
  <c r="O5" i="29"/>
  <c r="F17" i="13"/>
  <c r="BD5" i="29"/>
  <c r="F28" i="13" s="1"/>
  <c r="L5" i="29"/>
  <c r="AE5" i="29"/>
  <c r="F16" i="13" s="1"/>
  <c r="N5" i="29"/>
  <c r="BA5" i="29"/>
  <c r="F24" i="13" s="1"/>
  <c r="J5" i="29"/>
  <c r="Z5" i="29"/>
  <c r="I5" i="29"/>
  <c r="Y5" i="29"/>
  <c r="F11" i="13" s="1"/>
  <c r="G5" i="29"/>
  <c r="AW5" i="29"/>
  <c r="F21" i="13" s="1"/>
  <c r="X5" i="29"/>
  <c r="F10" i="13" s="1"/>
  <c r="R5" i="29"/>
  <c r="D5" i="29"/>
  <c r="C5" i="29"/>
  <c r="F26" i="13"/>
  <c r="AD5" i="29"/>
  <c r="F15" i="13" s="1"/>
  <c r="K5" i="29"/>
  <c r="AI35" i="29"/>
  <c r="R35" i="29"/>
  <c r="F35" i="29"/>
  <c r="CM35" i="29"/>
  <c r="CL35" i="29"/>
  <c r="AY35" i="29"/>
  <c r="AJ22" i="13" s="1"/>
  <c r="AC35" i="29"/>
  <c r="AJ14" i="13" s="1"/>
  <c r="M35" i="29"/>
  <c r="D35" i="29"/>
  <c r="AD35" i="29"/>
  <c r="AJ15" i="13" s="1"/>
  <c r="K35" i="29"/>
  <c r="BA35" i="29"/>
  <c r="AJ24" i="13" s="1"/>
  <c r="J35" i="29"/>
  <c r="AV35" i="29"/>
  <c r="AJ20" i="13" s="1"/>
  <c r="W35" i="29"/>
  <c r="AJ9" i="13" s="1"/>
  <c r="E35" i="29"/>
  <c r="Z35" i="29"/>
  <c r="Y35" i="29"/>
  <c r="AJ11" i="13" s="1"/>
  <c r="X35" i="29"/>
  <c r="AJ10" i="13" s="1"/>
  <c r="BD35" i="29"/>
  <c r="AJ28" i="13" s="1"/>
  <c r="Q35" i="29"/>
  <c r="AZ35" i="29"/>
  <c r="AJ23" i="13" s="1"/>
  <c r="AX35" i="29"/>
  <c r="O35" i="29"/>
  <c r="AW35" i="29"/>
  <c r="AJ21" i="13" s="1"/>
  <c r="N35" i="29"/>
  <c r="G35" i="29"/>
  <c r="AT35" i="29"/>
  <c r="L35" i="29"/>
  <c r="I35" i="29"/>
  <c r="H35" i="29"/>
  <c r="AE35" i="29"/>
  <c r="AJ16" i="13" s="1"/>
  <c r="C35" i="29"/>
  <c r="CM34" i="29"/>
  <c r="CL34" i="29"/>
  <c r="AY34" i="29"/>
  <c r="AI22" i="13" s="1"/>
  <c r="AC34" i="29"/>
  <c r="AI14" i="13" s="1"/>
  <c r="M34" i="29"/>
  <c r="AT34" i="29"/>
  <c r="W34" i="29"/>
  <c r="AI9" i="13" s="1"/>
  <c r="H34" i="29"/>
  <c r="AD34" i="29"/>
  <c r="AI15" i="13" s="1"/>
  <c r="K34" i="29"/>
  <c r="BA34" i="29"/>
  <c r="AI24" i="13" s="1"/>
  <c r="J34" i="29"/>
  <c r="AV34" i="29"/>
  <c r="AI20" i="13" s="1"/>
  <c r="E34" i="29"/>
  <c r="R34" i="29"/>
  <c r="D34" i="29"/>
  <c r="Z34" i="29"/>
  <c r="Y34" i="29"/>
  <c r="AI11" i="13" s="1"/>
  <c r="X34" i="29"/>
  <c r="AI10" i="13" s="1"/>
  <c r="BD34" i="29"/>
  <c r="AI28" i="13" s="1"/>
  <c r="Q34" i="29"/>
  <c r="AZ34" i="29"/>
  <c r="AI23" i="13" s="1"/>
  <c r="AX34" i="29"/>
  <c r="O34" i="29"/>
  <c r="AW34" i="29"/>
  <c r="AI21" i="13" s="1"/>
  <c r="N34" i="29"/>
  <c r="AI17" i="13"/>
  <c r="F34" i="29"/>
  <c r="L34" i="29"/>
  <c r="AI34" i="29"/>
  <c r="I34" i="29"/>
  <c r="G34" i="29"/>
  <c r="AE34" i="29"/>
  <c r="AI16" i="13" s="1"/>
  <c r="C34" i="29"/>
  <c r="CM51" i="29"/>
  <c r="AV51" i="29"/>
  <c r="AZ20" i="13" s="1"/>
  <c r="BD51" i="29"/>
  <c r="AZ28" i="13" s="1"/>
  <c r="AD51" i="29"/>
  <c r="AZ15" i="13" s="1"/>
  <c r="N51" i="29"/>
  <c r="CL51" i="29"/>
  <c r="AW51" i="29"/>
  <c r="AZ21" i="13" s="1"/>
  <c r="X51" i="29"/>
  <c r="AZ10" i="13" s="1"/>
  <c r="I51" i="29"/>
  <c r="AZ51" i="29"/>
  <c r="AZ23" i="13" s="1"/>
  <c r="Y51" i="29"/>
  <c r="AZ11" i="13" s="1"/>
  <c r="G51" i="29"/>
  <c r="AY51" i="29"/>
  <c r="AZ22" i="13" s="1"/>
  <c r="W51" i="29"/>
  <c r="AZ9" i="13" s="1"/>
  <c r="F51" i="29"/>
  <c r="AX51" i="29"/>
  <c r="E51" i="29"/>
  <c r="R51" i="29"/>
  <c r="D51" i="29"/>
  <c r="AT51" i="29"/>
  <c r="Q51" i="29"/>
  <c r="C51" i="29"/>
  <c r="AI51" i="29"/>
  <c r="O51" i="29"/>
  <c r="AZ17" i="13"/>
  <c r="M51" i="29"/>
  <c r="AE51" i="29"/>
  <c r="AZ16" i="13" s="1"/>
  <c r="L51" i="29"/>
  <c r="AC51" i="29"/>
  <c r="AZ14" i="13" s="1"/>
  <c r="K51" i="29"/>
  <c r="BA51" i="29"/>
  <c r="AZ24" i="13" s="1"/>
  <c r="Z51" i="29"/>
  <c r="H51" i="29"/>
  <c r="J51" i="29"/>
  <c r="CM39" i="29"/>
  <c r="AZ39" i="29"/>
  <c r="AN23" i="13" s="1"/>
  <c r="AD39" i="29"/>
  <c r="AN15" i="13" s="1"/>
  <c r="N39" i="29"/>
  <c r="CL39" i="29"/>
  <c r="X39" i="29"/>
  <c r="AN10" i="13" s="1"/>
  <c r="I39" i="29"/>
  <c r="AV39" i="29"/>
  <c r="AN20" i="13" s="1"/>
  <c r="E39" i="29"/>
  <c r="AT39" i="29"/>
  <c r="R39" i="29"/>
  <c r="D39" i="29"/>
  <c r="Q39" i="29"/>
  <c r="C39" i="29"/>
  <c r="AI39" i="29"/>
  <c r="O39" i="29"/>
  <c r="M39" i="29"/>
  <c r="BD39" i="29"/>
  <c r="AN28" i="13" s="1"/>
  <c r="AE39" i="29"/>
  <c r="AN16" i="13" s="1"/>
  <c r="L39" i="29"/>
  <c r="AN26" i="13"/>
  <c r="AC39" i="29"/>
  <c r="AN14" i="13" s="1"/>
  <c r="K39" i="29"/>
  <c r="BA39" i="29"/>
  <c r="AN24" i="13" s="1"/>
  <c r="J39" i="29"/>
  <c r="AY39" i="29"/>
  <c r="AN22" i="13" s="1"/>
  <c r="Z39" i="29"/>
  <c r="H39" i="29"/>
  <c r="AW39" i="29"/>
  <c r="AN21" i="13" s="1"/>
  <c r="W39" i="29"/>
  <c r="AN9" i="13" s="1"/>
  <c r="F39" i="29"/>
  <c r="G39" i="29"/>
  <c r="AX39" i="29"/>
  <c r="Y39" i="29"/>
  <c r="AN11" i="13" s="1"/>
  <c r="CM45" i="29"/>
  <c r="CL45" i="29"/>
  <c r="AT45" i="29"/>
  <c r="W45" i="29"/>
  <c r="AT9" i="13" s="1"/>
  <c r="H45" i="29"/>
  <c r="BA45" i="29"/>
  <c r="AT24" i="13" s="1"/>
  <c r="AE45" i="29"/>
  <c r="AT16" i="13" s="1"/>
  <c r="O45" i="29"/>
  <c r="C45" i="29"/>
  <c r="AW45" i="29"/>
  <c r="AT21" i="13" s="1"/>
  <c r="X45" i="29"/>
  <c r="AT10" i="13" s="1"/>
  <c r="F45" i="29"/>
  <c r="AV45" i="29"/>
  <c r="AT20" i="13" s="1"/>
  <c r="E45" i="29"/>
  <c r="R45" i="29"/>
  <c r="D45" i="29"/>
  <c r="AT27" i="13"/>
  <c r="Q45" i="29"/>
  <c r="AI45" i="29"/>
  <c r="N45" i="29"/>
  <c r="AT17" i="13"/>
  <c r="M45" i="29"/>
  <c r="BD45" i="29"/>
  <c r="AT28" i="13" s="1"/>
  <c r="AD45" i="29"/>
  <c r="AT15" i="13" s="1"/>
  <c r="L45" i="29"/>
  <c r="AT26" i="13"/>
  <c r="AC45" i="29"/>
  <c r="AT14" i="13" s="1"/>
  <c r="K45" i="29"/>
  <c r="AZ45" i="29"/>
  <c r="AT23" i="13" s="1"/>
  <c r="J45" i="29"/>
  <c r="AX45" i="29"/>
  <c r="Y45" i="29"/>
  <c r="AT11" i="13" s="1"/>
  <c r="G45" i="29"/>
  <c r="AY45" i="29"/>
  <c r="AT22" i="13" s="1"/>
  <c r="Z45" i="29"/>
  <c r="I45" i="29"/>
  <c r="CM31" i="29"/>
  <c r="CL31" i="29"/>
  <c r="AV31" i="29"/>
  <c r="AF20" i="13" s="1"/>
  <c r="Y31" i="29"/>
  <c r="AF11" i="13" s="1"/>
  <c r="J31" i="29"/>
  <c r="BD31" i="29"/>
  <c r="AF28" i="13" s="1"/>
  <c r="Q31" i="29"/>
  <c r="E31" i="29"/>
  <c r="BA31" i="29"/>
  <c r="AF24" i="13" s="1"/>
  <c r="AC31" i="29"/>
  <c r="AF14" i="13" s="1"/>
  <c r="K31" i="29"/>
  <c r="D31" i="29"/>
  <c r="AF27" i="13"/>
  <c r="N31" i="29"/>
  <c r="AI31" i="29"/>
  <c r="M31" i="29"/>
  <c r="AF17" i="13"/>
  <c r="L31" i="29"/>
  <c r="AE31" i="29"/>
  <c r="AF16" i="13" s="1"/>
  <c r="I31" i="29"/>
  <c r="AD31" i="29"/>
  <c r="AF15" i="13" s="1"/>
  <c r="H31" i="29"/>
  <c r="G31" i="29"/>
  <c r="AF26" i="13"/>
  <c r="Z31" i="29"/>
  <c r="F31" i="29"/>
  <c r="AW31" i="29"/>
  <c r="AF21" i="13" s="1"/>
  <c r="AZ31" i="29"/>
  <c r="AF23" i="13" s="1"/>
  <c r="X31" i="29"/>
  <c r="AF10" i="13" s="1"/>
  <c r="C31" i="29"/>
  <c r="AY31" i="29"/>
  <c r="AF22" i="13" s="1"/>
  <c r="AX31" i="29"/>
  <c r="R31" i="29"/>
  <c r="AT31" i="29"/>
  <c r="O31" i="29"/>
  <c r="CM32" i="29"/>
  <c r="CL32" i="29"/>
  <c r="BA32" i="29"/>
  <c r="AG24" i="13" s="1"/>
  <c r="AE32" i="29"/>
  <c r="AG16" i="13" s="1"/>
  <c r="O32" i="29"/>
  <c r="C32" i="29"/>
  <c r="AV32" i="29"/>
  <c r="AG20" i="13" s="1"/>
  <c r="Y32" i="29"/>
  <c r="AG11" i="13" s="1"/>
  <c r="J32" i="29"/>
  <c r="AC32" i="29"/>
  <c r="AG14" i="13" s="1"/>
  <c r="K32" i="29"/>
  <c r="AZ32" i="29"/>
  <c r="AG23" i="13" s="1"/>
  <c r="E32" i="29"/>
  <c r="AT32" i="29"/>
  <c r="Z32" i="29"/>
  <c r="F32" i="29"/>
  <c r="X32" i="29"/>
  <c r="AG10" i="13" s="1"/>
  <c r="D32" i="29"/>
  <c r="W32" i="29"/>
  <c r="AG9" i="13" s="1"/>
  <c r="BD32" i="29"/>
  <c r="AG28" i="13" s="1"/>
  <c r="R32" i="29"/>
  <c r="AY32" i="29"/>
  <c r="AG22" i="13" s="1"/>
  <c r="Q32" i="29"/>
  <c r="AX32" i="29"/>
  <c r="AW32" i="29"/>
  <c r="AG21" i="13" s="1"/>
  <c r="N32" i="29"/>
  <c r="H32" i="29"/>
  <c r="M32" i="29"/>
  <c r="AI32" i="29"/>
  <c r="L32" i="29"/>
  <c r="I32" i="29"/>
  <c r="AD32" i="29"/>
  <c r="AG15" i="13" s="1"/>
  <c r="G32" i="29"/>
  <c r="AT53" i="29"/>
  <c r="W53" i="29"/>
  <c r="BB9" i="13" s="1"/>
  <c r="H53" i="29"/>
  <c r="CM53" i="29"/>
  <c r="CL53" i="29"/>
  <c r="BA53" i="29"/>
  <c r="BB24" i="13" s="1"/>
  <c r="AE53" i="29"/>
  <c r="BB16" i="13" s="1"/>
  <c r="O53" i="29"/>
  <c r="C53" i="29"/>
  <c r="AV53" i="29"/>
  <c r="BB20" i="13" s="1"/>
  <c r="E53" i="29"/>
  <c r="BD53" i="29"/>
  <c r="BB28" i="13" s="1"/>
  <c r="AD53" i="29"/>
  <c r="BB15" i="13" s="1"/>
  <c r="L53" i="29"/>
  <c r="AW53" i="29"/>
  <c r="BB21" i="13" s="1"/>
  <c r="X53" i="29"/>
  <c r="BB10" i="13" s="1"/>
  <c r="F53" i="29"/>
  <c r="I53" i="29"/>
  <c r="AC53" i="29"/>
  <c r="BB14" i="13" s="1"/>
  <c r="G53" i="29"/>
  <c r="D53" i="29"/>
  <c r="Z53" i="29"/>
  <c r="Y53" i="29"/>
  <c r="BB11" i="13" s="1"/>
  <c r="AZ53" i="29"/>
  <c r="BB23" i="13" s="1"/>
  <c r="R53" i="29"/>
  <c r="AY53" i="29"/>
  <c r="BB22" i="13" s="1"/>
  <c r="Q53" i="29"/>
  <c r="AX53" i="29"/>
  <c r="N53" i="29"/>
  <c r="M53" i="29"/>
  <c r="J53" i="29"/>
  <c r="AI53" i="29"/>
  <c r="K53" i="29"/>
  <c r="CM15" i="29"/>
  <c r="CL15" i="29"/>
  <c r="BA15" i="29"/>
  <c r="P24" i="13" s="1"/>
  <c r="AE15" i="29"/>
  <c r="P16" i="13" s="1"/>
  <c r="O15" i="29"/>
  <c r="C15" i="29"/>
  <c r="AV15" i="29"/>
  <c r="P20" i="13" s="1"/>
  <c r="Y15" i="29"/>
  <c r="P11" i="13" s="1"/>
  <c r="J15" i="29"/>
  <c r="AY15" i="29"/>
  <c r="P22" i="13" s="1"/>
  <c r="Z15" i="29"/>
  <c r="H15" i="29"/>
  <c r="AX15" i="29"/>
  <c r="X15" i="29"/>
  <c r="P10" i="13" s="1"/>
  <c r="G15" i="29"/>
  <c r="AW15" i="29"/>
  <c r="P21" i="13" s="1"/>
  <c r="W15" i="29"/>
  <c r="P9" i="13" s="1"/>
  <c r="F15" i="29"/>
  <c r="E15" i="29"/>
  <c r="AT15" i="29"/>
  <c r="R15" i="29"/>
  <c r="D15" i="29"/>
  <c r="Q15" i="29"/>
  <c r="AI15" i="29"/>
  <c r="M15" i="29"/>
  <c r="N15" i="29"/>
  <c r="P17" i="13"/>
  <c r="BD15" i="29"/>
  <c r="P28" i="13" s="1"/>
  <c r="AD15" i="29"/>
  <c r="P15" i="13" s="1"/>
  <c r="L15" i="29"/>
  <c r="AC15" i="29"/>
  <c r="P14" i="13" s="1"/>
  <c r="K15" i="29"/>
  <c r="AZ15" i="29"/>
  <c r="P23" i="13" s="1"/>
  <c r="I15" i="29"/>
  <c r="BA44" i="29"/>
  <c r="AS24" i="13" s="1"/>
  <c r="AE44" i="29"/>
  <c r="AS16" i="13" s="1"/>
  <c r="O44" i="29"/>
  <c r="C44" i="29"/>
  <c r="CM44" i="29"/>
  <c r="CL44" i="29"/>
  <c r="AV44" i="29"/>
  <c r="AS20" i="13" s="1"/>
  <c r="Y44" i="29"/>
  <c r="AS11" i="13" s="1"/>
  <c r="J44" i="29"/>
  <c r="AW44" i="29"/>
  <c r="AS21" i="13" s="1"/>
  <c r="W44" i="29"/>
  <c r="AS9" i="13" s="1"/>
  <c r="F44" i="29"/>
  <c r="E44" i="29"/>
  <c r="AT44" i="29"/>
  <c r="R44" i="29"/>
  <c r="D44" i="29"/>
  <c r="AS27" i="13"/>
  <c r="Q44" i="29"/>
  <c r="AI44" i="29"/>
  <c r="N44" i="29"/>
  <c r="AS17" i="13"/>
  <c r="M44" i="29"/>
  <c r="BD44" i="29"/>
  <c r="AS28" i="13" s="1"/>
  <c r="AD44" i="29"/>
  <c r="AS15" i="13" s="1"/>
  <c r="L44" i="29"/>
  <c r="AS26" i="13"/>
  <c r="AC44" i="29"/>
  <c r="AS14" i="13" s="1"/>
  <c r="K44" i="29"/>
  <c r="AZ44" i="29"/>
  <c r="AS23" i="13" s="1"/>
  <c r="I44" i="29"/>
  <c r="AX44" i="29"/>
  <c r="X44" i="29"/>
  <c r="AS10" i="13" s="1"/>
  <c r="G44" i="29"/>
  <c r="AY44" i="29"/>
  <c r="AS22" i="13" s="1"/>
  <c r="Z44" i="29"/>
  <c r="H44" i="29"/>
  <c r="CM48" i="29"/>
  <c r="AW48" i="29"/>
  <c r="AW21" i="13" s="1"/>
  <c r="Z48" i="29"/>
  <c r="K48" i="29"/>
  <c r="CL48" i="29"/>
  <c r="AI48" i="29"/>
  <c r="R48" i="29"/>
  <c r="F48" i="29"/>
  <c r="AX48" i="29"/>
  <c r="X48" i="29"/>
  <c r="AW10" i="13" s="1"/>
  <c r="G48" i="29"/>
  <c r="AV48" i="29"/>
  <c r="AW20" i="13" s="1"/>
  <c r="W48" i="29"/>
  <c r="AW9" i="13" s="1"/>
  <c r="E48" i="29"/>
  <c r="D48" i="29"/>
  <c r="AT48" i="29"/>
  <c r="Q48" i="29"/>
  <c r="C48" i="29"/>
  <c r="O48" i="29"/>
  <c r="N48" i="29"/>
  <c r="BD48" i="29"/>
  <c r="AW28" i="13" s="1"/>
  <c r="AE48" i="29"/>
  <c r="AW16" i="13" s="1"/>
  <c r="M48" i="29"/>
  <c r="AD48" i="29"/>
  <c r="AW15" i="13" s="1"/>
  <c r="L48" i="29"/>
  <c r="BA48" i="29"/>
  <c r="AW24" i="13" s="1"/>
  <c r="AC48" i="29"/>
  <c r="AW14" i="13" s="1"/>
  <c r="J48" i="29"/>
  <c r="AY48" i="29"/>
  <c r="AW22" i="13" s="1"/>
  <c r="Y48" i="29"/>
  <c r="AW11" i="13" s="1"/>
  <c r="H48" i="29"/>
  <c r="AZ48" i="29"/>
  <c r="AW23" i="13" s="1"/>
  <c r="I48" i="29"/>
  <c r="CM9" i="29"/>
  <c r="CL9" i="29"/>
  <c r="X9" i="29"/>
  <c r="J10" i="13" s="1"/>
  <c r="I9" i="29"/>
  <c r="J26" i="13"/>
  <c r="D9" i="29"/>
  <c r="H9" i="29"/>
  <c r="G9" i="29"/>
  <c r="W9" i="29"/>
  <c r="J9" i="13" s="1"/>
  <c r="AX9" i="29"/>
  <c r="F9" i="29"/>
  <c r="AV9" i="29"/>
  <c r="J20" i="13" s="1"/>
  <c r="E9" i="29"/>
  <c r="AT9" i="29"/>
  <c r="R9" i="29"/>
  <c r="C9" i="29"/>
  <c r="Q9" i="29"/>
  <c r="AI9" i="29"/>
  <c r="O9" i="29"/>
  <c r="N9" i="29"/>
  <c r="AE9" i="29"/>
  <c r="J16" i="13" s="1"/>
  <c r="AD9" i="29"/>
  <c r="J15" i="13" s="1"/>
  <c r="M9" i="29"/>
  <c r="BA9" i="29"/>
  <c r="J24" i="13" s="1"/>
  <c r="AC9" i="29"/>
  <c r="J14" i="13" s="1"/>
  <c r="K9" i="29"/>
  <c r="AZ9" i="29"/>
  <c r="J23" i="13" s="1"/>
  <c r="J9" i="29"/>
  <c r="AY9" i="29"/>
  <c r="J22" i="13" s="1"/>
  <c r="Z9" i="29"/>
  <c r="Y9" i="29"/>
  <c r="J11" i="13" s="1"/>
  <c r="AW9" i="29"/>
  <c r="J21" i="13" s="1"/>
  <c r="BD9" i="29"/>
  <c r="J28" i="13" s="1"/>
  <c r="L9" i="29"/>
  <c r="CC5" i="29"/>
  <c r="CJ5" i="29"/>
  <c r="BZ5" i="29"/>
  <c r="BY5" i="29"/>
  <c r="CI5" i="29"/>
  <c r="CH5" i="29"/>
  <c r="CG5" i="29"/>
  <c r="CF5" i="29"/>
  <c r="CE5" i="29"/>
  <c r="CD5" i="29"/>
  <c r="CA5" i="29"/>
  <c r="CB5" i="29"/>
  <c r="CI35" i="29"/>
  <c r="CE35" i="29"/>
  <c r="CC35" i="29"/>
  <c r="CB35" i="29"/>
  <c r="CJ35" i="29"/>
  <c r="CG35" i="29"/>
  <c r="CF35" i="29"/>
  <c r="CD35" i="29"/>
  <c r="CA35" i="29"/>
  <c r="BZ35" i="29"/>
  <c r="BY35" i="29"/>
  <c r="CH35" i="29"/>
  <c r="CA34" i="29"/>
  <c r="CI34" i="29"/>
  <c r="CG34" i="29"/>
  <c r="CF34" i="29"/>
  <c r="CB34" i="29"/>
  <c r="CC34" i="29"/>
  <c r="BZ34" i="29"/>
  <c r="BY34" i="29"/>
  <c r="CJ34" i="29"/>
  <c r="CH34" i="29"/>
  <c r="CD34" i="29"/>
  <c r="CE34" i="29"/>
  <c r="CE51" i="29"/>
  <c r="CD51" i="29"/>
  <c r="CA51" i="29"/>
  <c r="BY51" i="29"/>
  <c r="CJ51" i="29"/>
  <c r="CH51" i="29"/>
  <c r="CF51" i="29"/>
  <c r="CC51" i="29"/>
  <c r="CB51" i="29"/>
  <c r="BZ51" i="29"/>
  <c r="CG51" i="29"/>
  <c r="CI51" i="29"/>
  <c r="CE39" i="29"/>
  <c r="CA39" i="29"/>
  <c r="BY39" i="29"/>
  <c r="CJ39" i="29"/>
  <c r="CF39" i="29"/>
  <c r="CD39" i="29"/>
  <c r="CC39" i="29"/>
  <c r="CB39" i="29"/>
  <c r="BZ39" i="29"/>
  <c r="CI39" i="29"/>
  <c r="CG39" i="29"/>
  <c r="CH39" i="29"/>
  <c r="CE45" i="29"/>
  <c r="CA45" i="29"/>
  <c r="BY45" i="29"/>
  <c r="CJ45" i="29"/>
  <c r="CF45" i="29"/>
  <c r="CI45" i="29"/>
  <c r="CH45" i="29"/>
  <c r="CG45" i="29"/>
  <c r="CD45" i="29"/>
  <c r="CC45" i="29"/>
  <c r="CB45" i="29"/>
  <c r="BZ45" i="29"/>
  <c r="CG31" i="29"/>
  <c r="CB31" i="29"/>
  <c r="CA31" i="29"/>
  <c r="BZ31" i="29"/>
  <c r="BY31" i="29"/>
  <c r="CJ31" i="29"/>
  <c r="CI31" i="29"/>
  <c r="CH31" i="29"/>
  <c r="CF31" i="29"/>
  <c r="CE31" i="29"/>
  <c r="CC31" i="29"/>
  <c r="CD31" i="29"/>
  <c r="CC32" i="29"/>
  <c r="CJ32" i="29"/>
  <c r="BZ32" i="29"/>
  <c r="BY32" i="29"/>
  <c r="CI32" i="29"/>
  <c r="CH32" i="29"/>
  <c r="CG32" i="29"/>
  <c r="CF32" i="29"/>
  <c r="CE32" i="29"/>
  <c r="CD32" i="29"/>
  <c r="CA32" i="29"/>
  <c r="CB32" i="29"/>
  <c r="CI53" i="29"/>
  <c r="CH53" i="29"/>
  <c r="CG53" i="29"/>
  <c r="CF53" i="29"/>
  <c r="CE53" i="29"/>
  <c r="CD53" i="29"/>
  <c r="CC53" i="29"/>
  <c r="CB53" i="29"/>
  <c r="CA53" i="29"/>
  <c r="BZ53" i="29"/>
  <c r="CJ53" i="29"/>
  <c r="BY53" i="29"/>
  <c r="BY15" i="29"/>
  <c r="CF15" i="29"/>
  <c r="CJ15" i="29"/>
  <c r="CI15" i="29"/>
  <c r="CH15" i="29"/>
  <c r="CG15" i="29"/>
  <c r="CE15" i="29"/>
  <c r="CD15" i="29"/>
  <c r="CC15" i="29"/>
  <c r="CB15" i="29"/>
  <c r="BZ15" i="29"/>
  <c r="CA15" i="29"/>
  <c r="CI44" i="29"/>
  <c r="CE44" i="29"/>
  <c r="CC44" i="29"/>
  <c r="CB44" i="29"/>
  <c r="CJ44" i="29"/>
  <c r="CG44" i="29"/>
  <c r="CF44" i="29"/>
  <c r="CD44" i="29"/>
  <c r="CA44" i="29"/>
  <c r="BZ44" i="29"/>
  <c r="BY44" i="29"/>
  <c r="CH44" i="29"/>
  <c r="CE48" i="29"/>
  <c r="CA48" i="29"/>
  <c r="BY48" i="29"/>
  <c r="CJ48" i="29"/>
  <c r="CF48" i="29"/>
  <c r="CD48" i="29"/>
  <c r="CC48" i="29"/>
  <c r="CB48" i="29"/>
  <c r="BZ48" i="29"/>
  <c r="CI48" i="29"/>
  <c r="CG48" i="29"/>
  <c r="CH48" i="29"/>
  <c r="BY9" i="29"/>
  <c r="CF9" i="29"/>
  <c r="CH9" i="29"/>
  <c r="CG9" i="29"/>
  <c r="CE9" i="29"/>
  <c r="CD9" i="29"/>
  <c r="CC9" i="29"/>
  <c r="CB9" i="29"/>
  <c r="CA9" i="29"/>
  <c r="BZ9" i="29"/>
  <c r="CI9" i="29"/>
  <c r="CJ9" i="29"/>
  <c r="CM18" i="29"/>
  <c r="CL18" i="29"/>
  <c r="AI18" i="29"/>
  <c r="R18" i="29"/>
  <c r="F18" i="29"/>
  <c r="AY18" i="29"/>
  <c r="S22" i="13" s="1"/>
  <c r="AC18" i="29"/>
  <c r="S14" i="13" s="1"/>
  <c r="M18" i="29"/>
  <c r="S26" i="13"/>
  <c r="BA18" i="29"/>
  <c r="S24" i="13" s="1"/>
  <c r="J18" i="29"/>
  <c r="AZ18" i="29"/>
  <c r="S23" i="13" s="1"/>
  <c r="Z18" i="29"/>
  <c r="I18" i="29"/>
  <c r="AX18" i="29"/>
  <c r="Y18" i="29"/>
  <c r="S11" i="13" s="1"/>
  <c r="H18" i="29"/>
  <c r="AW18" i="29"/>
  <c r="S21" i="13" s="1"/>
  <c r="X18" i="29"/>
  <c r="S10" i="13" s="1"/>
  <c r="G18" i="29"/>
  <c r="AV18" i="29"/>
  <c r="S20" i="13" s="1"/>
  <c r="W18" i="29"/>
  <c r="S9" i="13" s="1"/>
  <c r="E18" i="29"/>
  <c r="D18" i="29"/>
  <c r="AT18" i="29"/>
  <c r="Q18" i="29"/>
  <c r="C18" i="29"/>
  <c r="S17" i="13"/>
  <c r="S27" i="13"/>
  <c r="N18" i="29"/>
  <c r="O18" i="29"/>
  <c r="BD18" i="29"/>
  <c r="S28" i="13" s="1"/>
  <c r="AE18" i="29"/>
  <c r="S16" i="13" s="1"/>
  <c r="L18" i="29"/>
  <c r="AD18" i="29"/>
  <c r="S15" i="13" s="1"/>
  <c r="K18" i="29"/>
  <c r="CM52" i="29"/>
  <c r="CL52" i="29"/>
  <c r="BA52" i="29"/>
  <c r="BA24" i="13" s="1"/>
  <c r="AE52" i="29"/>
  <c r="BA16" i="13" s="1"/>
  <c r="O52" i="29"/>
  <c r="C52" i="29"/>
  <c r="AV52" i="29"/>
  <c r="BA20" i="13" s="1"/>
  <c r="Y52" i="29"/>
  <c r="BA11" i="13" s="1"/>
  <c r="J52" i="29"/>
  <c r="BD52" i="29"/>
  <c r="BA28" i="13" s="1"/>
  <c r="AD52" i="29"/>
  <c r="BA15" i="13" s="1"/>
  <c r="L52" i="29"/>
  <c r="AW52" i="29"/>
  <c r="BA21" i="13" s="1"/>
  <c r="W52" i="29"/>
  <c r="BA9" i="13" s="1"/>
  <c r="F52" i="29"/>
  <c r="BA27" i="13"/>
  <c r="M52" i="29"/>
  <c r="AI52" i="29"/>
  <c r="K52" i="29"/>
  <c r="I52" i="29"/>
  <c r="H52" i="29"/>
  <c r="AC52" i="29"/>
  <c r="BA14" i="13" s="1"/>
  <c r="G52" i="29"/>
  <c r="E52" i="29"/>
  <c r="Z52" i="29"/>
  <c r="D52" i="29"/>
  <c r="X52" i="29"/>
  <c r="BA10" i="13" s="1"/>
  <c r="AZ52" i="29"/>
  <c r="BA23" i="13" s="1"/>
  <c r="R52" i="29"/>
  <c r="AY52" i="29"/>
  <c r="BA22" i="13" s="1"/>
  <c r="Q52" i="29"/>
  <c r="AT52" i="29"/>
  <c r="N52" i="29"/>
  <c r="AX52" i="29"/>
  <c r="CM43" i="29"/>
  <c r="CL43" i="29"/>
  <c r="AV43" i="29"/>
  <c r="AR20" i="13" s="1"/>
  <c r="Y43" i="29"/>
  <c r="AR11" i="13" s="1"/>
  <c r="J43" i="29"/>
  <c r="BD43" i="29"/>
  <c r="AR28" i="13" s="1"/>
  <c r="Q43" i="29"/>
  <c r="E43" i="29"/>
  <c r="AW43" i="29"/>
  <c r="AR21" i="13" s="1"/>
  <c r="W43" i="29"/>
  <c r="AR9" i="13" s="1"/>
  <c r="F43" i="29"/>
  <c r="D43" i="29"/>
  <c r="AT43" i="29"/>
  <c r="R43" i="29"/>
  <c r="C43" i="29"/>
  <c r="AR27" i="13"/>
  <c r="AI43" i="29"/>
  <c r="O43" i="29"/>
  <c r="AR17" i="13"/>
  <c r="N43" i="29"/>
  <c r="AE43" i="29"/>
  <c r="AR16" i="13" s="1"/>
  <c r="M43" i="29"/>
  <c r="AR26" i="13"/>
  <c r="AD43" i="29"/>
  <c r="AR15" i="13" s="1"/>
  <c r="L43" i="29"/>
  <c r="BA43" i="29"/>
  <c r="AR24" i="13" s="1"/>
  <c r="AC43" i="29"/>
  <c r="AR14" i="13" s="1"/>
  <c r="K43" i="29"/>
  <c r="AZ43" i="29"/>
  <c r="AR23" i="13" s="1"/>
  <c r="I43" i="29"/>
  <c r="AX43" i="29"/>
  <c r="X43" i="29"/>
  <c r="AR10" i="13" s="1"/>
  <c r="G43" i="29"/>
  <c r="H43" i="29"/>
  <c r="AY43" i="29"/>
  <c r="AR22" i="13" s="1"/>
  <c r="Z43" i="29"/>
  <c r="CM40" i="29"/>
  <c r="AO27" i="13"/>
  <c r="G40" i="29"/>
  <c r="AZ40" i="29"/>
  <c r="AO23" i="13" s="1"/>
  <c r="AD40" i="29"/>
  <c r="AO15" i="13" s="1"/>
  <c r="N40" i="29"/>
  <c r="AV40" i="29"/>
  <c r="AO20" i="13" s="1"/>
  <c r="W40" i="29"/>
  <c r="AO9" i="13" s="1"/>
  <c r="E40" i="29"/>
  <c r="R40" i="29"/>
  <c r="D40" i="29"/>
  <c r="AT40" i="29"/>
  <c r="Q40" i="29"/>
  <c r="C40" i="29"/>
  <c r="AI40" i="29"/>
  <c r="O40" i="29"/>
  <c r="AO17" i="13"/>
  <c r="M40" i="29"/>
  <c r="BD40" i="29"/>
  <c r="AO28" i="13" s="1"/>
  <c r="AE40" i="29"/>
  <c r="AO16" i="13" s="1"/>
  <c r="L40" i="29"/>
  <c r="AO26" i="13"/>
  <c r="AC40" i="29"/>
  <c r="AO14" i="13" s="1"/>
  <c r="K40" i="29"/>
  <c r="CL40" i="29"/>
  <c r="BA40" i="29"/>
  <c r="AO24" i="13" s="1"/>
  <c r="J40" i="29"/>
  <c r="AY40" i="29"/>
  <c r="AO22" i="13" s="1"/>
  <c r="Z40" i="29"/>
  <c r="I40" i="29"/>
  <c r="AW40" i="29"/>
  <c r="AO21" i="13" s="1"/>
  <c r="X40" i="29"/>
  <c r="AO10" i="13" s="1"/>
  <c r="F40" i="29"/>
  <c r="AX40" i="29"/>
  <c r="Y40" i="29"/>
  <c r="AO11" i="13" s="1"/>
  <c r="H40" i="29"/>
  <c r="CM54" i="29"/>
  <c r="CL54" i="29"/>
  <c r="AY54" i="29"/>
  <c r="BC22" i="13" s="1"/>
  <c r="AC54" i="29"/>
  <c r="BC14" i="13" s="1"/>
  <c r="M54" i="29"/>
  <c r="AT54" i="29"/>
  <c r="W54" i="29"/>
  <c r="BC9" i="13" s="1"/>
  <c r="H54" i="29"/>
  <c r="AV54" i="29"/>
  <c r="BC20" i="13" s="1"/>
  <c r="E54" i="29"/>
  <c r="BC27" i="13"/>
  <c r="BD54" i="29"/>
  <c r="BC28" i="13" s="1"/>
  <c r="AE54" i="29"/>
  <c r="BC16" i="13" s="1"/>
  <c r="L54" i="29"/>
  <c r="AD54" i="29"/>
  <c r="BC15" i="13" s="1"/>
  <c r="BA54" i="29"/>
  <c r="BC24" i="13" s="1"/>
  <c r="AZ54" i="29"/>
  <c r="BC23" i="13" s="1"/>
  <c r="Z54" i="29"/>
  <c r="AW54" i="29"/>
  <c r="BC21" i="13" s="1"/>
  <c r="X54" i="29"/>
  <c r="BC10" i="13" s="1"/>
  <c r="F54" i="29"/>
  <c r="C54" i="29"/>
  <c r="Y54" i="29"/>
  <c r="BC11" i="13" s="1"/>
  <c r="R54" i="29"/>
  <c r="Q54" i="29"/>
  <c r="O54" i="29"/>
  <c r="N54" i="29"/>
  <c r="K54" i="29"/>
  <c r="AX54" i="29"/>
  <c r="J54" i="29"/>
  <c r="AI54" i="29"/>
  <c r="I54" i="29"/>
  <c r="BC17" i="13"/>
  <c r="D54" i="29"/>
  <c r="G54" i="29"/>
  <c r="CL16" i="29"/>
  <c r="AT16" i="29"/>
  <c r="W16" i="29"/>
  <c r="Q9" i="13" s="1"/>
  <c r="H16" i="29"/>
  <c r="CM16" i="29"/>
  <c r="BA16" i="29"/>
  <c r="Q24" i="13" s="1"/>
  <c r="AE16" i="29"/>
  <c r="Q16" i="13" s="1"/>
  <c r="O16" i="29"/>
  <c r="C16" i="29"/>
  <c r="K16" i="29"/>
  <c r="J16" i="29"/>
  <c r="AY16" i="29"/>
  <c r="Q22" i="13" s="1"/>
  <c r="Z16" i="29"/>
  <c r="I16" i="29"/>
  <c r="AX16" i="29"/>
  <c r="Y16" i="29"/>
  <c r="Q11" i="13" s="1"/>
  <c r="G16" i="29"/>
  <c r="AW16" i="29"/>
  <c r="Q21" i="13" s="1"/>
  <c r="X16" i="29"/>
  <c r="Q10" i="13" s="1"/>
  <c r="F16" i="29"/>
  <c r="AV16" i="29"/>
  <c r="Q20" i="13" s="1"/>
  <c r="E16" i="29"/>
  <c r="R16" i="29"/>
  <c r="D16" i="29"/>
  <c r="Q16" i="29"/>
  <c r="AI16" i="29"/>
  <c r="M16" i="29"/>
  <c r="N16" i="29"/>
  <c r="BD16" i="29"/>
  <c r="Q28" i="13" s="1"/>
  <c r="AD16" i="29"/>
  <c r="Q15" i="13" s="1"/>
  <c r="L16" i="29"/>
  <c r="AC16" i="29"/>
  <c r="Q14" i="13" s="1"/>
  <c r="AZ16" i="29"/>
  <c r="Q23" i="13" s="1"/>
  <c r="CM24" i="29"/>
  <c r="CL24" i="29"/>
  <c r="AW24" i="29"/>
  <c r="Y21" i="13" s="1"/>
  <c r="Z24" i="29"/>
  <c r="K24" i="29"/>
  <c r="AI24" i="29"/>
  <c r="R24" i="29"/>
  <c r="F24" i="29"/>
  <c r="AZ24" i="29"/>
  <c r="Y23" i="13" s="1"/>
  <c r="I24" i="29"/>
  <c r="AT24" i="29"/>
  <c r="Q24" i="29"/>
  <c r="C24" i="29"/>
  <c r="BA24" i="29"/>
  <c r="Y24" i="13" s="1"/>
  <c r="X24" i="29"/>
  <c r="Y10" i="13" s="1"/>
  <c r="AY24" i="29"/>
  <c r="Y22" i="13" s="1"/>
  <c r="W24" i="29"/>
  <c r="Y9" i="13" s="1"/>
  <c r="AX24" i="29"/>
  <c r="AV24" i="29"/>
  <c r="Y20" i="13" s="1"/>
  <c r="O24" i="29"/>
  <c r="N24" i="29"/>
  <c r="M24" i="29"/>
  <c r="Y17" i="13"/>
  <c r="L24" i="29"/>
  <c r="BD24" i="29"/>
  <c r="Y28" i="13" s="1"/>
  <c r="AC24" i="29"/>
  <c r="Y14" i="13" s="1"/>
  <c r="G24" i="29"/>
  <c r="AE24" i="29"/>
  <c r="Y16" i="13" s="1"/>
  <c r="J24" i="29"/>
  <c r="AD24" i="29"/>
  <c r="Y15" i="13" s="1"/>
  <c r="H24" i="29"/>
  <c r="Y26" i="13"/>
  <c r="Y24" i="29"/>
  <c r="Y11" i="13" s="1"/>
  <c r="E24" i="29"/>
  <c r="D24" i="29"/>
  <c r="CM41" i="29"/>
  <c r="CL41" i="29"/>
  <c r="AX41" i="29"/>
  <c r="L41" i="29"/>
  <c r="AP27" i="13"/>
  <c r="G41" i="29"/>
  <c r="AV41" i="29"/>
  <c r="AP20" i="13" s="1"/>
  <c r="W41" i="29"/>
  <c r="AP9" i="13" s="1"/>
  <c r="E41" i="29"/>
  <c r="R41" i="29"/>
  <c r="D41" i="29"/>
  <c r="AT41" i="29"/>
  <c r="Q41" i="29"/>
  <c r="C41" i="29"/>
  <c r="AI41" i="29"/>
  <c r="O41" i="29"/>
  <c r="AP17" i="13"/>
  <c r="N41" i="29"/>
  <c r="BD41" i="29"/>
  <c r="AP28" i="13" s="1"/>
  <c r="AE41" i="29"/>
  <c r="AP16" i="13" s="1"/>
  <c r="M41" i="29"/>
  <c r="AP26" i="13"/>
  <c r="AD41" i="29"/>
  <c r="AP15" i="13" s="1"/>
  <c r="K41" i="29"/>
  <c r="BA41" i="29"/>
  <c r="AP24" i="13" s="1"/>
  <c r="AC41" i="29"/>
  <c r="AP14" i="13" s="1"/>
  <c r="J41" i="29"/>
  <c r="AZ41" i="29"/>
  <c r="AP23" i="13" s="1"/>
  <c r="Z41" i="29"/>
  <c r="I41" i="29"/>
  <c r="AW41" i="29"/>
  <c r="AP21" i="13" s="1"/>
  <c r="X41" i="29"/>
  <c r="AP10" i="13" s="1"/>
  <c r="F41" i="29"/>
  <c r="AY41" i="29"/>
  <c r="AP22" i="13" s="1"/>
  <c r="Y41" i="29"/>
  <c r="AP11" i="13" s="1"/>
  <c r="H41" i="29"/>
  <c r="CM11" i="29"/>
  <c r="CL11" i="29"/>
  <c r="G11" i="29"/>
  <c r="AZ11" i="29"/>
  <c r="L23" i="13" s="1"/>
  <c r="AD11" i="29"/>
  <c r="L15" i="13" s="1"/>
  <c r="N11" i="29"/>
  <c r="BA11" i="29"/>
  <c r="L24" i="13" s="1"/>
  <c r="I11" i="29"/>
  <c r="BD11" i="29"/>
  <c r="L28" i="13" s="1"/>
  <c r="AX11" i="29"/>
  <c r="H11" i="29"/>
  <c r="AW11" i="29"/>
  <c r="L21" i="13" s="1"/>
  <c r="X11" i="29"/>
  <c r="L10" i="13" s="1"/>
  <c r="F11" i="29"/>
  <c r="AV11" i="29"/>
  <c r="L20" i="13" s="1"/>
  <c r="W11" i="29"/>
  <c r="L9" i="13" s="1"/>
  <c r="E11" i="29"/>
  <c r="R11" i="29"/>
  <c r="D11" i="29"/>
  <c r="AT11" i="29"/>
  <c r="Q11" i="29"/>
  <c r="C11" i="29"/>
  <c r="AI11" i="29"/>
  <c r="M11" i="29"/>
  <c r="AE11" i="29"/>
  <c r="L16" i="13" s="1"/>
  <c r="O11" i="29"/>
  <c r="L11" i="29"/>
  <c r="AC11" i="29"/>
  <c r="L14" i="13" s="1"/>
  <c r="K11" i="29"/>
  <c r="J11" i="29"/>
  <c r="AY11" i="29"/>
  <c r="L22" i="13" s="1"/>
  <c r="Z11" i="29"/>
  <c r="Y11" i="29"/>
  <c r="L11" i="13" s="1"/>
  <c r="CM28" i="29"/>
  <c r="G28" i="29"/>
  <c r="CL28" i="29"/>
  <c r="AZ28" i="29"/>
  <c r="AC23" i="13" s="1"/>
  <c r="AD28" i="29"/>
  <c r="AC15" i="13" s="1"/>
  <c r="N28" i="29"/>
  <c r="BA28" i="29"/>
  <c r="AC24" i="13" s="1"/>
  <c r="J28" i="29"/>
  <c r="R28" i="29"/>
  <c r="D28" i="29"/>
  <c r="Y28" i="29"/>
  <c r="AC11" i="13" s="1"/>
  <c r="E28" i="29"/>
  <c r="AY28" i="29"/>
  <c r="AC22" i="13" s="1"/>
  <c r="X28" i="29"/>
  <c r="AC10" i="13" s="1"/>
  <c r="C28" i="29"/>
  <c r="AX28" i="29"/>
  <c r="W28" i="29"/>
  <c r="AC9" i="13" s="1"/>
  <c r="AW28" i="29"/>
  <c r="AC21" i="13" s="1"/>
  <c r="Q28" i="29"/>
  <c r="AV28" i="29"/>
  <c r="AC20" i="13" s="1"/>
  <c r="AT28" i="29"/>
  <c r="O28" i="29"/>
  <c r="AI28" i="29"/>
  <c r="M28" i="29"/>
  <c r="L28" i="29"/>
  <c r="AC28" i="29"/>
  <c r="AC14" i="13" s="1"/>
  <c r="H28" i="29"/>
  <c r="K28" i="29"/>
  <c r="AE28" i="29"/>
  <c r="AC16" i="13" s="1"/>
  <c r="I28" i="29"/>
  <c r="BD28" i="29"/>
  <c r="AC28" i="13" s="1"/>
  <c r="Z28" i="29"/>
  <c r="F28" i="29"/>
  <c r="CM22" i="29"/>
  <c r="CL22" i="29"/>
  <c r="AY22" i="29"/>
  <c r="W22" i="13" s="1"/>
  <c r="AC22" i="29"/>
  <c r="W14" i="13" s="1"/>
  <c r="M22" i="29"/>
  <c r="AT22" i="29"/>
  <c r="W22" i="29"/>
  <c r="W9" i="13" s="1"/>
  <c r="H22" i="29"/>
  <c r="AZ22" i="29"/>
  <c r="W23" i="13" s="1"/>
  <c r="Z22" i="29"/>
  <c r="I22" i="29"/>
  <c r="W27" i="13"/>
  <c r="Q22" i="29"/>
  <c r="C22" i="29"/>
  <c r="AX22" i="29"/>
  <c r="AW22" i="29"/>
  <c r="W21" i="13" s="1"/>
  <c r="R22" i="29"/>
  <c r="AV22" i="29"/>
  <c r="W20" i="13" s="1"/>
  <c r="O22" i="29"/>
  <c r="AI22" i="29"/>
  <c r="N22" i="29"/>
  <c r="L22" i="29"/>
  <c r="W17" i="13"/>
  <c r="BD22" i="29"/>
  <c r="W28" i="13" s="1"/>
  <c r="F22" i="29"/>
  <c r="K22" i="29"/>
  <c r="AE22" i="29"/>
  <c r="W16" i="13" s="1"/>
  <c r="J22" i="29"/>
  <c r="AD22" i="29"/>
  <c r="W15" i="13" s="1"/>
  <c r="G22" i="29"/>
  <c r="W26" i="13"/>
  <c r="Y22" i="29"/>
  <c r="W11" i="13" s="1"/>
  <c r="E22" i="29"/>
  <c r="BA22" i="29"/>
  <c r="W24" i="13" s="1"/>
  <c r="X22" i="29"/>
  <c r="W10" i="13" s="1"/>
  <c r="D22" i="29"/>
  <c r="CM49" i="29"/>
  <c r="AX17" i="13"/>
  <c r="D49" i="29"/>
  <c r="AW49" i="29"/>
  <c r="AX21" i="13" s="1"/>
  <c r="Z49" i="29"/>
  <c r="K49" i="29"/>
  <c r="AX49" i="29"/>
  <c r="X49" i="29"/>
  <c r="AX10" i="13" s="1"/>
  <c r="G49" i="29"/>
  <c r="CL49" i="29"/>
  <c r="AV49" i="29"/>
  <c r="AX20" i="13" s="1"/>
  <c r="W49" i="29"/>
  <c r="AX9" i="13" s="1"/>
  <c r="F49" i="29"/>
  <c r="AX8" i="13"/>
  <c r="E49" i="29"/>
  <c r="AT49" i="29"/>
  <c r="R49" i="29"/>
  <c r="C49" i="29"/>
  <c r="Q49" i="29"/>
  <c r="AI49" i="29"/>
  <c r="O49" i="29"/>
  <c r="N49" i="29"/>
  <c r="AE49" i="29"/>
  <c r="AX16" i="13" s="1"/>
  <c r="M49" i="29"/>
  <c r="BD49" i="29"/>
  <c r="AX28" i="13" s="1"/>
  <c r="AD49" i="29"/>
  <c r="AX15" i="13" s="1"/>
  <c r="L49" i="29"/>
  <c r="BA49" i="29"/>
  <c r="AX24" i="13" s="1"/>
  <c r="AC49" i="29"/>
  <c r="AX14" i="13" s="1"/>
  <c r="J49" i="29"/>
  <c r="AY49" i="29"/>
  <c r="AX22" i="13" s="1"/>
  <c r="Y49" i="29"/>
  <c r="AX11" i="13" s="1"/>
  <c r="H49" i="29"/>
  <c r="AZ49" i="29"/>
  <c r="AX23" i="13" s="1"/>
  <c r="I49" i="29"/>
  <c r="CM46" i="29"/>
  <c r="CL46" i="29"/>
  <c r="AY46" i="29"/>
  <c r="AU22" i="13" s="1"/>
  <c r="AC46" i="29"/>
  <c r="AU14" i="13" s="1"/>
  <c r="M46" i="29"/>
  <c r="AT46" i="29"/>
  <c r="W46" i="29"/>
  <c r="AU9" i="13" s="1"/>
  <c r="H46" i="29"/>
  <c r="AW46" i="29"/>
  <c r="AU21" i="13" s="1"/>
  <c r="X46" i="29"/>
  <c r="AU10" i="13" s="1"/>
  <c r="F46" i="29"/>
  <c r="AV46" i="29"/>
  <c r="AU20" i="13" s="1"/>
  <c r="E46" i="29"/>
  <c r="R46" i="29"/>
  <c r="D46" i="29"/>
  <c r="Q46" i="29"/>
  <c r="C46" i="29"/>
  <c r="AI46" i="29"/>
  <c r="O46" i="29"/>
  <c r="AU17" i="13"/>
  <c r="N46" i="29"/>
  <c r="BD46" i="29"/>
  <c r="AU28" i="13" s="1"/>
  <c r="AE46" i="29"/>
  <c r="AU16" i="13" s="1"/>
  <c r="L46" i="29"/>
  <c r="AD46" i="29"/>
  <c r="AU15" i="13" s="1"/>
  <c r="K46" i="29"/>
  <c r="BA46" i="29"/>
  <c r="AU24" i="13" s="1"/>
  <c r="J46" i="29"/>
  <c r="AX46" i="29"/>
  <c r="Y46" i="29"/>
  <c r="AU11" i="13" s="1"/>
  <c r="G46" i="29"/>
  <c r="AZ46" i="29"/>
  <c r="AU23" i="13" s="1"/>
  <c r="Z46" i="29"/>
  <c r="I46" i="29"/>
  <c r="BY18" i="29"/>
  <c r="CF18" i="29"/>
  <c r="CH18" i="29"/>
  <c r="CG18" i="29"/>
  <c r="CE18" i="29"/>
  <c r="CD18" i="29"/>
  <c r="CC18" i="29"/>
  <c r="CB18" i="29"/>
  <c r="CA18" i="29"/>
  <c r="BZ18" i="29"/>
  <c r="CI18" i="29"/>
  <c r="CJ18" i="29"/>
  <c r="CA52" i="29"/>
  <c r="BZ52" i="29"/>
  <c r="CI52" i="29"/>
  <c r="CG52" i="29"/>
  <c r="CF52" i="29"/>
  <c r="CE52" i="29"/>
  <c r="CD52" i="29"/>
  <c r="CB52" i="29"/>
  <c r="CJ52" i="29"/>
  <c r="CH52" i="29"/>
  <c r="CC52" i="29"/>
  <c r="BY52" i="29"/>
  <c r="CA43" i="29"/>
  <c r="CI43" i="29"/>
  <c r="CG43" i="29"/>
  <c r="CF43" i="29"/>
  <c r="CB43" i="29"/>
  <c r="CC43" i="29"/>
  <c r="BZ43" i="29"/>
  <c r="BY43" i="29"/>
  <c r="CJ43" i="29"/>
  <c r="CH43" i="29"/>
  <c r="CD43" i="29"/>
  <c r="CE43" i="29"/>
  <c r="CA40" i="29"/>
  <c r="CI40" i="29"/>
  <c r="CG40" i="29"/>
  <c r="CF40" i="29"/>
  <c r="CB40" i="29"/>
  <c r="CJ40" i="29"/>
  <c r="CH40" i="29"/>
  <c r="CE40" i="29"/>
  <c r="CD40" i="29"/>
  <c r="CC40" i="29"/>
  <c r="BZ40" i="29"/>
  <c r="BY40" i="29"/>
  <c r="J68" i="15"/>
  <c r="J34" i="15"/>
  <c r="J54" i="15"/>
  <c r="J31" i="15"/>
  <c r="J49" i="15"/>
  <c r="J11" i="15"/>
  <c r="J8" i="15"/>
  <c r="J42" i="15"/>
  <c r="J5" i="15"/>
  <c r="J35" i="15"/>
  <c r="J74" i="15"/>
  <c r="J51" i="15"/>
  <c r="J69" i="15"/>
  <c r="J9" i="15"/>
  <c r="J33" i="15"/>
  <c r="J57" i="15"/>
  <c r="J80" i="15"/>
  <c r="J60" i="15"/>
  <c r="J67" i="15"/>
  <c r="J32" i="15"/>
  <c r="J55" i="15"/>
  <c r="J70" i="15"/>
  <c r="J40" i="15"/>
  <c r="J47" i="15"/>
  <c r="J62" i="15"/>
  <c r="J56" i="15"/>
  <c r="J7" i="15"/>
  <c r="J39" i="15"/>
  <c r="J37" i="15"/>
  <c r="J71" i="15"/>
  <c r="J36" i="15"/>
  <c r="J38" i="15"/>
  <c r="J44" i="15"/>
  <c r="J50" i="15"/>
  <c r="J61" i="15"/>
  <c r="J73" i="15"/>
  <c r="J75" i="15"/>
  <c r="J78" i="15"/>
  <c r="J6" i="15"/>
  <c r="J45" i="15"/>
  <c r="J58" i="15"/>
  <c r="J81" i="15"/>
  <c r="J53" i="15"/>
  <c r="J10" i="15"/>
  <c r="J66" i="15"/>
  <c r="J77" i="15"/>
  <c r="J46" i="15"/>
  <c r="J29" i="15"/>
  <c r="J43" i="15"/>
  <c r="J41" i="15"/>
  <c r="J72" i="15"/>
  <c r="J52" i="15"/>
  <c r="J76" i="15"/>
  <c r="J79" i="15"/>
  <c r="I31" i="16"/>
  <c r="H53" i="16"/>
  <c r="F54" i="16"/>
  <c r="F38" i="16"/>
  <c r="F31" i="16"/>
  <c r="H15" i="16"/>
  <c r="I8" i="16"/>
  <c r="F18" i="16"/>
  <c r="H36" i="16"/>
  <c r="H51" i="16"/>
  <c r="F55" i="16"/>
  <c r="F44" i="16"/>
  <c r="H34" i="16"/>
  <c r="H14" i="16"/>
  <c r="F27" i="16"/>
  <c r="H10" i="16"/>
  <c r="I57" i="16"/>
  <c r="I29" i="16"/>
  <c r="F47" i="16"/>
  <c r="H19" i="16"/>
  <c r="I49" i="16"/>
  <c r="H26" i="16"/>
  <c r="F41" i="16"/>
  <c r="H32" i="16"/>
  <c r="I6" i="16"/>
  <c r="H30" i="16"/>
  <c r="H9" i="16"/>
  <c r="I13" i="16"/>
  <c r="I17" i="16"/>
  <c r="H40" i="16"/>
  <c r="F45" i="16"/>
  <c r="F22" i="16"/>
  <c r="H56" i="16"/>
  <c r="F37" i="16"/>
  <c r="F48" i="16"/>
  <c r="H7" i="16"/>
  <c r="H8" i="16"/>
  <c r="H20" i="16"/>
  <c r="F33" i="16"/>
  <c r="H42" i="16"/>
  <c r="I40" i="16"/>
  <c r="F34" i="16"/>
  <c r="I45" i="16"/>
  <c r="H29" i="16"/>
  <c r="I38" i="16"/>
  <c r="I11" i="16"/>
  <c r="H24" i="16"/>
  <c r="H37" i="16"/>
  <c r="F15" i="16"/>
  <c r="F19" i="16"/>
  <c r="I9" i="16"/>
  <c r="I50" i="16"/>
  <c r="I52" i="16"/>
  <c r="I35" i="16"/>
  <c r="H17" i="16"/>
  <c r="F26" i="16"/>
  <c r="F39" i="16"/>
  <c r="I28" i="16"/>
  <c r="I23" i="16"/>
  <c r="F32" i="16"/>
  <c r="H47" i="16"/>
  <c r="F21" i="16"/>
  <c r="F30" i="16"/>
  <c r="H43" i="16"/>
  <c r="I12" i="16"/>
  <c r="I18" i="16"/>
  <c r="F16" i="16"/>
  <c r="F49" i="16"/>
  <c r="H44" i="16"/>
  <c r="F10" i="16"/>
  <c r="I42" i="16"/>
  <c r="H39" i="16"/>
  <c r="F28" i="16"/>
  <c r="I56" i="16"/>
  <c r="H6" i="16"/>
  <c r="I55" i="16"/>
  <c r="H46" i="16"/>
  <c r="I43" i="16"/>
  <c r="F12" i="16"/>
  <c r="I25" i="16"/>
  <c r="I7" i="16"/>
  <c r="H16" i="16"/>
  <c r="H35" i="16"/>
  <c r="F20" i="16"/>
  <c r="I33" i="16"/>
  <c r="F57" i="16"/>
  <c r="I36" i="16"/>
  <c r="H41" i="16"/>
  <c r="H23" i="16"/>
  <c r="F51" i="16"/>
  <c r="H22" i="16"/>
  <c r="F11" i="16"/>
  <c r="I24" i="16"/>
  <c r="H21" i="16"/>
  <c r="I14" i="16"/>
  <c r="F46" i="16"/>
  <c r="H48" i="16"/>
  <c r="F25" i="16"/>
  <c r="H50" i="16"/>
  <c r="H13" i="16"/>
  <c r="H27" i="16"/>
  <c r="F52" i="16"/>
  <c r="I53" i="16"/>
  <c r="H53" i="11"/>
  <c r="H27" i="11"/>
  <c r="H18" i="11"/>
  <c r="H6" i="11"/>
  <c r="H22" i="11"/>
  <c r="H13" i="11"/>
  <c r="H7" i="11"/>
  <c r="H16" i="11"/>
  <c r="H24" i="11"/>
  <c r="H35" i="11"/>
  <c r="H33" i="11"/>
  <c r="H25" i="11"/>
  <c r="H40" i="11"/>
  <c r="H9" i="11"/>
  <c r="H41" i="11"/>
  <c r="H17" i="11"/>
  <c r="H50" i="11"/>
  <c r="H14" i="11"/>
  <c r="H20" i="11"/>
  <c r="H36" i="11"/>
  <c r="H49" i="11"/>
  <c r="H8" i="11"/>
  <c r="H21" i="11"/>
  <c r="H31" i="11"/>
  <c r="H19" i="11"/>
  <c r="H55" i="11"/>
  <c r="M20" i="14"/>
  <c r="H7" i="14"/>
  <c r="I7" i="14"/>
  <c r="F7" i="14"/>
  <c r="M7" i="14"/>
  <c r="G7" i="14"/>
  <c r="H47" i="11"/>
  <c r="H38" i="11"/>
  <c r="H43" i="11"/>
  <c r="H54" i="11"/>
  <c r="M37" i="14"/>
  <c r="H12" i="11"/>
  <c r="M14" i="14"/>
  <c r="H28" i="11"/>
  <c r="M30" i="14"/>
  <c r="H44" i="11"/>
  <c r="M46" i="14"/>
  <c r="M15" i="14"/>
  <c r="M43" i="14"/>
  <c r="H34" i="11"/>
  <c r="M9" i="14"/>
  <c r="M34" i="14"/>
  <c r="M29" i="14"/>
  <c r="H51" i="11"/>
  <c r="H52" i="11"/>
  <c r="M55" i="14"/>
  <c r="M57" i="14"/>
  <c r="M51" i="14"/>
  <c r="M8" i="14"/>
  <c r="M35" i="14"/>
  <c r="M49" i="14"/>
  <c r="M10" i="14"/>
  <c r="M26" i="14"/>
  <c r="H56" i="11"/>
  <c r="M58" i="14"/>
  <c r="M39" i="14"/>
  <c r="M45" i="14"/>
  <c r="M11" i="14"/>
  <c r="H45" i="11"/>
  <c r="M47" i="14"/>
  <c r="M48" i="14"/>
  <c r="M19" i="14"/>
  <c r="M50" i="14"/>
  <c r="M23" i="14"/>
  <c r="M27" i="14"/>
  <c r="M53" i="14"/>
  <c r="M22" i="14"/>
  <c r="M38" i="14"/>
  <c r="M44" i="14"/>
  <c r="M17" i="14"/>
  <c r="M33" i="14"/>
  <c r="M24" i="14"/>
  <c r="H42" i="11"/>
  <c r="H15" i="11"/>
  <c r="M42" i="14"/>
  <c r="BJ132" i="11"/>
  <c r="H37" i="11"/>
  <c r="M40" i="14"/>
  <c r="M56" i="14"/>
  <c r="M21" i="14"/>
  <c r="M36" i="14"/>
  <c r="H10" i="11"/>
  <c r="H26" i="11"/>
  <c r="H23" i="11"/>
  <c r="H39" i="11"/>
  <c r="H32" i="11"/>
  <c r="M52" i="14"/>
  <c r="H30" i="11"/>
  <c r="M54" i="14"/>
  <c r="M31" i="14"/>
  <c r="M12" i="14"/>
  <c r="M28" i="14"/>
  <c r="M25" i="14"/>
  <c r="M41" i="14"/>
  <c r="M18" i="14"/>
  <c r="H48" i="11"/>
  <c r="M16" i="14"/>
  <c r="M32" i="14"/>
  <c r="M13" i="14"/>
  <c r="H11" i="11"/>
  <c r="H29" i="11"/>
  <c r="B19" i="17"/>
  <c r="L59" i="11"/>
  <c r="H11" i="18"/>
  <c r="H55" i="18"/>
  <c r="H35" i="18"/>
  <c r="H42" i="18"/>
  <c r="H10" i="18"/>
  <c r="H23" i="18"/>
  <c r="H7" i="18"/>
  <c r="H48" i="18"/>
  <c r="H17" i="18"/>
  <c r="H30" i="18"/>
  <c r="H36" i="18"/>
  <c r="H51" i="18"/>
  <c r="H21" i="18"/>
  <c r="H18" i="18"/>
  <c r="H57" i="18"/>
  <c r="H54" i="18"/>
  <c r="H19" i="18"/>
  <c r="H29" i="18"/>
  <c r="H33" i="18"/>
  <c r="H31" i="18"/>
  <c r="H41" i="18"/>
  <c r="H20" i="18"/>
  <c r="H49" i="18"/>
  <c r="H15" i="18"/>
  <c r="H56" i="18"/>
  <c r="H53" i="18"/>
  <c r="H38" i="18"/>
  <c r="H44" i="18"/>
  <c r="H26" i="18"/>
  <c r="H32" i="18"/>
  <c r="H16" i="18"/>
  <c r="H50" i="18"/>
  <c r="H40" i="18"/>
  <c r="H9" i="18"/>
  <c r="H25" i="18"/>
  <c r="H22" i="18"/>
  <c r="H28" i="18"/>
  <c r="H27" i="18"/>
  <c r="H13" i="18"/>
  <c r="H39" i="18"/>
  <c r="H14" i="18"/>
  <c r="H37" i="18"/>
  <c r="H43" i="18"/>
  <c r="H46" i="18"/>
  <c r="H52" i="18"/>
  <c r="H45" i="18"/>
  <c r="H34" i="18"/>
  <c r="H47" i="18"/>
  <c r="H8" i="18"/>
  <c r="H24" i="18"/>
  <c r="H6" i="18"/>
  <c r="H12" i="18"/>
  <c r="BD124" i="11" l="1"/>
  <c r="BB124" i="11"/>
  <c r="S124" i="11"/>
  <c r="Z124" i="11"/>
  <c r="AK124" i="11"/>
  <c r="AS124" i="11"/>
  <c r="AC124" i="11"/>
  <c r="BC124" i="11"/>
  <c r="U124" i="11"/>
  <c r="AM124" i="11"/>
  <c r="AZ124" i="11"/>
  <c r="J41" i="13"/>
  <c r="O126" i="11"/>
  <c r="AW41" i="13"/>
  <c r="BC126" i="11"/>
  <c r="AS42" i="13"/>
  <c r="AY127" i="11"/>
  <c r="P40" i="13"/>
  <c r="U125" i="11"/>
  <c r="BB41" i="13"/>
  <c r="BH126" i="11"/>
  <c r="AG41" i="13"/>
  <c r="AM126" i="11"/>
  <c r="AF40" i="13"/>
  <c r="AL125" i="11"/>
  <c r="AT40" i="13"/>
  <c r="AZ125" i="11"/>
  <c r="AN40" i="13"/>
  <c r="AT125" i="11"/>
  <c r="AZ40" i="13"/>
  <c r="BF125" i="11"/>
  <c r="AI40" i="13"/>
  <c r="AO125" i="11"/>
  <c r="AJ43" i="13"/>
  <c r="AP128" i="11"/>
  <c r="F40" i="13"/>
  <c r="J125" i="11"/>
  <c r="AB40" i="13"/>
  <c r="AG125" i="11"/>
  <c r="AO40" i="13"/>
  <c r="AU125" i="11"/>
  <c r="T40" i="13"/>
  <c r="Y125" i="11"/>
  <c r="U41" i="13"/>
  <c r="Z126" i="11"/>
  <c r="G40" i="13"/>
  <c r="K125" i="11"/>
  <c r="BD40" i="13"/>
  <c r="AK125" i="11"/>
  <c r="AY43" i="13"/>
  <c r="BE128" i="11"/>
  <c r="AM41" i="13"/>
  <c r="AS126" i="11"/>
  <c r="V40" i="13"/>
  <c r="AA125" i="11"/>
  <c r="R40" i="13"/>
  <c r="W125" i="11"/>
  <c r="BA40" i="13"/>
  <c r="BG125" i="11"/>
  <c r="AQ40" i="13"/>
  <c r="AW125" i="11"/>
  <c r="AL40" i="13"/>
  <c r="AR125" i="11"/>
  <c r="AA41" i="13"/>
  <c r="AF126" i="11"/>
  <c r="X43" i="13"/>
  <c r="AC128" i="11"/>
  <c r="O42" i="13"/>
  <c r="T127" i="11"/>
  <c r="K40" i="13"/>
  <c r="P125" i="11"/>
  <c r="AH40" i="13"/>
  <c r="AN125" i="11"/>
  <c r="AK40" i="13"/>
  <c r="AQ125" i="11"/>
  <c r="M40" i="13"/>
  <c r="R125" i="11"/>
  <c r="H40" i="13"/>
  <c r="L125" i="11"/>
  <c r="AD40" i="13"/>
  <c r="AI125" i="11"/>
  <c r="Z40" i="13"/>
  <c r="AE125" i="11"/>
  <c r="I43" i="13"/>
  <c r="N128" i="11"/>
  <c r="I125" i="11"/>
  <c r="AV41" i="13"/>
  <c r="BB126" i="11"/>
  <c r="AE40" i="13"/>
  <c r="AJ125" i="11"/>
  <c r="N40" i="13"/>
  <c r="S125" i="11"/>
  <c r="AU40" i="13"/>
  <c r="BA125" i="11"/>
  <c r="AX40" i="13"/>
  <c r="BD125" i="11"/>
  <c r="W40" i="13"/>
  <c r="AB125" i="11"/>
  <c r="AC40" i="13"/>
  <c r="AH125" i="11"/>
  <c r="L41" i="13"/>
  <c r="Q126" i="11"/>
  <c r="AP40" i="13"/>
  <c r="AV125" i="11"/>
  <c r="Y40" i="13"/>
  <c r="AD125" i="11"/>
  <c r="Q40" i="13"/>
  <c r="V125" i="11"/>
  <c r="BC43" i="13"/>
  <c r="M128" i="11"/>
  <c r="AR43" i="13"/>
  <c r="AX128" i="11"/>
  <c r="S41" i="13"/>
  <c r="X126" i="11"/>
  <c r="AO124" i="11"/>
  <c r="J124" i="11"/>
  <c r="AH124" i="11"/>
  <c r="AV124" i="11"/>
  <c r="V124" i="11"/>
  <c r="AU124" i="11"/>
  <c r="BG124" i="11"/>
  <c r="T124" i="11"/>
  <c r="AN124" i="11"/>
  <c r="AQ124" i="11"/>
  <c r="L124" i="11"/>
  <c r="AE124" i="11"/>
  <c r="I124" i="11"/>
  <c r="O124" i="11"/>
  <c r="J42" i="13"/>
  <c r="O127" i="11"/>
  <c r="AW42" i="13"/>
  <c r="BC127" i="11"/>
  <c r="AS43" i="13"/>
  <c r="AY128" i="11"/>
  <c r="P43" i="13"/>
  <c r="U128" i="11"/>
  <c r="BB42" i="13"/>
  <c r="BH127" i="11"/>
  <c r="AG42" i="13"/>
  <c r="AM127" i="11"/>
  <c r="AF41" i="13"/>
  <c r="AL126" i="11"/>
  <c r="AT41" i="13"/>
  <c r="AZ126" i="11"/>
  <c r="AN41" i="13"/>
  <c r="AT126" i="11"/>
  <c r="AZ41" i="13"/>
  <c r="BF126" i="11"/>
  <c r="AI41" i="13"/>
  <c r="AO126" i="11"/>
  <c r="AJ41" i="13"/>
  <c r="AP126" i="11"/>
  <c r="F43" i="13"/>
  <c r="J128" i="11"/>
  <c r="AB42" i="13"/>
  <c r="AG127" i="11"/>
  <c r="AO41" i="13"/>
  <c r="AU126" i="11"/>
  <c r="T41" i="13"/>
  <c r="Y126" i="11"/>
  <c r="U42" i="13"/>
  <c r="Z127" i="11"/>
  <c r="G42" i="13"/>
  <c r="K127" i="11"/>
  <c r="BD41" i="13"/>
  <c r="AK126" i="11"/>
  <c r="AY41" i="13"/>
  <c r="BE126" i="11"/>
  <c r="AM42" i="13"/>
  <c r="AS127" i="11"/>
  <c r="V41" i="13"/>
  <c r="AA126" i="11"/>
  <c r="R43" i="13"/>
  <c r="W128" i="11"/>
  <c r="BA41" i="13"/>
  <c r="BG126" i="11"/>
  <c r="AQ41" i="13"/>
  <c r="AW126" i="11"/>
  <c r="AL41" i="13"/>
  <c r="AR126" i="11"/>
  <c r="AA42" i="13"/>
  <c r="AF127" i="11"/>
  <c r="X41" i="13"/>
  <c r="AC126" i="11"/>
  <c r="O43" i="13"/>
  <c r="T128" i="11"/>
  <c r="K41" i="13"/>
  <c r="P126" i="11"/>
  <c r="AH41" i="13"/>
  <c r="AN126" i="11"/>
  <c r="AK41" i="13"/>
  <c r="AQ126" i="11"/>
  <c r="M41" i="13"/>
  <c r="R126" i="11"/>
  <c r="H41" i="13"/>
  <c r="L126" i="11"/>
  <c r="AD43" i="13"/>
  <c r="AI128" i="11"/>
  <c r="Z41" i="13"/>
  <c r="AE126" i="11"/>
  <c r="I42" i="13"/>
  <c r="N127" i="11"/>
  <c r="E41" i="13"/>
  <c r="I126" i="11"/>
  <c r="AV43" i="13"/>
  <c r="BB128" i="11"/>
  <c r="AE42" i="13"/>
  <c r="AJ127" i="11"/>
  <c r="N41" i="13"/>
  <c r="S126" i="11"/>
  <c r="AU41" i="13"/>
  <c r="BA126" i="11"/>
  <c r="AX41" i="13"/>
  <c r="BD126" i="11"/>
  <c r="W41" i="13"/>
  <c r="AB126" i="11"/>
  <c r="AC41" i="13"/>
  <c r="AH126" i="11"/>
  <c r="L42" i="13"/>
  <c r="Q127" i="11"/>
  <c r="AP43" i="13"/>
  <c r="AV128" i="11"/>
  <c r="Y41" i="13"/>
  <c r="AD126" i="11"/>
  <c r="Q41" i="13"/>
  <c r="V126" i="11"/>
  <c r="BC40" i="13"/>
  <c r="M125" i="11"/>
  <c r="AR40" i="13"/>
  <c r="AX125" i="11"/>
  <c r="S40" i="13"/>
  <c r="X125" i="11"/>
  <c r="AI124" i="11"/>
  <c r="AJ124" i="11"/>
  <c r="Y124" i="11"/>
  <c r="K124" i="11"/>
  <c r="BE124" i="11"/>
  <c r="AA124" i="11"/>
  <c r="AW124" i="11"/>
  <c r="AF124" i="11"/>
  <c r="AY124" i="11"/>
  <c r="BH124" i="11"/>
  <c r="AL124" i="11"/>
  <c r="AT124" i="11"/>
  <c r="J43" i="13"/>
  <c r="O128" i="11"/>
  <c r="AW43" i="13"/>
  <c r="BC128" i="11"/>
  <c r="AS41" i="13"/>
  <c r="AY126" i="11"/>
  <c r="P41" i="13"/>
  <c r="U126" i="11"/>
  <c r="BB43" i="13"/>
  <c r="BH128" i="11"/>
  <c r="AG43" i="13"/>
  <c r="AM128" i="11"/>
  <c r="AF42" i="13"/>
  <c r="AL127" i="11"/>
  <c r="AT42" i="13"/>
  <c r="AZ127" i="11"/>
  <c r="AN42" i="13"/>
  <c r="AT127" i="11"/>
  <c r="AZ42" i="13"/>
  <c r="BF127" i="11"/>
  <c r="AI42" i="13"/>
  <c r="AO127" i="11"/>
  <c r="AJ42" i="13"/>
  <c r="AP127" i="11"/>
  <c r="F41" i="13"/>
  <c r="J126" i="11"/>
  <c r="AB41" i="13"/>
  <c r="AG126" i="11"/>
  <c r="AO42" i="13"/>
  <c r="AU127" i="11"/>
  <c r="T42" i="13"/>
  <c r="Y127" i="11"/>
  <c r="U43" i="13"/>
  <c r="Z128" i="11"/>
  <c r="G41" i="13"/>
  <c r="K126" i="11"/>
  <c r="BD42" i="13"/>
  <c r="AK127" i="11"/>
  <c r="AY42" i="13"/>
  <c r="BE127" i="11"/>
  <c r="AM43" i="13"/>
  <c r="AS128" i="11"/>
  <c r="V42" i="13"/>
  <c r="AA127" i="11"/>
  <c r="R41" i="13"/>
  <c r="W126" i="11"/>
  <c r="BA42" i="13"/>
  <c r="BG127" i="11"/>
  <c r="AQ42" i="13"/>
  <c r="AW127" i="11"/>
  <c r="AL42" i="13"/>
  <c r="AR127" i="11"/>
  <c r="AA43" i="13"/>
  <c r="AF128" i="11"/>
  <c r="X42" i="13"/>
  <c r="AC127" i="11"/>
  <c r="O40" i="13"/>
  <c r="T125" i="11"/>
  <c r="K42" i="13"/>
  <c r="P127" i="11"/>
  <c r="AH42" i="13"/>
  <c r="AN127" i="11"/>
  <c r="AK42" i="13"/>
  <c r="AQ127" i="11"/>
  <c r="M43" i="13"/>
  <c r="R128" i="11"/>
  <c r="H42" i="13"/>
  <c r="L127" i="11"/>
  <c r="AD41" i="13"/>
  <c r="AI126" i="11"/>
  <c r="Z42" i="13"/>
  <c r="AE127" i="11"/>
  <c r="I40" i="13"/>
  <c r="N125" i="11"/>
  <c r="E43" i="13"/>
  <c r="I128" i="11"/>
  <c r="AV42" i="13"/>
  <c r="BB127" i="11"/>
  <c r="AE43" i="13"/>
  <c r="AJ128" i="11"/>
  <c r="N42" i="13"/>
  <c r="S127" i="11"/>
  <c r="AU42" i="13"/>
  <c r="BA127" i="11"/>
  <c r="AX42" i="13"/>
  <c r="BD127" i="11"/>
  <c r="W42" i="13"/>
  <c r="AB127" i="11"/>
  <c r="AC42" i="13"/>
  <c r="AH127" i="11"/>
  <c r="L43" i="13"/>
  <c r="Q128" i="11"/>
  <c r="AP41" i="13"/>
  <c r="AV126" i="11"/>
  <c r="Y42" i="13"/>
  <c r="AD127" i="11"/>
  <c r="Q42" i="13"/>
  <c r="V127" i="11"/>
  <c r="BC41" i="13"/>
  <c r="M126" i="11"/>
  <c r="AR41" i="13"/>
  <c r="AX126" i="11"/>
  <c r="S42" i="13"/>
  <c r="X127" i="11"/>
  <c r="BF124" i="11"/>
  <c r="AP124" i="11"/>
  <c r="BA124" i="11"/>
  <c r="AB124" i="11"/>
  <c r="Q124" i="11"/>
  <c r="AD124" i="11"/>
  <c r="M124" i="11"/>
  <c r="AX124" i="11"/>
  <c r="X124" i="11"/>
  <c r="P124" i="11"/>
  <c r="AG124" i="11"/>
  <c r="R124" i="11"/>
  <c r="N124" i="11"/>
  <c r="W124" i="11"/>
  <c r="AR124" i="11"/>
  <c r="J40" i="13"/>
  <c r="O125" i="11"/>
  <c r="AW40" i="13"/>
  <c r="BC125" i="11"/>
  <c r="AS40" i="13"/>
  <c r="AY125" i="11"/>
  <c r="P42" i="13"/>
  <c r="U127" i="11"/>
  <c r="BB40" i="13"/>
  <c r="BH125" i="11"/>
  <c r="AG40" i="13"/>
  <c r="AM125" i="11"/>
  <c r="AF43" i="13"/>
  <c r="AL128" i="11"/>
  <c r="AT43" i="13"/>
  <c r="AZ128" i="11"/>
  <c r="AN43" i="13"/>
  <c r="AT128" i="11"/>
  <c r="AZ43" i="13"/>
  <c r="BF128" i="11"/>
  <c r="AI43" i="13"/>
  <c r="AO128" i="11"/>
  <c r="AJ40" i="13"/>
  <c r="AP125" i="11"/>
  <c r="F42" i="13"/>
  <c r="J127" i="11"/>
  <c r="AB43" i="13"/>
  <c r="AG128" i="11"/>
  <c r="AO43" i="13"/>
  <c r="AU128" i="11"/>
  <c r="T43" i="13"/>
  <c r="Y128" i="11"/>
  <c r="U40" i="13"/>
  <c r="Z125" i="11"/>
  <c r="G43" i="13"/>
  <c r="K128" i="11"/>
  <c r="BD43" i="13"/>
  <c r="AK128" i="11"/>
  <c r="AY40" i="13"/>
  <c r="BE125" i="11"/>
  <c r="AM40" i="13"/>
  <c r="AS125" i="11"/>
  <c r="V43" i="13"/>
  <c r="AA128" i="11"/>
  <c r="R42" i="13"/>
  <c r="W127" i="11"/>
  <c r="BA43" i="13"/>
  <c r="BG128" i="11"/>
  <c r="AQ43" i="13"/>
  <c r="AW128" i="11"/>
  <c r="AL43" i="13"/>
  <c r="AR128" i="11"/>
  <c r="AA40" i="13"/>
  <c r="AF125" i="11"/>
  <c r="X40" i="13"/>
  <c r="AC125" i="11"/>
  <c r="O41" i="13"/>
  <c r="T126" i="11"/>
  <c r="K43" i="13"/>
  <c r="P128" i="11"/>
  <c r="AH43" i="13"/>
  <c r="AN128" i="11"/>
  <c r="AK43" i="13"/>
  <c r="AQ128" i="11"/>
  <c r="M42" i="13"/>
  <c r="R127" i="11"/>
  <c r="H43" i="13"/>
  <c r="L128" i="11"/>
  <c r="AD42" i="13"/>
  <c r="AI127" i="11"/>
  <c r="Z43" i="13"/>
  <c r="AE128" i="11"/>
  <c r="I41" i="13"/>
  <c r="N126" i="11"/>
  <c r="E42" i="13"/>
  <c r="I127" i="11"/>
  <c r="AV40" i="13"/>
  <c r="BB125" i="11"/>
  <c r="AE41" i="13"/>
  <c r="AJ126" i="11"/>
  <c r="N43" i="13"/>
  <c r="S128" i="11"/>
  <c r="AU43" i="13"/>
  <c r="BA128" i="11"/>
  <c r="AX43" i="13"/>
  <c r="BD128" i="11"/>
  <c r="W43" i="13"/>
  <c r="AB128" i="11"/>
  <c r="AC43" i="13"/>
  <c r="AH128" i="11"/>
  <c r="L40" i="13"/>
  <c r="Q125" i="11"/>
  <c r="AP42" i="13"/>
  <c r="AV127" i="11"/>
  <c r="Y43" i="13"/>
  <c r="AD128" i="11"/>
  <c r="Q43" i="13"/>
  <c r="V128" i="11"/>
  <c r="BC42" i="13"/>
  <c r="M127" i="11"/>
  <c r="AR42" i="13"/>
  <c r="AX127" i="11"/>
  <c r="S43" i="13"/>
  <c r="X128" i="11"/>
  <c r="AQ44" i="13"/>
  <c r="AW129" i="11"/>
  <c r="AA44" i="13"/>
  <c r="AF129" i="11"/>
  <c r="AW44" i="13"/>
  <c r="BC129" i="11"/>
  <c r="P44" i="13"/>
  <c r="U129" i="11"/>
  <c r="AG44" i="13"/>
  <c r="AM129" i="11"/>
  <c r="AT44" i="13"/>
  <c r="AZ129" i="11"/>
  <c r="AI44" i="13"/>
  <c r="AO129" i="11"/>
  <c r="F44" i="13"/>
  <c r="J129" i="11"/>
  <c r="AU44" i="13"/>
  <c r="BA129" i="11"/>
  <c r="W44" i="13"/>
  <c r="AB129" i="11"/>
  <c r="L44" i="13"/>
  <c r="Q129" i="11"/>
  <c r="Y44" i="13"/>
  <c r="AD129" i="11"/>
  <c r="BC44" i="13"/>
  <c r="M129" i="11"/>
  <c r="AO44" i="13"/>
  <c r="AU129" i="11"/>
  <c r="BA44" i="13"/>
  <c r="BG129" i="11"/>
  <c r="K44" i="13"/>
  <c r="P129" i="11"/>
  <c r="AK44" i="13"/>
  <c r="AQ129" i="11"/>
  <c r="H44" i="13"/>
  <c r="L129" i="11"/>
  <c r="Z44" i="13"/>
  <c r="AE129" i="11"/>
  <c r="E44" i="13"/>
  <c r="I129" i="11"/>
  <c r="AV44" i="13"/>
  <c r="BB129" i="11"/>
  <c r="N44" i="13"/>
  <c r="S129" i="11"/>
  <c r="U44" i="13"/>
  <c r="Z129" i="11"/>
  <c r="G44" i="13"/>
  <c r="K129" i="11"/>
  <c r="AY44" i="13"/>
  <c r="BE129" i="11"/>
  <c r="V44" i="13"/>
  <c r="AA129" i="11"/>
  <c r="AH44" i="13"/>
  <c r="AN129" i="11"/>
  <c r="AB44" i="13"/>
  <c r="AG129" i="11"/>
  <c r="AD44" i="13"/>
  <c r="AI129" i="11"/>
  <c r="I44" i="13"/>
  <c r="N129" i="11"/>
  <c r="AL44" i="13"/>
  <c r="AR129" i="11"/>
  <c r="X44" i="13"/>
  <c r="AC129" i="11"/>
  <c r="J44" i="13"/>
  <c r="O129" i="11"/>
  <c r="AS44" i="13"/>
  <c r="AY129" i="11"/>
  <c r="BB44" i="13"/>
  <c r="BH129" i="11"/>
  <c r="AF44" i="13"/>
  <c r="AL129" i="11"/>
  <c r="AN44" i="13"/>
  <c r="AT129" i="11"/>
  <c r="AR44" i="13"/>
  <c r="AX129" i="11"/>
  <c r="M44" i="13"/>
  <c r="R129" i="11"/>
  <c r="AZ44" i="13"/>
  <c r="BF129" i="11"/>
  <c r="AJ44" i="13"/>
  <c r="AP129" i="11"/>
  <c r="AX44" i="13"/>
  <c r="BD129" i="11"/>
  <c r="AC44" i="13"/>
  <c r="AH129" i="11"/>
  <c r="AP44" i="13"/>
  <c r="AV129" i="11"/>
  <c r="Q44" i="13"/>
  <c r="V129" i="11"/>
  <c r="S44" i="13"/>
  <c r="X129" i="11"/>
  <c r="O44" i="13"/>
  <c r="T129" i="11"/>
  <c r="AE44" i="13"/>
  <c r="AJ129" i="11"/>
  <c r="T44" i="13"/>
  <c r="Y129" i="11"/>
  <c r="BD44" i="13"/>
  <c r="AK129" i="11"/>
  <c r="AM44" i="13"/>
  <c r="AS129" i="11"/>
  <c r="R44" i="13"/>
  <c r="W129" i="11"/>
  <c r="A44" i="13"/>
  <c r="B18" i="13"/>
  <c r="A18" i="13"/>
  <c r="BE21" i="13"/>
  <c r="B21" i="13"/>
  <c r="A21" i="13"/>
  <c r="BE9" i="13"/>
  <c r="B9" i="13"/>
  <c r="A9" i="13"/>
  <c r="BE11" i="13"/>
  <c r="B11" i="13"/>
  <c r="A11" i="13"/>
  <c r="BE12" i="13"/>
  <c r="B12" i="13"/>
  <c r="A12" i="13"/>
  <c r="BE27" i="13"/>
  <c r="B27" i="13"/>
  <c r="A27" i="13"/>
  <c r="BE22" i="13"/>
  <c r="B22" i="13"/>
  <c r="A22" i="13"/>
  <c r="BE25" i="13"/>
  <c r="B25" i="13"/>
  <c r="A25" i="13"/>
  <c r="BE29" i="13"/>
  <c r="B29" i="13"/>
  <c r="A29" i="13"/>
  <c r="BE23" i="13"/>
  <c r="B23" i="13"/>
  <c r="A23" i="13"/>
  <c r="BE10" i="13"/>
  <c r="B10" i="13"/>
  <c r="A10" i="13"/>
  <c r="BE28" i="13"/>
  <c r="B28" i="13"/>
  <c r="A28" i="13"/>
  <c r="BE14" i="13"/>
  <c r="B14" i="13"/>
  <c r="A14" i="13"/>
  <c r="BE15" i="13"/>
  <c r="B15" i="13"/>
  <c r="A15" i="13"/>
  <c r="BE26" i="13"/>
  <c r="B26" i="13"/>
  <c r="A26" i="13"/>
  <c r="A19" i="13"/>
  <c r="B19" i="13"/>
  <c r="BE19" i="13"/>
  <c r="B20" i="13"/>
  <c r="A20" i="13"/>
  <c r="BE20" i="13"/>
  <c r="A17" i="13"/>
  <c r="BE17" i="13"/>
  <c r="B17" i="13"/>
  <c r="BE16" i="13"/>
  <c r="B16" i="13"/>
  <c r="A16" i="13"/>
  <c r="BE8" i="13"/>
  <c r="B8" i="13"/>
  <c r="A8" i="13"/>
  <c r="BE24" i="13"/>
  <c r="B24" i="13"/>
  <c r="A24" i="13"/>
  <c r="E39" i="13"/>
  <c r="E40" i="13"/>
  <c r="W19" i="15"/>
  <c r="V65" i="15"/>
  <c r="U6" i="15"/>
  <c r="W35" i="15"/>
  <c r="U58" i="15"/>
  <c r="U39" i="15"/>
  <c r="V79" i="15"/>
  <c r="U24" i="15"/>
  <c r="V60" i="15"/>
  <c r="BB2" i="29"/>
  <c r="V17" i="15"/>
  <c r="U20" i="15"/>
  <c r="V74" i="15"/>
  <c r="W6" i="15"/>
  <c r="W60" i="15"/>
  <c r="U79" i="15"/>
  <c r="U7" i="15"/>
  <c r="W13" i="15"/>
  <c r="W75" i="15"/>
  <c r="V80" i="15"/>
  <c r="W11" i="15"/>
  <c r="U80" i="15"/>
  <c r="V11" i="15"/>
  <c r="W20" i="15"/>
  <c r="W54" i="15"/>
  <c r="W25" i="15"/>
  <c r="U54" i="15"/>
  <c r="W28" i="15"/>
  <c r="U33" i="15"/>
  <c r="U25" i="15"/>
  <c r="V28" i="15"/>
  <c r="V27" i="15"/>
  <c r="W34" i="15"/>
  <c r="W14" i="15"/>
  <c r="W21" i="15"/>
  <c r="W74" i="15"/>
  <c r="U27" i="15"/>
  <c r="V34" i="15"/>
  <c r="U31" i="15"/>
  <c r="V21" i="15"/>
  <c r="U44" i="15"/>
  <c r="W73" i="15"/>
  <c r="V39" i="15"/>
  <c r="V35" i="15"/>
  <c r="U75" i="15"/>
  <c r="U78" i="15"/>
  <c r="U76" i="15"/>
  <c r="U5" i="15"/>
  <c r="W65" i="15"/>
  <c r="W76" i="15"/>
  <c r="V5" i="15"/>
  <c r="W44" i="15"/>
  <c r="V40" i="15"/>
  <c r="U72" i="15"/>
  <c r="W31" i="15"/>
  <c r="W37" i="15"/>
  <c r="V73" i="15"/>
  <c r="U32" i="15"/>
  <c r="W57" i="15"/>
  <c r="W24" i="15"/>
  <c r="V37" i="15"/>
  <c r="W32" i="15"/>
  <c r="W78" i="15"/>
  <c r="V13" i="15"/>
  <c r="V33" i="15"/>
  <c r="V41" i="15"/>
  <c r="U41" i="15"/>
  <c r="W40" i="15"/>
  <c r="V49" i="15"/>
  <c r="W22" i="15"/>
  <c r="V8" i="15"/>
  <c r="U57" i="15"/>
  <c r="U67" i="15"/>
  <c r="V10" i="15"/>
  <c r="W15" i="15"/>
  <c r="W56" i="15"/>
  <c r="W67" i="15"/>
  <c r="U10" i="15"/>
  <c r="V15" i="15"/>
  <c r="W38" i="15"/>
  <c r="V56" i="15"/>
  <c r="U26" i="15"/>
  <c r="W48" i="15"/>
  <c r="V51" i="15"/>
  <c r="W36" i="15"/>
  <c r="V48" i="15"/>
  <c r="V36" i="15"/>
  <c r="V72" i="15"/>
  <c r="W55" i="15"/>
  <c r="W49" i="15"/>
  <c r="V55" i="15"/>
  <c r="U47" i="15"/>
  <c r="U29" i="15"/>
  <c r="W16" i="15"/>
  <c r="W62" i="15"/>
  <c r="W45" i="15"/>
  <c r="V19" i="15"/>
  <c r="V81" i="15"/>
  <c r="W50" i="15"/>
  <c r="V16" i="15"/>
  <c r="V62" i="15"/>
  <c r="V45" i="15"/>
  <c r="V46" i="15"/>
  <c r="W58" i="15"/>
  <c r="W26" i="15"/>
  <c r="U81" i="15"/>
  <c r="V50" i="15"/>
  <c r="U46" i="15"/>
  <c r="W71" i="15"/>
  <c r="W17" i="15"/>
  <c r="U51" i="15"/>
  <c r="W18" i="15"/>
  <c r="W47" i="15"/>
  <c r="U12" i="15"/>
  <c r="V14" i="15"/>
  <c r="V71" i="15"/>
  <c r="V18" i="15"/>
  <c r="W12" i="15"/>
  <c r="U23" i="15"/>
  <c r="V69" i="15"/>
  <c r="W53" i="15"/>
  <c r="U22" i="15"/>
  <c r="W70" i="15"/>
  <c r="W9" i="15"/>
  <c r="V53" i="15"/>
  <c r="V70" i="15"/>
  <c r="V9" i="15"/>
  <c r="W29" i="15"/>
  <c r="W68" i="15"/>
  <c r="U38" i="15"/>
  <c r="W43" i="15"/>
  <c r="W52" i="15"/>
  <c r="W77" i="15"/>
  <c r="U69" i="15"/>
  <c r="W61" i="15"/>
  <c r="W66" i="15"/>
  <c r="V68" i="15"/>
  <c r="W42" i="15"/>
  <c r="U43" i="15"/>
  <c r="V52" i="15"/>
  <c r="V77" i="15"/>
  <c r="U8" i="15"/>
  <c r="V61" i="15"/>
  <c r="V66" i="15"/>
  <c r="V42" i="15"/>
  <c r="W23" i="15"/>
  <c r="V7" i="15"/>
  <c r="U30" i="15"/>
  <c r="V30" i="15"/>
  <c r="W30" i="15"/>
  <c r="V63" i="15"/>
  <c r="W63" i="15"/>
  <c r="U63" i="15"/>
  <c r="U64" i="15"/>
  <c r="V64" i="15"/>
  <c r="W64" i="15"/>
  <c r="AB116" i="11"/>
  <c r="AH116" i="11"/>
  <c r="V116" i="11"/>
  <c r="AX115" i="11"/>
  <c r="BG116" i="11"/>
  <c r="AY116" i="11"/>
  <c r="U116" i="11"/>
  <c r="P116" i="11"/>
  <c r="R116" i="11"/>
  <c r="I115" i="11"/>
  <c r="BF116" i="11"/>
  <c r="AP115" i="11"/>
  <c r="J115" i="11"/>
  <c r="AG116" i="11"/>
  <c r="K115" i="11"/>
  <c r="AK116" i="11"/>
  <c r="AS116" i="11"/>
  <c r="AA115" i="11"/>
  <c r="AR116" i="11"/>
  <c r="AF115" i="11"/>
  <c r="AC116" i="11"/>
  <c r="AN116" i="11"/>
  <c r="AQ116" i="11"/>
  <c r="AI116" i="11"/>
  <c r="BB116" i="11"/>
  <c r="AB118" i="11"/>
  <c r="AD118" i="11"/>
  <c r="AX118" i="11"/>
  <c r="BC118" i="11"/>
  <c r="AM118" i="11"/>
  <c r="BF118" i="11"/>
  <c r="AG118" i="11"/>
  <c r="AK118" i="11"/>
  <c r="W118" i="11"/>
  <c r="AC118" i="11"/>
  <c r="AQ118" i="11"/>
  <c r="AE118" i="11"/>
  <c r="S118" i="11"/>
  <c r="I117" i="11"/>
  <c r="BF117" i="11"/>
  <c r="AP117" i="11"/>
  <c r="BA117" i="11"/>
  <c r="AB117" i="11"/>
  <c r="Q117" i="11"/>
  <c r="AD117" i="11"/>
  <c r="M117" i="11"/>
  <c r="AJ117" i="11"/>
  <c r="Y117" i="11"/>
  <c r="K117" i="11"/>
  <c r="BD116" i="11"/>
  <c r="AB115" i="11"/>
  <c r="AH115" i="11"/>
  <c r="AV116" i="11"/>
  <c r="AD116" i="11"/>
  <c r="V115" i="11"/>
  <c r="BG115" i="11"/>
  <c r="O116" i="11"/>
  <c r="BC116" i="11"/>
  <c r="AY115" i="11"/>
  <c r="BH116" i="11"/>
  <c r="AM116" i="11"/>
  <c r="AL116" i="11"/>
  <c r="AT115" i="11"/>
  <c r="P115" i="11"/>
  <c r="R115" i="11"/>
  <c r="I116" i="11"/>
  <c r="AO116" i="11"/>
  <c r="Y115" i="11"/>
  <c r="Z116" i="11"/>
  <c r="BE116" i="11"/>
  <c r="AS115" i="11"/>
  <c r="AW116" i="11"/>
  <c r="AR115" i="11"/>
  <c r="T116" i="11"/>
  <c r="AN115" i="11"/>
  <c r="AQ115" i="11"/>
  <c r="AI115" i="11"/>
  <c r="S116" i="11"/>
  <c r="AH118" i="11"/>
  <c r="V118" i="11"/>
  <c r="BG118" i="11"/>
  <c r="AY118" i="11"/>
  <c r="AL118" i="11"/>
  <c r="AO118" i="11"/>
  <c r="Y118" i="11"/>
  <c r="BE118" i="11"/>
  <c r="AW118" i="11"/>
  <c r="T118" i="11"/>
  <c r="R118" i="11"/>
  <c r="N118" i="11"/>
  <c r="AO119" i="11"/>
  <c r="J119" i="11"/>
  <c r="BD119" i="11"/>
  <c r="AH119" i="11"/>
  <c r="AV119" i="11"/>
  <c r="V119" i="11"/>
  <c r="BB119" i="11"/>
  <c r="S119" i="11"/>
  <c r="Z119" i="11"/>
  <c r="AK119" i="11"/>
  <c r="AS119" i="11"/>
  <c r="W119" i="11"/>
  <c r="AR119" i="11"/>
  <c r="AC119" i="11"/>
  <c r="BC119" i="11"/>
  <c r="U119" i="11"/>
  <c r="AM119" i="11"/>
  <c r="AZ119" i="11"/>
  <c r="AU119" i="11"/>
  <c r="BG119" i="11"/>
  <c r="T119" i="11"/>
  <c r="AN119" i="11"/>
  <c r="AQ119" i="11"/>
  <c r="L119" i="11"/>
  <c r="AE119" i="11"/>
  <c r="I120" i="11"/>
  <c r="AL120" i="11"/>
  <c r="AO120" i="11"/>
  <c r="J120" i="11"/>
  <c r="BD120" i="11"/>
  <c r="AH120" i="11"/>
  <c r="AV120" i="11"/>
  <c r="V120" i="11"/>
  <c r="AU120" i="11"/>
  <c r="BG120" i="11"/>
  <c r="T120" i="11"/>
  <c r="AN120" i="11"/>
  <c r="AQ120" i="11"/>
  <c r="L120" i="11"/>
  <c r="AE120" i="11"/>
  <c r="BB120" i="11"/>
  <c r="Y120" i="11"/>
  <c r="K120" i="11"/>
  <c r="BE120" i="11"/>
  <c r="AA120" i="11"/>
  <c r="AW120" i="11"/>
  <c r="AF120" i="11"/>
  <c r="O120" i="11"/>
  <c r="AY120" i="11"/>
  <c r="BH120" i="11"/>
  <c r="AT120" i="11"/>
  <c r="BA116" i="11"/>
  <c r="BD115" i="11"/>
  <c r="Q116" i="11"/>
  <c r="AV115" i="11"/>
  <c r="AD115" i="11"/>
  <c r="M116" i="11"/>
  <c r="AU116" i="11"/>
  <c r="AX116" i="11"/>
  <c r="X116" i="11"/>
  <c r="O115" i="11"/>
  <c r="BC115" i="11"/>
  <c r="U115" i="11"/>
  <c r="BH115" i="11"/>
  <c r="AM115" i="11"/>
  <c r="AZ116" i="11"/>
  <c r="AE116" i="11"/>
  <c r="BF115" i="11"/>
  <c r="AO115" i="11"/>
  <c r="AP116" i="11"/>
  <c r="AG115" i="11"/>
  <c r="Z115" i="11"/>
  <c r="AK115" i="11"/>
  <c r="BE115" i="11"/>
  <c r="W116" i="11"/>
  <c r="AW115" i="11"/>
  <c r="AC115" i="11"/>
  <c r="T115" i="11"/>
  <c r="L116" i="11"/>
  <c r="N116" i="11"/>
  <c r="AJ116" i="11"/>
  <c r="S115" i="11"/>
  <c r="BA118" i="11"/>
  <c r="Q118" i="11"/>
  <c r="M118" i="11"/>
  <c r="X118" i="11"/>
  <c r="U118" i="11"/>
  <c r="AZ118" i="11"/>
  <c r="AP118" i="11"/>
  <c r="Z118" i="11"/>
  <c r="AS118" i="11"/>
  <c r="AR118" i="11"/>
  <c r="P118" i="11"/>
  <c r="L118" i="11"/>
  <c r="BB118" i="11"/>
  <c r="AO117" i="11"/>
  <c r="BA115" i="11"/>
  <c r="Q115" i="11"/>
  <c r="M115" i="11"/>
  <c r="AU115" i="11"/>
  <c r="X115" i="11"/>
  <c r="AL115" i="11"/>
  <c r="AZ115" i="11"/>
  <c r="AT116" i="11"/>
  <c r="AE115" i="11"/>
  <c r="J116" i="11"/>
  <c r="Y116" i="11"/>
  <c r="K116" i="11"/>
  <c r="AA116" i="11"/>
  <c r="W115" i="11"/>
  <c r="AF116" i="11"/>
  <c r="L115" i="11"/>
  <c r="N115" i="11"/>
  <c r="BB115" i="11"/>
  <c r="AJ115" i="11"/>
  <c r="BD118" i="11"/>
  <c r="AV118" i="11"/>
  <c r="AU118" i="11"/>
  <c r="O118" i="11"/>
  <c r="BH118" i="11"/>
  <c r="AT118" i="11"/>
  <c r="J118" i="11"/>
  <c r="K118" i="11"/>
  <c r="AA118" i="11"/>
  <c r="AF118" i="11"/>
  <c r="AN118" i="11"/>
  <c r="AI118" i="11"/>
  <c r="AJ118" i="11"/>
  <c r="I118" i="11"/>
  <c r="BF119" i="11"/>
  <c r="AP119" i="11"/>
  <c r="BA119" i="11"/>
  <c r="AB119" i="11"/>
  <c r="Q119" i="11"/>
  <c r="AD119" i="11"/>
  <c r="M119" i="11"/>
  <c r="AJ119" i="11"/>
  <c r="Y119" i="11"/>
  <c r="K119" i="11"/>
  <c r="BE119" i="11"/>
  <c r="AA119" i="11"/>
  <c r="AW119" i="11"/>
  <c r="AF119" i="11"/>
  <c r="O119" i="11"/>
  <c r="AY119" i="11"/>
  <c r="BH119" i="11"/>
  <c r="AL119" i="11"/>
  <c r="AT119" i="11"/>
  <c r="AX119" i="11"/>
  <c r="X119" i="11"/>
  <c r="BE117" i="11"/>
  <c r="AA117" i="11"/>
  <c r="AW117" i="11"/>
  <c r="AF117" i="11"/>
  <c r="O117" i="11"/>
  <c r="AY117" i="11"/>
  <c r="BH117" i="11"/>
  <c r="AL117" i="11"/>
  <c r="AT117" i="11"/>
  <c r="AX117" i="11"/>
  <c r="X117" i="11"/>
  <c r="P117" i="11"/>
  <c r="AG117" i="11"/>
  <c r="R117" i="11"/>
  <c r="AI117" i="11"/>
  <c r="N117" i="11"/>
  <c r="AO121" i="11"/>
  <c r="J121" i="11"/>
  <c r="BD121" i="11"/>
  <c r="AH121" i="11"/>
  <c r="AV121" i="11"/>
  <c r="V121" i="11"/>
  <c r="AU121" i="11"/>
  <c r="BG121" i="11"/>
  <c r="T121" i="11"/>
  <c r="AN121" i="11"/>
  <c r="AQ121" i="11"/>
  <c r="L121" i="11"/>
  <c r="AE121" i="11"/>
  <c r="BB121" i="11"/>
  <c r="Y121" i="11"/>
  <c r="K121" i="11"/>
  <c r="BE121" i="11"/>
  <c r="AA121" i="11"/>
  <c r="AW121" i="11"/>
  <c r="AF121" i="11"/>
  <c r="O121" i="11"/>
  <c r="AY121" i="11"/>
  <c r="BH121" i="11"/>
  <c r="AL121" i="11"/>
  <c r="AT121" i="11"/>
  <c r="AO122" i="11"/>
  <c r="J122" i="11"/>
  <c r="BD122" i="11"/>
  <c r="AH122" i="11"/>
  <c r="AV122" i="11"/>
  <c r="V122" i="11"/>
  <c r="AU122" i="11"/>
  <c r="BG122" i="11"/>
  <c r="T122" i="11"/>
  <c r="AN122" i="11"/>
  <c r="AQ122" i="11"/>
  <c r="L122" i="11"/>
  <c r="AE122" i="11"/>
  <c r="I122" i="11"/>
  <c r="S122" i="11"/>
  <c r="Z122" i="11"/>
  <c r="AK122" i="11"/>
  <c r="AT122" i="11"/>
  <c r="AO123" i="11"/>
  <c r="J123" i="11"/>
  <c r="AH123" i="11"/>
  <c r="AV123" i="11"/>
  <c r="V123" i="11"/>
  <c r="AU123" i="11"/>
  <c r="BG123" i="11"/>
  <c r="T123" i="11"/>
  <c r="AN123" i="11"/>
  <c r="AQ123" i="11"/>
  <c r="L123" i="11"/>
  <c r="AE123" i="11"/>
  <c r="I123" i="11"/>
  <c r="W123" i="11"/>
  <c r="AR123" i="11"/>
  <c r="AJ122" i="11"/>
  <c r="AS122" i="11"/>
  <c r="W122" i="11"/>
  <c r="AR122" i="11"/>
  <c r="AC122" i="11"/>
  <c r="BC122" i="11"/>
  <c r="U122" i="11"/>
  <c r="AM122" i="11"/>
  <c r="BD123" i="11"/>
  <c r="AJ123" i="11"/>
  <c r="Y123" i="11"/>
  <c r="K123" i="11"/>
  <c r="BE123" i="11"/>
  <c r="AA123" i="11"/>
  <c r="AW123" i="11"/>
  <c r="AF123" i="11"/>
  <c r="AY123" i="11"/>
  <c r="BH123" i="11"/>
  <c r="AL123" i="11"/>
  <c r="AT123" i="11"/>
  <c r="J117" i="11"/>
  <c r="BD117" i="11"/>
  <c r="AH117" i="11"/>
  <c r="AV117" i="11"/>
  <c r="V117" i="11"/>
  <c r="BB117" i="11"/>
  <c r="S117" i="11"/>
  <c r="Z117" i="11"/>
  <c r="AK117" i="11"/>
  <c r="AS117" i="11"/>
  <c r="W117" i="11"/>
  <c r="AR117" i="11"/>
  <c r="AC117" i="11"/>
  <c r="BC117" i="11"/>
  <c r="U117" i="11"/>
  <c r="AM117" i="11"/>
  <c r="AZ117" i="11"/>
  <c r="AU117" i="11"/>
  <c r="BG117" i="11"/>
  <c r="T117" i="11"/>
  <c r="AN117" i="11"/>
  <c r="AQ117" i="11"/>
  <c r="L117" i="11"/>
  <c r="AE117" i="11"/>
  <c r="I119" i="11"/>
  <c r="BF121" i="11"/>
  <c r="AP121" i="11"/>
  <c r="BA121" i="11"/>
  <c r="AB121" i="11"/>
  <c r="Q121" i="11"/>
  <c r="AD121" i="11"/>
  <c r="M121" i="11"/>
  <c r="AX121" i="11"/>
  <c r="X121" i="11"/>
  <c r="P121" i="11"/>
  <c r="AG121" i="11"/>
  <c r="R121" i="11"/>
  <c r="AI121" i="11"/>
  <c r="N121" i="11"/>
  <c r="S121" i="11"/>
  <c r="Z121" i="11"/>
  <c r="AK121" i="11"/>
  <c r="AS121" i="11"/>
  <c r="W121" i="11"/>
  <c r="AR121" i="11"/>
  <c r="AC121" i="11"/>
  <c r="BC121" i="11"/>
  <c r="U121" i="11"/>
  <c r="AM121" i="11"/>
  <c r="AZ121" i="11"/>
  <c r="BF122" i="11"/>
  <c r="AP122" i="11"/>
  <c r="BA122" i="11"/>
  <c r="AB122" i="11"/>
  <c r="Q122" i="11"/>
  <c r="AD122" i="11"/>
  <c r="M122" i="11"/>
  <c r="AX122" i="11"/>
  <c r="X122" i="11"/>
  <c r="P122" i="11"/>
  <c r="AG122" i="11"/>
  <c r="R122" i="11"/>
  <c r="AI122" i="11"/>
  <c r="N122" i="11"/>
  <c r="Y122" i="11"/>
  <c r="K122" i="11"/>
  <c r="AZ122" i="11"/>
  <c r="BF123" i="11"/>
  <c r="AP123" i="11"/>
  <c r="BA123" i="11"/>
  <c r="AB123" i="11"/>
  <c r="Q123" i="11"/>
  <c r="AD123" i="11"/>
  <c r="M123" i="11"/>
  <c r="AX123" i="11"/>
  <c r="X123" i="11"/>
  <c r="P123" i="11"/>
  <c r="AG123" i="11"/>
  <c r="R123" i="11"/>
  <c r="N123" i="11"/>
  <c r="I121" i="11"/>
  <c r="O123" i="11"/>
  <c r="P119" i="11"/>
  <c r="AG119" i="11"/>
  <c r="R119" i="11"/>
  <c r="AI119" i="11"/>
  <c r="N119" i="11"/>
  <c r="AJ120" i="11"/>
  <c r="BF120" i="11"/>
  <c r="AP120" i="11"/>
  <c r="BA120" i="11"/>
  <c r="AB120" i="11"/>
  <c r="Q120" i="11"/>
  <c r="AD120" i="11"/>
  <c r="M120" i="11"/>
  <c r="AX120" i="11"/>
  <c r="X120" i="11"/>
  <c r="P120" i="11"/>
  <c r="AG120" i="11"/>
  <c r="R120" i="11"/>
  <c r="AI120" i="11"/>
  <c r="N120" i="11"/>
  <c r="S120" i="11"/>
  <c r="Z120" i="11"/>
  <c r="AK120" i="11"/>
  <c r="AS120" i="11"/>
  <c r="W120" i="11"/>
  <c r="AR120" i="11"/>
  <c r="AC120" i="11"/>
  <c r="BC120" i="11"/>
  <c r="U120" i="11"/>
  <c r="AM120" i="11"/>
  <c r="AZ120" i="11"/>
  <c r="BB122" i="11"/>
  <c r="AJ121" i="11"/>
  <c r="BE122" i="11"/>
  <c r="AA122" i="11"/>
  <c r="AW122" i="11"/>
  <c r="AF122" i="11"/>
  <c r="O122" i="11"/>
  <c r="AY122" i="11"/>
  <c r="BH122" i="11"/>
  <c r="AL122" i="11"/>
  <c r="AI123" i="11"/>
  <c r="BB123" i="11"/>
  <c r="S123" i="11"/>
  <c r="Z123" i="11"/>
  <c r="AK123" i="11"/>
  <c r="AS123" i="11"/>
  <c r="AC123" i="11"/>
  <c r="BC123" i="11"/>
  <c r="U123" i="11"/>
  <c r="AM123" i="11"/>
  <c r="AZ123" i="11"/>
  <c r="AU30" i="13"/>
  <c r="L30" i="13"/>
  <c r="BC30" i="13"/>
  <c r="AO30" i="13"/>
  <c r="S30" i="13"/>
  <c r="AF30" i="13"/>
  <c r="AT30" i="13"/>
  <c r="AN31" i="13"/>
  <c r="Z30" i="13"/>
  <c r="F31" i="13"/>
  <c r="T31" i="13"/>
  <c r="G31" i="13"/>
  <c r="V31" i="13"/>
  <c r="R30" i="13"/>
  <c r="AA31" i="13"/>
  <c r="H30" i="13"/>
  <c r="I30" i="13"/>
  <c r="AV30" i="13"/>
  <c r="AE30" i="13"/>
  <c r="F83" i="13"/>
  <c r="F94" i="13"/>
  <c r="F70" i="13"/>
  <c r="F59" i="13"/>
  <c r="F72" i="13"/>
  <c r="F78" i="13"/>
  <c r="F67" i="13"/>
  <c r="F54" i="13"/>
  <c r="F69" i="13"/>
  <c r="F90" i="13"/>
  <c r="F74" i="13"/>
  <c r="F57" i="13"/>
  <c r="F92" i="13"/>
  <c r="F79" i="13"/>
  <c r="F87" i="13"/>
  <c r="F91" i="13"/>
  <c r="F66" i="13"/>
  <c r="F58" i="13"/>
  <c r="F75" i="13"/>
  <c r="F60" i="13"/>
  <c r="F77" i="13"/>
  <c r="F56" i="13"/>
  <c r="G99" i="13"/>
  <c r="AJ35" i="13"/>
  <c r="G94" i="13"/>
  <c r="W35" i="13"/>
  <c r="G59" i="13"/>
  <c r="Y35" i="13"/>
  <c r="G102" i="13"/>
  <c r="AR35" i="13"/>
  <c r="G66" i="13"/>
  <c r="K35" i="13"/>
  <c r="G75" i="13"/>
  <c r="M35" i="13"/>
  <c r="G77" i="13"/>
  <c r="I35" i="13"/>
  <c r="G61" i="13"/>
  <c r="U35" i="13"/>
  <c r="G103" i="13"/>
  <c r="AM35" i="13"/>
  <c r="G65" i="13"/>
  <c r="AL35" i="13"/>
  <c r="G71" i="13"/>
  <c r="AW35" i="13"/>
  <c r="G63" i="13"/>
  <c r="AG35" i="13"/>
  <c r="G93" i="13"/>
  <c r="H78" i="13"/>
  <c r="AZ39" i="13"/>
  <c r="AJ39" i="13"/>
  <c r="AU39" i="13"/>
  <c r="W39" i="13"/>
  <c r="L39" i="13"/>
  <c r="Y39" i="13"/>
  <c r="BC39" i="13"/>
  <c r="AR39" i="13"/>
  <c r="S39" i="13"/>
  <c r="K39" i="13"/>
  <c r="AB39" i="13"/>
  <c r="M39" i="13"/>
  <c r="AD38" i="13"/>
  <c r="I39" i="13"/>
  <c r="AV38" i="13"/>
  <c r="N38" i="13"/>
  <c r="U38" i="13"/>
  <c r="BD38" i="13"/>
  <c r="AM38" i="13"/>
  <c r="R39" i="13"/>
  <c r="AL39" i="13"/>
  <c r="X38" i="13"/>
  <c r="AW38" i="13"/>
  <c r="P38" i="13"/>
  <c r="AG38" i="13"/>
  <c r="AT38" i="13"/>
  <c r="W31" i="13"/>
  <c r="AC31" i="13"/>
  <c r="Q31" i="13"/>
  <c r="AR30" i="13"/>
  <c r="BA31" i="13"/>
  <c r="AS31" i="13"/>
  <c r="P31" i="13"/>
  <c r="K31" i="13"/>
  <c r="M31" i="13"/>
  <c r="E30" i="13"/>
  <c r="AZ31" i="13"/>
  <c r="AJ30" i="13"/>
  <c r="F30" i="13"/>
  <c r="AB31" i="13"/>
  <c r="G30" i="13"/>
  <c r="BD31" i="13"/>
  <c r="AM31" i="13"/>
  <c r="V30" i="13"/>
  <c r="AL31" i="13"/>
  <c r="AA30" i="13"/>
  <c r="X31" i="13"/>
  <c r="AH31" i="13"/>
  <c r="AK31" i="13"/>
  <c r="AD31" i="13"/>
  <c r="AV31" i="13"/>
  <c r="E32" i="13"/>
  <c r="AZ32" i="13"/>
  <c r="AJ32" i="13"/>
  <c r="AU32" i="13"/>
  <c r="W32" i="13"/>
  <c r="L32" i="13"/>
  <c r="Y32" i="13"/>
  <c r="BC32" i="13"/>
  <c r="AE32" i="13"/>
  <c r="T32" i="13"/>
  <c r="G32" i="13"/>
  <c r="AY32" i="13"/>
  <c r="V32" i="13"/>
  <c r="AQ32" i="13"/>
  <c r="AA32" i="13"/>
  <c r="J32" i="13"/>
  <c r="AS32" i="13"/>
  <c r="BB32" i="13"/>
  <c r="AF32" i="13"/>
  <c r="AN32" i="13"/>
  <c r="AR32" i="13"/>
  <c r="S32" i="13"/>
  <c r="K32" i="13"/>
  <c r="AB32" i="13"/>
  <c r="M32" i="13"/>
  <c r="AD32" i="13"/>
  <c r="I32" i="13"/>
  <c r="AI38" i="13"/>
  <c r="F38" i="13"/>
  <c r="AX39" i="13"/>
  <c r="AC38" i="13"/>
  <c r="AP38" i="13"/>
  <c r="Q38" i="13"/>
  <c r="AO38" i="13"/>
  <c r="BA38" i="13"/>
  <c r="O38" i="13"/>
  <c r="AH38" i="13"/>
  <c r="AK38" i="13"/>
  <c r="H38" i="13"/>
  <c r="Z38" i="13"/>
  <c r="E38" i="13"/>
  <c r="AV39" i="13"/>
  <c r="N39" i="13"/>
  <c r="U39" i="13"/>
  <c r="BD39" i="13"/>
  <c r="AM39" i="13"/>
  <c r="R38" i="13"/>
  <c r="AL38" i="13"/>
  <c r="X39" i="13"/>
  <c r="AW39" i="13"/>
  <c r="P39" i="13"/>
  <c r="AG39" i="13"/>
  <c r="AT39" i="13"/>
  <c r="AX31" i="13"/>
  <c r="W30" i="13"/>
  <c r="AC30" i="13"/>
  <c r="AP31" i="13"/>
  <c r="Y31" i="13"/>
  <c r="Q30" i="13"/>
  <c r="BA30" i="13"/>
  <c r="J31" i="13"/>
  <c r="AW31" i="13"/>
  <c r="AS30" i="13"/>
  <c r="BB31" i="13"/>
  <c r="AG31" i="13"/>
  <c r="AF31" i="13"/>
  <c r="AN30" i="13"/>
  <c r="K30" i="13"/>
  <c r="M30" i="13"/>
  <c r="E31" i="13"/>
  <c r="AI31" i="13"/>
  <c r="T30" i="13"/>
  <c r="U31" i="13"/>
  <c r="AY31" i="13"/>
  <c r="AM30" i="13"/>
  <c r="AQ31" i="13"/>
  <c r="AL30" i="13"/>
  <c r="O31" i="13"/>
  <c r="AH30" i="13"/>
  <c r="AK30" i="13"/>
  <c r="AD30" i="13"/>
  <c r="N31" i="13"/>
  <c r="F82" i="13"/>
  <c r="F53" i="13"/>
  <c r="F76" i="13"/>
  <c r="F89" i="13"/>
  <c r="F64" i="13"/>
  <c r="F61" i="13"/>
  <c r="F68" i="13"/>
  <c r="F86" i="13"/>
  <c r="F65" i="13"/>
  <c r="F85" i="13"/>
  <c r="F71" i="13"/>
  <c r="F63" i="13"/>
  <c r="F80" i="13"/>
  <c r="F93" i="13"/>
  <c r="F88" i="13"/>
  <c r="F62" i="13"/>
  <c r="F81" i="13"/>
  <c r="F84" i="13"/>
  <c r="F55" i="13"/>
  <c r="F73" i="13"/>
  <c r="AI35" i="13"/>
  <c r="F35" i="13"/>
  <c r="AX35" i="13"/>
  <c r="AC35" i="13"/>
  <c r="AP35" i="13"/>
  <c r="Q35" i="13"/>
  <c r="AO35" i="13"/>
  <c r="BA35" i="13"/>
  <c r="O35" i="13"/>
  <c r="AH35" i="13"/>
  <c r="AK35" i="13"/>
  <c r="H35" i="13"/>
  <c r="Z35" i="13"/>
  <c r="AV35" i="13"/>
  <c r="T35" i="13"/>
  <c r="G35" i="13"/>
  <c r="AY35" i="13"/>
  <c r="V35" i="13"/>
  <c r="AQ35" i="13"/>
  <c r="AA35" i="13"/>
  <c r="J35" i="13"/>
  <c r="AS35" i="13"/>
  <c r="BB35" i="13"/>
  <c r="G87" i="13"/>
  <c r="AI39" i="13"/>
  <c r="F39" i="13"/>
  <c r="AX38" i="13"/>
  <c r="AC39" i="13"/>
  <c r="AP39" i="13"/>
  <c r="Q39" i="13"/>
  <c r="AO39" i="13"/>
  <c r="BA39" i="13"/>
  <c r="O39" i="13"/>
  <c r="AH39" i="13"/>
  <c r="AK39" i="13"/>
  <c r="H39" i="13"/>
  <c r="Z39" i="13"/>
  <c r="AE38" i="13"/>
  <c r="T38" i="13"/>
  <c r="G38" i="13"/>
  <c r="AY38" i="13"/>
  <c r="V38" i="13"/>
  <c r="AQ38" i="13"/>
  <c r="AA38" i="13"/>
  <c r="J39" i="13"/>
  <c r="AS38" i="13"/>
  <c r="BB38" i="13"/>
  <c r="AF38" i="13"/>
  <c r="AN38" i="13"/>
  <c r="AU31" i="13"/>
  <c r="AX30" i="13"/>
  <c r="L31" i="13"/>
  <c r="AP30" i="13"/>
  <c r="Y30" i="13"/>
  <c r="BC31" i="13"/>
  <c r="AO31" i="13"/>
  <c r="AR31" i="13"/>
  <c r="S31" i="13"/>
  <c r="J30" i="13"/>
  <c r="AW30" i="13"/>
  <c r="P30" i="13"/>
  <c r="BB30" i="13"/>
  <c r="AG30" i="13"/>
  <c r="AT31" i="13"/>
  <c r="Z31" i="13"/>
  <c r="AZ30" i="13"/>
  <c r="AI30" i="13"/>
  <c r="AJ31" i="13"/>
  <c r="AB30" i="13"/>
  <c r="U30" i="13"/>
  <c r="BD30" i="13"/>
  <c r="AY30" i="13"/>
  <c r="R31" i="13"/>
  <c r="AQ30" i="13"/>
  <c r="X30" i="13"/>
  <c r="O30" i="13"/>
  <c r="H31" i="13"/>
  <c r="I31" i="13"/>
  <c r="AE31" i="13"/>
  <c r="N30" i="13"/>
  <c r="E94" i="13"/>
  <c r="E93" i="13"/>
  <c r="AI32" i="13"/>
  <c r="F32" i="13"/>
  <c r="AX32" i="13"/>
  <c r="AC32" i="13"/>
  <c r="AP32" i="13"/>
  <c r="Q32" i="13"/>
  <c r="AV32" i="13"/>
  <c r="N32" i="13"/>
  <c r="U32" i="13"/>
  <c r="BD32" i="13"/>
  <c r="AM32" i="13"/>
  <c r="R32" i="13"/>
  <c r="AL32" i="13"/>
  <c r="X32" i="13"/>
  <c r="AW32" i="13"/>
  <c r="P32" i="13"/>
  <c r="AG32" i="13"/>
  <c r="AT32" i="13"/>
  <c r="AO32" i="13"/>
  <c r="BA32" i="13"/>
  <c r="O32" i="13"/>
  <c r="AH32" i="13"/>
  <c r="AK32" i="13"/>
  <c r="H32" i="13"/>
  <c r="Z32" i="13"/>
  <c r="F52" i="13"/>
  <c r="AZ38" i="13"/>
  <c r="AJ38" i="13"/>
  <c r="AU38" i="13"/>
  <c r="W38" i="13"/>
  <c r="L38" i="13"/>
  <c r="Y38" i="13"/>
  <c r="BC38" i="13"/>
  <c r="AR38" i="13"/>
  <c r="S38" i="13"/>
  <c r="K38" i="13"/>
  <c r="AB38" i="13"/>
  <c r="M38" i="13"/>
  <c r="AD39" i="13"/>
  <c r="I38" i="13"/>
  <c r="AE39" i="13"/>
  <c r="T39" i="13"/>
  <c r="G39" i="13"/>
  <c r="AY39" i="13"/>
  <c r="V39" i="13"/>
  <c r="AQ39" i="13"/>
  <c r="AA39" i="13"/>
  <c r="J38" i="13"/>
  <c r="AS39" i="13"/>
  <c r="BB39" i="13"/>
  <c r="AF39" i="13"/>
  <c r="AN39" i="13"/>
  <c r="AE36" i="13"/>
  <c r="P35" i="13"/>
  <c r="BC35" i="13"/>
  <c r="AN35" i="13"/>
  <c r="N35" i="13"/>
  <c r="S35" i="13"/>
  <c r="BD35" i="13"/>
  <c r="AT35" i="13"/>
  <c r="AZ35" i="13"/>
  <c r="AB35" i="13"/>
  <c r="R35" i="13"/>
  <c r="L35" i="13"/>
  <c r="AD35" i="13"/>
  <c r="X35" i="13"/>
  <c r="AZ37" i="13"/>
  <c r="I99" i="13"/>
  <c r="AJ37" i="13"/>
  <c r="I83" i="13"/>
  <c r="AU37" i="13"/>
  <c r="I94" i="13"/>
  <c r="W37" i="13"/>
  <c r="I70" i="13"/>
  <c r="L37" i="13"/>
  <c r="I59" i="13"/>
  <c r="Y37" i="13"/>
  <c r="I72" i="13"/>
  <c r="BC37" i="13"/>
  <c r="I102" i="13"/>
  <c r="AR37" i="13"/>
  <c r="I91" i="13"/>
  <c r="S37" i="13"/>
  <c r="I66" i="13"/>
  <c r="K37" i="13"/>
  <c r="I58" i="13"/>
  <c r="AB37" i="13"/>
  <c r="I75" i="13"/>
  <c r="M37" i="13"/>
  <c r="I60" i="13"/>
  <c r="AD37" i="13"/>
  <c r="I77" i="13"/>
  <c r="I37" i="13"/>
  <c r="I56" i="13"/>
  <c r="T37" i="13"/>
  <c r="I67" i="13"/>
  <c r="G37" i="13"/>
  <c r="I54" i="13"/>
  <c r="AT37" i="13"/>
  <c r="I93" i="13"/>
  <c r="AV37" i="13"/>
  <c r="I95" i="13"/>
  <c r="AY37" i="13"/>
  <c r="I98" i="13"/>
  <c r="V37" i="13"/>
  <c r="I69" i="13"/>
  <c r="AQ37" i="13"/>
  <c r="I90" i="13"/>
  <c r="AA37" i="13"/>
  <c r="I74" i="13"/>
  <c r="J37" i="13"/>
  <c r="I57" i="13"/>
  <c r="AS37" i="13"/>
  <c r="I92" i="13"/>
  <c r="BB37" i="13"/>
  <c r="I101" i="13"/>
  <c r="AF37" i="13"/>
  <c r="I79" i="13"/>
  <c r="AI37" i="13"/>
  <c r="I82" i="13"/>
  <c r="F37" i="13"/>
  <c r="I53" i="13"/>
  <c r="AX37" i="13"/>
  <c r="I97" i="13"/>
  <c r="AC37" i="13"/>
  <c r="I76" i="13"/>
  <c r="AP37" i="13"/>
  <c r="I89" i="13"/>
  <c r="Q37" i="13"/>
  <c r="I64" i="13"/>
  <c r="AO37" i="13"/>
  <c r="I88" i="13"/>
  <c r="BA37" i="13"/>
  <c r="I100" i="13"/>
  <c r="O37" i="13"/>
  <c r="I62" i="13"/>
  <c r="AH37" i="13"/>
  <c r="I81" i="13"/>
  <c r="AK37" i="13"/>
  <c r="I84" i="13"/>
  <c r="H37" i="13"/>
  <c r="I55" i="13"/>
  <c r="Z37" i="13"/>
  <c r="I73" i="13"/>
  <c r="E37" i="13"/>
  <c r="I52" i="13"/>
  <c r="N37" i="13"/>
  <c r="I61" i="13"/>
  <c r="U37" i="13"/>
  <c r="I68" i="13"/>
  <c r="BD37" i="13"/>
  <c r="I103" i="13"/>
  <c r="AN37" i="13"/>
  <c r="I87" i="13"/>
  <c r="AE37" i="13"/>
  <c r="I78" i="13"/>
  <c r="AM37" i="13"/>
  <c r="I86" i="13"/>
  <c r="R37" i="13"/>
  <c r="I65" i="13"/>
  <c r="AL37" i="13"/>
  <c r="I85" i="13"/>
  <c r="X37" i="13"/>
  <c r="I71" i="13"/>
  <c r="AW37" i="13"/>
  <c r="I96" i="13"/>
  <c r="P37" i="13"/>
  <c r="I63" i="13"/>
  <c r="AG37" i="13"/>
  <c r="I80" i="13"/>
  <c r="H52" i="13"/>
  <c r="AU35" i="13"/>
  <c r="G83" i="13"/>
  <c r="G70" i="13"/>
  <c r="G72" i="13"/>
  <c r="G91" i="13"/>
  <c r="G58" i="13"/>
  <c r="G60" i="13"/>
  <c r="G56" i="13"/>
  <c r="G68" i="13"/>
  <c r="G86" i="13"/>
  <c r="G85" i="13"/>
  <c r="G96" i="13"/>
  <c r="G80" i="13"/>
  <c r="AZ36" i="13"/>
  <c r="H99" i="13"/>
  <c r="AJ36" i="13"/>
  <c r="H83" i="13"/>
  <c r="AU36" i="13"/>
  <c r="H94" i="13"/>
  <c r="W36" i="13"/>
  <c r="H70" i="13"/>
  <c r="L36" i="13"/>
  <c r="H59" i="13"/>
  <c r="Y36" i="13"/>
  <c r="H72" i="13"/>
  <c r="BC36" i="13"/>
  <c r="H102" i="13"/>
  <c r="AR36" i="13"/>
  <c r="H91" i="13"/>
  <c r="S36" i="13"/>
  <c r="H66" i="13"/>
  <c r="K36" i="13"/>
  <c r="H58" i="13"/>
  <c r="AB36" i="13"/>
  <c r="H75" i="13"/>
  <c r="M36" i="13"/>
  <c r="H60" i="13"/>
  <c r="AD36" i="13"/>
  <c r="H77" i="13"/>
  <c r="I36" i="13"/>
  <c r="H56" i="13"/>
  <c r="N36" i="13"/>
  <c r="H61" i="13"/>
  <c r="U36" i="13"/>
  <c r="H68" i="13"/>
  <c r="BD36" i="13"/>
  <c r="H103" i="13"/>
  <c r="AM36" i="13"/>
  <c r="H86" i="13"/>
  <c r="R36" i="13"/>
  <c r="H65" i="13"/>
  <c r="AL36" i="13"/>
  <c r="H85" i="13"/>
  <c r="X36" i="13"/>
  <c r="H71" i="13"/>
  <c r="AW36" i="13"/>
  <c r="H96" i="13"/>
  <c r="P36" i="13"/>
  <c r="H63" i="13"/>
  <c r="AG36" i="13"/>
  <c r="H80" i="13"/>
  <c r="AT36" i="13"/>
  <c r="H93" i="13"/>
  <c r="AI36" i="13"/>
  <c r="H82" i="13"/>
  <c r="F36" i="13"/>
  <c r="H53" i="13"/>
  <c r="AX36" i="13"/>
  <c r="H97" i="13"/>
  <c r="AC36" i="13"/>
  <c r="H76" i="13"/>
  <c r="AP36" i="13"/>
  <c r="H89" i="13"/>
  <c r="Q36" i="13"/>
  <c r="H64" i="13"/>
  <c r="AO36" i="13"/>
  <c r="H88" i="13"/>
  <c r="BA36" i="13"/>
  <c r="H100" i="13"/>
  <c r="O36" i="13"/>
  <c r="H62" i="13"/>
  <c r="AH36" i="13"/>
  <c r="H81" i="13"/>
  <c r="AK36" i="13"/>
  <c r="H84" i="13"/>
  <c r="H36" i="13"/>
  <c r="H55" i="13"/>
  <c r="Z36" i="13"/>
  <c r="H73" i="13"/>
  <c r="AV36" i="13"/>
  <c r="H95" i="13"/>
  <c r="T36" i="13"/>
  <c r="H67" i="13"/>
  <c r="G36" i="13"/>
  <c r="H54" i="13"/>
  <c r="AY36" i="13"/>
  <c r="H98" i="13"/>
  <c r="V36" i="13"/>
  <c r="H69" i="13"/>
  <c r="AQ36" i="13"/>
  <c r="H90" i="13"/>
  <c r="AA36" i="13"/>
  <c r="H74" i="13"/>
  <c r="J36" i="13"/>
  <c r="H57" i="13"/>
  <c r="AS36" i="13"/>
  <c r="H92" i="13"/>
  <c r="BB36" i="13"/>
  <c r="H101" i="13"/>
  <c r="AF36" i="13"/>
  <c r="H79" i="13"/>
  <c r="AN36" i="13"/>
  <c r="H87" i="13"/>
  <c r="G82" i="13"/>
  <c r="G53" i="13"/>
  <c r="G97" i="13"/>
  <c r="G76" i="13"/>
  <c r="G89" i="13"/>
  <c r="G64" i="13"/>
  <c r="G88" i="13"/>
  <c r="G100" i="13"/>
  <c r="G62" i="13"/>
  <c r="G81" i="13"/>
  <c r="G84" i="13"/>
  <c r="G55" i="13"/>
  <c r="G73" i="13"/>
  <c r="G95" i="13"/>
  <c r="G67" i="13"/>
  <c r="G54" i="13"/>
  <c r="G98" i="13"/>
  <c r="G69" i="13"/>
  <c r="G90" i="13"/>
  <c r="G74" i="13"/>
  <c r="G57" i="13"/>
  <c r="G92" i="13"/>
  <c r="G101" i="13"/>
  <c r="E35" i="13"/>
  <c r="G52" i="13"/>
  <c r="AF35" i="13"/>
  <c r="G79" i="13"/>
  <c r="AE35" i="13"/>
  <c r="G78" i="13"/>
  <c r="AX33" i="13"/>
  <c r="E97" i="13"/>
  <c r="AP33" i="13"/>
  <c r="AO33" i="13"/>
  <c r="J33" i="13"/>
  <c r="BB33" i="13"/>
  <c r="E101" i="13"/>
  <c r="AN33" i="13"/>
  <c r="F33" i="13"/>
  <c r="G33" i="13"/>
  <c r="V33" i="13"/>
  <c r="AA33" i="13"/>
  <c r="AH33" i="13"/>
  <c r="AD33" i="13"/>
  <c r="AE33" i="13"/>
  <c r="E33" i="13"/>
  <c r="AZ34" i="13"/>
  <c r="F99" i="13"/>
  <c r="AJ34" i="13"/>
  <c r="AU34" i="13"/>
  <c r="W34" i="13"/>
  <c r="L34" i="13"/>
  <c r="Y34" i="13"/>
  <c r="BC34" i="13"/>
  <c r="F102" i="13"/>
  <c r="AE34" i="13"/>
  <c r="T34" i="13"/>
  <c r="G34" i="13"/>
  <c r="AY34" i="13"/>
  <c r="F98" i="13"/>
  <c r="V34" i="13"/>
  <c r="AQ34" i="13"/>
  <c r="AA34" i="13"/>
  <c r="J34" i="13"/>
  <c r="AS34" i="13"/>
  <c r="BB34" i="13"/>
  <c r="F101" i="13"/>
  <c r="AF34" i="13"/>
  <c r="AN34" i="13"/>
  <c r="AR34" i="13"/>
  <c r="S34" i="13"/>
  <c r="K34" i="13"/>
  <c r="AB34" i="13"/>
  <c r="M34" i="13"/>
  <c r="AD34" i="13"/>
  <c r="I34" i="13"/>
  <c r="W33" i="13"/>
  <c r="Y33" i="13"/>
  <c r="AR33" i="13"/>
  <c r="E96" i="13"/>
  <c r="AW33" i="13"/>
  <c r="AG33" i="13"/>
  <c r="E99" i="13"/>
  <c r="AZ33" i="13"/>
  <c r="AB33" i="13"/>
  <c r="E103" i="13"/>
  <c r="BD33" i="13"/>
  <c r="R33" i="13"/>
  <c r="X33" i="13"/>
  <c r="AK33" i="13"/>
  <c r="Z33" i="13"/>
  <c r="N33" i="13"/>
  <c r="AC33" i="13"/>
  <c r="Q33" i="13"/>
  <c r="E100" i="13"/>
  <c r="BA33" i="13"/>
  <c r="AS33" i="13"/>
  <c r="AF33" i="13"/>
  <c r="AI33" i="13"/>
  <c r="T33" i="13"/>
  <c r="E98" i="13"/>
  <c r="AY33" i="13"/>
  <c r="AQ33" i="13"/>
  <c r="O33" i="13"/>
  <c r="M33" i="13"/>
  <c r="I33" i="13"/>
  <c r="AI34" i="13"/>
  <c r="F34" i="13"/>
  <c r="AX34" i="13"/>
  <c r="F97" i="13"/>
  <c r="AC34" i="13"/>
  <c r="AP34" i="13"/>
  <c r="Q34" i="13"/>
  <c r="AV34" i="13"/>
  <c r="F95" i="13"/>
  <c r="N34" i="13"/>
  <c r="U34" i="13"/>
  <c r="BD34" i="13"/>
  <c r="F103" i="13"/>
  <c r="AM34" i="13"/>
  <c r="R34" i="13"/>
  <c r="AL34" i="13"/>
  <c r="X34" i="13"/>
  <c r="AW34" i="13"/>
  <c r="F96" i="13"/>
  <c r="P34" i="13"/>
  <c r="AG34" i="13"/>
  <c r="AT34" i="13"/>
  <c r="AO34" i="13"/>
  <c r="BA34" i="13"/>
  <c r="F100" i="13"/>
  <c r="O34" i="13"/>
  <c r="AH34" i="13"/>
  <c r="AK34" i="13"/>
  <c r="H34" i="13"/>
  <c r="Z34" i="13"/>
  <c r="AU33" i="13"/>
  <c r="L33" i="13"/>
  <c r="E102" i="13"/>
  <c r="BC33" i="13"/>
  <c r="S33" i="13"/>
  <c r="P33" i="13"/>
  <c r="AT33" i="13"/>
  <c r="AJ33" i="13"/>
  <c r="U33" i="13"/>
  <c r="AM33" i="13"/>
  <c r="AL33" i="13"/>
  <c r="K33" i="13"/>
  <c r="H33" i="13"/>
  <c r="E95" i="13"/>
  <c r="AV33" i="13"/>
  <c r="E34" i="13"/>
  <c r="BA79" i="11"/>
  <c r="BA130" i="11" s="1"/>
  <c r="BK44" i="12"/>
  <c r="BK24" i="12"/>
  <c r="BK9" i="12"/>
  <c r="BK50" i="12"/>
  <c r="BK29" i="12"/>
  <c r="BK56" i="12"/>
  <c r="BK22" i="12"/>
  <c r="BK14" i="12"/>
  <c r="BK53" i="12"/>
  <c r="BK25" i="12"/>
  <c r="BK49" i="12"/>
  <c r="BK45" i="12"/>
  <c r="BK16" i="12"/>
  <c r="BK33" i="12"/>
  <c r="BK40" i="12"/>
  <c r="BK7" i="12"/>
  <c r="BK15" i="12"/>
  <c r="BK34" i="12"/>
  <c r="BK48" i="12"/>
  <c r="BK27" i="12"/>
  <c r="BK31" i="12"/>
  <c r="BK42" i="12"/>
  <c r="BK41" i="12"/>
  <c r="BK36" i="12"/>
  <c r="BK6" i="12"/>
  <c r="BK21" i="12"/>
  <c r="BK51" i="12"/>
  <c r="BK30" i="12"/>
  <c r="BK32" i="12"/>
  <c r="BK47" i="12"/>
  <c r="BK5" i="12"/>
  <c r="BK23" i="12"/>
  <c r="BK12" i="12"/>
  <c r="BK17" i="12"/>
  <c r="BK8" i="12"/>
  <c r="BK55" i="12"/>
  <c r="BK10" i="12"/>
  <c r="BK46" i="12"/>
  <c r="BK52" i="12"/>
  <c r="BK35" i="12"/>
  <c r="BK28" i="12"/>
  <c r="BK43" i="12"/>
  <c r="BK11" i="12"/>
  <c r="BK19" i="12"/>
  <c r="BK54" i="12"/>
  <c r="BK20" i="12"/>
  <c r="BK39" i="12"/>
  <c r="BK18" i="12"/>
  <c r="BK38" i="12"/>
  <c r="BK37" i="12"/>
  <c r="BK13" i="12"/>
  <c r="BK26" i="12"/>
  <c r="K2" i="29"/>
  <c r="F2" i="29"/>
  <c r="I2" i="29"/>
  <c r="AZ2" i="29"/>
  <c r="AF2" i="29"/>
  <c r="R2" i="29"/>
  <c r="AX2" i="29"/>
  <c r="O2" i="29"/>
  <c r="W2" i="29"/>
  <c r="CM2" i="29"/>
  <c r="BF2" i="29"/>
  <c r="AC2" i="29"/>
  <c r="AW2" i="29"/>
  <c r="AY2" i="29"/>
  <c r="L2" i="29"/>
  <c r="N2" i="29"/>
  <c r="D2" i="29"/>
  <c r="X2" i="29"/>
  <c r="AE2" i="29"/>
  <c r="AT2" i="29"/>
  <c r="BG2" i="29"/>
  <c r="BC2" i="29"/>
  <c r="AG2" i="29"/>
  <c r="E2" i="29"/>
  <c r="G2" i="29"/>
  <c r="J2" i="29"/>
  <c r="AD2" i="29"/>
  <c r="AI2" i="29"/>
  <c r="V2" i="29"/>
  <c r="Z2" i="29"/>
  <c r="BA2" i="29"/>
  <c r="CK2" i="29"/>
  <c r="BE2" i="29"/>
  <c r="AU2" i="29"/>
  <c r="BH2" i="29"/>
  <c r="BI2" i="29"/>
  <c r="AV2" i="29"/>
  <c r="Y2" i="29"/>
  <c r="AA2" i="29"/>
  <c r="M2" i="29"/>
  <c r="AJ2" i="29"/>
  <c r="Q2" i="29"/>
  <c r="C2" i="29"/>
  <c r="H2" i="29"/>
  <c r="CL2" i="29"/>
  <c r="BD2" i="29"/>
  <c r="CC2" i="29"/>
  <c r="CI2" i="29"/>
  <c r="CA2" i="29"/>
  <c r="CE2" i="29"/>
  <c r="CJ2" i="29"/>
  <c r="CB2" i="29"/>
  <c r="CF2" i="29"/>
  <c r="BY2" i="29"/>
  <c r="CG2" i="29"/>
  <c r="CD2" i="29"/>
  <c r="CH2" i="29"/>
  <c r="BZ2" i="29"/>
  <c r="BD114" i="11"/>
  <c r="BD113" i="11"/>
  <c r="AB113" i="11"/>
  <c r="AB114" i="11"/>
  <c r="BG114" i="11"/>
  <c r="BG113" i="11"/>
  <c r="U113" i="11"/>
  <c r="U114" i="11"/>
  <c r="AO113" i="11"/>
  <c r="AO114" i="11"/>
  <c r="BE113" i="11"/>
  <c r="BE114" i="11"/>
  <c r="N114" i="11"/>
  <c r="N113" i="11"/>
  <c r="I114" i="11"/>
  <c r="I113" i="11"/>
  <c r="I112" i="11"/>
  <c r="BB114" i="11"/>
  <c r="BB113" i="11"/>
  <c r="AJ113" i="11"/>
  <c r="AJ114" i="11"/>
  <c r="S114" i="11"/>
  <c r="S113" i="11"/>
  <c r="BH113" i="11"/>
  <c r="BH114" i="11"/>
  <c r="AL114" i="11"/>
  <c r="AL113" i="11"/>
  <c r="BF114" i="11"/>
  <c r="BF113" i="11"/>
  <c r="AP114" i="11"/>
  <c r="AP113" i="11"/>
  <c r="J114" i="11"/>
  <c r="J113" i="11"/>
  <c r="T113" i="11"/>
  <c r="T114" i="11"/>
  <c r="P113" i="11"/>
  <c r="P114" i="11"/>
  <c r="AH114" i="11"/>
  <c r="AH113" i="11"/>
  <c r="Q113" i="11"/>
  <c r="Q114" i="11"/>
  <c r="AV113" i="11"/>
  <c r="AV114" i="11"/>
  <c r="V114" i="11"/>
  <c r="V113" i="11"/>
  <c r="AX114" i="11"/>
  <c r="AX113" i="11"/>
  <c r="X113" i="11"/>
  <c r="X114" i="11"/>
  <c r="O114" i="11"/>
  <c r="O113" i="11"/>
  <c r="AM114" i="11"/>
  <c r="AM113" i="11"/>
  <c r="AZ113" i="11"/>
  <c r="AZ114" i="11"/>
  <c r="AT114" i="11"/>
  <c r="AT113" i="11"/>
  <c r="AG113" i="11"/>
  <c r="AG114" i="11"/>
  <c r="Z114" i="11"/>
  <c r="Z113" i="11"/>
  <c r="K114" i="11"/>
  <c r="K113" i="11"/>
  <c r="AK113" i="11"/>
  <c r="AK114" i="11"/>
  <c r="AS113" i="11"/>
  <c r="AS114" i="11"/>
  <c r="AW113" i="11"/>
  <c r="AW114" i="11"/>
  <c r="AR113" i="11"/>
  <c r="AR114" i="11"/>
  <c r="AF113" i="11"/>
  <c r="AF114" i="11"/>
  <c r="AC113" i="11"/>
  <c r="AC114" i="11"/>
  <c r="AI114" i="11"/>
  <c r="AI113" i="11"/>
  <c r="AE114" i="11"/>
  <c r="AE113" i="11"/>
  <c r="BA113" i="11"/>
  <c r="BA114" i="11"/>
  <c r="AD114" i="11"/>
  <c r="AD113" i="11"/>
  <c r="M113" i="11"/>
  <c r="M114" i="11"/>
  <c r="AU114" i="11"/>
  <c r="AU113" i="11"/>
  <c r="BC114" i="11"/>
  <c r="BC113" i="11"/>
  <c r="AY114" i="11"/>
  <c r="AY113" i="11"/>
  <c r="Y113" i="11"/>
  <c r="Y114" i="11"/>
  <c r="AA114" i="11"/>
  <c r="AA113" i="11"/>
  <c r="W114" i="11"/>
  <c r="W113" i="11"/>
  <c r="AN113" i="11"/>
  <c r="AN114" i="11"/>
  <c r="AQ114" i="11"/>
  <c r="AQ113" i="11"/>
  <c r="R114" i="11"/>
  <c r="R113" i="11"/>
  <c r="L113" i="11"/>
  <c r="L114" i="11"/>
  <c r="P36" i="29"/>
  <c r="P32" i="29"/>
  <c r="P51" i="29"/>
  <c r="P31" i="29"/>
  <c r="P11" i="29"/>
  <c r="P45" i="29"/>
  <c r="P40" i="29"/>
  <c r="P48" i="29"/>
  <c r="P53" i="29"/>
  <c r="P24" i="29"/>
  <c r="P46" i="29"/>
  <c r="P28" i="29"/>
  <c r="P18" i="29"/>
  <c r="P39" i="29"/>
  <c r="P27" i="29"/>
  <c r="P44" i="29"/>
  <c r="P34" i="29"/>
  <c r="P41" i="29"/>
  <c r="P16" i="29"/>
  <c r="P52" i="29"/>
  <c r="BG78" i="11" s="1"/>
  <c r="P49" i="29"/>
  <c r="P43" i="29"/>
  <c r="P9" i="29"/>
  <c r="P15" i="29"/>
  <c r="P35" i="29"/>
  <c r="P55" i="29"/>
  <c r="P26" i="29"/>
  <c r="P33" i="29"/>
  <c r="P12" i="29"/>
  <c r="P25" i="29"/>
  <c r="P19" i="29"/>
  <c r="P30" i="29"/>
  <c r="P14" i="29"/>
  <c r="P42" i="29"/>
  <c r="P37" i="29"/>
  <c r="P10" i="29"/>
  <c r="P22" i="29"/>
  <c r="P54" i="29"/>
  <c r="P7" i="29"/>
  <c r="P29" i="29"/>
  <c r="P13" i="29"/>
  <c r="P6" i="29"/>
  <c r="P50" i="29"/>
  <c r="P8" i="29"/>
  <c r="P47" i="29"/>
  <c r="P21" i="29"/>
  <c r="P17" i="29"/>
  <c r="P23" i="29"/>
  <c r="P5" i="29"/>
  <c r="P20" i="29"/>
  <c r="P38" i="29"/>
  <c r="P4" i="29"/>
  <c r="I71" i="11"/>
  <c r="BC72" i="11"/>
  <c r="W68" i="11"/>
  <c r="T65" i="11"/>
  <c r="U72" i="11"/>
  <c r="AG67" i="11"/>
  <c r="BF72" i="11"/>
  <c r="W66" i="11"/>
  <c r="AU66" i="11"/>
  <c r="AB65" i="11"/>
  <c r="V64" i="11"/>
  <c r="V72" i="11"/>
  <c r="BE65" i="11"/>
  <c r="AJ72" i="11"/>
  <c r="AD68" i="11"/>
  <c r="K64" i="11"/>
  <c r="K73" i="11"/>
  <c r="K71" i="11"/>
  <c r="BA62" i="11"/>
  <c r="L74" i="11"/>
  <c r="L72" i="11"/>
  <c r="AZ66" i="11"/>
  <c r="AW67" i="11"/>
  <c r="R67" i="11"/>
  <c r="Q63" i="11"/>
  <c r="Q73" i="11"/>
  <c r="R73" i="11"/>
  <c r="R66" i="11"/>
  <c r="Q64" i="11"/>
  <c r="Q68" i="11"/>
  <c r="Q71" i="11"/>
  <c r="Q74" i="11"/>
  <c r="T71" i="11"/>
  <c r="T63" i="11"/>
  <c r="R65" i="11"/>
  <c r="T62" i="11"/>
  <c r="Q67" i="11"/>
  <c r="Q66" i="11"/>
  <c r="T72" i="11"/>
  <c r="T66" i="11"/>
  <c r="M65" i="11"/>
  <c r="S62" i="11"/>
  <c r="S66" i="11"/>
  <c r="U67" i="11"/>
  <c r="R69" i="11"/>
  <c r="R62" i="11"/>
  <c r="AU67" i="11"/>
  <c r="AI71" i="11"/>
  <c r="AB71" i="11"/>
  <c r="AB68" i="11"/>
  <c r="AB62" i="11"/>
  <c r="AZ69" i="11"/>
  <c r="AZ67" i="11"/>
  <c r="M66" i="11"/>
  <c r="S73" i="11"/>
  <c r="S72" i="11"/>
  <c r="S69" i="11"/>
  <c r="U73" i="11"/>
  <c r="K69" i="11"/>
  <c r="K63" i="11"/>
  <c r="K66" i="11"/>
  <c r="AE73" i="11"/>
  <c r="Q69" i="11"/>
  <c r="T74" i="11"/>
  <c r="BE63" i="11"/>
  <c r="AB74" i="11"/>
  <c r="V74" i="11"/>
  <c r="M73" i="11"/>
  <c r="M62" i="11"/>
  <c r="M68" i="11"/>
  <c r="S74" i="11"/>
  <c r="S65" i="11"/>
  <c r="U63" i="11"/>
  <c r="K67" i="11"/>
  <c r="K68" i="11"/>
  <c r="K62" i="11"/>
  <c r="R72" i="11"/>
  <c r="BC73" i="11"/>
  <c r="AB69" i="11"/>
  <c r="AB67" i="11"/>
  <c r="M74" i="11"/>
  <c r="M72" i="11"/>
  <c r="M69" i="11"/>
  <c r="S67" i="11"/>
  <c r="S71" i="11"/>
  <c r="S68" i="11"/>
  <c r="U74" i="11"/>
  <c r="U62" i="11"/>
  <c r="U71" i="11"/>
  <c r="K65" i="11"/>
  <c r="K74" i="11"/>
  <c r="K72" i="11"/>
  <c r="R68" i="11"/>
  <c r="Q62" i="11"/>
  <c r="AW69" i="11"/>
  <c r="AW66" i="11"/>
  <c r="W71" i="11"/>
  <c r="AI62" i="11"/>
  <c r="AE68" i="11"/>
  <c r="AI63" i="11"/>
  <c r="AI67" i="11"/>
  <c r="AB73" i="11"/>
  <c r="R74" i="11"/>
  <c r="AB64" i="11"/>
  <c r="AE71" i="11"/>
  <c r="AI73" i="11"/>
  <c r="S63" i="11"/>
  <c r="AE66" i="11"/>
  <c r="R63" i="11"/>
  <c r="BC71" i="11"/>
  <c r="AI69" i="11"/>
  <c r="AI74" i="11"/>
  <c r="AI72" i="11"/>
  <c r="AB66" i="11"/>
  <c r="AE62" i="11"/>
  <c r="AE64" i="11"/>
  <c r="AE74" i="11"/>
  <c r="BE64" i="11"/>
  <c r="BE71" i="11"/>
  <c r="BE66" i="11"/>
  <c r="V67" i="11"/>
  <c r="V66" i="11"/>
  <c r="AG73" i="11"/>
  <c r="AG63" i="11"/>
  <c r="BE62" i="11"/>
  <c r="BE68" i="11"/>
  <c r="V71" i="11"/>
  <c r="V63" i="11"/>
  <c r="BF73" i="11"/>
  <c r="BE67" i="11"/>
  <c r="BE72" i="11"/>
  <c r="BE69" i="11"/>
  <c r="V65" i="11"/>
  <c r="V68" i="11"/>
  <c r="V62" i="11"/>
  <c r="AG72" i="11"/>
  <c r="AG65" i="11"/>
  <c r="N73" i="11"/>
  <c r="BF69" i="11"/>
  <c r="AK62" i="11"/>
  <c r="L68" i="11"/>
  <c r="L62" i="11"/>
  <c r="L64" i="11"/>
  <c r="BF66" i="11"/>
  <c r="BF63" i="11"/>
  <c r="AG64" i="11"/>
  <c r="AG62" i="11"/>
  <c r="AK69" i="11"/>
  <c r="AK67" i="11"/>
  <c r="AZ77" i="11"/>
  <c r="AK63" i="11"/>
  <c r="AK65" i="11"/>
  <c r="AJ75" i="11"/>
  <c r="AK74" i="11"/>
  <c r="AK77" i="11"/>
  <c r="I65" i="11"/>
  <c r="V75" i="11"/>
  <c r="AK75" i="11"/>
  <c r="AZ65" i="11"/>
  <c r="AZ64" i="11"/>
  <c r="U69" i="11"/>
  <c r="U65" i="11"/>
  <c r="T67" i="11"/>
  <c r="AZ71" i="11"/>
  <c r="AZ73" i="11"/>
  <c r="AZ62" i="11"/>
  <c r="AJ74" i="11"/>
  <c r="AJ69" i="11"/>
  <c r="T69" i="11"/>
  <c r="AU71" i="11"/>
  <c r="AU73" i="11"/>
  <c r="AU62" i="11"/>
  <c r="AZ68" i="11"/>
  <c r="AZ74" i="11"/>
  <c r="AZ72" i="11"/>
  <c r="M67" i="11"/>
  <c r="U64" i="11"/>
  <c r="AE69" i="11"/>
  <c r="T64" i="11"/>
  <c r="AU68" i="11"/>
  <c r="AU74" i="11"/>
  <c r="AU72" i="11"/>
  <c r="J77" i="11"/>
  <c r="I62" i="11"/>
  <c r="I67" i="11"/>
  <c r="I64" i="11"/>
  <c r="I63" i="11"/>
  <c r="I69" i="11"/>
  <c r="I66" i="11"/>
  <c r="BF65" i="11"/>
  <c r="AT77" i="11"/>
  <c r="BE74" i="11"/>
  <c r="V69" i="11"/>
  <c r="Z68" i="11"/>
  <c r="Z69" i="11"/>
  <c r="Z65" i="11"/>
  <c r="BC64" i="11"/>
  <c r="BC74" i="11"/>
  <c r="BG75" i="11"/>
  <c r="AD71" i="11"/>
  <c r="Z62" i="11"/>
  <c r="M63" i="11"/>
  <c r="S64" i="11"/>
  <c r="AE72" i="11"/>
  <c r="AE67" i="11"/>
  <c r="Q72" i="11"/>
  <c r="AW65" i="11"/>
  <c r="AW63" i="11"/>
  <c r="AW64" i="11"/>
  <c r="W62" i="11"/>
  <c r="W64" i="11"/>
  <c r="W74" i="11"/>
  <c r="AM77" i="11"/>
  <c r="I72" i="11"/>
  <c r="AJ73" i="11"/>
  <c r="AJ65" i="11"/>
  <c r="AJ63" i="11"/>
  <c r="T68" i="11"/>
  <c r="J65" i="11"/>
  <c r="J74" i="11"/>
  <c r="J72" i="11"/>
  <c r="AW75" i="11"/>
  <c r="M75" i="11"/>
  <c r="BC68" i="11"/>
  <c r="BF64" i="11"/>
  <c r="BE73" i="11"/>
  <c r="BD75" i="11"/>
  <c r="AD63" i="11"/>
  <c r="Z71" i="11"/>
  <c r="R64" i="11"/>
  <c r="R71" i="11"/>
  <c r="BC62" i="11"/>
  <c r="BC69" i="11"/>
  <c r="BC67" i="11"/>
  <c r="BF71" i="11"/>
  <c r="BF62" i="11"/>
  <c r="P77" i="11"/>
  <c r="AI68" i="11"/>
  <c r="AI64" i="11"/>
  <c r="J16" i="14"/>
  <c r="BD77" i="11"/>
  <c r="AD69" i="11"/>
  <c r="AD62" i="11"/>
  <c r="AD64" i="11"/>
  <c r="Z67" i="11"/>
  <c r="Z72" i="11"/>
  <c r="Z64" i="11"/>
  <c r="M64" i="11"/>
  <c r="M71" i="11"/>
  <c r="AD77" i="11"/>
  <c r="U68" i="11"/>
  <c r="U66" i="11"/>
  <c r="AE65" i="11"/>
  <c r="AE63" i="11"/>
  <c r="O77" i="11"/>
  <c r="O75" i="11"/>
  <c r="J36" i="14"/>
  <c r="AN73" i="11"/>
  <c r="AN72" i="11"/>
  <c r="AG71" i="11"/>
  <c r="J56" i="14"/>
  <c r="BH77" i="11"/>
  <c r="BH75" i="11"/>
  <c r="AW71" i="11"/>
  <c r="AW73" i="11"/>
  <c r="AW62" i="11"/>
  <c r="W72" i="11"/>
  <c r="W69" i="11"/>
  <c r="W67" i="11"/>
  <c r="BH71" i="11"/>
  <c r="BH62" i="11"/>
  <c r="N71" i="11"/>
  <c r="N68" i="11"/>
  <c r="AR63" i="11"/>
  <c r="AR67" i="11"/>
  <c r="AJ64" i="11"/>
  <c r="AJ71" i="11"/>
  <c r="AJ66" i="11"/>
  <c r="BA73" i="11"/>
  <c r="BA66" i="11"/>
  <c r="J22" i="14"/>
  <c r="BE77" i="11"/>
  <c r="J19" i="14"/>
  <c r="AU69" i="11"/>
  <c r="J69" i="11"/>
  <c r="J67" i="11"/>
  <c r="J66" i="11"/>
  <c r="J47" i="14"/>
  <c r="AC77" i="11"/>
  <c r="J35" i="14"/>
  <c r="AQ65" i="11"/>
  <c r="AQ71" i="11"/>
  <c r="AQ66" i="11"/>
  <c r="BC77" i="11"/>
  <c r="BC75" i="11"/>
  <c r="J29" i="14"/>
  <c r="AI77" i="11"/>
  <c r="AK66" i="11"/>
  <c r="AC73" i="11"/>
  <c r="AC66" i="11"/>
  <c r="L67" i="11"/>
  <c r="L65" i="11"/>
  <c r="L66" i="11"/>
  <c r="AI65" i="11"/>
  <c r="AD73" i="11"/>
  <c r="Z74" i="11"/>
  <c r="AB63" i="11"/>
  <c r="V73" i="11"/>
  <c r="BC65" i="11"/>
  <c r="BC63" i="11"/>
  <c r="BC66" i="11"/>
  <c r="BF68" i="11"/>
  <c r="AI66" i="11"/>
  <c r="AD74" i="11"/>
  <c r="AD72" i="11"/>
  <c r="AD66" i="11"/>
  <c r="Z63" i="11"/>
  <c r="Z66" i="11"/>
  <c r="AB72" i="11"/>
  <c r="AZ63" i="11"/>
  <c r="AG69" i="11"/>
  <c r="AG68" i="11"/>
  <c r="Q65" i="11"/>
  <c r="AW68" i="11"/>
  <c r="AW74" i="11"/>
  <c r="AW72" i="11"/>
  <c r="W65" i="11"/>
  <c r="W63" i="11"/>
  <c r="W73" i="11"/>
  <c r="I68" i="11"/>
  <c r="I73" i="11"/>
  <c r="AJ67" i="11"/>
  <c r="AJ62" i="11"/>
  <c r="AJ68" i="11"/>
  <c r="T73" i="11"/>
  <c r="J64" i="11"/>
  <c r="AK71" i="11"/>
  <c r="AK64" i="11"/>
  <c r="L63" i="11"/>
  <c r="L73" i="11"/>
  <c r="L71" i="11"/>
  <c r="I74" i="11"/>
  <c r="J71" i="11"/>
  <c r="J68" i="11"/>
  <c r="J62" i="11"/>
  <c r="I75" i="11"/>
  <c r="J63" i="11"/>
  <c r="BG83" i="11"/>
  <c r="AP79" i="11"/>
  <c r="AP130" i="11" s="1"/>
  <c r="Y84" i="11"/>
  <c r="Y92" i="11"/>
  <c r="P109" i="11"/>
  <c r="P84" i="11"/>
  <c r="BD109" i="11"/>
  <c r="AL79" i="11"/>
  <c r="AL130" i="11" s="1"/>
  <c r="AS83" i="11"/>
  <c r="AN108" i="11"/>
  <c r="AX83" i="11"/>
  <c r="AH100" i="11"/>
  <c r="AH102" i="11"/>
  <c r="AH85" i="11"/>
  <c r="AH96" i="11"/>
  <c r="AH98" i="11"/>
  <c r="AH94" i="11"/>
  <c r="AH111" i="11"/>
  <c r="AH91" i="11"/>
  <c r="AH99" i="11"/>
  <c r="AH101" i="11"/>
  <c r="AH97" i="11"/>
  <c r="AH95" i="11"/>
  <c r="AH88" i="11"/>
  <c r="BF83" i="11"/>
  <c r="BF89" i="11"/>
  <c r="AD110" i="11"/>
  <c r="AD108" i="11"/>
  <c r="Z79" i="11"/>
  <c r="Z130" i="11" s="1"/>
  <c r="BG103" i="11"/>
  <c r="BG80" i="11"/>
  <c r="BG111" i="11"/>
  <c r="BG99" i="11"/>
  <c r="BG101" i="11"/>
  <c r="BG85" i="11"/>
  <c r="BG95" i="11"/>
  <c r="BG97" i="11"/>
  <c r="BG102" i="11"/>
  <c r="BG100" i="11"/>
  <c r="BG94" i="11"/>
  <c r="BG91" i="11"/>
  <c r="BG96" i="11"/>
  <c r="BG98" i="11"/>
  <c r="BG92" i="11"/>
  <c r="BG108" i="11"/>
  <c r="BG87" i="11"/>
  <c r="BG89" i="11"/>
  <c r="BF67" i="11"/>
  <c r="AP86" i="11"/>
  <c r="AP77" i="11"/>
  <c r="AP81" i="11"/>
  <c r="AP83" i="11"/>
  <c r="AP92" i="11"/>
  <c r="Y80" i="11"/>
  <c r="Y109" i="11"/>
  <c r="Y105" i="11"/>
  <c r="Y77" i="11"/>
  <c r="Y110" i="11"/>
  <c r="Y108" i="11"/>
  <c r="Y81" i="11"/>
  <c r="Y83" i="11"/>
  <c r="Y79" i="11"/>
  <c r="P103" i="11"/>
  <c r="P81" i="11"/>
  <c r="P86" i="11"/>
  <c r="P107" i="11"/>
  <c r="P82" i="11"/>
  <c r="P89" i="11"/>
  <c r="BD80" i="11"/>
  <c r="BD111" i="11"/>
  <c r="BD102" i="11"/>
  <c r="BD100" i="11"/>
  <c r="BD85" i="11"/>
  <c r="BD98" i="11"/>
  <c r="BD96" i="11"/>
  <c r="BD94" i="11"/>
  <c r="BD91" i="11"/>
  <c r="BD101" i="11"/>
  <c r="BD99" i="11"/>
  <c r="BD95" i="11"/>
  <c r="BD97" i="11"/>
  <c r="BD110" i="11"/>
  <c r="BD87" i="11"/>
  <c r="BD105" i="11"/>
  <c r="BD92" i="11"/>
  <c r="AD67" i="11"/>
  <c r="AD65" i="11"/>
  <c r="AL80" i="11"/>
  <c r="AL94" i="11"/>
  <c r="AL99" i="11"/>
  <c r="AL101" i="11"/>
  <c r="AL95" i="11"/>
  <c r="AL97" i="11"/>
  <c r="AL111" i="11"/>
  <c r="AL100" i="11"/>
  <c r="AL102" i="11"/>
  <c r="AL85" i="11"/>
  <c r="AL96" i="11"/>
  <c r="AL98" i="11"/>
  <c r="AL91" i="11"/>
  <c r="AL112" i="11"/>
  <c r="AL93" i="11"/>
  <c r="AL77" i="11"/>
  <c r="AL92" i="11"/>
  <c r="AS106" i="11"/>
  <c r="AS77" i="11"/>
  <c r="AS87" i="11"/>
  <c r="AS90" i="11"/>
  <c r="AS89" i="11"/>
  <c r="J28" i="14"/>
  <c r="AN88" i="11"/>
  <c r="AN105" i="11"/>
  <c r="AN107" i="11"/>
  <c r="AN112" i="11"/>
  <c r="AN90" i="11"/>
  <c r="AX111" i="11"/>
  <c r="AX99" i="11"/>
  <c r="AX101" i="11"/>
  <c r="AX94" i="11"/>
  <c r="AX95" i="11"/>
  <c r="AX97" i="11"/>
  <c r="AX100" i="11"/>
  <c r="AX102" i="11"/>
  <c r="AX85" i="11"/>
  <c r="AX96" i="11"/>
  <c r="AX98" i="11"/>
  <c r="AX91" i="11"/>
  <c r="AX103" i="11"/>
  <c r="AX80" i="11"/>
  <c r="AX84" i="11"/>
  <c r="AX90" i="11"/>
  <c r="AX79" i="11"/>
  <c r="AX130" i="11" s="1"/>
  <c r="AH104" i="11"/>
  <c r="AH109" i="11"/>
  <c r="AH84" i="11"/>
  <c r="AH92" i="11"/>
  <c r="AH90" i="11"/>
  <c r="BF110" i="11"/>
  <c r="BF107" i="11"/>
  <c r="BF105" i="11"/>
  <c r="BF103" i="11"/>
  <c r="BF80" i="11"/>
  <c r="BF92" i="11"/>
  <c r="BF79" i="11"/>
  <c r="BF130" i="11" s="1"/>
  <c r="AD100" i="11"/>
  <c r="AD102" i="11"/>
  <c r="AD85" i="11"/>
  <c r="AD94" i="11"/>
  <c r="AD91" i="11"/>
  <c r="AD111" i="11"/>
  <c r="AD96" i="11"/>
  <c r="AD98" i="11"/>
  <c r="AD99" i="11"/>
  <c r="AD101" i="11"/>
  <c r="AD95" i="11"/>
  <c r="AD97" i="11"/>
  <c r="AD80" i="11"/>
  <c r="AD88" i="11"/>
  <c r="AD81" i="11"/>
  <c r="AD105" i="11"/>
  <c r="AD79" i="11"/>
  <c r="AD130" i="11" s="1"/>
  <c r="Z81" i="11"/>
  <c r="Z82" i="11"/>
  <c r="Z93" i="11"/>
  <c r="Z111" i="11"/>
  <c r="Z96" i="11"/>
  <c r="Z98" i="11"/>
  <c r="Z94" i="11"/>
  <c r="Z99" i="11"/>
  <c r="Z101" i="11"/>
  <c r="Z91" i="11"/>
  <c r="Z95" i="11"/>
  <c r="Z97" i="11"/>
  <c r="Z85" i="11"/>
  <c r="Z100" i="11"/>
  <c r="Z102" i="11"/>
  <c r="Z75" i="11"/>
  <c r="Z83" i="11"/>
  <c r="Z90" i="11"/>
  <c r="BB104" i="11"/>
  <c r="BB93" i="11"/>
  <c r="BB108" i="11"/>
  <c r="BB86" i="11"/>
  <c r="BB83" i="11"/>
  <c r="BB77" i="11"/>
  <c r="BB75" i="11"/>
  <c r="O110" i="11"/>
  <c r="O81" i="11"/>
  <c r="O103" i="11"/>
  <c r="O104" i="11"/>
  <c r="O112" i="11"/>
  <c r="O79" i="11"/>
  <c r="O92" i="11"/>
  <c r="AN64" i="11"/>
  <c r="AN71" i="11"/>
  <c r="AN66" i="11"/>
  <c r="AG66" i="11"/>
  <c r="X75" i="11"/>
  <c r="X106" i="11"/>
  <c r="X82" i="11"/>
  <c r="X80" i="11"/>
  <c r="X89" i="11"/>
  <c r="X88" i="11"/>
  <c r="X81" i="11"/>
  <c r="BH112" i="11"/>
  <c r="BH91" i="11"/>
  <c r="BH101" i="11"/>
  <c r="BH99" i="11"/>
  <c r="BH111" i="11"/>
  <c r="BH97" i="11"/>
  <c r="BH95" i="11"/>
  <c r="BH102" i="11"/>
  <c r="BH100" i="11"/>
  <c r="BH85" i="11"/>
  <c r="BH94" i="11"/>
  <c r="BH98" i="11"/>
  <c r="BH96" i="11"/>
  <c r="BH93" i="11"/>
  <c r="BH103" i="11"/>
  <c r="BH79" i="11"/>
  <c r="AA109" i="11"/>
  <c r="AA105" i="11"/>
  <c r="AA91" i="11"/>
  <c r="AA98" i="11"/>
  <c r="AA96" i="11"/>
  <c r="AA111" i="11"/>
  <c r="AA99" i="11"/>
  <c r="AA101" i="11"/>
  <c r="AA85" i="11"/>
  <c r="AA95" i="11"/>
  <c r="AA97" i="11"/>
  <c r="AA94" i="11"/>
  <c r="AA102" i="11"/>
  <c r="AA100" i="11"/>
  <c r="AA93" i="11"/>
  <c r="AA112" i="11"/>
  <c r="AA86" i="11"/>
  <c r="AA88" i="11"/>
  <c r="AA89" i="11"/>
  <c r="AY82" i="11"/>
  <c r="AY77" i="11"/>
  <c r="AY112" i="11"/>
  <c r="AY106" i="11"/>
  <c r="AY88" i="11"/>
  <c r="AY92" i="11"/>
  <c r="J40" i="14"/>
  <c r="AR109" i="11"/>
  <c r="AR84" i="11"/>
  <c r="AR75" i="11"/>
  <c r="AR79" i="11"/>
  <c r="AR130" i="11" s="1"/>
  <c r="AV110" i="11"/>
  <c r="AV84" i="11"/>
  <c r="AV93" i="11"/>
  <c r="AV112" i="11"/>
  <c r="AV106" i="11"/>
  <c r="AV75" i="11"/>
  <c r="AM84" i="11"/>
  <c r="AM87" i="11"/>
  <c r="AM93" i="11"/>
  <c r="AM82" i="11"/>
  <c r="AM111" i="11"/>
  <c r="AM95" i="11"/>
  <c r="AM97" i="11"/>
  <c r="AM94" i="11"/>
  <c r="AM102" i="11"/>
  <c r="AM100" i="11"/>
  <c r="AM91" i="11"/>
  <c r="AM98" i="11"/>
  <c r="AM96" i="11"/>
  <c r="AM99" i="11"/>
  <c r="AM101" i="11"/>
  <c r="AM85" i="11"/>
  <c r="AM112" i="11"/>
  <c r="AM110" i="11"/>
  <c r="AM90" i="11"/>
  <c r="BH69" i="11"/>
  <c r="BH67" i="11"/>
  <c r="BH66" i="11"/>
  <c r="N72" i="11"/>
  <c r="N69" i="11"/>
  <c r="N66" i="11"/>
  <c r="AR73" i="11"/>
  <c r="AR62" i="11"/>
  <c r="AR66" i="11"/>
  <c r="J17" i="14"/>
  <c r="J44" i="14"/>
  <c r="BA69" i="11"/>
  <c r="BA67" i="11"/>
  <c r="BA65" i="11"/>
  <c r="AP67" i="11"/>
  <c r="AP72" i="11"/>
  <c r="AP69" i="11"/>
  <c r="Y71" i="11"/>
  <c r="Y68" i="11"/>
  <c r="Y62" i="11"/>
  <c r="J53" i="14"/>
  <c r="BE82" i="11"/>
  <c r="BE108" i="11"/>
  <c r="BE86" i="11"/>
  <c r="BE83" i="11"/>
  <c r="BE93" i="11"/>
  <c r="BE107" i="11"/>
  <c r="BE75" i="11"/>
  <c r="AF107" i="11"/>
  <c r="AF103" i="11"/>
  <c r="AF108" i="11"/>
  <c r="AF106" i="11"/>
  <c r="AF109" i="11"/>
  <c r="AF92" i="11"/>
  <c r="BD73" i="11"/>
  <c r="BD62" i="11"/>
  <c r="BD66" i="11"/>
  <c r="AL65" i="11"/>
  <c r="AL63" i="11"/>
  <c r="AL66" i="11"/>
  <c r="V82" i="11"/>
  <c r="V107" i="11"/>
  <c r="V80" i="11"/>
  <c r="V89" i="11"/>
  <c r="V88" i="11"/>
  <c r="V81" i="11"/>
  <c r="V87" i="11"/>
  <c r="V93" i="11"/>
  <c r="V90" i="11"/>
  <c r="AZ108" i="11"/>
  <c r="AZ105" i="11"/>
  <c r="AZ87" i="11"/>
  <c r="AZ80" i="11"/>
  <c r="AZ82" i="11"/>
  <c r="AZ110" i="11"/>
  <c r="AZ104" i="11"/>
  <c r="AZ81" i="11"/>
  <c r="AZ79" i="11"/>
  <c r="AZ130" i="11" s="1"/>
  <c r="AX64" i="11"/>
  <c r="AX68" i="11"/>
  <c r="AX74" i="11"/>
  <c r="AG80" i="11"/>
  <c r="AG86" i="11"/>
  <c r="AG93" i="11"/>
  <c r="AG107" i="11"/>
  <c r="AG84" i="11"/>
  <c r="AG82" i="11"/>
  <c r="AG79" i="11"/>
  <c r="AG130" i="11" s="1"/>
  <c r="AG75" i="11"/>
  <c r="AO103" i="11"/>
  <c r="AO107" i="11"/>
  <c r="AO82" i="11"/>
  <c r="AO80" i="11"/>
  <c r="AO90" i="11"/>
  <c r="AO89" i="11"/>
  <c r="N105" i="11"/>
  <c r="N93" i="11"/>
  <c r="N87" i="11"/>
  <c r="N90" i="11"/>
  <c r="AW82" i="11"/>
  <c r="AW86" i="11"/>
  <c r="AW83" i="11"/>
  <c r="AW103" i="11"/>
  <c r="AW111" i="11"/>
  <c r="AW96" i="11"/>
  <c r="AW98" i="11"/>
  <c r="AW91" i="11"/>
  <c r="AW94" i="11"/>
  <c r="AW101" i="11"/>
  <c r="AW99" i="11"/>
  <c r="AW85" i="11"/>
  <c r="AW97" i="11"/>
  <c r="AW95" i="11"/>
  <c r="AW102" i="11"/>
  <c r="AW100" i="11"/>
  <c r="AW79" i="11"/>
  <c r="AW130" i="11" s="1"/>
  <c r="AQ94" i="11"/>
  <c r="AQ99" i="11"/>
  <c r="AQ101" i="11"/>
  <c r="AQ85" i="11"/>
  <c r="AQ95" i="11"/>
  <c r="AQ97" i="11"/>
  <c r="AQ102" i="11"/>
  <c r="AQ100" i="11"/>
  <c r="AQ91" i="11"/>
  <c r="AQ98" i="11"/>
  <c r="AQ96" i="11"/>
  <c r="AQ111" i="11"/>
  <c r="AQ107" i="11"/>
  <c r="AQ108" i="11"/>
  <c r="AQ83" i="11"/>
  <c r="AQ105" i="11"/>
  <c r="AQ103" i="11"/>
  <c r="AQ92" i="11"/>
  <c r="J58" i="14"/>
  <c r="AT104" i="11"/>
  <c r="AT105" i="11"/>
  <c r="AT107" i="11"/>
  <c r="AT80" i="11"/>
  <c r="AT103" i="11"/>
  <c r="AT110" i="11"/>
  <c r="AT75" i="11"/>
  <c r="AC109" i="11"/>
  <c r="AC107" i="11"/>
  <c r="AC105" i="11"/>
  <c r="AC82" i="11"/>
  <c r="AC79" i="11"/>
  <c r="AC130" i="11" s="1"/>
  <c r="AC75" i="11"/>
  <c r="J49" i="14"/>
  <c r="BA109" i="11"/>
  <c r="BA104" i="11"/>
  <c r="BA105" i="11"/>
  <c r="BA82" i="11"/>
  <c r="BA93" i="11"/>
  <c r="BA112" i="11"/>
  <c r="BA92" i="11"/>
  <c r="J8" i="14"/>
  <c r="AQ69" i="11"/>
  <c r="AQ74" i="11"/>
  <c r="AQ62" i="11"/>
  <c r="J51" i="14"/>
  <c r="BC81" i="11"/>
  <c r="BC80" i="11"/>
  <c r="BC103" i="11"/>
  <c r="BC91" i="11"/>
  <c r="BC99" i="11"/>
  <c r="BC101" i="11"/>
  <c r="BC85" i="11"/>
  <c r="BC111" i="11"/>
  <c r="BC95" i="11"/>
  <c r="BC97" i="11"/>
  <c r="BC102" i="11"/>
  <c r="BC100" i="11"/>
  <c r="BC94" i="11"/>
  <c r="BC98" i="11"/>
  <c r="BC96" i="11"/>
  <c r="BC92" i="11"/>
  <c r="BC79" i="11"/>
  <c r="BC130" i="11" s="1"/>
  <c r="M88" i="11"/>
  <c r="M104" i="11"/>
  <c r="M110" i="11"/>
  <c r="M103" i="11"/>
  <c r="BG64" i="11"/>
  <c r="BG71" i="11"/>
  <c r="BG66" i="11"/>
  <c r="AH65" i="11"/>
  <c r="AH69" i="11"/>
  <c r="AH74" i="11"/>
  <c r="AF71" i="11"/>
  <c r="AF64" i="11"/>
  <c r="BG107" i="11"/>
  <c r="BG105" i="11"/>
  <c r="BG82" i="11"/>
  <c r="BG79" i="11"/>
  <c r="AP106" i="11"/>
  <c r="AP104" i="11"/>
  <c r="AP88" i="11"/>
  <c r="AP110" i="11"/>
  <c r="AP108" i="11"/>
  <c r="AP112" i="11"/>
  <c r="AP89" i="11"/>
  <c r="Y87" i="11"/>
  <c r="Y103" i="11"/>
  <c r="Y100" i="11"/>
  <c r="Y102" i="11"/>
  <c r="Y91" i="11"/>
  <c r="Y96" i="11"/>
  <c r="Y98" i="11"/>
  <c r="Y94" i="11"/>
  <c r="Y101" i="11"/>
  <c r="Y99" i="11"/>
  <c r="Y85" i="11"/>
  <c r="Y95" i="11"/>
  <c r="Y97" i="11"/>
  <c r="Y111" i="11"/>
  <c r="Y112" i="11"/>
  <c r="Y75" i="11"/>
  <c r="J13" i="14"/>
  <c r="P104" i="11"/>
  <c r="P105" i="11"/>
  <c r="P112" i="11"/>
  <c r="P80" i="11"/>
  <c r="P110" i="11"/>
  <c r="P87" i="11"/>
  <c r="P90" i="11"/>
  <c r="BD112" i="11"/>
  <c r="BD107" i="11"/>
  <c r="BD84" i="11"/>
  <c r="BD104" i="11"/>
  <c r="BD81" i="11"/>
  <c r="BD79" i="11"/>
  <c r="BD130" i="11" s="1"/>
  <c r="AL109" i="11"/>
  <c r="AL107" i="11"/>
  <c r="AL106" i="11"/>
  <c r="AL105" i="11"/>
  <c r="AL82" i="11"/>
  <c r="AL84" i="11"/>
  <c r="AL87" i="11"/>
  <c r="AL90" i="11"/>
  <c r="J18" i="14"/>
  <c r="J41" i="14"/>
  <c r="AS84" i="11"/>
  <c r="AS110" i="11"/>
  <c r="AS104" i="11"/>
  <c r="AS81" i="11"/>
  <c r="AS92" i="11"/>
  <c r="J25" i="14"/>
  <c r="AN84" i="11"/>
  <c r="AN87" i="11"/>
  <c r="AN106" i="11"/>
  <c r="AN104" i="11"/>
  <c r="AN93" i="11"/>
  <c r="AN82" i="11"/>
  <c r="AN79" i="11"/>
  <c r="AX82" i="11"/>
  <c r="AX107" i="11"/>
  <c r="AX105" i="11"/>
  <c r="AX104" i="11"/>
  <c r="AX109" i="11"/>
  <c r="AX93" i="11"/>
  <c r="AX77" i="11"/>
  <c r="AX89" i="11"/>
  <c r="J31" i="14"/>
  <c r="AH86" i="11"/>
  <c r="AH108" i="11"/>
  <c r="AH106" i="11"/>
  <c r="AH83" i="11"/>
  <c r="AH79" i="11"/>
  <c r="AH130" i="11" s="1"/>
  <c r="BF88" i="11"/>
  <c r="BF77" i="11"/>
  <c r="BF104" i="11"/>
  <c r="BF81" i="11"/>
  <c r="BF109" i="11"/>
  <c r="BF90" i="11"/>
  <c r="AD112" i="11"/>
  <c r="AD103" i="11"/>
  <c r="AD104" i="11"/>
  <c r="AD86" i="11"/>
  <c r="AD75" i="11"/>
  <c r="Z107" i="11"/>
  <c r="Z105" i="11"/>
  <c r="Z112" i="11"/>
  <c r="Z110" i="11"/>
  <c r="Z92" i="11"/>
  <c r="BB81" i="11"/>
  <c r="BB82" i="11"/>
  <c r="BB103" i="11"/>
  <c r="BB112" i="11"/>
  <c r="BB106" i="11"/>
  <c r="BB88" i="11"/>
  <c r="BB92" i="11"/>
  <c r="O83" i="11"/>
  <c r="O93" i="11"/>
  <c r="O87" i="11"/>
  <c r="O108" i="11"/>
  <c r="O111" i="11"/>
  <c r="O102" i="11"/>
  <c r="O100" i="11"/>
  <c r="O94" i="11"/>
  <c r="O98" i="11"/>
  <c r="O96" i="11"/>
  <c r="O91" i="11"/>
  <c r="O99" i="11"/>
  <c r="O101" i="11"/>
  <c r="O85" i="11"/>
  <c r="O97" i="11"/>
  <c r="O95" i="11"/>
  <c r="O89" i="11"/>
  <c r="AN67" i="11"/>
  <c r="AN62" i="11"/>
  <c r="AN68" i="11"/>
  <c r="AG74" i="11"/>
  <c r="J21" i="14"/>
  <c r="X104" i="11"/>
  <c r="X87" i="11"/>
  <c r="X103" i="11"/>
  <c r="X77" i="11"/>
  <c r="X109" i="11"/>
  <c r="X111" i="11"/>
  <c r="X102" i="11"/>
  <c r="X100" i="11"/>
  <c r="X85" i="11"/>
  <c r="X98" i="11"/>
  <c r="X96" i="11"/>
  <c r="X94" i="11"/>
  <c r="X101" i="11"/>
  <c r="X99" i="11"/>
  <c r="X91" i="11"/>
  <c r="X97" i="11"/>
  <c r="X95" i="11"/>
  <c r="BH81" i="11"/>
  <c r="BH84" i="11"/>
  <c r="BH87" i="11"/>
  <c r="BH104" i="11"/>
  <c r="BH110" i="11"/>
  <c r="BH90" i="11"/>
  <c r="BH92" i="11"/>
  <c r="AA103" i="11"/>
  <c r="AA80" i="11"/>
  <c r="AA107" i="11"/>
  <c r="AA82" i="11"/>
  <c r="AA75" i="11"/>
  <c r="AY93" i="11"/>
  <c r="AY84" i="11"/>
  <c r="AY87" i="11"/>
  <c r="AY80" i="11"/>
  <c r="AY110" i="11"/>
  <c r="AY104" i="11"/>
  <c r="AY89" i="11"/>
  <c r="AR81" i="11"/>
  <c r="AR94" i="11"/>
  <c r="AR97" i="11"/>
  <c r="AR95" i="11"/>
  <c r="AR111" i="11"/>
  <c r="AR102" i="11"/>
  <c r="AR100" i="11"/>
  <c r="AR85" i="11"/>
  <c r="AR91" i="11"/>
  <c r="AR98" i="11"/>
  <c r="AR96" i="11"/>
  <c r="AR101" i="11"/>
  <c r="AR99" i="11"/>
  <c r="AR108" i="11"/>
  <c r="AR86" i="11"/>
  <c r="AR83" i="11"/>
  <c r="AR77" i="11"/>
  <c r="AR89" i="11"/>
  <c r="AV89" i="11"/>
  <c r="AV87" i="11"/>
  <c r="AV105" i="11"/>
  <c r="AV82" i="11"/>
  <c r="AV80" i="11"/>
  <c r="AV92" i="11"/>
  <c r="AM81" i="11"/>
  <c r="AM105" i="11"/>
  <c r="AM107" i="11"/>
  <c r="AM80" i="11"/>
  <c r="AM92" i="11"/>
  <c r="BH65" i="11"/>
  <c r="BH63" i="11"/>
  <c r="BH64" i="11"/>
  <c r="J24" i="14"/>
  <c r="N67" i="11"/>
  <c r="N65" i="11"/>
  <c r="N63" i="11"/>
  <c r="AR68" i="11"/>
  <c r="AR74" i="11"/>
  <c r="AR72" i="11"/>
  <c r="BA68" i="11"/>
  <c r="BA64" i="11"/>
  <c r="BA71" i="11"/>
  <c r="AP73" i="11"/>
  <c r="AP65" i="11"/>
  <c r="AP63" i="11"/>
  <c r="Y64" i="11"/>
  <c r="Y74" i="11"/>
  <c r="Y72" i="11"/>
  <c r="BE90" i="11"/>
  <c r="BE112" i="11"/>
  <c r="BE106" i="11"/>
  <c r="BE88" i="11"/>
  <c r="BE92" i="11"/>
  <c r="AF84" i="11"/>
  <c r="AF93" i="11"/>
  <c r="AF75" i="11"/>
  <c r="AF83" i="11"/>
  <c r="AF89" i="11"/>
  <c r="BD63" i="11"/>
  <c r="BD74" i="11"/>
  <c r="BD72" i="11"/>
  <c r="AL64" i="11"/>
  <c r="AL71" i="11"/>
  <c r="AL73" i="11"/>
  <c r="V108" i="11"/>
  <c r="V109" i="11"/>
  <c r="V103" i="11"/>
  <c r="V79" i="11"/>
  <c r="V130" i="11" s="1"/>
  <c r="J48" i="14"/>
  <c r="AZ109" i="11"/>
  <c r="AZ84" i="11"/>
  <c r="AZ107" i="11"/>
  <c r="AZ89" i="11"/>
  <c r="AX62" i="11"/>
  <c r="AX69" i="11"/>
  <c r="AX67" i="11"/>
  <c r="AG88" i="11"/>
  <c r="AG106" i="11"/>
  <c r="AG104" i="11"/>
  <c r="AG89" i="11"/>
  <c r="AO111" i="11"/>
  <c r="AO94" i="11"/>
  <c r="AO100" i="11"/>
  <c r="AO102" i="11"/>
  <c r="AO91" i="11"/>
  <c r="AO96" i="11"/>
  <c r="AO98" i="11"/>
  <c r="AO101" i="11"/>
  <c r="AO99" i="11"/>
  <c r="AO85" i="11"/>
  <c r="AO97" i="11"/>
  <c r="AO95" i="11"/>
  <c r="AO93" i="11"/>
  <c r="AO87" i="11"/>
  <c r="AO105" i="11"/>
  <c r="AO109" i="11"/>
  <c r="AO79" i="11"/>
  <c r="AO130" i="11" s="1"/>
  <c r="J11" i="14"/>
  <c r="N103" i="11"/>
  <c r="N106" i="11"/>
  <c r="N77" i="11"/>
  <c r="N110" i="11"/>
  <c r="N108" i="11"/>
  <c r="N81" i="11"/>
  <c r="N83" i="11"/>
  <c r="N92" i="11"/>
  <c r="J45" i="14"/>
  <c r="AW77" i="11"/>
  <c r="AW80" i="11"/>
  <c r="AW112" i="11"/>
  <c r="AW93" i="11"/>
  <c r="AW107" i="11"/>
  <c r="J39" i="14"/>
  <c r="AQ93" i="11"/>
  <c r="AQ112" i="11"/>
  <c r="AQ84" i="11"/>
  <c r="AQ88" i="11"/>
  <c r="AQ79" i="11"/>
  <c r="AQ130" i="11" s="1"/>
  <c r="AT81" i="11"/>
  <c r="AT109" i="11"/>
  <c r="AT84" i="11"/>
  <c r="AT79" i="11"/>
  <c r="AT130" i="11" s="1"/>
  <c r="J26" i="14"/>
  <c r="AC86" i="11"/>
  <c r="AC106" i="11"/>
  <c r="AC104" i="11"/>
  <c r="AC89" i="11"/>
  <c r="J10" i="14"/>
  <c r="BA80" i="11"/>
  <c r="BA77" i="11"/>
  <c r="BA87" i="11"/>
  <c r="BA106" i="11"/>
  <c r="BA88" i="11"/>
  <c r="BA89" i="11"/>
  <c r="AQ63" i="11"/>
  <c r="AQ67" i="11"/>
  <c r="AQ72" i="11"/>
  <c r="BC86" i="11"/>
  <c r="BC83" i="11"/>
  <c r="BC105" i="11"/>
  <c r="BC107" i="11"/>
  <c r="BC90" i="11"/>
  <c r="J57" i="14"/>
  <c r="M80" i="11"/>
  <c r="M86" i="11"/>
  <c r="M106" i="11"/>
  <c r="M93" i="11"/>
  <c r="M87" i="11"/>
  <c r="M84" i="11"/>
  <c r="M83" i="11"/>
  <c r="M94" i="11"/>
  <c r="M111" i="11"/>
  <c r="M97" i="11"/>
  <c r="M95" i="11"/>
  <c r="M91" i="11"/>
  <c r="M100" i="11"/>
  <c r="M102" i="11"/>
  <c r="M96" i="11"/>
  <c r="M98" i="11"/>
  <c r="M101" i="11"/>
  <c r="M99" i="11"/>
  <c r="M85" i="11"/>
  <c r="BG74" i="11"/>
  <c r="BG62" i="11"/>
  <c r="BG68" i="11"/>
  <c r="AH71" i="11"/>
  <c r="AH63" i="11"/>
  <c r="AH67" i="11"/>
  <c r="AF63" i="11"/>
  <c r="AF67" i="11"/>
  <c r="AF72" i="11"/>
  <c r="P73" i="11"/>
  <c r="P71" i="11"/>
  <c r="P68" i="11"/>
  <c r="AI83" i="11"/>
  <c r="AI86" i="11"/>
  <c r="AI88" i="11"/>
  <c r="AI82" i="11"/>
  <c r="AI110" i="11"/>
  <c r="AI108" i="11"/>
  <c r="AI89" i="11"/>
  <c r="S104" i="11"/>
  <c r="S108" i="11"/>
  <c r="S81" i="11"/>
  <c r="S112" i="11"/>
  <c r="S102" i="11"/>
  <c r="S100" i="11"/>
  <c r="S111" i="11"/>
  <c r="S98" i="11"/>
  <c r="S96" i="11"/>
  <c r="S99" i="11"/>
  <c r="S101" i="11"/>
  <c r="S85" i="11"/>
  <c r="S94" i="11"/>
  <c r="S95" i="11"/>
  <c r="S91" i="11"/>
  <c r="S97" i="11"/>
  <c r="S86" i="11"/>
  <c r="S90" i="11"/>
  <c r="BB71" i="11"/>
  <c r="BB63" i="11"/>
  <c r="BB67" i="11"/>
  <c r="U82" i="11"/>
  <c r="U86" i="11"/>
  <c r="BG106" i="11"/>
  <c r="AP105" i="11"/>
  <c r="AP94" i="11"/>
  <c r="AP95" i="11"/>
  <c r="AP97" i="11"/>
  <c r="AP91" i="11"/>
  <c r="AP100" i="11"/>
  <c r="AP102" i="11"/>
  <c r="AP85" i="11"/>
  <c r="AP111" i="11"/>
  <c r="AP96" i="11"/>
  <c r="AP98" i="11"/>
  <c r="AP99" i="11"/>
  <c r="AP101" i="11"/>
  <c r="AP90" i="11"/>
  <c r="Y93" i="11"/>
  <c r="Y82" i="11"/>
  <c r="P106" i="11"/>
  <c r="P88" i="11"/>
  <c r="BD103" i="11"/>
  <c r="BD86" i="11"/>
  <c r="AL103" i="11"/>
  <c r="AS80" i="11"/>
  <c r="AS108" i="11"/>
  <c r="AS75" i="11"/>
  <c r="AN109" i="11"/>
  <c r="AX75" i="11"/>
  <c r="AH82" i="11"/>
  <c r="AH110" i="11"/>
  <c r="AH75" i="11"/>
  <c r="BF87" i="11"/>
  <c r="BF108" i="11"/>
  <c r="BF86" i="11"/>
  <c r="AD109" i="11"/>
  <c r="AD84" i="11"/>
  <c r="AD106" i="11"/>
  <c r="Z84" i="11"/>
  <c r="Z86" i="11"/>
  <c r="Z103" i="11"/>
  <c r="BB105" i="11"/>
  <c r="BB107" i="11"/>
  <c r="BB110" i="11"/>
  <c r="BB89" i="11"/>
  <c r="O82" i="11"/>
  <c r="O88" i="11"/>
  <c r="O105" i="11"/>
  <c r="O106" i="11"/>
  <c r="X93" i="11"/>
  <c r="X108" i="11"/>
  <c r="X92" i="11"/>
  <c r="X83" i="11"/>
  <c r="X107" i="11"/>
  <c r="X84" i="11"/>
  <c r="X90" i="11"/>
  <c r="BH109" i="11"/>
  <c r="BH82" i="11"/>
  <c r="BH88" i="11"/>
  <c r="BH106" i="11"/>
  <c r="BH89" i="11"/>
  <c r="AA106" i="11"/>
  <c r="AA84" i="11"/>
  <c r="AA87" i="11"/>
  <c r="AA92" i="11"/>
  <c r="AA90" i="11"/>
  <c r="AY108" i="11"/>
  <c r="AY81" i="11"/>
  <c r="AY109" i="11"/>
  <c r="AY103" i="11"/>
  <c r="AY105" i="11"/>
  <c r="AY102" i="11"/>
  <c r="AY100" i="11"/>
  <c r="AY94" i="11"/>
  <c r="AY91" i="11"/>
  <c r="AY98" i="11"/>
  <c r="AY96" i="11"/>
  <c r="AY99" i="11"/>
  <c r="AY101" i="11"/>
  <c r="AY85" i="11"/>
  <c r="AY111" i="11"/>
  <c r="AY95" i="11"/>
  <c r="AY97" i="11"/>
  <c r="AY79" i="11"/>
  <c r="AY130" i="11" s="1"/>
  <c r="AY75" i="11"/>
  <c r="AR107" i="11"/>
  <c r="AR93" i="11"/>
  <c r="AR112" i="11"/>
  <c r="AR106" i="11"/>
  <c r="AR88" i="11"/>
  <c r="AR90" i="11"/>
  <c r="AV111" i="11"/>
  <c r="AV91" i="11"/>
  <c r="AV101" i="11"/>
  <c r="AV99" i="11"/>
  <c r="AV97" i="11"/>
  <c r="AV95" i="11"/>
  <c r="AV102" i="11"/>
  <c r="AV100" i="11"/>
  <c r="AV85" i="11"/>
  <c r="AV96" i="11"/>
  <c r="AV94" i="11"/>
  <c r="AV98" i="11"/>
  <c r="AV88" i="11"/>
  <c r="AV77" i="11"/>
  <c r="AV104" i="11"/>
  <c r="AV81" i="11"/>
  <c r="AV109" i="11"/>
  <c r="AV79" i="11"/>
  <c r="AV130" i="11" s="1"/>
  <c r="AM88" i="11"/>
  <c r="AM79" i="11"/>
  <c r="AM130" i="11" s="1"/>
  <c r="AM104" i="11"/>
  <c r="AM86" i="11"/>
  <c r="AM109" i="11"/>
  <c r="AM89" i="11"/>
  <c r="BH73" i="11"/>
  <c r="AR65" i="11"/>
  <c r="AP64" i="11"/>
  <c r="AP71" i="11"/>
  <c r="AP66" i="11"/>
  <c r="Y69" i="11"/>
  <c r="Y67" i="11"/>
  <c r="Y66" i="11"/>
  <c r="BE105" i="11"/>
  <c r="BE109" i="11"/>
  <c r="BE87" i="11"/>
  <c r="BE80" i="11"/>
  <c r="BE110" i="11"/>
  <c r="BE104" i="11"/>
  <c r="BE89" i="11"/>
  <c r="AF94" i="11"/>
  <c r="AF98" i="11"/>
  <c r="AF96" i="11"/>
  <c r="AF111" i="11"/>
  <c r="AF101" i="11"/>
  <c r="AF99" i="11"/>
  <c r="AF97" i="11"/>
  <c r="AF95" i="11"/>
  <c r="AF100" i="11"/>
  <c r="AF102" i="11"/>
  <c r="AF85" i="11"/>
  <c r="AF91" i="11"/>
  <c r="AF88" i="11"/>
  <c r="AF87" i="11"/>
  <c r="AF105" i="11"/>
  <c r="AF112" i="11"/>
  <c r="AF110" i="11"/>
  <c r="AF90" i="11"/>
  <c r="BD69" i="11"/>
  <c r="BD67" i="11"/>
  <c r="BD65" i="11"/>
  <c r="AL62" i="11"/>
  <c r="AL68" i="11"/>
  <c r="AL74" i="11"/>
  <c r="V105" i="11"/>
  <c r="V106" i="11"/>
  <c r="V83" i="11"/>
  <c r="V84" i="11"/>
  <c r="V104" i="11"/>
  <c r="V86" i="11"/>
  <c r="V92" i="11"/>
  <c r="AZ83" i="11"/>
  <c r="AZ91" i="11"/>
  <c r="AZ98" i="11"/>
  <c r="AZ96" i="11"/>
  <c r="AZ111" i="11"/>
  <c r="AZ101" i="11"/>
  <c r="AZ99" i="11"/>
  <c r="AZ94" i="11"/>
  <c r="AZ97" i="11"/>
  <c r="AZ95" i="11"/>
  <c r="AZ85" i="11"/>
  <c r="AZ102" i="11"/>
  <c r="AZ100" i="11"/>
  <c r="AZ93" i="11"/>
  <c r="AZ90" i="11"/>
  <c r="AZ75" i="11"/>
  <c r="AX65" i="11"/>
  <c r="AX63" i="11"/>
  <c r="AX66" i="11"/>
  <c r="AG109" i="11"/>
  <c r="AG105" i="11"/>
  <c r="AG110" i="11"/>
  <c r="AG108" i="11"/>
  <c r="AG81" i="11"/>
  <c r="AG83" i="11"/>
  <c r="AG90" i="11"/>
  <c r="AO88" i="11"/>
  <c r="AO84" i="11"/>
  <c r="AO81" i="11"/>
  <c r="AO83" i="11"/>
  <c r="AO75" i="11"/>
  <c r="N89" i="11"/>
  <c r="N104" i="11"/>
  <c r="N80" i="11"/>
  <c r="N95" i="11"/>
  <c r="N97" i="11"/>
  <c r="N111" i="11"/>
  <c r="N100" i="11"/>
  <c r="N102" i="11"/>
  <c r="N85" i="11"/>
  <c r="N96" i="11"/>
  <c r="N98" i="11"/>
  <c r="N94" i="11"/>
  <c r="N101" i="11"/>
  <c r="N91" i="11"/>
  <c r="N99" i="11"/>
  <c r="N112" i="11"/>
  <c r="N86" i="11"/>
  <c r="N88" i="11"/>
  <c r="N79" i="11"/>
  <c r="N130" i="11" s="1"/>
  <c r="AW81" i="11"/>
  <c r="AW108" i="11"/>
  <c r="AW109" i="11"/>
  <c r="AW87" i="11"/>
  <c r="AW90" i="11"/>
  <c r="AW106" i="11"/>
  <c r="AW88" i="11"/>
  <c r="AW92" i="11"/>
  <c r="AQ106" i="11"/>
  <c r="AQ109" i="11"/>
  <c r="AQ110" i="11"/>
  <c r="AQ81" i="11"/>
  <c r="AQ80" i="11"/>
  <c r="AQ75" i="11"/>
  <c r="AT87" i="11"/>
  <c r="AT89" i="11"/>
  <c r="AT108" i="11"/>
  <c r="AT86" i="11"/>
  <c r="AT83" i="11"/>
  <c r="AT90" i="11"/>
  <c r="AC87" i="11"/>
  <c r="AC88" i="11"/>
  <c r="AC110" i="11"/>
  <c r="AC108" i="11"/>
  <c r="AC81" i="11"/>
  <c r="AC83" i="11"/>
  <c r="AC90" i="11"/>
  <c r="BA94" i="11"/>
  <c r="BA96" i="11"/>
  <c r="BA98" i="11"/>
  <c r="BA101" i="11"/>
  <c r="BA99" i="11"/>
  <c r="BA85" i="11"/>
  <c r="BA97" i="11"/>
  <c r="BA95" i="11"/>
  <c r="BA91" i="11"/>
  <c r="BA102" i="11"/>
  <c r="BA111" i="11"/>
  <c r="BA100" i="11"/>
  <c r="BA81" i="11"/>
  <c r="BA90" i="11"/>
  <c r="BC93" i="11"/>
  <c r="BC84" i="11"/>
  <c r="BC112" i="11"/>
  <c r="BC106" i="11"/>
  <c r="BC88" i="11"/>
  <c r="M107" i="11"/>
  <c r="M82" i="11"/>
  <c r="M81" i="11"/>
  <c r="M112" i="11"/>
  <c r="M79" i="11"/>
  <c r="M130" i="11" s="1"/>
  <c r="M92" i="11"/>
  <c r="M89" i="11"/>
  <c r="BG67" i="11"/>
  <c r="BG72" i="11"/>
  <c r="BG69" i="11"/>
  <c r="AH64" i="11"/>
  <c r="AH62" i="11"/>
  <c r="AH66" i="11"/>
  <c r="AF69" i="11"/>
  <c r="AF74" i="11"/>
  <c r="AF73" i="11"/>
  <c r="P62" i="11"/>
  <c r="P64" i="11"/>
  <c r="P66" i="11"/>
  <c r="AI112" i="11"/>
  <c r="AI106" i="11"/>
  <c r="AI104" i="11"/>
  <c r="AI105" i="11"/>
  <c r="AI79" i="11"/>
  <c r="AI130" i="11" s="1"/>
  <c r="AI111" i="11"/>
  <c r="AI95" i="11"/>
  <c r="AI97" i="11"/>
  <c r="AI102" i="11"/>
  <c r="AI100" i="11"/>
  <c r="AI94" i="11"/>
  <c r="AI98" i="11"/>
  <c r="AI96" i="11"/>
  <c r="AI101" i="11"/>
  <c r="AI99" i="11"/>
  <c r="AI91" i="11"/>
  <c r="AI85" i="11"/>
  <c r="AI90" i="11"/>
  <c r="AI75" i="11"/>
  <c r="S110" i="11"/>
  <c r="S109" i="11"/>
  <c r="S82" i="11"/>
  <c r="S93" i="11"/>
  <c r="S80" i="11"/>
  <c r="S87" i="11"/>
  <c r="S79" i="11"/>
  <c r="S130" i="11" s="1"/>
  <c r="S92" i="11"/>
  <c r="BB72" i="11"/>
  <c r="BB64" i="11"/>
  <c r="BB66" i="11"/>
  <c r="U93" i="11"/>
  <c r="U106" i="11"/>
  <c r="U104" i="11"/>
  <c r="U109" i="11"/>
  <c r="U107" i="11"/>
  <c r="U79" i="11"/>
  <c r="U130" i="11" s="1"/>
  <c r="AS73" i="11"/>
  <c r="AS65" i="11"/>
  <c r="AS66" i="11"/>
  <c r="AB83" i="11"/>
  <c r="AB80" i="11"/>
  <c r="AB112" i="11"/>
  <c r="AB79" i="11"/>
  <c r="K107" i="11"/>
  <c r="K81" i="11"/>
  <c r="K83" i="11"/>
  <c r="K86" i="11"/>
  <c r="K88" i="11"/>
  <c r="K108" i="11"/>
  <c r="K106" i="11"/>
  <c r="K104" i="11"/>
  <c r="K90" i="11"/>
  <c r="AE89" i="11"/>
  <c r="AE91" i="11"/>
  <c r="AE102" i="11"/>
  <c r="AE100" i="11"/>
  <c r="AE94" i="11"/>
  <c r="AE98" i="11"/>
  <c r="AE96" i="11"/>
  <c r="AE99" i="11"/>
  <c r="AE101" i="11"/>
  <c r="AE85" i="11"/>
  <c r="AE95" i="11"/>
  <c r="AE97" i="11"/>
  <c r="AE111" i="11"/>
  <c r="AE107" i="11"/>
  <c r="AE86" i="11"/>
  <c r="AE88" i="11"/>
  <c r="AE106" i="11"/>
  <c r="AE104" i="11"/>
  <c r="O74" i="11"/>
  <c r="O62" i="11"/>
  <c r="O71" i="11"/>
  <c r="AU90" i="11"/>
  <c r="AU102" i="11"/>
  <c r="AU100" i="11"/>
  <c r="AU98" i="11"/>
  <c r="AU96" i="11"/>
  <c r="AU94" i="11"/>
  <c r="AU91" i="11"/>
  <c r="AU99" i="11"/>
  <c r="AU101" i="11"/>
  <c r="AU85" i="11"/>
  <c r="AU95" i="11"/>
  <c r="AU111" i="11"/>
  <c r="AU97" i="11"/>
  <c r="AU79" i="11"/>
  <c r="AU130" i="11" s="1"/>
  <c r="AU81" i="11"/>
  <c r="AU92" i="11"/>
  <c r="J15" i="14"/>
  <c r="R80" i="11"/>
  <c r="R83" i="11"/>
  <c r="R109" i="11"/>
  <c r="R86" i="11"/>
  <c r="R89" i="11"/>
  <c r="R111" i="11"/>
  <c r="R96" i="11"/>
  <c r="R98" i="11"/>
  <c r="R91" i="11"/>
  <c r="R99" i="11"/>
  <c r="R101" i="11"/>
  <c r="R95" i="11"/>
  <c r="R97" i="11"/>
  <c r="R100" i="11"/>
  <c r="R94" i="11"/>
  <c r="R102" i="11"/>
  <c r="R85" i="11"/>
  <c r="R92" i="11"/>
  <c r="AO73" i="11"/>
  <c r="AO64" i="11"/>
  <c r="AO71" i="11"/>
  <c r="AA69" i="11"/>
  <c r="AA67" i="11"/>
  <c r="AA66" i="11"/>
  <c r="J103" i="11"/>
  <c r="J109" i="11"/>
  <c r="J87" i="11"/>
  <c r="J84" i="11"/>
  <c r="J92" i="11"/>
  <c r="J89" i="11"/>
  <c r="AY67" i="11"/>
  <c r="AY72" i="11"/>
  <c r="AY66" i="11"/>
  <c r="AK86" i="11"/>
  <c r="AK88" i="11"/>
  <c r="AK106" i="11"/>
  <c r="AK104" i="11"/>
  <c r="AK110" i="11"/>
  <c r="AK80" i="11"/>
  <c r="AC63" i="11"/>
  <c r="AJ109" i="11"/>
  <c r="AJ87" i="11"/>
  <c r="AJ90" i="11"/>
  <c r="AJ106" i="11"/>
  <c r="AJ84" i="11"/>
  <c r="AJ92" i="11"/>
  <c r="AJ104" i="11"/>
  <c r="AJ86" i="11"/>
  <c r="T106" i="11"/>
  <c r="T83" i="11"/>
  <c r="T107" i="11"/>
  <c r="T77" i="11"/>
  <c r="T90" i="11"/>
  <c r="AV72" i="11"/>
  <c r="AV73" i="11"/>
  <c r="AV66" i="11"/>
  <c r="W107" i="11"/>
  <c r="W93" i="11"/>
  <c r="W82" i="11"/>
  <c r="W84" i="11"/>
  <c r="W106" i="11"/>
  <c r="W104" i="11"/>
  <c r="W79" i="11"/>
  <c r="W130" i="11" s="1"/>
  <c r="I103" i="11"/>
  <c r="I109" i="11"/>
  <c r="I107" i="11"/>
  <c r="I84" i="11"/>
  <c r="I82" i="11"/>
  <c r="I89" i="11"/>
  <c r="Q111" i="11"/>
  <c r="Q91" i="11"/>
  <c r="Q97" i="11"/>
  <c r="Q95" i="11"/>
  <c r="Q100" i="11"/>
  <c r="Q102" i="11"/>
  <c r="Q94" i="11"/>
  <c r="Q96" i="11"/>
  <c r="Q98" i="11"/>
  <c r="Q85" i="11"/>
  <c r="Q101" i="11"/>
  <c r="Q99" i="11"/>
  <c r="Q106" i="11"/>
  <c r="Q87" i="11"/>
  <c r="Q86" i="11"/>
  <c r="Q77" i="11"/>
  <c r="Q75" i="11"/>
  <c r="X71" i="11"/>
  <c r="X63" i="11"/>
  <c r="X73" i="11"/>
  <c r="AT65" i="11"/>
  <c r="AT63" i="11"/>
  <c r="AT64" i="11"/>
  <c r="L103" i="11"/>
  <c r="L89" i="11"/>
  <c r="L87" i="11"/>
  <c r="L107" i="11"/>
  <c r="L93" i="11"/>
  <c r="L82" i="11"/>
  <c r="L80" i="11"/>
  <c r="BG109" i="11"/>
  <c r="BG77" i="11"/>
  <c r="BG86" i="11"/>
  <c r="AP84" i="11"/>
  <c r="AP82" i="11"/>
  <c r="Y107" i="11"/>
  <c r="Y89" i="11"/>
  <c r="P83" i="11"/>
  <c r="P79" i="11"/>
  <c r="P130" i="11" s="1"/>
  <c r="BD83" i="11"/>
  <c r="BD106" i="11"/>
  <c r="BD108" i="11"/>
  <c r="AS103" i="11"/>
  <c r="AS101" i="11"/>
  <c r="AS99" i="11"/>
  <c r="AS85" i="11"/>
  <c r="AS111" i="11"/>
  <c r="AS97" i="11"/>
  <c r="AS95" i="11"/>
  <c r="AS100" i="11"/>
  <c r="AS102" i="11"/>
  <c r="AS94" i="11"/>
  <c r="AS91" i="11"/>
  <c r="AS96" i="11"/>
  <c r="AS98" i="11"/>
  <c r="AS86" i="11"/>
  <c r="J12" i="14"/>
  <c r="AN110" i="11"/>
  <c r="AN89" i="11"/>
  <c r="AX88" i="11"/>
  <c r="AH112" i="11"/>
  <c r="AH81" i="11"/>
  <c r="AD89" i="11"/>
  <c r="Z87" i="11"/>
  <c r="Z104" i="11"/>
  <c r="Z80" i="11"/>
  <c r="BB80" i="11"/>
  <c r="BB95" i="11"/>
  <c r="BB97" i="11"/>
  <c r="BB111" i="11"/>
  <c r="BB100" i="11"/>
  <c r="BB102" i="11"/>
  <c r="BB85" i="11"/>
  <c r="BB96" i="11"/>
  <c r="BB98" i="11"/>
  <c r="BB91" i="11"/>
  <c r="BB94" i="11"/>
  <c r="BB99" i="11"/>
  <c r="BB101" i="11"/>
  <c r="O80" i="11"/>
  <c r="AN69" i="11"/>
  <c r="BG88" i="11"/>
  <c r="BG84" i="11"/>
  <c r="BG90" i="11"/>
  <c r="BG110" i="11"/>
  <c r="BG104" i="11"/>
  <c r="BG81" i="11"/>
  <c r="BG93" i="11"/>
  <c r="BG112" i="11"/>
  <c r="BF74" i="11"/>
  <c r="AP80" i="11"/>
  <c r="AP103" i="11"/>
  <c r="AP109" i="11"/>
  <c r="AP93" i="11"/>
  <c r="AP107" i="11"/>
  <c r="AP87" i="11"/>
  <c r="AP75" i="11"/>
  <c r="Y88" i="11"/>
  <c r="Y86" i="11"/>
  <c r="Y106" i="11"/>
  <c r="Y104" i="11"/>
  <c r="Y90" i="11"/>
  <c r="P108" i="11"/>
  <c r="P94" i="11"/>
  <c r="P101" i="11"/>
  <c r="P99" i="11"/>
  <c r="P97" i="11"/>
  <c r="P95" i="11"/>
  <c r="P111" i="11"/>
  <c r="P91" i="11"/>
  <c r="P102" i="11"/>
  <c r="P100" i="11"/>
  <c r="P85" i="11"/>
  <c r="P98" i="11"/>
  <c r="P96" i="11"/>
  <c r="P93" i="11"/>
  <c r="P92" i="11"/>
  <c r="P75" i="11"/>
  <c r="J32" i="14"/>
  <c r="BD82" i="11"/>
  <c r="BD90" i="11"/>
  <c r="BD88" i="11"/>
  <c r="BD93" i="11"/>
  <c r="BD89" i="11"/>
  <c r="Z73" i="11"/>
  <c r="AL110" i="11"/>
  <c r="AL108" i="11"/>
  <c r="AL89" i="11"/>
  <c r="AL81" i="11"/>
  <c r="AL83" i="11"/>
  <c r="AL104" i="11"/>
  <c r="AL86" i="11"/>
  <c r="AL88" i="11"/>
  <c r="AL75" i="11"/>
  <c r="AS88" i="11"/>
  <c r="AS109" i="11"/>
  <c r="AS107" i="11"/>
  <c r="AS105" i="11"/>
  <c r="AS82" i="11"/>
  <c r="AS93" i="11"/>
  <c r="AS112" i="11"/>
  <c r="AS79" i="11"/>
  <c r="AS130" i="11" s="1"/>
  <c r="AN86" i="11"/>
  <c r="AN77" i="11"/>
  <c r="AN80" i="11"/>
  <c r="AN103" i="11"/>
  <c r="AN94" i="11"/>
  <c r="AN97" i="11"/>
  <c r="AN95" i="11"/>
  <c r="AN91" i="11"/>
  <c r="AN102" i="11"/>
  <c r="AN100" i="11"/>
  <c r="AN85" i="11"/>
  <c r="AN111" i="11"/>
  <c r="AN98" i="11"/>
  <c r="AN96" i="11"/>
  <c r="AN101" i="11"/>
  <c r="AN99" i="11"/>
  <c r="AN92" i="11"/>
  <c r="AN81" i="11"/>
  <c r="AN83" i="11"/>
  <c r="AN75" i="11"/>
  <c r="AX81" i="11"/>
  <c r="AX108" i="11"/>
  <c r="AX86" i="11"/>
  <c r="AX112" i="11"/>
  <c r="AX106" i="11"/>
  <c r="AX87" i="11"/>
  <c r="AX110" i="11"/>
  <c r="AX92" i="11"/>
  <c r="AH93" i="11"/>
  <c r="AH107" i="11"/>
  <c r="AH105" i="11"/>
  <c r="AH103" i="11"/>
  <c r="AH80" i="11"/>
  <c r="AH87" i="11"/>
  <c r="AH77" i="11"/>
  <c r="AH89" i="11"/>
  <c r="J54" i="14"/>
  <c r="BF84" i="11"/>
  <c r="BF82" i="11"/>
  <c r="BF93" i="11"/>
  <c r="BF111" i="11"/>
  <c r="BF96" i="11"/>
  <c r="BF98" i="11"/>
  <c r="BF91" i="11"/>
  <c r="BF94" i="11"/>
  <c r="BF99" i="11"/>
  <c r="BF101" i="11"/>
  <c r="BF95" i="11"/>
  <c r="BF97" i="11"/>
  <c r="BF85" i="11"/>
  <c r="BF100" i="11"/>
  <c r="BF102" i="11"/>
  <c r="BF112" i="11"/>
  <c r="BF106" i="11"/>
  <c r="BF75" i="11"/>
  <c r="J52" i="14"/>
  <c r="AD107" i="11"/>
  <c r="AD83" i="11"/>
  <c r="AD87" i="11"/>
  <c r="AD93" i="11"/>
  <c r="AD82" i="11"/>
  <c r="AD92" i="11"/>
  <c r="AD90" i="11"/>
  <c r="Z88" i="11"/>
  <c r="Z77" i="11"/>
  <c r="Z108" i="11"/>
  <c r="Z106" i="11"/>
  <c r="Z109" i="11"/>
  <c r="Z89" i="11"/>
  <c r="BB87" i="11"/>
  <c r="BB109" i="11"/>
  <c r="BB84" i="11"/>
  <c r="BB79" i="11"/>
  <c r="BB130" i="11" s="1"/>
  <c r="BB90" i="11"/>
  <c r="O84" i="11"/>
  <c r="O86" i="11"/>
  <c r="O107" i="11"/>
  <c r="O109" i="11"/>
  <c r="O90" i="11"/>
  <c r="AN74" i="11"/>
  <c r="AN65" i="11"/>
  <c r="AN63" i="11"/>
  <c r="X79" i="11"/>
  <c r="X130" i="11" s="1"/>
  <c r="X86" i="11"/>
  <c r="X105" i="11"/>
  <c r="X112" i="11"/>
  <c r="X110" i="11"/>
  <c r="BH80" i="11"/>
  <c r="BH108" i="11"/>
  <c r="BH83" i="11"/>
  <c r="BH86" i="11"/>
  <c r="BH107" i="11"/>
  <c r="BH105" i="11"/>
  <c r="AA104" i="11"/>
  <c r="AA77" i="11"/>
  <c r="AA110" i="11"/>
  <c r="AA108" i="11"/>
  <c r="AA81" i="11"/>
  <c r="AA83" i="11"/>
  <c r="AA79" i="11"/>
  <c r="AA130" i="11" s="1"/>
  <c r="AY86" i="11"/>
  <c r="AY83" i="11"/>
  <c r="AY107" i="11"/>
  <c r="AY90" i="11"/>
  <c r="AR104" i="11"/>
  <c r="AR103" i="11"/>
  <c r="AR105" i="11"/>
  <c r="AR87" i="11"/>
  <c r="AR80" i="11"/>
  <c r="AR82" i="11"/>
  <c r="AR110" i="11"/>
  <c r="AR92" i="11"/>
  <c r="J42" i="14"/>
  <c r="AV107" i="11"/>
  <c r="AV103" i="11"/>
  <c r="AV108" i="11"/>
  <c r="AV86" i="11"/>
  <c r="AV83" i="11"/>
  <c r="AV90" i="11"/>
  <c r="AM103" i="11"/>
  <c r="AM108" i="11"/>
  <c r="AM106" i="11"/>
  <c r="AM83" i="11"/>
  <c r="AM75" i="11"/>
  <c r="BH68" i="11"/>
  <c r="BH74" i="11"/>
  <c r="BH72" i="11"/>
  <c r="N62" i="11"/>
  <c r="N64" i="11"/>
  <c r="N74" i="11"/>
  <c r="AR69" i="11"/>
  <c r="AR64" i="11"/>
  <c r="AR71" i="11"/>
  <c r="J33" i="14"/>
  <c r="BA63" i="11"/>
  <c r="BA74" i="11"/>
  <c r="BA72" i="11"/>
  <c r="J38" i="14"/>
  <c r="AP74" i="11"/>
  <c r="AP62" i="11"/>
  <c r="AP68" i="11"/>
  <c r="Y65" i="11"/>
  <c r="Y63" i="11"/>
  <c r="Y73" i="11"/>
  <c r="BE84" i="11"/>
  <c r="BE81" i="11"/>
  <c r="BE103" i="11"/>
  <c r="BE96" i="11"/>
  <c r="BE98" i="11"/>
  <c r="BE91" i="11"/>
  <c r="BE101" i="11"/>
  <c r="BE99" i="11"/>
  <c r="BE85" i="11"/>
  <c r="BE94" i="11"/>
  <c r="BE97" i="11"/>
  <c r="BE95" i="11"/>
  <c r="BE100" i="11"/>
  <c r="BE111" i="11"/>
  <c r="BE102" i="11"/>
  <c r="BE79" i="11"/>
  <c r="BE130" i="11" s="1"/>
  <c r="AF77" i="11"/>
  <c r="AF81" i="11"/>
  <c r="AF104" i="11"/>
  <c r="AF86" i="11"/>
  <c r="AF82" i="11"/>
  <c r="AF80" i="11"/>
  <c r="AF79" i="11"/>
  <c r="AF130" i="11" s="1"/>
  <c r="BD68" i="11"/>
  <c r="BD64" i="11"/>
  <c r="BD71" i="11"/>
  <c r="J27" i="14"/>
  <c r="J23" i="14"/>
  <c r="J50" i="14"/>
  <c r="AL72" i="11"/>
  <c r="AL69" i="11"/>
  <c r="AL67" i="11"/>
  <c r="V96" i="11"/>
  <c r="V98" i="11"/>
  <c r="V91" i="11"/>
  <c r="V94" i="11"/>
  <c r="V99" i="11"/>
  <c r="V101" i="11"/>
  <c r="V111" i="11"/>
  <c r="V95" i="11"/>
  <c r="V97" i="11"/>
  <c r="V102" i="11"/>
  <c r="V85" i="11"/>
  <c r="V100" i="11"/>
  <c r="V112" i="11"/>
  <c r="V110" i="11"/>
  <c r="V77" i="11"/>
  <c r="AZ86" i="11"/>
  <c r="AZ103" i="11"/>
  <c r="AZ112" i="11"/>
  <c r="AZ106" i="11"/>
  <c r="AZ88" i="11"/>
  <c r="AZ92" i="11"/>
  <c r="AU65" i="11"/>
  <c r="AU63" i="11"/>
  <c r="AU64" i="11"/>
  <c r="AX72" i="11"/>
  <c r="AX71" i="11"/>
  <c r="AX73" i="11"/>
  <c r="AG87" i="11"/>
  <c r="AG77" i="11"/>
  <c r="AG103" i="11"/>
  <c r="AG101" i="11"/>
  <c r="AG99" i="11"/>
  <c r="AG85" i="11"/>
  <c r="AG94" i="11"/>
  <c r="AG97" i="11"/>
  <c r="AG95" i="11"/>
  <c r="AG100" i="11"/>
  <c r="AG102" i="11"/>
  <c r="AG111" i="11"/>
  <c r="AG91" i="11"/>
  <c r="AG98" i="11"/>
  <c r="AG96" i="11"/>
  <c r="AG112" i="11"/>
  <c r="AG92" i="11"/>
  <c r="AO104" i="11"/>
  <c r="AO86" i="11"/>
  <c r="AO77" i="11"/>
  <c r="AO108" i="11"/>
  <c r="AO106" i="11"/>
  <c r="AO112" i="11"/>
  <c r="AO110" i="11"/>
  <c r="AO92" i="11"/>
  <c r="J73" i="11"/>
  <c r="N109" i="11"/>
  <c r="N107" i="11"/>
  <c r="N84" i="11"/>
  <c r="N82" i="11"/>
  <c r="N75" i="11"/>
  <c r="AW84" i="11"/>
  <c r="AW105" i="11"/>
  <c r="AW110" i="11"/>
  <c r="AW104" i="11"/>
  <c r="AW89" i="11"/>
  <c r="AQ104" i="11"/>
  <c r="AQ77" i="11"/>
  <c r="AQ82" i="11"/>
  <c r="AQ87" i="11"/>
  <c r="AQ86" i="11"/>
  <c r="AQ90" i="11"/>
  <c r="AQ89" i="11"/>
  <c r="AT93" i="11"/>
  <c r="AT82" i="11"/>
  <c r="AT111" i="11"/>
  <c r="AT100" i="11"/>
  <c r="AT102" i="11"/>
  <c r="AT85" i="11"/>
  <c r="AT91" i="11"/>
  <c r="AT96" i="11"/>
  <c r="AT98" i="11"/>
  <c r="AT99" i="11"/>
  <c r="AT101" i="11"/>
  <c r="AT94" i="11"/>
  <c r="AT95" i="11"/>
  <c r="AT97" i="11"/>
  <c r="AT112" i="11"/>
  <c r="AT106" i="11"/>
  <c r="AT88" i="11"/>
  <c r="AT92" i="11"/>
  <c r="AC93" i="11"/>
  <c r="AC84" i="11"/>
  <c r="AC103" i="11"/>
  <c r="AC80" i="11"/>
  <c r="AC91" i="11"/>
  <c r="AC96" i="11"/>
  <c r="AC98" i="11"/>
  <c r="AC94" i="11"/>
  <c r="AC101" i="11"/>
  <c r="AC99" i="11"/>
  <c r="AC85" i="11"/>
  <c r="AC97" i="11"/>
  <c r="AC95" i="11"/>
  <c r="AC100" i="11"/>
  <c r="AC111" i="11"/>
  <c r="AC102" i="11"/>
  <c r="AC112" i="11"/>
  <c r="AC92" i="11"/>
  <c r="BA107" i="11"/>
  <c r="BA110" i="11"/>
  <c r="BA108" i="11"/>
  <c r="BA86" i="11"/>
  <c r="BA83" i="11"/>
  <c r="BA84" i="11"/>
  <c r="BA103" i="11"/>
  <c r="BA75" i="11"/>
  <c r="AQ68" i="11"/>
  <c r="AQ73" i="11"/>
  <c r="AQ64" i="11"/>
  <c r="BC82" i="11"/>
  <c r="BC108" i="11"/>
  <c r="BC87" i="11"/>
  <c r="BC109" i="11"/>
  <c r="BC110" i="11"/>
  <c r="BC104" i="11"/>
  <c r="BC89" i="11"/>
  <c r="M109" i="11"/>
  <c r="M105" i="11"/>
  <c r="M77" i="11"/>
  <c r="M108" i="11"/>
  <c r="M90" i="11"/>
  <c r="AF66" i="11"/>
  <c r="P67" i="11"/>
  <c r="P65" i="11"/>
  <c r="P63" i="11"/>
  <c r="AI81" i="11"/>
  <c r="AI109" i="11"/>
  <c r="AI103" i="11"/>
  <c r="S106" i="11"/>
  <c r="S77" i="11"/>
  <c r="S83" i="11"/>
  <c r="S88" i="11"/>
  <c r="S75" i="11"/>
  <c r="BB65" i="11"/>
  <c r="BB69" i="11"/>
  <c r="BB74" i="11"/>
  <c r="U83" i="11"/>
  <c r="U105" i="11"/>
  <c r="U84" i="11"/>
  <c r="U103" i="11"/>
  <c r="U89" i="11"/>
  <c r="U110" i="11"/>
  <c r="U108" i="11"/>
  <c r="U92" i="11"/>
  <c r="AS68" i="11"/>
  <c r="AS62" i="11"/>
  <c r="AS69" i="11"/>
  <c r="AB82" i="11"/>
  <c r="AB107" i="11"/>
  <c r="AB77" i="11"/>
  <c r="AB92" i="11"/>
  <c r="AB90" i="11"/>
  <c r="K84" i="11"/>
  <c r="K82" i="11"/>
  <c r="K80" i="11"/>
  <c r="K93" i="11"/>
  <c r="K87" i="11"/>
  <c r="K109" i="11"/>
  <c r="K105" i="11"/>
  <c r="K103" i="11"/>
  <c r="K92" i="11"/>
  <c r="K75" i="11"/>
  <c r="AE112" i="11"/>
  <c r="AE87" i="11"/>
  <c r="AE80" i="11"/>
  <c r="AE103" i="11"/>
  <c r="AE92" i="11"/>
  <c r="AE90" i="11"/>
  <c r="O73" i="11"/>
  <c r="O69" i="11"/>
  <c r="O66" i="11"/>
  <c r="AU88" i="11"/>
  <c r="AU80" i="11"/>
  <c r="AU93" i="11"/>
  <c r="AU82" i="11"/>
  <c r="AU84" i="11"/>
  <c r="AU112" i="11"/>
  <c r="AU75" i="11"/>
  <c r="R110" i="11"/>
  <c r="R107" i="11"/>
  <c r="R104" i="11"/>
  <c r="R103" i="11"/>
  <c r="R75" i="11"/>
  <c r="J30" i="14"/>
  <c r="J14" i="14"/>
  <c r="AO63" i="11"/>
  <c r="AO74" i="11"/>
  <c r="AO72" i="11"/>
  <c r="AA64" i="11"/>
  <c r="AA68" i="11"/>
  <c r="AA62" i="11"/>
  <c r="J104" i="11"/>
  <c r="J94" i="11"/>
  <c r="J111" i="11"/>
  <c r="J99" i="11"/>
  <c r="J101" i="11"/>
  <c r="J95" i="11"/>
  <c r="J97" i="11"/>
  <c r="J100" i="11"/>
  <c r="J102" i="11"/>
  <c r="J85" i="11"/>
  <c r="J91" i="11"/>
  <c r="J96" i="11"/>
  <c r="J98" i="11"/>
  <c r="J112" i="11"/>
  <c r="J110" i="11"/>
  <c r="J88" i="11"/>
  <c r="J81" i="11"/>
  <c r="J90" i="11"/>
  <c r="AY73" i="11"/>
  <c r="AY64" i="11"/>
  <c r="AY65" i="11"/>
  <c r="AK68" i="11"/>
  <c r="AK112" i="11"/>
  <c r="AK93" i="11"/>
  <c r="AK103" i="11"/>
  <c r="AK105" i="11"/>
  <c r="AK81" i="11"/>
  <c r="AK92" i="11"/>
  <c r="AK89" i="11"/>
  <c r="AK79" i="11"/>
  <c r="AK130" i="11" s="1"/>
  <c r="AC62" i="11"/>
  <c r="AC65" i="11"/>
  <c r="AC71" i="11"/>
  <c r="AJ110" i="11"/>
  <c r="AJ80" i="11"/>
  <c r="AJ108" i="11"/>
  <c r="AJ88" i="11"/>
  <c r="AJ81" i="11"/>
  <c r="AJ111" i="11"/>
  <c r="AJ94" i="11"/>
  <c r="AJ101" i="11"/>
  <c r="AJ99" i="11"/>
  <c r="AJ97" i="11"/>
  <c r="AJ95" i="11"/>
  <c r="AJ102" i="11"/>
  <c r="AJ100" i="11"/>
  <c r="AJ85" i="11"/>
  <c r="AJ98" i="11"/>
  <c r="AJ91" i="11"/>
  <c r="AJ96" i="11"/>
  <c r="AJ93" i="11"/>
  <c r="AJ89" i="11"/>
  <c r="T103" i="11"/>
  <c r="T87" i="11"/>
  <c r="T80" i="11"/>
  <c r="T82" i="11"/>
  <c r="T92" i="11"/>
  <c r="AV64" i="11"/>
  <c r="AV65" i="11"/>
  <c r="AV69" i="11"/>
  <c r="W110" i="11"/>
  <c r="W98" i="11"/>
  <c r="W96" i="11"/>
  <c r="W111" i="11"/>
  <c r="W99" i="11"/>
  <c r="W101" i="11"/>
  <c r="W85" i="11"/>
  <c r="W95" i="11"/>
  <c r="W97" i="11"/>
  <c r="W102" i="11"/>
  <c r="W100" i="11"/>
  <c r="W94" i="11"/>
  <c r="W91" i="11"/>
  <c r="W81" i="11"/>
  <c r="W83" i="11"/>
  <c r="W80" i="11"/>
  <c r="W103" i="11"/>
  <c r="W90" i="11"/>
  <c r="W75" i="11"/>
  <c r="J7" i="14"/>
  <c r="I104" i="11"/>
  <c r="I110" i="11"/>
  <c r="I108" i="11"/>
  <c r="I81" i="11"/>
  <c r="I83" i="11"/>
  <c r="Q108" i="11"/>
  <c r="Q107" i="11"/>
  <c r="Q112" i="11"/>
  <c r="Q93" i="11"/>
  <c r="Q81" i="11"/>
  <c r="Q90" i="11"/>
  <c r="X65" i="11"/>
  <c r="X72" i="11"/>
  <c r="X62" i="11"/>
  <c r="AT68" i="11"/>
  <c r="AT74" i="11"/>
  <c r="AT72" i="11"/>
  <c r="L109" i="11"/>
  <c r="L104" i="11"/>
  <c r="L81" i="11"/>
  <c r="L108" i="11"/>
  <c r="L86" i="11"/>
  <c r="L110" i="11"/>
  <c r="L83" i="11"/>
  <c r="L90" i="11"/>
  <c r="AM62" i="11"/>
  <c r="AM69" i="11"/>
  <c r="AM67" i="11"/>
  <c r="U88" i="11"/>
  <c r="U80" i="11"/>
  <c r="U100" i="11"/>
  <c r="U102" i="11"/>
  <c r="U111" i="11"/>
  <c r="U96" i="11"/>
  <c r="U98" i="11"/>
  <c r="U91" i="11"/>
  <c r="U101" i="11"/>
  <c r="U99" i="11"/>
  <c r="U85" i="11"/>
  <c r="U94" i="11"/>
  <c r="U97" i="11"/>
  <c r="U95" i="11"/>
  <c r="U90" i="11"/>
  <c r="AS74" i="11"/>
  <c r="AS72" i="11"/>
  <c r="AS63" i="11"/>
  <c r="AB84" i="11"/>
  <c r="AB91" i="11"/>
  <c r="AB111" i="11"/>
  <c r="AB97" i="11"/>
  <c r="AB95" i="11"/>
  <c r="AB102" i="11"/>
  <c r="AB100" i="11"/>
  <c r="AB85" i="11"/>
  <c r="AB94" i="11"/>
  <c r="AB98" i="11"/>
  <c r="AB96" i="11"/>
  <c r="AB99" i="11"/>
  <c r="AB101" i="11"/>
  <c r="AB93" i="11"/>
  <c r="AB87" i="11"/>
  <c r="AB103" i="11"/>
  <c r="AB105" i="11"/>
  <c r="AB75" i="11"/>
  <c r="J9" i="14"/>
  <c r="K110" i="11"/>
  <c r="K91" i="11"/>
  <c r="K95" i="11"/>
  <c r="K97" i="11"/>
  <c r="K102" i="11"/>
  <c r="K100" i="11"/>
  <c r="K111" i="11"/>
  <c r="K98" i="11"/>
  <c r="K96" i="11"/>
  <c r="K101" i="11"/>
  <c r="K94" i="11"/>
  <c r="K85" i="11"/>
  <c r="K99" i="11"/>
  <c r="K89" i="11"/>
  <c r="AE105" i="11"/>
  <c r="AE93" i="11"/>
  <c r="AE82" i="11"/>
  <c r="AE110" i="11"/>
  <c r="AE79" i="11"/>
  <c r="AE130" i="11" s="1"/>
  <c r="O63" i="11"/>
  <c r="O68" i="11"/>
  <c r="O65" i="11"/>
  <c r="AU109" i="11"/>
  <c r="AU103" i="11"/>
  <c r="AU110" i="11"/>
  <c r="AU104" i="11"/>
  <c r="AU77" i="11"/>
  <c r="AU87" i="11"/>
  <c r="R84" i="11"/>
  <c r="R105" i="11"/>
  <c r="R112" i="11"/>
  <c r="R93" i="11"/>
  <c r="R81" i="11"/>
  <c r="R82" i="11"/>
  <c r="R108" i="11"/>
  <c r="R90" i="11"/>
  <c r="J37" i="14"/>
  <c r="AO68" i="11"/>
  <c r="AO67" i="11"/>
  <c r="AO65" i="11"/>
  <c r="AA65" i="11"/>
  <c r="AA74" i="11"/>
  <c r="AA72" i="11"/>
  <c r="J86" i="11"/>
  <c r="J107" i="11"/>
  <c r="J105" i="11"/>
  <c r="J82" i="11"/>
  <c r="J80" i="11"/>
  <c r="J75" i="11"/>
  <c r="AY74" i="11"/>
  <c r="AY62" i="11"/>
  <c r="AY71" i="11"/>
  <c r="AK72" i="11"/>
  <c r="AK84" i="11"/>
  <c r="AK107" i="11"/>
  <c r="AK87" i="11"/>
  <c r="AK108" i="11"/>
  <c r="AC67" i="11"/>
  <c r="AC72" i="11"/>
  <c r="AC64" i="11"/>
  <c r="L69" i="11"/>
  <c r="AJ112" i="11"/>
  <c r="AJ105" i="11"/>
  <c r="AJ82" i="11"/>
  <c r="AJ77" i="11"/>
  <c r="T105" i="11"/>
  <c r="T108" i="11"/>
  <c r="T109" i="11"/>
  <c r="T84" i="11"/>
  <c r="T75" i="11"/>
  <c r="T104" i="11"/>
  <c r="T86" i="11"/>
  <c r="T89" i="11"/>
  <c r="AV62" i="11"/>
  <c r="AV71" i="11"/>
  <c r="AV63" i="11"/>
  <c r="W108" i="11"/>
  <c r="W112" i="11"/>
  <c r="W86" i="11"/>
  <c r="W88" i="11"/>
  <c r="W92" i="11"/>
  <c r="I105" i="11"/>
  <c r="I80" i="11"/>
  <c r="I111" i="11"/>
  <c r="I96" i="11"/>
  <c r="I98" i="11"/>
  <c r="I91" i="11"/>
  <c r="I101" i="11"/>
  <c r="I99" i="11"/>
  <c r="I85" i="11"/>
  <c r="I97" i="11"/>
  <c r="I95" i="11"/>
  <c r="I100" i="11"/>
  <c r="I102" i="11"/>
  <c r="I94" i="11"/>
  <c r="I86" i="11"/>
  <c r="I88" i="11"/>
  <c r="I79" i="11"/>
  <c r="Q110" i="11"/>
  <c r="Q109" i="11"/>
  <c r="Q82" i="11"/>
  <c r="Q83" i="11"/>
  <c r="Q105" i="11"/>
  <c r="Q92" i="11"/>
  <c r="X69" i="11"/>
  <c r="X74" i="11"/>
  <c r="X67" i="11"/>
  <c r="AT69" i="11"/>
  <c r="AT67" i="11"/>
  <c r="AT66" i="11"/>
  <c r="L101" i="11"/>
  <c r="L99" i="11"/>
  <c r="L111" i="11"/>
  <c r="L94" i="11"/>
  <c r="L97" i="11"/>
  <c r="L95" i="11"/>
  <c r="L102" i="11"/>
  <c r="L100" i="11"/>
  <c r="L85" i="11"/>
  <c r="L96" i="11"/>
  <c r="L91" i="11"/>
  <c r="L98" i="11"/>
  <c r="L77" i="11"/>
  <c r="L112" i="11"/>
  <c r="L106" i="11"/>
  <c r="L75" i="11"/>
  <c r="AM65" i="11"/>
  <c r="AM63" i="11"/>
  <c r="AM66" i="11"/>
  <c r="L79" i="11"/>
  <c r="J20" i="14"/>
  <c r="AM72" i="11"/>
  <c r="AM71" i="11"/>
  <c r="AM73" i="11"/>
  <c r="J55" i="14"/>
  <c r="BG73" i="11"/>
  <c r="BG65" i="11"/>
  <c r="BG63" i="11"/>
  <c r="AH72" i="11"/>
  <c r="AH68" i="11"/>
  <c r="AH73" i="11"/>
  <c r="AF65" i="11"/>
  <c r="AF62" i="11"/>
  <c r="AF68" i="11"/>
  <c r="P74" i="11"/>
  <c r="P72" i="11"/>
  <c r="P69" i="11"/>
  <c r="AI84" i="11"/>
  <c r="AI87" i="11"/>
  <c r="AI93" i="11"/>
  <c r="AI80" i="11"/>
  <c r="AI107" i="11"/>
  <c r="AI92" i="11"/>
  <c r="S105" i="11"/>
  <c r="S107" i="11"/>
  <c r="S103" i="11"/>
  <c r="S84" i="11"/>
  <c r="S89" i="11"/>
  <c r="BB62" i="11"/>
  <c r="BB68" i="11"/>
  <c r="BB73" i="11"/>
  <c r="J34" i="14"/>
  <c r="U81" i="11"/>
  <c r="U112" i="11"/>
  <c r="U87" i="11"/>
  <c r="U77" i="11"/>
  <c r="U75" i="11"/>
  <c r="AS67" i="11"/>
  <c r="AS64" i="11"/>
  <c r="AS71" i="11"/>
  <c r="AB109" i="11"/>
  <c r="AB88" i="11"/>
  <c r="AB81" i="11"/>
  <c r="AB110" i="11"/>
  <c r="AB104" i="11"/>
  <c r="AB86" i="11"/>
  <c r="AB108" i="11"/>
  <c r="AB106" i="11"/>
  <c r="AB89" i="11"/>
  <c r="K112" i="11"/>
  <c r="K77" i="11"/>
  <c r="K79" i="11"/>
  <c r="K130" i="11" s="1"/>
  <c r="AE108" i="11"/>
  <c r="AE81" i="11"/>
  <c r="AE83" i="11"/>
  <c r="AE84" i="11"/>
  <c r="AE109" i="11"/>
  <c r="AE77" i="11"/>
  <c r="AE75" i="11"/>
  <c r="O67" i="11"/>
  <c r="O72" i="11"/>
  <c r="O64" i="11"/>
  <c r="J43" i="14"/>
  <c r="AU106" i="11"/>
  <c r="AU105" i="11"/>
  <c r="AU107" i="11"/>
  <c r="AU108" i="11"/>
  <c r="AU86" i="11"/>
  <c r="AU83" i="11"/>
  <c r="AU89" i="11"/>
  <c r="R88" i="11"/>
  <c r="R87" i="11"/>
  <c r="R77" i="11"/>
  <c r="R106" i="11"/>
  <c r="R79" i="11"/>
  <c r="R130" i="11" s="1"/>
  <c r="J46" i="14"/>
  <c r="AO69" i="11"/>
  <c r="AO62" i="11"/>
  <c r="AO66" i="11"/>
  <c r="AA71" i="11"/>
  <c r="AA63" i="11"/>
  <c r="AA73" i="11"/>
  <c r="J93" i="11"/>
  <c r="J108" i="11"/>
  <c r="J106" i="11"/>
  <c r="J83" i="11"/>
  <c r="J79" i="11"/>
  <c r="J130" i="11" s="1"/>
  <c r="AY68" i="11"/>
  <c r="AY69" i="11"/>
  <c r="AY63" i="11"/>
  <c r="AK73" i="11"/>
  <c r="AK83" i="11"/>
  <c r="AK82" i="11"/>
  <c r="AK109" i="11"/>
  <c r="AK90" i="11"/>
  <c r="AK111" i="11"/>
  <c r="AK97" i="11"/>
  <c r="AK95" i="11"/>
  <c r="AK100" i="11"/>
  <c r="AK102" i="11"/>
  <c r="AK91" i="11"/>
  <c r="AK96" i="11"/>
  <c r="AK98" i="11"/>
  <c r="AK101" i="11"/>
  <c r="AK99" i="11"/>
  <c r="AK94" i="11"/>
  <c r="AK85" i="11"/>
  <c r="AC68" i="11"/>
  <c r="AC74" i="11"/>
  <c r="AC69" i="11"/>
  <c r="AJ83" i="11"/>
  <c r="AJ103" i="11"/>
  <c r="AJ79" i="11"/>
  <c r="AJ130" i="11" s="1"/>
  <c r="AJ107" i="11"/>
  <c r="T112" i="11"/>
  <c r="T110" i="11"/>
  <c r="T88" i="11"/>
  <c r="T81" i="11"/>
  <c r="T97" i="11"/>
  <c r="T95" i="11"/>
  <c r="T111" i="11"/>
  <c r="T102" i="11"/>
  <c r="T100" i="11"/>
  <c r="T85" i="11"/>
  <c r="T94" i="11"/>
  <c r="T98" i="11"/>
  <c r="T96" i="11"/>
  <c r="T91" i="11"/>
  <c r="T101" i="11"/>
  <c r="T99" i="11"/>
  <c r="T93" i="11"/>
  <c r="T79" i="11"/>
  <c r="T130" i="11" s="1"/>
  <c r="AV74" i="11"/>
  <c r="AV67" i="11"/>
  <c r="AV68" i="11"/>
  <c r="W105" i="11"/>
  <c r="W87" i="11"/>
  <c r="W109" i="11"/>
  <c r="W77" i="11"/>
  <c r="W89" i="11"/>
  <c r="I77" i="11"/>
  <c r="I106" i="11"/>
  <c r="I93" i="11"/>
  <c r="I87" i="11"/>
  <c r="I90" i="11"/>
  <c r="I92" i="11"/>
  <c r="Q104" i="11"/>
  <c r="Q80" i="11"/>
  <c r="Q84" i="11"/>
  <c r="Q88" i="11"/>
  <c r="Q103" i="11"/>
  <c r="Q89" i="11"/>
  <c r="Q79" i="11"/>
  <c r="Q130" i="11" s="1"/>
  <c r="X64" i="11"/>
  <c r="X68" i="11"/>
  <c r="X66" i="11"/>
  <c r="AT71" i="11"/>
  <c r="AT73" i="11"/>
  <c r="AT62" i="11"/>
  <c r="L88" i="11"/>
  <c r="L84" i="11"/>
  <c r="L105" i="11"/>
  <c r="L92" i="11"/>
  <c r="AM64" i="11"/>
  <c r="AM68" i="11"/>
  <c r="AM74" i="11"/>
  <c r="BE43" i="13" l="1"/>
  <c r="A41" i="13"/>
  <c r="A42" i="13"/>
  <c r="L130" i="11"/>
  <c r="BG130" i="11"/>
  <c r="BH130" i="11"/>
  <c r="BJ106" i="11"/>
  <c r="BJ90" i="11"/>
  <c r="BJ87" i="11"/>
  <c r="BJ93" i="11"/>
  <c r="BJ92" i="11"/>
  <c r="BJ95" i="11"/>
  <c r="BJ101" i="11"/>
  <c r="BJ111" i="11"/>
  <c r="BJ83" i="11"/>
  <c r="BJ104" i="11"/>
  <c r="BJ114" i="11"/>
  <c r="BJ119" i="11"/>
  <c r="BJ118" i="11"/>
  <c r="B44" i="13"/>
  <c r="BE41" i="13"/>
  <c r="BE42" i="13"/>
  <c r="BJ128" i="11"/>
  <c r="BJ126" i="11"/>
  <c r="A43" i="13"/>
  <c r="BJ94" i="11"/>
  <c r="BJ97" i="11"/>
  <c r="BJ91" i="11"/>
  <c r="BJ107" i="11"/>
  <c r="Y130" i="11"/>
  <c r="BJ116" i="11"/>
  <c r="BJ115" i="11"/>
  <c r="BJ127" i="11"/>
  <c r="I130" i="11"/>
  <c r="BJ102" i="11"/>
  <c r="BJ85" i="11"/>
  <c r="BJ98" i="11"/>
  <c r="BJ105" i="11"/>
  <c r="BJ108" i="11"/>
  <c r="BJ89" i="11"/>
  <c r="BJ109" i="11"/>
  <c r="AB130" i="11"/>
  <c r="AN130" i="11"/>
  <c r="BJ112" i="11"/>
  <c r="BJ125" i="11"/>
  <c r="BJ88" i="11"/>
  <c r="BJ100" i="11"/>
  <c r="BJ99" i="11"/>
  <c r="BJ96" i="11"/>
  <c r="BJ110" i="11"/>
  <c r="BJ82" i="11"/>
  <c r="BJ103" i="11"/>
  <c r="O130" i="11"/>
  <c r="BJ113" i="11"/>
  <c r="B43" i="13"/>
  <c r="B41" i="13"/>
  <c r="BJ129" i="11"/>
  <c r="B42" i="13"/>
  <c r="BE44" i="13"/>
  <c r="O46" i="13"/>
  <c r="I46" i="13"/>
  <c r="Q46" i="13"/>
  <c r="X46" i="13"/>
  <c r="AX46" i="13"/>
  <c r="AO46" i="13"/>
  <c r="N46" i="13"/>
  <c r="AG46" i="13"/>
  <c r="AD46" i="13"/>
  <c r="M46" i="13"/>
  <c r="AP46" i="13"/>
  <c r="E46" i="13"/>
  <c r="E47" i="13" s="1"/>
  <c r="AE46" i="13"/>
  <c r="AT46" i="13"/>
  <c r="AQ46" i="13"/>
  <c r="BB46" i="13"/>
  <c r="AK46" i="13"/>
  <c r="K46" i="13"/>
  <c r="AV46" i="13"/>
  <c r="AF46" i="13"/>
  <c r="P46" i="13"/>
  <c r="AH46" i="13"/>
  <c r="AH47" i="13" s="1"/>
  <c r="AN46" i="13"/>
  <c r="AA46" i="13"/>
  <c r="AA47" i="13" s="1"/>
  <c r="S46" i="13"/>
  <c r="AY46" i="13"/>
  <c r="AW46" i="13"/>
  <c r="H46" i="13"/>
  <c r="AC46" i="13"/>
  <c r="BA46" i="13"/>
  <c r="AZ46" i="13"/>
  <c r="BD46" i="13"/>
  <c r="J46" i="13"/>
  <c r="J47" i="13" s="1"/>
  <c r="AL46" i="13"/>
  <c r="W46" i="13"/>
  <c r="W47" i="13" s="1"/>
  <c r="V46" i="13"/>
  <c r="AS46" i="13"/>
  <c r="BC46" i="13"/>
  <c r="U46" i="13"/>
  <c r="R46" i="13"/>
  <c r="L46" i="13"/>
  <c r="L47" i="13" s="1"/>
  <c r="AB46" i="13"/>
  <c r="AM46" i="13"/>
  <c r="AR46" i="13"/>
  <c r="AU46" i="13"/>
  <c r="G46" i="13"/>
  <c r="BE36" i="13"/>
  <c r="AI46" i="13"/>
  <c r="Y46" i="13"/>
  <c r="T46" i="13"/>
  <c r="F46" i="13"/>
  <c r="F47" i="13" s="1"/>
  <c r="AJ46" i="13"/>
  <c r="Z46" i="13"/>
  <c r="BE33" i="13"/>
  <c r="B33" i="13"/>
  <c r="A33" i="13"/>
  <c r="BE37" i="13"/>
  <c r="B37" i="13"/>
  <c r="A37" i="13"/>
  <c r="A36" i="13"/>
  <c r="B36" i="13"/>
  <c r="BE38" i="13"/>
  <c r="B38" i="13"/>
  <c r="A38" i="13"/>
  <c r="B32" i="13"/>
  <c r="A32" i="13"/>
  <c r="BE32" i="13"/>
  <c r="BE35" i="13"/>
  <c r="B35" i="13"/>
  <c r="A35" i="13"/>
  <c r="BE40" i="13"/>
  <c r="B40" i="13"/>
  <c r="A40" i="13"/>
  <c r="BE39" i="13"/>
  <c r="B39" i="13"/>
  <c r="A39" i="13"/>
  <c r="A31" i="13"/>
  <c r="B31" i="13"/>
  <c r="BE31" i="13"/>
  <c r="A30" i="13"/>
  <c r="BE30" i="13"/>
  <c r="B30" i="13"/>
  <c r="BE34" i="13"/>
  <c r="B34" i="13"/>
  <c r="A34" i="13"/>
  <c r="O70" i="11"/>
  <c r="Y70" i="11"/>
  <c r="AB61" i="11"/>
  <c r="AN70" i="11"/>
  <c r="AB70" i="11"/>
  <c r="I70" i="11"/>
  <c r="N52" i="11"/>
  <c r="AR70" i="11"/>
  <c r="AP70" i="11"/>
  <c r="U70" i="11"/>
  <c r="AF70" i="11"/>
  <c r="Q70" i="11"/>
  <c r="S70" i="11"/>
  <c r="BE61" i="11"/>
  <c r="AS70" i="11"/>
  <c r="BD70" i="11"/>
  <c r="J61" i="11"/>
  <c r="W70" i="11"/>
  <c r="AO70" i="11"/>
  <c r="N70" i="11"/>
  <c r="BF61" i="11"/>
  <c r="BC61" i="11"/>
  <c r="AD70" i="11"/>
  <c r="K52" i="11"/>
  <c r="AI70" i="11"/>
  <c r="AM70" i="11"/>
  <c r="BB70" i="11"/>
  <c r="J70" i="11"/>
  <c r="BF70" i="11"/>
  <c r="V61" i="11"/>
  <c r="V70" i="11"/>
  <c r="BE70" i="11"/>
  <c r="W61" i="11"/>
  <c r="BC70" i="11"/>
  <c r="AI61" i="11"/>
  <c r="S61" i="11"/>
  <c r="K70" i="11"/>
  <c r="BJ120" i="11"/>
  <c r="BJ122" i="11"/>
  <c r="BJ124" i="11"/>
  <c r="BJ121" i="11"/>
  <c r="BJ123" i="11"/>
  <c r="BL81" i="11"/>
  <c r="AE61" i="11"/>
  <c r="AJ136" i="11"/>
  <c r="AQ136" i="11"/>
  <c r="AK136" i="11"/>
  <c r="P56" i="11"/>
  <c r="P46" i="11"/>
  <c r="P42" i="11"/>
  <c r="BA52" i="11"/>
  <c r="AA70" i="11"/>
  <c r="AE70" i="11"/>
  <c r="P70" i="11"/>
  <c r="BA70" i="11"/>
  <c r="AV70" i="11"/>
  <c r="AL70" i="11"/>
  <c r="AZ61" i="11"/>
  <c r="AU70" i="11"/>
  <c r="AY70" i="11"/>
  <c r="AK70" i="11"/>
  <c r="AJ70" i="11"/>
  <c r="AT70" i="11"/>
  <c r="AQ70" i="11"/>
  <c r="AU61" i="11"/>
  <c r="AZ70" i="11"/>
  <c r="AK61" i="11"/>
  <c r="AC70" i="11"/>
  <c r="X70" i="11"/>
  <c r="P2" i="29"/>
  <c r="R70" i="11"/>
  <c r="AH70" i="11"/>
  <c r="M70" i="11"/>
  <c r="M52" i="11"/>
  <c r="AG70" i="11"/>
  <c r="BA61" i="11"/>
  <c r="I61" i="11"/>
  <c r="BJ62" i="11"/>
  <c r="BJ117" i="11"/>
  <c r="M61" i="11"/>
  <c r="R61" i="11"/>
  <c r="Q61" i="11"/>
  <c r="K61" i="11"/>
  <c r="T70" i="11"/>
  <c r="T61" i="11"/>
  <c r="AW52" i="11"/>
  <c r="AX70" i="11"/>
  <c r="Z70" i="11"/>
  <c r="AW70" i="11"/>
  <c r="U61" i="11"/>
  <c r="BF52" i="11"/>
  <c r="AG61" i="11"/>
  <c r="AD61" i="11"/>
  <c r="AK52" i="11"/>
  <c r="AU52" i="11"/>
  <c r="AJ61" i="11"/>
  <c r="BE52" i="11"/>
  <c r="Z61" i="11"/>
  <c r="J52" i="11"/>
  <c r="AZ52" i="11"/>
  <c r="AW61" i="11"/>
  <c r="BJ72" i="11"/>
  <c r="BJ66" i="11"/>
  <c r="L52" i="11"/>
  <c r="BJ63" i="11"/>
  <c r="BJ67" i="11"/>
  <c r="BH61" i="11"/>
  <c r="BH51" i="11" s="1"/>
  <c r="BC52" i="11"/>
  <c r="BG76" i="11"/>
  <c r="BJ74" i="11"/>
  <c r="L70" i="11"/>
  <c r="BJ75" i="11"/>
  <c r="BJ73" i="11"/>
  <c r="BJ64" i="11"/>
  <c r="BJ68" i="11"/>
  <c r="BH70" i="11"/>
  <c r="BJ65" i="11"/>
  <c r="L136" i="11"/>
  <c r="K136" i="11"/>
  <c r="BJ79" i="11"/>
  <c r="BJ86" i="11"/>
  <c r="BJ80" i="11"/>
  <c r="AV61" i="11"/>
  <c r="AV52" i="11"/>
  <c r="BJ81" i="11"/>
  <c r="N61" i="11"/>
  <c r="AU136" i="11"/>
  <c r="O52" i="11"/>
  <c r="O61" i="11"/>
  <c r="P61" i="11"/>
  <c r="AM136" i="11"/>
  <c r="AV136" i="11"/>
  <c r="BG61" i="11"/>
  <c r="BG51" i="11" s="1"/>
  <c r="BD136" i="11"/>
  <c r="BC136" i="11"/>
  <c r="AQ61" i="11"/>
  <c r="AQ52" i="11"/>
  <c r="AW136" i="11"/>
  <c r="AZ136" i="11"/>
  <c r="BD61" i="11"/>
  <c r="BD52" i="11"/>
  <c r="AL136" i="11"/>
  <c r="AP136" i="11"/>
  <c r="BJ77" i="11"/>
  <c r="AO61" i="11"/>
  <c r="AO52" i="11"/>
  <c r="BB52" i="11"/>
  <c r="BB61" i="11"/>
  <c r="AF61" i="11"/>
  <c r="AY61" i="11"/>
  <c r="AY52" i="11"/>
  <c r="AS52" i="11"/>
  <c r="AS61" i="11"/>
  <c r="BE136" i="11"/>
  <c r="BJ84" i="11"/>
  <c r="AI136" i="11"/>
  <c r="AH61" i="11"/>
  <c r="AL61" i="11"/>
  <c r="AL52" i="11"/>
  <c r="BA136" i="11"/>
  <c r="AX61" i="11"/>
  <c r="AX52" i="11"/>
  <c r="BJ71" i="11"/>
  <c r="Y61" i="11"/>
  <c r="AR61" i="11"/>
  <c r="AR52" i="11"/>
  <c r="AR136" i="11"/>
  <c r="AM52" i="11"/>
  <c r="AM61" i="11"/>
  <c r="X61" i="11"/>
  <c r="AP61" i="11"/>
  <c r="AP52" i="11"/>
  <c r="AS136" i="11"/>
  <c r="AN61" i="11"/>
  <c r="AN52" i="11"/>
  <c r="AN136" i="11"/>
  <c r="BG70" i="11"/>
  <c r="BF136" i="11"/>
  <c r="AT52" i="11"/>
  <c r="AT61" i="11"/>
  <c r="J136" i="11"/>
  <c r="L61" i="11"/>
  <c r="AC61" i="11"/>
  <c r="AA61" i="11"/>
  <c r="BB136" i="11"/>
  <c r="AY136" i="11"/>
  <c r="AT136" i="11"/>
  <c r="AO136" i="11"/>
  <c r="BJ69" i="11"/>
  <c r="BH137" i="11"/>
  <c r="AX136" i="11"/>
  <c r="BJ130" i="11" l="1"/>
  <c r="BE51" i="11"/>
  <c r="BC51" i="11"/>
  <c r="J51" i="11"/>
  <c r="K51" i="11"/>
  <c r="BF51" i="11"/>
  <c r="AK51" i="11"/>
  <c r="BA51" i="11"/>
  <c r="AU51" i="11"/>
  <c r="AZ51" i="11"/>
  <c r="M51" i="11"/>
  <c r="AW51" i="11"/>
  <c r="BD51" i="11"/>
  <c r="AW137" i="11"/>
  <c r="BJ70" i="11"/>
  <c r="J137" i="11"/>
  <c r="AO137" i="11"/>
  <c r="AY137" i="11"/>
  <c r="BF137" i="11"/>
  <c r="AN137" i="11"/>
  <c r="AY51" i="11"/>
  <c r="AK137" i="11"/>
  <c r="AV51" i="11"/>
  <c r="AR51" i="11"/>
  <c r="AS51" i="11"/>
  <c r="AI137" i="11"/>
  <c r="BC137" i="11"/>
  <c r="BD137" i="11"/>
  <c r="AQ137" i="11"/>
  <c r="AV137" i="11"/>
  <c r="AU137" i="11"/>
  <c r="K137" i="11"/>
  <c r="AX137" i="11"/>
  <c r="AM51" i="11"/>
  <c r="AR137" i="11"/>
  <c r="BA137" i="11"/>
  <c r="AT137" i="11"/>
  <c r="AT51" i="11"/>
  <c r="AN51" i="11"/>
  <c r="AS137" i="11"/>
  <c r="AP51" i="11"/>
  <c r="L51" i="11"/>
  <c r="AL51" i="11"/>
  <c r="AO51" i="11"/>
  <c r="AL137" i="11"/>
  <c r="BB137" i="11"/>
  <c r="AX51" i="11"/>
  <c r="AQ51" i="11"/>
  <c r="BG137" i="11"/>
  <c r="BG131" i="11"/>
  <c r="BG133" i="11" s="1"/>
  <c r="AM137" i="11"/>
  <c r="O51" i="11"/>
  <c r="L137" i="11"/>
  <c r="BE137" i="11"/>
  <c r="BB51" i="11"/>
  <c r="AJ137" i="11"/>
  <c r="AP137" i="11"/>
  <c r="AZ137" i="11"/>
  <c r="N51" i="11"/>
  <c r="AA19" i="12" l="1"/>
  <c r="N21" i="16"/>
  <c r="U19" i="12"/>
  <c r="BD47" i="13"/>
  <c r="BC47" i="13"/>
  <c r="L9" i="18"/>
  <c r="O19" i="16"/>
  <c r="L8" i="18"/>
  <c r="L11" i="18"/>
  <c r="N71" i="18"/>
  <c r="L10" i="18"/>
  <c r="N72" i="18"/>
  <c r="N73" i="18"/>
  <c r="M21" i="16" l="1"/>
  <c r="BE19" i="12"/>
  <c r="BA47" i="13"/>
  <c r="BB47" i="13"/>
  <c r="M71" i="18"/>
  <c r="M73" i="18"/>
  <c r="M72" i="18"/>
  <c r="AQ47" i="13"/>
  <c r="AG47" i="13"/>
  <c r="AN47" i="13"/>
  <c r="AE47" i="13"/>
  <c r="AD47" i="13"/>
  <c r="AR47" i="13"/>
  <c r="AC47" i="13"/>
  <c r="AS47" i="13"/>
  <c r="AI47" i="13"/>
  <c r="AF47" i="13"/>
  <c r="AJ47" i="13"/>
  <c r="AX47" i="13"/>
  <c r="AW47" i="13"/>
  <c r="AU47" i="13"/>
  <c r="AT47" i="13"/>
  <c r="AB47" i="13"/>
  <c r="AK47" i="13"/>
  <c r="AP47" i="13"/>
  <c r="AY47" i="13"/>
  <c r="AO47" i="13"/>
  <c r="AV47" i="13"/>
  <c r="AM47" i="13"/>
  <c r="AL47" i="13"/>
  <c r="AZ47" i="13"/>
  <c r="K36" i="18"/>
  <c r="L19" i="18"/>
  <c r="K19" i="18"/>
  <c r="AV19" i="12"/>
  <c r="L19" i="15"/>
  <c r="AF19" i="12"/>
  <c r="BU54" i="13"/>
  <c r="BV54" i="13" s="1"/>
  <c r="BU52" i="13"/>
  <c r="BV52" i="13" s="1"/>
  <c r="BU47" i="13"/>
  <c r="BV47" i="13" s="1"/>
  <c r="BU50" i="13"/>
  <c r="BV50" i="13" s="1"/>
  <c r="BU43" i="13"/>
  <c r="BV43" i="13" s="1"/>
  <c r="BU40" i="13"/>
  <c r="BV40" i="13" s="1"/>
  <c r="BU58" i="13"/>
  <c r="BV58" i="13" s="1"/>
  <c r="BU45" i="13"/>
  <c r="BV45" i="13" s="1"/>
  <c r="BU53" i="13"/>
  <c r="BV53" i="13" s="1"/>
  <c r="BU42" i="13"/>
  <c r="BV42" i="13" s="1"/>
  <c r="BU44" i="13"/>
  <c r="BV44" i="13" s="1"/>
  <c r="BU46" i="13"/>
  <c r="BV46" i="13" s="1"/>
  <c r="BU57" i="13"/>
  <c r="BV57" i="13" s="1"/>
  <c r="BU55" i="13"/>
  <c r="BV55" i="13" s="1"/>
  <c r="BU25" i="13"/>
  <c r="BV25" i="13" s="1"/>
  <c r="BU41" i="13"/>
  <c r="BV41" i="13" s="1"/>
  <c r="BU49" i="13"/>
  <c r="BV49" i="13" s="1"/>
  <c r="BU48" i="13"/>
  <c r="BV48" i="13" s="1"/>
  <c r="BU51" i="13"/>
  <c r="BV51" i="13" s="1"/>
  <c r="BU56" i="13"/>
  <c r="BV56" i="13" s="1"/>
  <c r="BU24" i="13"/>
  <c r="BV24" i="13" s="1"/>
  <c r="L21" i="16" l="1"/>
  <c r="BH19" i="12"/>
  <c r="BJ19" i="12" s="1"/>
  <c r="BL19" i="12" s="1"/>
  <c r="BN19" i="12" s="1"/>
  <c r="E57" i="16"/>
  <c r="C67" i="17" l="1"/>
  <c r="AK59" i="11" s="1"/>
  <c r="B67" i="17" l="1"/>
  <c r="A7" i="15" l="1"/>
  <c r="A8" i="15"/>
  <c r="A9" i="15"/>
  <c r="A10" i="15"/>
  <c r="A11" i="15"/>
  <c r="A13" i="15"/>
  <c r="A14" i="15"/>
  <c r="A15" i="15"/>
  <c r="A16" i="15"/>
  <c r="A17" i="15"/>
  <c r="A19" i="15"/>
  <c r="A20" i="15"/>
  <c r="A21" i="15"/>
  <c r="A22" i="15"/>
  <c r="A25" i="15"/>
  <c r="A31" i="15"/>
  <c r="A32" i="15"/>
  <c r="A33" i="15"/>
  <c r="A36" i="15"/>
  <c r="A37" i="15"/>
  <c r="A39" i="15"/>
  <c r="A40" i="15"/>
  <c r="A42" i="15"/>
  <c r="A46" i="15"/>
  <c r="A47" i="15"/>
  <c r="A48" i="15"/>
  <c r="A50" i="15"/>
  <c r="A51" i="15"/>
  <c r="A54" i="15"/>
  <c r="A55" i="15"/>
  <c r="A62" i="15"/>
  <c r="A64" i="15"/>
  <c r="A65" i="15"/>
  <c r="A66" i="15"/>
  <c r="A67" i="15"/>
  <c r="A68" i="15"/>
  <c r="A70" i="15"/>
  <c r="A72" i="15"/>
  <c r="A73" i="15"/>
  <c r="A74" i="15"/>
  <c r="A75" i="15"/>
  <c r="A76" i="15"/>
  <c r="A77" i="15"/>
  <c r="A78" i="15"/>
  <c r="A6" i="15"/>
  <c r="A29" i="15" l="1"/>
  <c r="A18" i="15"/>
  <c r="A38" i="15"/>
  <c r="A61" i="15"/>
  <c r="A60" i="15"/>
  <c r="A56" i="15"/>
  <c r="A58" i="15"/>
  <c r="A81" i="15"/>
  <c r="A69" i="15"/>
  <c r="A49" i="15"/>
  <c r="A43" i="15"/>
  <c r="A35" i="15"/>
  <c r="A28" i="15"/>
  <c r="A24" i="15"/>
  <c r="A12" i="15"/>
  <c r="A80" i="15"/>
  <c r="A52" i="15"/>
  <c r="A45" i="15"/>
  <c r="A27" i="15"/>
  <c r="A23" i="15"/>
  <c r="A5" i="15"/>
  <c r="A79" i="15"/>
  <c r="A71" i="15"/>
  <c r="A63" i="15"/>
  <c r="A57" i="15"/>
  <c r="A53" i="15"/>
  <c r="A44" i="15"/>
  <c r="A41" i="15"/>
  <c r="A34" i="15"/>
  <c r="A30" i="15"/>
  <c r="A26" i="15"/>
  <c r="L58" i="14"/>
  <c r="V56" i="12"/>
  <c r="K56" i="12"/>
  <c r="N67" i="17" l="1"/>
  <c r="G67" i="17"/>
  <c r="U56" i="12" l="1"/>
  <c r="G66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N51" i="17"/>
  <c r="N52" i="17"/>
  <c r="N53" i="17"/>
  <c r="N54" i="17"/>
  <c r="N55" i="17"/>
  <c r="N56" i="17"/>
  <c r="N57" i="17"/>
  <c r="N58" i="17"/>
  <c r="N59" i="17"/>
  <c r="N60" i="17"/>
  <c r="N61" i="17"/>
  <c r="N62" i="17"/>
  <c r="N63" i="17"/>
  <c r="N64" i="17"/>
  <c r="N65" i="17"/>
  <c r="N66" i="17"/>
  <c r="N17" i="17"/>
  <c r="N18" i="17"/>
  <c r="N16" i="17"/>
  <c r="G16" i="17"/>
  <c r="G17" i="17"/>
  <c r="G18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E56" i="16"/>
  <c r="L57" i="14"/>
  <c r="K55" i="12"/>
  <c r="V55" i="12"/>
  <c r="C66" i="17"/>
  <c r="M59" i="11" s="1"/>
  <c r="C17" i="17"/>
  <c r="J59" i="11" s="1"/>
  <c r="C18" i="17"/>
  <c r="K59" i="11" s="1"/>
  <c r="C20" i="17"/>
  <c r="N59" i="11" s="1"/>
  <c r="C21" i="17"/>
  <c r="O59" i="11" s="1"/>
  <c r="C22" i="17"/>
  <c r="P59" i="11" s="1"/>
  <c r="C23" i="17"/>
  <c r="Q59" i="11" s="1"/>
  <c r="C24" i="17"/>
  <c r="R59" i="11" s="1"/>
  <c r="C25" i="17"/>
  <c r="S59" i="11" s="1"/>
  <c r="C26" i="17"/>
  <c r="T59" i="11" s="1"/>
  <c r="C27" i="17"/>
  <c r="U59" i="11" s="1"/>
  <c r="C28" i="17"/>
  <c r="V59" i="11" s="1"/>
  <c r="C29" i="17"/>
  <c r="W59" i="11" s="1"/>
  <c r="C30" i="17"/>
  <c r="X59" i="11" s="1"/>
  <c r="C31" i="17"/>
  <c r="Y59" i="11" s="1"/>
  <c r="C32" i="17"/>
  <c r="Z59" i="11" s="1"/>
  <c r="C33" i="17"/>
  <c r="AA59" i="11" s="1"/>
  <c r="C34" i="17"/>
  <c r="AB59" i="11" s="1"/>
  <c r="C35" i="17"/>
  <c r="AC59" i="11" s="1"/>
  <c r="C36" i="17"/>
  <c r="AD59" i="11" s="1"/>
  <c r="C37" i="17"/>
  <c r="AE59" i="11" s="1"/>
  <c r="C38" i="17"/>
  <c r="AF59" i="11" s="1"/>
  <c r="C39" i="17"/>
  <c r="AG59" i="11" s="1"/>
  <c r="C40" i="17"/>
  <c r="AH59" i="11" s="1"/>
  <c r="C41" i="17"/>
  <c r="AI59" i="11" s="1"/>
  <c r="C42" i="17"/>
  <c r="AJ59" i="11" s="1"/>
  <c r="C43" i="17"/>
  <c r="AL59" i="11" s="1"/>
  <c r="C44" i="17"/>
  <c r="AM59" i="11" s="1"/>
  <c r="C45" i="17"/>
  <c r="AN59" i="11" s="1"/>
  <c r="C46" i="17"/>
  <c r="AO59" i="11" s="1"/>
  <c r="C47" i="17"/>
  <c r="AP59" i="11" s="1"/>
  <c r="AQ59" i="11"/>
  <c r="C49" i="17"/>
  <c r="AR59" i="11" s="1"/>
  <c r="C50" i="17"/>
  <c r="AS59" i="11" s="1"/>
  <c r="C51" i="17"/>
  <c r="AT59" i="11" s="1"/>
  <c r="C52" i="17"/>
  <c r="AU59" i="11" s="1"/>
  <c r="C53" i="17"/>
  <c r="AV59" i="11" s="1"/>
  <c r="C54" i="17"/>
  <c r="AW59" i="11" s="1"/>
  <c r="C55" i="17"/>
  <c r="AX59" i="11" s="1"/>
  <c r="C56" i="17"/>
  <c r="AY59" i="11" s="1"/>
  <c r="C57" i="17"/>
  <c r="AZ59" i="11" s="1"/>
  <c r="C58" i="17"/>
  <c r="BA59" i="11" s="1"/>
  <c r="C59" i="17"/>
  <c r="BB59" i="11" s="1"/>
  <c r="C60" i="17"/>
  <c r="BC59" i="11" s="1"/>
  <c r="C61" i="17"/>
  <c r="BD59" i="11" s="1"/>
  <c r="C62" i="17"/>
  <c r="BE59" i="11" s="1"/>
  <c r="C63" i="17"/>
  <c r="BF59" i="11" s="1"/>
  <c r="C64" i="17"/>
  <c r="BG59" i="11" s="1"/>
  <c r="C65" i="17"/>
  <c r="BH59" i="11" s="1"/>
  <c r="C16" i="17"/>
  <c r="B16" i="17" s="1"/>
  <c r="E17" i="16"/>
  <c r="E55" i="16"/>
  <c r="E54" i="16"/>
  <c r="E53" i="16"/>
  <c r="E52" i="16"/>
  <c r="E51" i="16"/>
  <c r="E50" i="16"/>
  <c r="E7" i="16"/>
  <c r="E49" i="16"/>
  <c r="E48" i="16"/>
  <c r="E47" i="16"/>
  <c r="E46" i="16"/>
  <c r="E45" i="16"/>
  <c r="E44" i="16"/>
  <c r="E43" i="16"/>
  <c r="E42" i="16"/>
  <c r="E41" i="16"/>
  <c r="E40" i="16"/>
  <c r="E39" i="16"/>
  <c r="E38" i="16"/>
  <c r="E37" i="16"/>
  <c r="E36" i="16"/>
  <c r="E35" i="16"/>
  <c r="E34" i="16"/>
  <c r="E33" i="16"/>
  <c r="E32" i="16"/>
  <c r="E31" i="16"/>
  <c r="E30" i="16"/>
  <c r="E29" i="16"/>
  <c r="E28" i="16"/>
  <c r="E27" i="16"/>
  <c r="E26" i="16"/>
  <c r="E25" i="16"/>
  <c r="E24" i="16"/>
  <c r="E23" i="16"/>
  <c r="E22" i="16"/>
  <c r="E21" i="16"/>
  <c r="E20" i="16"/>
  <c r="E18" i="16"/>
  <c r="E16" i="16"/>
  <c r="E15" i="16"/>
  <c r="E14" i="16"/>
  <c r="E13" i="16"/>
  <c r="E12" i="16"/>
  <c r="E11" i="16"/>
  <c r="E10" i="16"/>
  <c r="E9" i="16"/>
  <c r="E6" i="16"/>
  <c r="E8" i="16"/>
  <c r="L56" i="14"/>
  <c r="L55" i="14"/>
  <c r="L54" i="14"/>
  <c r="L53" i="14"/>
  <c r="L52" i="14"/>
  <c r="L51" i="14"/>
  <c r="L50" i="14"/>
  <c r="L49" i="14"/>
  <c r="L48" i="14"/>
  <c r="L47" i="14"/>
  <c r="L46" i="14"/>
  <c r="L45" i="14"/>
  <c r="L44" i="14"/>
  <c r="L43" i="14"/>
  <c r="L42" i="14"/>
  <c r="L41" i="14"/>
  <c r="L40" i="14"/>
  <c r="L39" i="14"/>
  <c r="L38" i="14"/>
  <c r="L37" i="14"/>
  <c r="L36" i="14"/>
  <c r="L35" i="14"/>
  <c r="L34" i="14"/>
  <c r="L33" i="14"/>
  <c r="L32" i="14"/>
  <c r="L31" i="14"/>
  <c r="L30" i="14"/>
  <c r="L29" i="14"/>
  <c r="L28" i="14"/>
  <c r="L27" i="14"/>
  <c r="L26" i="14"/>
  <c r="L25" i="14"/>
  <c r="L24" i="14"/>
  <c r="L23" i="14"/>
  <c r="L22" i="14"/>
  <c r="L21" i="14"/>
  <c r="L20" i="14"/>
  <c r="L18" i="14"/>
  <c r="L17" i="14"/>
  <c r="L16" i="14"/>
  <c r="L15" i="14"/>
  <c r="L14" i="14"/>
  <c r="L13" i="14"/>
  <c r="L12" i="14"/>
  <c r="L11" i="14"/>
  <c r="L10" i="14"/>
  <c r="L9" i="14"/>
  <c r="L8" i="14"/>
  <c r="L7" i="14"/>
  <c r="V54" i="12"/>
  <c r="K54" i="12"/>
  <c r="V53" i="12"/>
  <c r="K53" i="12"/>
  <c r="V52" i="12"/>
  <c r="K52" i="12"/>
  <c r="V51" i="12"/>
  <c r="K51" i="12"/>
  <c r="V50" i="12"/>
  <c r="K50" i="12"/>
  <c r="V49" i="12"/>
  <c r="K49" i="12"/>
  <c r="V48" i="12"/>
  <c r="K48" i="12"/>
  <c r="V47" i="12"/>
  <c r="K47" i="12"/>
  <c r="V46" i="12"/>
  <c r="K46" i="12"/>
  <c r="V45" i="12"/>
  <c r="K45" i="12"/>
  <c r="V44" i="12"/>
  <c r="K44" i="12"/>
  <c r="V43" i="12"/>
  <c r="K43" i="12"/>
  <c r="V42" i="12"/>
  <c r="K42" i="12"/>
  <c r="V41" i="12"/>
  <c r="K41" i="12"/>
  <c r="V40" i="12"/>
  <c r="K40" i="12"/>
  <c r="V39" i="12"/>
  <c r="K39" i="12"/>
  <c r="V38" i="12"/>
  <c r="K38" i="12"/>
  <c r="V37" i="12"/>
  <c r="K37" i="12"/>
  <c r="V36" i="12"/>
  <c r="K36" i="12"/>
  <c r="V35" i="12"/>
  <c r="K35" i="12"/>
  <c r="V34" i="12"/>
  <c r="K34" i="12"/>
  <c r="V33" i="12"/>
  <c r="K33" i="12"/>
  <c r="V32" i="12"/>
  <c r="K32" i="12"/>
  <c r="V31" i="12"/>
  <c r="K31" i="12"/>
  <c r="V30" i="12"/>
  <c r="K30" i="12"/>
  <c r="V29" i="12"/>
  <c r="K29" i="12"/>
  <c r="V28" i="12"/>
  <c r="K28" i="12"/>
  <c r="V27" i="12"/>
  <c r="K27" i="12"/>
  <c r="V26" i="12"/>
  <c r="K26" i="12"/>
  <c r="V25" i="12"/>
  <c r="K25" i="12"/>
  <c r="V24" i="12"/>
  <c r="K24" i="12"/>
  <c r="V23" i="12"/>
  <c r="K23" i="12"/>
  <c r="V22" i="12"/>
  <c r="K22" i="12"/>
  <c r="V21" i="12"/>
  <c r="K21" i="12"/>
  <c r="V20" i="12"/>
  <c r="K20" i="12"/>
  <c r="V18" i="12"/>
  <c r="K18" i="12"/>
  <c r="V17" i="12"/>
  <c r="K17" i="12"/>
  <c r="V16" i="12"/>
  <c r="K16" i="12"/>
  <c r="V15" i="12"/>
  <c r="K15" i="12"/>
  <c r="V14" i="12"/>
  <c r="K14" i="12"/>
  <c r="V13" i="12"/>
  <c r="K13" i="12"/>
  <c r="V12" i="12"/>
  <c r="K12" i="12"/>
  <c r="V11" i="12"/>
  <c r="K11" i="12"/>
  <c r="V10" i="12"/>
  <c r="K10" i="12"/>
  <c r="V9" i="12"/>
  <c r="K9" i="12"/>
  <c r="V8" i="12"/>
  <c r="K8" i="12"/>
  <c r="V7" i="12"/>
  <c r="K7" i="12"/>
  <c r="V6" i="12"/>
  <c r="K6" i="12"/>
  <c r="V5" i="12"/>
  <c r="K5" i="12"/>
  <c r="G77" i="17"/>
  <c r="F77" i="17"/>
  <c r="G76" i="17"/>
  <c r="F76" i="17"/>
  <c r="E75" i="17"/>
  <c r="I59" i="11" l="1"/>
  <c r="E6" i="13"/>
  <c r="U13" i="12"/>
  <c r="U55" i="12"/>
  <c r="U28" i="12"/>
  <c r="B63" i="17"/>
  <c r="AZ6" i="13"/>
  <c r="B59" i="17"/>
  <c r="AV6" i="13"/>
  <c r="B55" i="17"/>
  <c r="AR6" i="13"/>
  <c r="B51" i="17"/>
  <c r="AN6" i="13"/>
  <c r="B47" i="17"/>
  <c r="AJ6" i="13"/>
  <c r="B43" i="17"/>
  <c r="AF6" i="13"/>
  <c r="B39" i="17"/>
  <c r="AB6" i="13"/>
  <c r="B35" i="17"/>
  <c r="X6" i="13"/>
  <c r="B31" i="17"/>
  <c r="T6" i="13"/>
  <c r="B27" i="17"/>
  <c r="P6" i="13"/>
  <c r="B23" i="17"/>
  <c r="L6" i="13"/>
  <c r="H6" i="13"/>
  <c r="B62" i="17"/>
  <c r="AY6" i="13"/>
  <c r="B58" i="17"/>
  <c r="AU6" i="13"/>
  <c r="B54" i="17"/>
  <c r="AQ6" i="13"/>
  <c r="B50" i="17"/>
  <c r="AM6" i="13"/>
  <c r="B46" i="17"/>
  <c r="AI6" i="13"/>
  <c r="B42" i="17"/>
  <c r="AE6" i="13"/>
  <c r="B38" i="17"/>
  <c r="AA6" i="13"/>
  <c r="B34" i="17"/>
  <c r="W6" i="13"/>
  <c r="B30" i="17"/>
  <c r="S6" i="13"/>
  <c r="B26" i="17"/>
  <c r="O6" i="13"/>
  <c r="B22" i="17"/>
  <c r="K6" i="13"/>
  <c r="B18" i="17"/>
  <c r="G6" i="13"/>
  <c r="B65" i="17"/>
  <c r="BB6" i="13"/>
  <c r="B61" i="17"/>
  <c r="AX6" i="13"/>
  <c r="B57" i="17"/>
  <c r="AT6" i="13"/>
  <c r="B53" i="17"/>
  <c r="AP6" i="13"/>
  <c r="B49" i="17"/>
  <c r="AL6" i="13"/>
  <c r="B45" i="17"/>
  <c r="AH6" i="13"/>
  <c r="B41" i="17"/>
  <c r="AD6" i="13"/>
  <c r="B37" i="17"/>
  <c r="Z6" i="13"/>
  <c r="B33" i="17"/>
  <c r="V6" i="13"/>
  <c r="B29" i="17"/>
  <c r="R6" i="13"/>
  <c r="B25" i="17"/>
  <c r="N6" i="13"/>
  <c r="B21" i="17"/>
  <c r="J6" i="13"/>
  <c r="B17" i="17"/>
  <c r="F6" i="13"/>
  <c r="B64" i="17"/>
  <c r="BA6" i="13"/>
  <c r="B60" i="17"/>
  <c r="AW6" i="13"/>
  <c r="B56" i="17"/>
  <c r="AS6" i="13"/>
  <c r="B52" i="17"/>
  <c r="AO6" i="13"/>
  <c r="B48" i="17"/>
  <c r="AK6" i="13"/>
  <c r="B44" i="17"/>
  <c r="AG6" i="13"/>
  <c r="B40" i="17"/>
  <c r="AC6" i="13"/>
  <c r="B36" i="17"/>
  <c r="Y6" i="13"/>
  <c r="B32" i="17"/>
  <c r="U6" i="13"/>
  <c r="B28" i="17"/>
  <c r="Q6" i="13"/>
  <c r="B24" i="17"/>
  <c r="M6" i="13"/>
  <c r="B20" i="17"/>
  <c r="I6" i="13"/>
  <c r="B66" i="17"/>
  <c r="BC6" i="13"/>
  <c r="E76" i="17"/>
  <c r="L58" i="15"/>
  <c r="O54" i="16"/>
  <c r="O55" i="16"/>
  <c r="O56" i="16"/>
  <c r="L26" i="18"/>
  <c r="O57" i="16"/>
  <c r="E77" i="17"/>
  <c r="U53" i="12" l="1"/>
  <c r="U54" i="12"/>
  <c r="U29" i="12"/>
  <c r="U49" i="12"/>
  <c r="U48" i="12"/>
  <c r="U52" i="12"/>
  <c r="U50" i="12"/>
  <c r="U51" i="12"/>
  <c r="U24" i="12"/>
  <c r="U26" i="12"/>
  <c r="U45" i="12"/>
  <c r="U37" i="12"/>
  <c r="U46" i="12"/>
  <c r="U32" i="12"/>
  <c r="U31" i="12"/>
  <c r="U22" i="12"/>
  <c r="U42" i="12"/>
  <c r="U41" i="12"/>
  <c r="U40" i="12"/>
  <c r="U47" i="12"/>
  <c r="U11" i="12"/>
  <c r="L12" i="18"/>
  <c r="L14" i="18"/>
  <c r="L41" i="18"/>
  <c r="L17" i="18"/>
  <c r="L47" i="18"/>
  <c r="L50" i="18"/>
  <c r="L46" i="18"/>
  <c r="L15" i="18"/>
  <c r="L29" i="18"/>
  <c r="L16" i="18"/>
  <c r="L44" i="18"/>
  <c r="L45" i="18"/>
  <c r="L53" i="18"/>
  <c r="L56" i="18"/>
  <c r="L54" i="18"/>
  <c r="L48" i="18"/>
  <c r="L52" i="18"/>
  <c r="L13" i="18"/>
  <c r="L18" i="18"/>
  <c r="L51" i="18"/>
  <c r="L57" i="18"/>
  <c r="L49" i="18"/>
  <c r="L55" i="18"/>
  <c r="L27" i="18"/>
  <c r="L30" i="18"/>
  <c r="L34" i="18"/>
  <c r="L22" i="18"/>
  <c r="L25" i="18"/>
  <c r="L39" i="18"/>
  <c r="L38" i="18"/>
  <c r="L40" i="18"/>
  <c r="L23" i="18"/>
  <c r="L24" i="18"/>
  <c r="L31" i="18"/>
  <c r="L36" i="18"/>
  <c r="L37" i="18"/>
  <c r="L43" i="18"/>
  <c r="L35" i="18"/>
  <c r="L42" i="18"/>
  <c r="L20" i="18"/>
  <c r="L33" i="18"/>
  <c r="L28" i="18"/>
  <c r="L21" i="18"/>
  <c r="L32" i="18"/>
  <c r="U15" i="12"/>
  <c r="U21" i="12"/>
  <c r="U44" i="12"/>
  <c r="U43" i="12"/>
  <c r="O8" i="16"/>
  <c r="AV5" i="12"/>
  <c r="BH5" i="12" s="1"/>
  <c r="K6" i="18"/>
  <c r="AV10" i="12"/>
  <c r="BH10" i="12" s="1"/>
  <c r="U20" i="12"/>
  <c r="U23" i="12"/>
  <c r="K49" i="18"/>
  <c r="U34" i="12"/>
  <c r="U10" i="12"/>
  <c r="L43" i="15"/>
  <c r="L45" i="15"/>
  <c r="K8" i="18"/>
  <c r="L44" i="15"/>
  <c r="K18" i="18"/>
  <c r="L42" i="15"/>
  <c r="L41" i="15"/>
  <c r="L39" i="15"/>
  <c r="L46" i="15"/>
  <c r="L40" i="15"/>
  <c r="O44" i="16"/>
  <c r="K43" i="18"/>
  <c r="O35" i="16"/>
  <c r="K34" i="18"/>
  <c r="O28" i="16"/>
  <c r="K27" i="18"/>
  <c r="O21" i="16"/>
  <c r="K20" i="18"/>
  <c r="O45" i="16"/>
  <c r="K44" i="18"/>
  <c r="O17" i="16"/>
  <c r="K16" i="18"/>
  <c r="O33" i="16"/>
  <c r="K32" i="18"/>
  <c r="O29" i="16"/>
  <c r="K28" i="18"/>
  <c r="O14" i="16"/>
  <c r="K13" i="18"/>
  <c r="O10" i="16"/>
  <c r="K9" i="18"/>
  <c r="O11" i="16"/>
  <c r="K10" i="18"/>
  <c r="O41" i="16"/>
  <c r="K40" i="18"/>
  <c r="O34" i="16"/>
  <c r="K33" i="18"/>
  <c r="O27" i="16"/>
  <c r="K26" i="18"/>
  <c r="O38" i="16"/>
  <c r="K37" i="18"/>
  <c r="O16" i="16"/>
  <c r="K15" i="18"/>
  <c r="O46" i="16"/>
  <c r="K45" i="18"/>
  <c r="K51" i="18"/>
  <c r="O52" i="16"/>
  <c r="K52" i="18"/>
  <c r="O50" i="16"/>
  <c r="K50" i="18"/>
  <c r="O15" i="16"/>
  <c r="K14" i="18"/>
  <c r="O32" i="16"/>
  <c r="K31" i="18"/>
  <c r="O23" i="16"/>
  <c r="K22" i="18"/>
  <c r="O42" i="16"/>
  <c r="K41" i="18"/>
  <c r="O22" i="16"/>
  <c r="K21" i="18"/>
  <c r="O13" i="16"/>
  <c r="K12" i="18"/>
  <c r="O39" i="16"/>
  <c r="O25" i="16"/>
  <c r="O48" i="16"/>
  <c r="K47" i="18"/>
  <c r="O40" i="16"/>
  <c r="K39" i="18"/>
  <c r="O18" i="16"/>
  <c r="K17" i="18"/>
  <c r="O6" i="16"/>
  <c r="K7" i="18"/>
  <c r="L7" i="18"/>
  <c r="O43" i="16"/>
  <c r="K42" i="18"/>
  <c r="O12" i="16"/>
  <c r="K11" i="18"/>
  <c r="O53" i="16"/>
  <c r="K53" i="18"/>
  <c r="O37" i="16"/>
  <c r="O24" i="16"/>
  <c r="K23" i="18"/>
  <c r="O20" i="16"/>
  <c r="O47" i="16"/>
  <c r="K46" i="18"/>
  <c r="O31" i="16"/>
  <c r="K30" i="18"/>
  <c r="O36" i="16"/>
  <c r="K35" i="18"/>
  <c r="O26" i="16"/>
  <c r="K25" i="18"/>
  <c r="O30" i="16"/>
  <c r="K29" i="18"/>
  <c r="O49" i="16"/>
  <c r="K48" i="18"/>
  <c r="U14" i="12"/>
  <c r="O7" i="16"/>
  <c r="O51" i="16"/>
  <c r="O9" i="16"/>
  <c r="U30" i="12"/>
  <c r="U12" i="12"/>
  <c r="U33" i="12"/>
  <c r="U36" i="12"/>
  <c r="U27" i="12"/>
  <c r="U25" i="12"/>
  <c r="U17" i="12"/>
  <c r="U39" i="12"/>
  <c r="U35" i="12"/>
  <c r="U18" i="12"/>
  <c r="U38" i="12"/>
  <c r="U16" i="12"/>
  <c r="N6" i="16"/>
  <c r="L79" i="15"/>
  <c r="L75" i="15"/>
  <c r="AF21" i="12"/>
  <c r="AF37" i="12"/>
  <c r="L71" i="15"/>
  <c r="AF49" i="12"/>
  <c r="AF17" i="12"/>
  <c r="AF33" i="12"/>
  <c r="AF34" i="12"/>
  <c r="AF53" i="12"/>
  <c r="AF41" i="12"/>
  <c r="AF29" i="12"/>
  <c r="AF45" i="12"/>
  <c r="AF35" i="12"/>
  <c r="AF23" i="12"/>
  <c r="AF16" i="12"/>
  <c r="AF12" i="12"/>
  <c r="AF14" i="12"/>
  <c r="AF11" i="12"/>
  <c r="AF7" i="12"/>
  <c r="AF36" i="12"/>
  <c r="AF55" i="12"/>
  <c r="AF26" i="12"/>
  <c r="AF52" i="12"/>
  <c r="AF42" i="12"/>
  <c r="AF27" i="12"/>
  <c r="AF15" i="12"/>
  <c r="AF24" i="12"/>
  <c r="AF50" i="12"/>
  <c r="AF48" i="12"/>
  <c r="AF25" i="12"/>
  <c r="AF40" i="12"/>
  <c r="AF18" i="12"/>
  <c r="AF39" i="12"/>
  <c r="AF51" i="12"/>
  <c r="AF44" i="12"/>
  <c r="AF47" i="12"/>
  <c r="AF38" i="12"/>
  <c r="AF54" i="12"/>
  <c r="AF22" i="12"/>
  <c r="AF20" i="12"/>
  <c r="AF28" i="12"/>
  <c r="AF31" i="12"/>
  <c r="AF46" i="12"/>
  <c r="AF43" i="12"/>
  <c r="AF30" i="12"/>
  <c r="AF32" i="12"/>
  <c r="AF9" i="12"/>
  <c r="AF5" i="12"/>
  <c r="AF56" i="12"/>
  <c r="AF10" i="12"/>
  <c r="AF13" i="12"/>
  <c r="AF8" i="12"/>
  <c r="L26" i="15"/>
  <c r="L17" i="15"/>
  <c r="L37" i="15"/>
  <c r="L25" i="15"/>
  <c r="L13" i="15"/>
  <c r="L9" i="15"/>
  <c r="L53" i="15"/>
  <c r="L77" i="15"/>
  <c r="L80" i="15"/>
  <c r="L30" i="15"/>
  <c r="L36" i="15"/>
  <c r="L72" i="15"/>
  <c r="L78" i="15"/>
  <c r="L22" i="15"/>
  <c r="L16" i="15"/>
  <c r="L31" i="15"/>
  <c r="L73" i="15"/>
  <c r="L70" i="15"/>
  <c r="L81" i="15"/>
  <c r="L32" i="15"/>
  <c r="L24" i="15"/>
  <c r="L14" i="15"/>
  <c r="L28" i="15"/>
  <c r="L15" i="15"/>
  <c r="L29" i="15"/>
  <c r="L20" i="15"/>
  <c r="L33" i="15"/>
  <c r="L34" i="15"/>
  <c r="L74" i="15"/>
  <c r="L18" i="15"/>
  <c r="L21" i="15"/>
  <c r="L12" i="15"/>
  <c r="L61" i="15"/>
  <c r="L76" i="15"/>
  <c r="L55" i="15"/>
  <c r="L54" i="15"/>
  <c r="L35" i="15"/>
  <c r="L69" i="15"/>
  <c r="L49" i="15"/>
  <c r="L56" i="15"/>
  <c r="L68" i="15"/>
  <c r="L52" i="15"/>
  <c r="L67" i="15"/>
  <c r="L51" i="15"/>
  <c r="L23" i="15"/>
  <c r="L11" i="15"/>
  <c r="L10" i="15"/>
  <c r="L27" i="15"/>
  <c r="L65" i="15"/>
  <c r="L50" i="15"/>
  <c r="L64" i="15"/>
  <c r="L48" i="15"/>
  <c r="L62" i="15"/>
  <c r="L63" i="15"/>
  <c r="L47" i="15"/>
  <c r="L66" i="15"/>
  <c r="L57" i="15"/>
  <c r="L60" i="15"/>
  <c r="L38" i="15"/>
  <c r="L5" i="15"/>
  <c r="L6" i="15"/>
  <c r="L8" i="15"/>
  <c r="L7" i="15"/>
  <c r="AA23" i="12"/>
  <c r="N25" i="16"/>
  <c r="AA10" i="12"/>
  <c r="N12" i="16"/>
  <c r="AA20" i="12"/>
  <c r="N22" i="16"/>
  <c r="AA34" i="12"/>
  <c r="N36" i="16"/>
  <c r="AA5" i="12"/>
  <c r="N8" i="16"/>
  <c r="AA39" i="12"/>
  <c r="N41" i="16"/>
  <c r="AA50" i="12"/>
  <c r="N51" i="16"/>
  <c r="AA51" i="12"/>
  <c r="N52" i="16"/>
  <c r="AA30" i="12"/>
  <c r="N32" i="16"/>
  <c r="AA7" i="12"/>
  <c r="N9" i="16"/>
  <c r="AA18" i="12"/>
  <c r="N20" i="16"/>
  <c r="AA17" i="12"/>
  <c r="N19" i="16"/>
  <c r="AA36" i="12"/>
  <c r="N38" i="16"/>
  <c r="AA25" i="12"/>
  <c r="N27" i="16"/>
  <c r="AA12" i="12"/>
  <c r="N14" i="16"/>
  <c r="AA52" i="12"/>
  <c r="N53" i="16"/>
  <c r="AA16" i="12"/>
  <c r="N18" i="16"/>
  <c r="AA48" i="12"/>
  <c r="N7" i="16"/>
  <c r="AA6" i="12"/>
  <c r="AA14" i="12"/>
  <c r="N16" i="16"/>
  <c r="AA9" i="12"/>
  <c r="N11" i="16"/>
  <c r="AA35" i="12"/>
  <c r="N37" i="16"/>
  <c r="AA49" i="12"/>
  <c r="N50" i="16"/>
  <c r="AA38" i="12"/>
  <c r="N40" i="16"/>
  <c r="AA33" i="12"/>
  <c r="N35" i="16"/>
  <c r="AA27" i="12"/>
  <c r="N29" i="16"/>
  <c r="AA22" i="12"/>
  <c r="N24" i="16"/>
  <c r="AA42" i="12"/>
  <c r="N44" i="16"/>
  <c r="AA37" i="12"/>
  <c r="N39" i="16"/>
  <c r="AA46" i="12"/>
  <c r="N48" i="16"/>
  <c r="AA45" i="12"/>
  <c r="N47" i="16"/>
  <c r="AA32" i="12"/>
  <c r="N34" i="16"/>
  <c r="AA41" i="12"/>
  <c r="N43" i="16"/>
  <c r="AA11" i="12"/>
  <c r="N13" i="16"/>
  <c r="AA40" i="12"/>
  <c r="N42" i="16"/>
  <c r="AA31" i="12"/>
  <c r="N33" i="16"/>
  <c r="AA56" i="12"/>
  <c r="N57" i="16"/>
  <c r="AA24" i="12"/>
  <c r="N26" i="16"/>
  <c r="AA47" i="12"/>
  <c r="N49" i="16"/>
  <c r="AA26" i="12"/>
  <c r="N28" i="16"/>
  <c r="AA29" i="12"/>
  <c r="BE29" i="12" s="1"/>
  <c r="N31" i="16"/>
  <c r="AA28" i="12"/>
  <c r="N30" i="16"/>
  <c r="AA55" i="12"/>
  <c r="N56" i="16"/>
  <c r="AA13" i="12"/>
  <c r="N15" i="16"/>
  <c r="AA21" i="12"/>
  <c r="BE21" i="12" s="1"/>
  <c r="N17" i="16"/>
  <c r="AA15" i="12"/>
  <c r="AA44" i="12"/>
  <c r="N46" i="16"/>
  <c r="AA43" i="12"/>
  <c r="N45" i="16"/>
  <c r="N55" i="16"/>
  <c r="AA53" i="12"/>
  <c r="N54" i="16"/>
  <c r="AJ5" i="12"/>
  <c r="AX5" i="12" s="1"/>
  <c r="AA8" i="12"/>
  <c r="N10" i="16"/>
  <c r="K54" i="18"/>
  <c r="K55" i="18"/>
  <c r="K56" i="18"/>
  <c r="K57" i="18"/>
  <c r="AA54" i="12"/>
  <c r="M29" i="16" l="1"/>
  <c r="BE27" i="12"/>
  <c r="M54" i="16"/>
  <c r="BE53" i="12"/>
  <c r="M17" i="16"/>
  <c r="BE15" i="12"/>
  <c r="M57" i="16"/>
  <c r="BE56" i="12"/>
  <c r="M43" i="16"/>
  <c r="BE41" i="12"/>
  <c r="M39" i="16"/>
  <c r="BE37" i="12"/>
  <c r="M18" i="16"/>
  <c r="BE16" i="12"/>
  <c r="M38" i="16"/>
  <c r="BE36" i="12"/>
  <c r="M32" i="16"/>
  <c r="BE30" i="12"/>
  <c r="M12" i="16"/>
  <c r="BE10" i="12"/>
  <c r="BJ10" i="12" s="1"/>
  <c r="BL10" i="12" s="1"/>
  <c r="M35" i="16"/>
  <c r="BE33" i="12"/>
  <c r="M11" i="16"/>
  <c r="BE9" i="12"/>
  <c r="M8" i="16"/>
  <c r="BE5" i="12"/>
  <c r="BJ5" i="12" s="1"/>
  <c r="BL5" i="12" s="1"/>
  <c r="M25" i="16"/>
  <c r="BE23" i="12"/>
  <c r="M46" i="16"/>
  <c r="BE44" i="12"/>
  <c r="M37" i="16"/>
  <c r="BE35" i="12"/>
  <c r="M33" i="16"/>
  <c r="BE31" i="12"/>
  <c r="M10" i="16"/>
  <c r="BE8" i="12"/>
  <c r="BJ8" i="12" s="1"/>
  <c r="BL8" i="12" s="1"/>
  <c r="M40" i="16"/>
  <c r="BE38" i="12"/>
  <c r="M16" i="16"/>
  <c r="BE14" i="12"/>
  <c r="M36" i="16"/>
  <c r="BE34" i="12"/>
  <c r="M15" i="16"/>
  <c r="BE13" i="12"/>
  <c r="M34" i="16"/>
  <c r="BE32" i="12"/>
  <c r="M53" i="16"/>
  <c r="BE52" i="12"/>
  <c r="M19" i="16"/>
  <c r="BE17" i="12"/>
  <c r="M56" i="16"/>
  <c r="BE55" i="12"/>
  <c r="M49" i="16"/>
  <c r="BE47" i="12"/>
  <c r="M42" i="16"/>
  <c r="BE40" i="12"/>
  <c r="M47" i="16"/>
  <c r="BE45" i="12"/>
  <c r="M24" i="16"/>
  <c r="BE22" i="12"/>
  <c r="M6" i="16"/>
  <c r="BE6" i="12"/>
  <c r="M14" i="16"/>
  <c r="BE12" i="12"/>
  <c r="M20" i="16"/>
  <c r="BE18" i="12"/>
  <c r="M51" i="16"/>
  <c r="BE50" i="12"/>
  <c r="M28" i="16"/>
  <c r="BE26" i="12"/>
  <c r="M44" i="16"/>
  <c r="BE42" i="12"/>
  <c r="M52" i="16"/>
  <c r="BE51" i="12"/>
  <c r="M55" i="16"/>
  <c r="BE54" i="12"/>
  <c r="M45" i="16"/>
  <c r="BE43" i="12"/>
  <c r="M50" i="16"/>
  <c r="BE49" i="12"/>
  <c r="M22" i="16"/>
  <c r="BE20" i="12"/>
  <c r="M30" i="16"/>
  <c r="BE28" i="12"/>
  <c r="M26" i="16"/>
  <c r="BE24" i="12"/>
  <c r="M13" i="16"/>
  <c r="BE11" i="12"/>
  <c r="M48" i="16"/>
  <c r="BE46" i="12"/>
  <c r="M7" i="16"/>
  <c r="BE48" i="12"/>
  <c r="M27" i="16"/>
  <c r="BE25" i="12"/>
  <c r="M9" i="16"/>
  <c r="BE7" i="12"/>
  <c r="M41" i="16"/>
  <c r="BE39" i="12"/>
  <c r="M31" i="16"/>
  <c r="L8" i="16"/>
  <c r="AV29" i="12"/>
  <c r="BH29" i="12" s="1"/>
  <c r="BJ29" i="12" s="1"/>
  <c r="BL29" i="12" s="1"/>
  <c r="BN29" i="12" s="1"/>
  <c r="AV28" i="12"/>
  <c r="AV13" i="12"/>
  <c r="BH13" i="12" s="1"/>
  <c r="AV55" i="12"/>
  <c r="N23" i="16"/>
  <c r="M23" i="16"/>
  <c r="AV21" i="12"/>
  <c r="BH21" i="12" s="1"/>
  <c r="BJ21" i="12" s="1"/>
  <c r="BL21" i="12" s="1"/>
  <c r="BN21" i="12" s="1"/>
  <c r="AV43" i="12"/>
  <c r="AV15" i="12"/>
  <c r="BH15" i="12" s="1"/>
  <c r="AV44" i="12"/>
  <c r="AV53" i="12"/>
  <c r="AV54" i="12"/>
  <c r="AV20" i="12"/>
  <c r="AV23" i="12"/>
  <c r="AV34" i="12"/>
  <c r="BH6" i="12"/>
  <c r="AV33" i="12"/>
  <c r="AV38" i="12"/>
  <c r="AV39" i="12"/>
  <c r="AV42" i="12"/>
  <c r="AV56" i="12"/>
  <c r="AV7" i="12"/>
  <c r="BH7" i="12" s="1"/>
  <c r="AV37" i="12"/>
  <c r="AV45" i="12"/>
  <c r="AV22" i="12"/>
  <c r="AV49" i="12"/>
  <c r="AV18" i="12"/>
  <c r="AV11" i="12"/>
  <c r="BH11" i="12" s="1"/>
  <c r="AV47" i="12"/>
  <c r="AV32" i="12"/>
  <c r="AV35" i="12"/>
  <c r="AV9" i="12"/>
  <c r="BH9" i="12" s="1"/>
  <c r="AV48" i="12"/>
  <c r="AV16" i="12"/>
  <c r="AV52" i="12"/>
  <c r="AV12" i="12"/>
  <c r="BH12" i="12" s="1"/>
  <c r="AV25" i="12"/>
  <c r="AV36" i="12"/>
  <c r="AV30" i="12"/>
  <c r="AV17" i="12"/>
  <c r="AV31" i="12"/>
  <c r="AV40" i="12"/>
  <c r="AV26" i="12"/>
  <c r="AV41" i="12"/>
  <c r="AV46" i="12"/>
  <c r="AV27" i="12"/>
  <c r="AV14" i="12"/>
  <c r="BH14" i="12" s="1"/>
  <c r="AV51" i="12"/>
  <c r="AV50" i="12"/>
  <c r="BJ13" i="12" l="1"/>
  <c r="BL13" i="12" s="1"/>
  <c r="L52" i="16"/>
  <c r="K52" i="16" s="1"/>
  <c r="R52" i="16" s="1"/>
  <c r="M147" i="16" s="1"/>
  <c r="BH51" i="12"/>
  <c r="BJ51" i="12" s="1"/>
  <c r="BL51" i="12" s="1"/>
  <c r="BN51" i="12" s="1"/>
  <c r="L19" i="16"/>
  <c r="K19" i="16" s="1"/>
  <c r="D113" i="16" s="1"/>
  <c r="BH17" i="12"/>
  <c r="BJ17" i="12" s="1"/>
  <c r="BL17" i="12" s="1"/>
  <c r="L47" i="16"/>
  <c r="K47" i="16" s="1"/>
  <c r="G141" i="16" s="1"/>
  <c r="BH45" i="12"/>
  <c r="BJ45" i="12" s="1"/>
  <c r="BL45" i="12" s="1"/>
  <c r="BN45" i="12" s="1"/>
  <c r="BJ6" i="12"/>
  <c r="BL6" i="12" s="1"/>
  <c r="L51" i="16"/>
  <c r="K51" i="16" s="1"/>
  <c r="R51" i="16" s="1"/>
  <c r="P51" i="16" s="1"/>
  <c r="BH50" i="12"/>
  <c r="BJ50" i="12" s="1"/>
  <c r="BL50" i="12" s="1"/>
  <c r="BN50" i="12" s="1"/>
  <c r="L46" i="16"/>
  <c r="K46" i="16" s="1"/>
  <c r="E140" i="16" s="1"/>
  <c r="BH44" i="12"/>
  <c r="BJ44" i="12" s="1"/>
  <c r="BL44" i="12" s="1"/>
  <c r="BN44" i="12" s="1"/>
  <c r="L32" i="16"/>
  <c r="K32" i="16" s="1"/>
  <c r="D126" i="16" s="1"/>
  <c r="BH30" i="12"/>
  <c r="BJ30" i="12" s="1"/>
  <c r="BL30" i="12" s="1"/>
  <c r="BN30" i="12" s="1"/>
  <c r="L37" i="16"/>
  <c r="K37" i="16" s="1"/>
  <c r="D131" i="16" s="1"/>
  <c r="BH35" i="12"/>
  <c r="BJ35" i="12" s="1"/>
  <c r="BL35" i="12" s="1"/>
  <c r="BN35" i="12" s="1"/>
  <c r="L39" i="16"/>
  <c r="K39" i="16" s="1"/>
  <c r="D133" i="16" s="1"/>
  <c r="BH37" i="12"/>
  <c r="BJ37" i="12" s="1"/>
  <c r="BL37" i="12" s="1"/>
  <c r="BN37" i="12" s="1"/>
  <c r="L26" i="16"/>
  <c r="K26" i="16" s="1"/>
  <c r="D120" i="16" s="1"/>
  <c r="BH24" i="12"/>
  <c r="BJ24" i="12" s="1"/>
  <c r="BL24" i="12" s="1"/>
  <c r="BN24" i="12" s="1"/>
  <c r="L45" i="16"/>
  <c r="K45" i="16" s="1"/>
  <c r="D139" i="16" s="1"/>
  <c r="BH43" i="12"/>
  <c r="BJ43" i="12" s="1"/>
  <c r="BL43" i="12" s="1"/>
  <c r="BN43" i="12" s="1"/>
  <c r="BJ15" i="12"/>
  <c r="BL15" i="12" s="1"/>
  <c r="L48" i="16"/>
  <c r="K48" i="16" s="1"/>
  <c r="F142" i="16" s="1"/>
  <c r="BH46" i="12"/>
  <c r="BJ46" i="12" s="1"/>
  <c r="BL46" i="12" s="1"/>
  <c r="BN46" i="12" s="1"/>
  <c r="L27" i="16"/>
  <c r="K27" i="16" s="1"/>
  <c r="F121" i="16" s="1"/>
  <c r="BH25" i="12"/>
  <c r="BJ25" i="12" s="1"/>
  <c r="BL25" i="12" s="1"/>
  <c r="BN25" i="12" s="1"/>
  <c r="L49" i="16"/>
  <c r="K49" i="16" s="1"/>
  <c r="D143" i="16" s="1"/>
  <c r="BH47" i="12"/>
  <c r="BJ47" i="12" s="1"/>
  <c r="BL47" i="12" s="1"/>
  <c r="BN47" i="12" s="1"/>
  <c r="L57" i="16"/>
  <c r="K57" i="16" s="1"/>
  <c r="BH56" i="12"/>
  <c r="BJ56" i="12" s="1"/>
  <c r="BL56" i="12" s="1"/>
  <c r="L25" i="16"/>
  <c r="K25" i="16" s="1"/>
  <c r="E119" i="16" s="1"/>
  <c r="BH23" i="12"/>
  <c r="BJ23" i="12" s="1"/>
  <c r="BL23" i="12" s="1"/>
  <c r="BN23" i="12" s="1"/>
  <c r="L24" i="16"/>
  <c r="K24" i="16" s="1"/>
  <c r="F118" i="16" s="1"/>
  <c r="BH22" i="12"/>
  <c r="BJ22" i="12" s="1"/>
  <c r="BL22" i="12" s="1"/>
  <c r="BN22" i="12" s="1"/>
  <c r="L38" i="16"/>
  <c r="K38" i="16" s="1"/>
  <c r="F132" i="16" s="1"/>
  <c r="BH36" i="12"/>
  <c r="BJ36" i="12" s="1"/>
  <c r="BL36" i="12" s="1"/>
  <c r="BN36" i="12" s="1"/>
  <c r="L36" i="16"/>
  <c r="K36" i="16" s="1"/>
  <c r="F130" i="16" s="1"/>
  <c r="BH34" i="12"/>
  <c r="BJ34" i="12" s="1"/>
  <c r="BL34" i="12" s="1"/>
  <c r="BN34" i="12" s="1"/>
  <c r="L44" i="16"/>
  <c r="K44" i="16" s="1"/>
  <c r="D138" i="16" s="1"/>
  <c r="BH42" i="12"/>
  <c r="BJ42" i="12" s="1"/>
  <c r="BL42" i="12" s="1"/>
  <c r="BN42" i="12" s="1"/>
  <c r="L22" i="16"/>
  <c r="K22" i="16" s="1"/>
  <c r="R22" i="16" s="1"/>
  <c r="N116" i="16" s="1"/>
  <c r="BH20" i="12"/>
  <c r="BJ20" i="12" s="1"/>
  <c r="BL20" i="12" s="1"/>
  <c r="BN20" i="12" s="1"/>
  <c r="L33" i="16"/>
  <c r="K33" i="16" s="1"/>
  <c r="F127" i="16" s="1"/>
  <c r="BH31" i="12"/>
  <c r="BJ31" i="12" s="1"/>
  <c r="BL31" i="12" s="1"/>
  <c r="BN31" i="12" s="1"/>
  <c r="L34" i="16"/>
  <c r="K34" i="16" s="1"/>
  <c r="D128" i="16" s="1"/>
  <c r="BH32" i="12"/>
  <c r="BJ32" i="12" s="1"/>
  <c r="BL32" i="12" s="1"/>
  <c r="BN32" i="12" s="1"/>
  <c r="L43" i="16"/>
  <c r="K43" i="16" s="1"/>
  <c r="R43" i="16" s="1"/>
  <c r="L137" i="16" s="1"/>
  <c r="BH41" i="12"/>
  <c r="BJ41" i="12" s="1"/>
  <c r="BL41" i="12" s="1"/>
  <c r="BN41" i="12" s="1"/>
  <c r="L28" i="16"/>
  <c r="K28" i="16" s="1"/>
  <c r="D122" i="16" s="1"/>
  <c r="BH26" i="12"/>
  <c r="BJ26" i="12" s="1"/>
  <c r="BL26" i="12" s="1"/>
  <c r="BN26" i="12" s="1"/>
  <c r="L53" i="16"/>
  <c r="K53" i="16" s="1"/>
  <c r="D148" i="16" s="1"/>
  <c r="BH52" i="12"/>
  <c r="BJ52" i="12" s="1"/>
  <c r="BL52" i="12" s="1"/>
  <c r="BN52" i="12" s="1"/>
  <c r="L20" i="16"/>
  <c r="K20" i="16" s="1"/>
  <c r="R20" i="16" s="1"/>
  <c r="P20" i="16" s="1"/>
  <c r="O114" i="16" s="1"/>
  <c r="BH18" i="12"/>
  <c r="BJ18" i="12" s="1"/>
  <c r="BL18" i="12" s="1"/>
  <c r="L41" i="16"/>
  <c r="K41" i="16" s="1"/>
  <c r="D135" i="16" s="1"/>
  <c r="BH39" i="12"/>
  <c r="BJ39" i="12" s="1"/>
  <c r="BL39" i="12" s="1"/>
  <c r="BN39" i="12" s="1"/>
  <c r="L55" i="16"/>
  <c r="K55" i="16" s="1"/>
  <c r="D150" i="16" s="1"/>
  <c r="BH54" i="12"/>
  <c r="BJ54" i="12" s="1"/>
  <c r="BL54" i="12" s="1"/>
  <c r="L56" i="16"/>
  <c r="K56" i="16" s="1"/>
  <c r="F151" i="16" s="1"/>
  <c r="BH55" i="12"/>
  <c r="BJ55" i="12" s="1"/>
  <c r="BL55" i="12" s="1"/>
  <c r="BJ7" i="12"/>
  <c r="BL7" i="12" s="1"/>
  <c r="BJ11" i="12"/>
  <c r="BL11" i="12" s="1"/>
  <c r="L7" i="16"/>
  <c r="K7" i="16" s="1"/>
  <c r="E144" i="16" s="1"/>
  <c r="BH48" i="12"/>
  <c r="BJ48" i="12" s="1"/>
  <c r="BL48" i="12" s="1"/>
  <c r="BN48" i="12" s="1"/>
  <c r="L35" i="16"/>
  <c r="K35" i="16" s="1"/>
  <c r="D129" i="16" s="1"/>
  <c r="BH33" i="12"/>
  <c r="BJ33" i="12" s="1"/>
  <c r="BL33" i="12" s="1"/>
  <c r="BN33" i="12" s="1"/>
  <c r="L30" i="16"/>
  <c r="K30" i="16" s="1"/>
  <c r="F124" i="16" s="1"/>
  <c r="BH28" i="12"/>
  <c r="BJ28" i="12" s="1"/>
  <c r="BL28" i="12" s="1"/>
  <c r="BN28" i="12" s="1"/>
  <c r="L29" i="16"/>
  <c r="K29" i="16" s="1"/>
  <c r="G123" i="16" s="1"/>
  <c r="BH27" i="12"/>
  <c r="BJ27" i="12" s="1"/>
  <c r="BL27" i="12" s="1"/>
  <c r="BN27" i="12" s="1"/>
  <c r="L42" i="16"/>
  <c r="K42" i="16" s="1"/>
  <c r="F136" i="16" s="1"/>
  <c r="BH40" i="12"/>
  <c r="BJ40" i="12" s="1"/>
  <c r="BL40" i="12" s="1"/>
  <c r="BN40" i="12" s="1"/>
  <c r="L18" i="16"/>
  <c r="K18" i="16" s="1"/>
  <c r="F112" i="16" s="1"/>
  <c r="BH16" i="12"/>
  <c r="BJ16" i="12" s="1"/>
  <c r="BL16" i="12" s="1"/>
  <c r="L50" i="16"/>
  <c r="K50" i="16" s="1"/>
  <c r="D145" i="16" s="1"/>
  <c r="BH49" i="12"/>
  <c r="BJ49" i="12" s="1"/>
  <c r="BL49" i="12" s="1"/>
  <c r="BN49" i="12" s="1"/>
  <c r="L40" i="16"/>
  <c r="K40" i="16" s="1"/>
  <c r="D134" i="16" s="1"/>
  <c r="BH38" i="12"/>
  <c r="BJ38" i="12" s="1"/>
  <c r="BL38" i="12" s="1"/>
  <c r="BN38" i="12" s="1"/>
  <c r="L54" i="16"/>
  <c r="K54" i="16" s="1"/>
  <c r="R54" i="16" s="1"/>
  <c r="BH53" i="12"/>
  <c r="BJ53" i="12" s="1"/>
  <c r="BL53" i="12" s="1"/>
  <c r="BJ12" i="12"/>
  <c r="BL12" i="12" s="1"/>
  <c r="BJ14" i="12"/>
  <c r="BL14" i="12" s="1"/>
  <c r="BJ9" i="12"/>
  <c r="BL9" i="12" s="1"/>
  <c r="K8" i="16"/>
  <c r="D101" i="16" s="1"/>
  <c r="L31" i="16"/>
  <c r="K31" i="16" s="1"/>
  <c r="D125" i="16" s="1"/>
  <c r="K21" i="16"/>
  <c r="R21" i="16" s="1"/>
  <c r="Q21" i="16" s="1"/>
  <c r="P115" i="16" s="1"/>
  <c r="L16" i="16"/>
  <c r="K16" i="16" s="1"/>
  <c r="R16" i="16" s="1"/>
  <c r="N110" i="16" s="1"/>
  <c r="L10" i="16"/>
  <c r="L15" i="16"/>
  <c r="K15" i="16" s="1"/>
  <c r="E109" i="16" s="1"/>
  <c r="L13" i="16"/>
  <c r="K13" i="16" s="1"/>
  <c r="D107" i="16" s="1"/>
  <c r="L14" i="16"/>
  <c r="K14" i="16" s="1"/>
  <c r="R14" i="16" s="1"/>
  <c r="P14" i="16" s="1"/>
  <c r="O108" i="16" s="1"/>
  <c r="L17" i="16"/>
  <c r="K17" i="16" s="1"/>
  <c r="F111" i="16" s="1"/>
  <c r="L12" i="16"/>
  <c r="K12" i="16" s="1"/>
  <c r="G106" i="16" s="1"/>
  <c r="L11" i="16"/>
  <c r="K11" i="16" s="1"/>
  <c r="R11" i="16" s="1"/>
  <c r="Q11" i="16" s="1"/>
  <c r="P105" i="16" s="1"/>
  <c r="L9" i="16"/>
  <c r="L6" i="16"/>
  <c r="L23" i="16"/>
  <c r="K23" i="16" s="1"/>
  <c r="D117" i="16" s="1"/>
  <c r="F120" i="16" l="1"/>
  <c r="E147" i="16"/>
  <c r="R24" i="16"/>
  <c r="K118" i="16" s="1"/>
  <c r="K146" i="16"/>
  <c r="D146" i="16"/>
  <c r="R27" i="16"/>
  <c r="N121" i="16" s="1"/>
  <c r="E120" i="16"/>
  <c r="G120" i="16"/>
  <c r="E114" i="16"/>
  <c r="D121" i="16"/>
  <c r="Q20" i="16"/>
  <c r="P114" i="16" s="1"/>
  <c r="M114" i="16"/>
  <c r="R55" i="16"/>
  <c r="Q55" i="16" s="1"/>
  <c r="P150" i="16" s="1"/>
  <c r="R44" i="16"/>
  <c r="Q44" i="16" s="1"/>
  <c r="P138" i="16" s="1"/>
  <c r="R28" i="16"/>
  <c r="N122" i="16" s="1"/>
  <c r="F145" i="16"/>
  <c r="R50" i="16"/>
  <c r="L145" i="16" s="1"/>
  <c r="G122" i="16"/>
  <c r="R35" i="16"/>
  <c r="K129" i="16" s="1"/>
  <c r="F116" i="16"/>
  <c r="F129" i="16"/>
  <c r="L116" i="16"/>
  <c r="D116" i="16"/>
  <c r="E122" i="16"/>
  <c r="F122" i="16"/>
  <c r="R18" i="16"/>
  <c r="M112" i="16" s="1"/>
  <c r="G138" i="16"/>
  <c r="R33" i="16"/>
  <c r="Q33" i="16" s="1"/>
  <c r="P127" i="16" s="1"/>
  <c r="E130" i="16"/>
  <c r="D112" i="16"/>
  <c r="E124" i="16"/>
  <c r="E127" i="16"/>
  <c r="R26" i="16"/>
  <c r="L120" i="16" s="1"/>
  <c r="G118" i="16"/>
  <c r="F147" i="16"/>
  <c r="E141" i="16"/>
  <c r="E132" i="16"/>
  <c r="R41" i="16"/>
  <c r="P41" i="16" s="1"/>
  <c r="O135" i="16" s="1"/>
  <c r="R47" i="16"/>
  <c r="P47" i="16" s="1"/>
  <c r="O141" i="16" s="1"/>
  <c r="E150" i="16"/>
  <c r="F150" i="16"/>
  <c r="F141" i="16"/>
  <c r="D132" i="16"/>
  <c r="G150" i="16"/>
  <c r="N146" i="16"/>
  <c r="G121" i="16"/>
  <c r="E116" i="16"/>
  <c r="R45" i="16"/>
  <c r="P45" i="16" s="1"/>
  <c r="O139" i="16" s="1"/>
  <c r="E112" i="16"/>
  <c r="D141" i="16"/>
  <c r="G147" i="16"/>
  <c r="E121" i="16"/>
  <c r="M116" i="16"/>
  <c r="R38" i="16"/>
  <c r="K132" i="16" s="1"/>
  <c r="K116" i="16"/>
  <c r="G124" i="16"/>
  <c r="R30" i="16"/>
  <c r="L124" i="16" s="1"/>
  <c r="G132" i="16"/>
  <c r="D147" i="16"/>
  <c r="G116" i="16"/>
  <c r="N137" i="16"/>
  <c r="N147" i="16"/>
  <c r="Q52" i="16"/>
  <c r="P147" i="16" s="1"/>
  <c r="K147" i="16"/>
  <c r="Q22" i="16"/>
  <c r="P116" i="16" s="1"/>
  <c r="P52" i="16"/>
  <c r="O147" i="16" s="1"/>
  <c r="P43" i="16"/>
  <c r="O137" i="16" s="1"/>
  <c r="L147" i="16"/>
  <c r="P22" i="16"/>
  <c r="O116" i="16" s="1"/>
  <c r="G131" i="16"/>
  <c r="R37" i="16"/>
  <c r="K131" i="16" s="1"/>
  <c r="F143" i="16"/>
  <c r="M137" i="16"/>
  <c r="E118" i="16"/>
  <c r="K114" i="16"/>
  <c r="F135" i="16"/>
  <c r="F119" i="16"/>
  <c r="F139" i="16"/>
  <c r="G114" i="16"/>
  <c r="D119" i="16"/>
  <c r="R25" i="16"/>
  <c r="P25" i="16" s="1"/>
  <c r="O119" i="16" s="1"/>
  <c r="E131" i="16"/>
  <c r="D124" i="16"/>
  <c r="G128" i="16"/>
  <c r="R48" i="16"/>
  <c r="L142" i="16" s="1"/>
  <c r="D118" i="16"/>
  <c r="F126" i="16"/>
  <c r="G119" i="16"/>
  <c r="D142" i="16"/>
  <c r="R34" i="16"/>
  <c r="N128" i="16" s="1"/>
  <c r="E128" i="16"/>
  <c r="G142" i="16"/>
  <c r="G145" i="16"/>
  <c r="F114" i="16"/>
  <c r="G126" i="16"/>
  <c r="F131" i="16"/>
  <c r="F128" i="16"/>
  <c r="E142" i="16"/>
  <c r="E145" i="16"/>
  <c r="D114" i="16"/>
  <c r="R36" i="16"/>
  <c r="K130" i="16" s="1"/>
  <c r="N114" i="16"/>
  <c r="L114" i="16"/>
  <c r="E139" i="16"/>
  <c r="E143" i="16"/>
  <c r="G151" i="16"/>
  <c r="G127" i="16"/>
  <c r="E137" i="16"/>
  <c r="F138" i="16"/>
  <c r="E126" i="16"/>
  <c r="F134" i="16"/>
  <c r="G139" i="16"/>
  <c r="R49" i="16"/>
  <c r="L143" i="16" s="1"/>
  <c r="F137" i="16"/>
  <c r="K137" i="16"/>
  <c r="E138" i="16"/>
  <c r="R32" i="16"/>
  <c r="N126" i="16" s="1"/>
  <c r="G134" i="16"/>
  <c r="G143" i="16"/>
  <c r="E129" i="16"/>
  <c r="G112" i="16"/>
  <c r="D137" i="16"/>
  <c r="G137" i="16"/>
  <c r="G129" i="16"/>
  <c r="D127" i="16"/>
  <c r="Q43" i="16"/>
  <c r="P137" i="16" s="1"/>
  <c r="E135" i="16"/>
  <c r="L146" i="16"/>
  <c r="D151" i="16"/>
  <c r="F146" i="16"/>
  <c r="R56" i="16"/>
  <c r="M151" i="16" s="1"/>
  <c r="Q51" i="16"/>
  <c r="P146" i="16" s="1"/>
  <c r="R42" i="16"/>
  <c r="P42" i="16" s="1"/>
  <c r="O136" i="16" s="1"/>
  <c r="G146" i="16"/>
  <c r="E134" i="16"/>
  <c r="D130" i="16"/>
  <c r="M146" i="16"/>
  <c r="F148" i="16"/>
  <c r="E136" i="16"/>
  <c r="F133" i="16"/>
  <c r="G148" i="16"/>
  <c r="R40" i="16"/>
  <c r="Q40" i="16" s="1"/>
  <c r="P134" i="16" s="1"/>
  <c r="G130" i="16"/>
  <c r="R39" i="16"/>
  <c r="M133" i="16" s="1"/>
  <c r="D136" i="16"/>
  <c r="E133" i="16"/>
  <c r="R53" i="16"/>
  <c r="P53" i="16" s="1"/>
  <c r="O148" i="16" s="1"/>
  <c r="E146" i="16"/>
  <c r="G136" i="16"/>
  <c r="E151" i="16"/>
  <c r="G133" i="16"/>
  <c r="E148" i="16"/>
  <c r="G135" i="16"/>
  <c r="G144" i="16"/>
  <c r="F101" i="16"/>
  <c r="D144" i="16"/>
  <c r="R7" i="16"/>
  <c r="N144" i="16" s="1"/>
  <c r="G101" i="16"/>
  <c r="R8" i="16"/>
  <c r="P8" i="16" s="1"/>
  <c r="O101" i="16" s="1"/>
  <c r="E101" i="16"/>
  <c r="G149" i="16"/>
  <c r="E149" i="16"/>
  <c r="F149" i="16"/>
  <c r="D149" i="16"/>
  <c r="K10" i="16"/>
  <c r="D104" i="16" s="1"/>
  <c r="K9" i="16"/>
  <c r="G103" i="16" s="1"/>
  <c r="F144" i="16"/>
  <c r="K6" i="16"/>
  <c r="G102" i="16" s="1"/>
  <c r="F123" i="16"/>
  <c r="M115" i="16"/>
  <c r="R29" i="16"/>
  <c r="N123" i="16" s="1"/>
  <c r="E123" i="16"/>
  <c r="F125" i="16"/>
  <c r="G125" i="16"/>
  <c r="R31" i="16"/>
  <c r="M125" i="16" s="1"/>
  <c r="E125" i="16"/>
  <c r="N115" i="16"/>
  <c r="E115" i="16"/>
  <c r="P21" i="16"/>
  <c r="O115" i="16" s="1"/>
  <c r="L115" i="16"/>
  <c r="F115" i="16"/>
  <c r="D115" i="16"/>
  <c r="K115" i="16"/>
  <c r="G115" i="16"/>
  <c r="R19" i="16"/>
  <c r="G113" i="16"/>
  <c r="E113" i="16"/>
  <c r="F113" i="16"/>
  <c r="D123" i="16"/>
  <c r="E107" i="16"/>
  <c r="F107" i="16"/>
  <c r="R13" i="16"/>
  <c r="L107" i="16" s="1"/>
  <c r="G107" i="16"/>
  <c r="Q14" i="16"/>
  <c r="P108" i="16" s="1"/>
  <c r="F108" i="16"/>
  <c r="R17" i="16"/>
  <c r="M111" i="16" s="1"/>
  <c r="G109" i="16"/>
  <c r="E106" i="16"/>
  <c r="D111" i="16"/>
  <c r="E111" i="16"/>
  <c r="G111" i="16"/>
  <c r="N105" i="16"/>
  <c r="Q16" i="16"/>
  <c r="P110" i="16" s="1"/>
  <c r="E110" i="16"/>
  <c r="M108" i="16"/>
  <c r="F110" i="16"/>
  <c r="N108" i="16"/>
  <c r="D106" i="16"/>
  <c r="G110" i="16"/>
  <c r="D108" i="16"/>
  <c r="L110" i="16"/>
  <c r="E108" i="16"/>
  <c r="D110" i="16"/>
  <c r="P16" i="16"/>
  <c r="O110" i="16" s="1"/>
  <c r="L108" i="16"/>
  <c r="M110" i="16"/>
  <c r="G108" i="16"/>
  <c r="K108" i="16"/>
  <c r="K110" i="16"/>
  <c r="R15" i="16"/>
  <c r="P15" i="16" s="1"/>
  <c r="O109" i="16" s="1"/>
  <c r="R12" i="16"/>
  <c r="Q12" i="16" s="1"/>
  <c r="P106" i="16" s="1"/>
  <c r="F106" i="16"/>
  <c r="D109" i="16"/>
  <c r="F109" i="16"/>
  <c r="E105" i="16"/>
  <c r="K105" i="16"/>
  <c r="F105" i="16"/>
  <c r="P11" i="16"/>
  <c r="J11" i="16" s="1"/>
  <c r="G105" i="16"/>
  <c r="D105" i="16"/>
  <c r="M105" i="16"/>
  <c r="L105" i="16"/>
  <c r="R57" i="16"/>
  <c r="G152" i="16"/>
  <c r="F152" i="16"/>
  <c r="E152" i="16"/>
  <c r="D152" i="16"/>
  <c r="F117" i="16"/>
  <c r="E117" i="16"/>
  <c r="R23" i="16"/>
  <c r="P23" i="16" s="1"/>
  <c r="O117" i="16" s="1"/>
  <c r="G117" i="16"/>
  <c r="R46" i="16"/>
  <c r="Q46" i="16" s="1"/>
  <c r="P140" i="16" s="1"/>
  <c r="F140" i="16"/>
  <c r="G140" i="16"/>
  <c r="D140" i="16"/>
  <c r="L149" i="16"/>
  <c r="P54" i="16"/>
  <c r="O149" i="16" s="1"/>
  <c r="M149" i="16"/>
  <c r="N149" i="16"/>
  <c r="Q54" i="16"/>
  <c r="P149" i="16" s="1"/>
  <c r="K149" i="16"/>
  <c r="O146" i="16"/>
  <c r="P24" i="16" l="1"/>
  <c r="O118" i="16" s="1"/>
  <c r="Q24" i="16"/>
  <c r="P118" i="16" s="1"/>
  <c r="M118" i="16"/>
  <c r="N118" i="16"/>
  <c r="L118" i="16"/>
  <c r="Q27" i="16"/>
  <c r="P121" i="16" s="1"/>
  <c r="L121" i="16"/>
  <c r="P27" i="16"/>
  <c r="O121" i="16" s="1"/>
  <c r="M121" i="16"/>
  <c r="K121" i="16"/>
  <c r="J20" i="16"/>
  <c r="M145" i="16"/>
  <c r="N145" i="16"/>
  <c r="M143" i="16"/>
  <c r="P44" i="16"/>
  <c r="O138" i="16" s="1"/>
  <c r="M138" i="16"/>
  <c r="N119" i="16"/>
  <c r="L138" i="16"/>
  <c r="N138" i="16"/>
  <c r="K138" i="16"/>
  <c r="N150" i="16"/>
  <c r="L122" i="16"/>
  <c r="Q26" i="16"/>
  <c r="P120" i="16" s="1"/>
  <c r="P49" i="16"/>
  <c r="O143" i="16" s="1"/>
  <c r="N124" i="16"/>
  <c r="K120" i="16"/>
  <c r="M119" i="16"/>
  <c r="L150" i="16"/>
  <c r="K150" i="16"/>
  <c r="M150" i="16"/>
  <c r="P55" i="16"/>
  <c r="J55" i="16" s="1"/>
  <c r="K122" i="16"/>
  <c r="Q28" i="16"/>
  <c r="P122" i="16" s="1"/>
  <c r="M122" i="16"/>
  <c r="P28" i="16"/>
  <c r="O122" i="16" s="1"/>
  <c r="K145" i="16"/>
  <c r="Q50" i="16"/>
  <c r="P145" i="16" s="1"/>
  <c r="P50" i="16"/>
  <c r="O145" i="16" s="1"/>
  <c r="M120" i="16"/>
  <c r="Q49" i="16"/>
  <c r="P143" i="16" s="1"/>
  <c r="L119" i="16"/>
  <c r="M124" i="16"/>
  <c r="N120" i="16"/>
  <c r="P26" i="16"/>
  <c r="O120" i="16" s="1"/>
  <c r="K124" i="16"/>
  <c r="P30" i="16"/>
  <c r="O124" i="16" s="1"/>
  <c r="J22" i="16"/>
  <c r="K143" i="16"/>
  <c r="N143" i="16"/>
  <c r="Q30" i="16"/>
  <c r="P124" i="16" s="1"/>
  <c r="Q25" i="16"/>
  <c r="P119" i="16" s="1"/>
  <c r="K119" i="16"/>
  <c r="M127" i="16"/>
  <c r="P35" i="16"/>
  <c r="O129" i="16" s="1"/>
  <c r="Q18" i="16"/>
  <c r="P112" i="16" s="1"/>
  <c r="P18" i="16"/>
  <c r="O112" i="16" s="1"/>
  <c r="N127" i="16"/>
  <c r="K127" i="16"/>
  <c r="N112" i="16"/>
  <c r="M129" i="16"/>
  <c r="L112" i="16"/>
  <c r="L129" i="16"/>
  <c r="K112" i="16"/>
  <c r="L136" i="16"/>
  <c r="Q35" i="16"/>
  <c r="P129" i="16" s="1"/>
  <c r="N129" i="16"/>
  <c r="P33" i="16"/>
  <c r="J33" i="16" s="1"/>
  <c r="L127" i="16"/>
  <c r="K142" i="16"/>
  <c r="M142" i="16"/>
  <c r="N142" i="16"/>
  <c r="Q36" i="16"/>
  <c r="P130" i="16" s="1"/>
  <c r="P48" i="16"/>
  <c r="O142" i="16" s="1"/>
  <c r="L130" i="16"/>
  <c r="Q48" i="16"/>
  <c r="P142" i="16" s="1"/>
  <c r="M130" i="16"/>
  <c r="P36" i="16"/>
  <c r="O130" i="16" s="1"/>
  <c r="N130" i="16"/>
  <c r="M132" i="16"/>
  <c r="L141" i="16"/>
  <c r="K141" i="16"/>
  <c r="P38" i="16"/>
  <c r="O132" i="16" s="1"/>
  <c r="Q41" i="16"/>
  <c r="P135" i="16" s="1"/>
  <c r="N135" i="16"/>
  <c r="L135" i="16"/>
  <c r="P37" i="16"/>
  <c r="K135" i="16"/>
  <c r="M131" i="16"/>
  <c r="L132" i="16"/>
  <c r="N132" i="16"/>
  <c r="Q38" i="16"/>
  <c r="P132" i="16" s="1"/>
  <c r="M135" i="16"/>
  <c r="Q37" i="16"/>
  <c r="P131" i="16" s="1"/>
  <c r="M141" i="16"/>
  <c r="L131" i="16"/>
  <c r="N131" i="16"/>
  <c r="N141" i="16"/>
  <c r="Q47" i="16"/>
  <c r="P141" i="16" s="1"/>
  <c r="K139" i="16"/>
  <c r="L133" i="16"/>
  <c r="P34" i="16"/>
  <c r="O128" i="16" s="1"/>
  <c r="M139" i="16"/>
  <c r="L139" i="16"/>
  <c r="N133" i="16"/>
  <c r="K133" i="16"/>
  <c r="Q45" i="16"/>
  <c r="P139" i="16" s="1"/>
  <c r="Q39" i="16"/>
  <c r="P133" i="16" s="1"/>
  <c r="N139" i="16"/>
  <c r="P39" i="16"/>
  <c r="O133" i="16" s="1"/>
  <c r="P56" i="16"/>
  <c r="O151" i="16" s="1"/>
  <c r="K151" i="16"/>
  <c r="J52" i="16"/>
  <c r="J43" i="16"/>
  <c r="K148" i="16"/>
  <c r="Q56" i="16"/>
  <c r="P151" i="16" s="1"/>
  <c r="L148" i="16"/>
  <c r="L151" i="16"/>
  <c r="M148" i="16"/>
  <c r="N148" i="16"/>
  <c r="N151" i="16"/>
  <c r="Q53" i="16"/>
  <c r="P148" i="16" s="1"/>
  <c r="L128" i="16"/>
  <c r="Q34" i="16"/>
  <c r="P128" i="16" s="1"/>
  <c r="M128" i="16"/>
  <c r="K128" i="16"/>
  <c r="N136" i="16"/>
  <c r="P32" i="16"/>
  <c r="O126" i="16" s="1"/>
  <c r="L126" i="16"/>
  <c r="Q32" i="16"/>
  <c r="P126" i="16" s="1"/>
  <c r="M126" i="16"/>
  <c r="Q42" i="16"/>
  <c r="P136" i="16" s="1"/>
  <c r="K126" i="16"/>
  <c r="M136" i="16"/>
  <c r="K136" i="16"/>
  <c r="P40" i="16"/>
  <c r="O134" i="16" s="1"/>
  <c r="N134" i="16"/>
  <c r="M134" i="16"/>
  <c r="K134" i="16"/>
  <c r="L134" i="16"/>
  <c r="J51" i="16"/>
  <c r="F103" i="16"/>
  <c r="L144" i="16"/>
  <c r="M144" i="16"/>
  <c r="N101" i="16"/>
  <c r="Q8" i="16"/>
  <c r="P101" i="16" s="1"/>
  <c r="L101" i="16"/>
  <c r="K101" i="16"/>
  <c r="M101" i="16"/>
  <c r="P7" i="16"/>
  <c r="O144" i="16" s="1"/>
  <c r="K144" i="16"/>
  <c r="Q7" i="16"/>
  <c r="P144" i="16" s="1"/>
  <c r="R6" i="16"/>
  <c r="L102" i="16" s="1"/>
  <c r="R9" i="16"/>
  <c r="L103" i="16" s="1"/>
  <c r="D102" i="16"/>
  <c r="E102" i="16"/>
  <c r="F102" i="16"/>
  <c r="E104" i="16"/>
  <c r="F104" i="16"/>
  <c r="R10" i="16"/>
  <c r="K104" i="16" s="1"/>
  <c r="E103" i="16"/>
  <c r="D103" i="16"/>
  <c r="G104" i="16"/>
  <c r="K123" i="16"/>
  <c r="Q29" i="16"/>
  <c r="P123" i="16" s="1"/>
  <c r="L123" i="16"/>
  <c r="M123" i="16"/>
  <c r="P29" i="16"/>
  <c r="K125" i="16"/>
  <c r="Q31" i="16"/>
  <c r="P125" i="16" s="1"/>
  <c r="L125" i="16"/>
  <c r="N125" i="16"/>
  <c r="P31" i="16"/>
  <c r="O125" i="16" s="1"/>
  <c r="J21" i="16"/>
  <c r="P19" i="16"/>
  <c r="Q19" i="16"/>
  <c r="P113" i="16" s="1"/>
  <c r="N113" i="16"/>
  <c r="L113" i="16"/>
  <c r="M113" i="16"/>
  <c r="K113" i="16"/>
  <c r="P13" i="16"/>
  <c r="O107" i="16" s="1"/>
  <c r="L111" i="16"/>
  <c r="Q13" i="16"/>
  <c r="P107" i="16" s="1"/>
  <c r="M107" i="16"/>
  <c r="N111" i="16"/>
  <c r="N107" i="16"/>
  <c r="K107" i="16"/>
  <c r="J14" i="16"/>
  <c r="M106" i="16"/>
  <c r="K111" i="16"/>
  <c r="Q17" i="16"/>
  <c r="P111" i="16" s="1"/>
  <c r="P17" i="16"/>
  <c r="O111" i="16" s="1"/>
  <c r="N106" i="16"/>
  <c r="K106" i="16"/>
  <c r="P12" i="16"/>
  <c r="J12" i="16" s="1"/>
  <c r="N109" i="16"/>
  <c r="L106" i="16"/>
  <c r="K109" i="16"/>
  <c r="L109" i="16"/>
  <c r="O105" i="16"/>
  <c r="M109" i="16"/>
  <c r="Q15" i="16"/>
  <c r="P109" i="16" s="1"/>
  <c r="J16" i="16"/>
  <c r="Q57" i="16"/>
  <c r="P152" i="16" s="1"/>
  <c r="P57" i="16"/>
  <c r="N152" i="16"/>
  <c r="M152" i="16"/>
  <c r="L152" i="16"/>
  <c r="K152" i="16"/>
  <c r="L117" i="16"/>
  <c r="Q23" i="16"/>
  <c r="P117" i="16" s="1"/>
  <c r="N117" i="16"/>
  <c r="M117" i="16"/>
  <c r="N140" i="16"/>
  <c r="L140" i="16"/>
  <c r="M140" i="16"/>
  <c r="K117" i="16"/>
  <c r="P46" i="16"/>
  <c r="O140" i="16" s="1"/>
  <c r="K140" i="16"/>
  <c r="J25" i="16"/>
  <c r="J54" i="16"/>
  <c r="J24" i="16" l="1"/>
  <c r="J27" i="16"/>
  <c r="J44" i="16"/>
  <c r="O150" i="16"/>
  <c r="J18" i="16"/>
  <c r="J28" i="16"/>
  <c r="J50" i="16"/>
  <c r="J35" i="16"/>
  <c r="J26" i="16"/>
  <c r="J30" i="16"/>
  <c r="J49" i="16"/>
  <c r="J53" i="16"/>
  <c r="J32" i="16"/>
  <c r="O127" i="16"/>
  <c r="J36" i="16"/>
  <c r="J42" i="16"/>
  <c r="J38" i="16"/>
  <c r="J48" i="16"/>
  <c r="J41" i="16"/>
  <c r="J37" i="16"/>
  <c r="O131" i="16"/>
  <c r="J47" i="16"/>
  <c r="J56" i="16"/>
  <c r="J39" i="16"/>
  <c r="J45" i="16"/>
  <c r="J34" i="16"/>
  <c r="J40" i="16"/>
  <c r="K102" i="16"/>
  <c r="J8" i="16"/>
  <c r="P9" i="16"/>
  <c r="O103" i="16" s="1"/>
  <c r="K103" i="16"/>
  <c r="J7" i="16"/>
  <c r="M102" i="16"/>
  <c r="M103" i="16"/>
  <c r="Q9" i="16"/>
  <c r="P103" i="16" s="1"/>
  <c r="P6" i="16"/>
  <c r="O102" i="16" s="1"/>
  <c r="Q6" i="16"/>
  <c r="P102" i="16" s="1"/>
  <c r="N102" i="16"/>
  <c r="N103" i="16"/>
  <c r="L104" i="16"/>
  <c r="N104" i="16"/>
  <c r="P10" i="16"/>
  <c r="O104" i="16" s="1"/>
  <c r="Q10" i="16"/>
  <c r="P104" i="16" s="1"/>
  <c r="M104" i="16"/>
  <c r="J29" i="16"/>
  <c r="O123" i="16"/>
  <c r="J31" i="16"/>
  <c r="O113" i="16"/>
  <c r="J19" i="16"/>
  <c r="J13" i="16"/>
  <c r="J17" i="16"/>
  <c r="O106" i="16"/>
  <c r="J15" i="16"/>
  <c r="J57" i="16"/>
  <c r="O152" i="16"/>
  <c r="J23" i="16"/>
  <c r="J46" i="16"/>
  <c r="J9" i="16" l="1"/>
  <c r="J6" i="16"/>
  <c r="J10" i="16"/>
  <c r="G47" i="13"/>
  <c r="H47" i="13"/>
  <c r="I47" i="13"/>
  <c r="K47" i="13"/>
  <c r="M47" i="13"/>
  <c r="N47" i="13"/>
  <c r="O47" i="13"/>
  <c r="P47" i="13"/>
  <c r="Q47" i="13"/>
  <c r="R47" i="13"/>
  <c r="S47" i="13"/>
  <c r="T47" i="13"/>
  <c r="U47" i="13"/>
  <c r="V47" i="13"/>
  <c r="X47" i="13"/>
  <c r="Y47" i="13"/>
  <c r="Z47" i="13"/>
  <c r="L76" i="11"/>
  <c r="L78" i="11"/>
  <c r="L131" i="11" l="1"/>
  <c r="L133" i="11" l="1"/>
  <c r="BH76" i="11"/>
  <c r="BH78" i="11"/>
  <c r="I76" i="11"/>
  <c r="J76" i="11"/>
  <c r="K76" i="11"/>
  <c r="I78" i="11"/>
  <c r="J78" i="11"/>
  <c r="K78" i="11"/>
  <c r="K131" i="11" s="1"/>
  <c r="K133" i="11" s="1"/>
  <c r="M76" i="11"/>
  <c r="N76" i="11"/>
  <c r="O76" i="11"/>
  <c r="P76" i="11"/>
  <c r="Q76" i="11"/>
  <c r="R76" i="11"/>
  <c r="S76" i="11"/>
  <c r="T76" i="11"/>
  <c r="U76" i="11"/>
  <c r="V76" i="11"/>
  <c r="W76" i="11"/>
  <c r="X76" i="11"/>
  <c r="Y76" i="11"/>
  <c r="Z76" i="11"/>
  <c r="AA76" i="11"/>
  <c r="AB76" i="11"/>
  <c r="AC76" i="11"/>
  <c r="AD76" i="11"/>
  <c r="AE76" i="11"/>
  <c r="AF76" i="11"/>
  <c r="AG76" i="11"/>
  <c r="AH76" i="11"/>
  <c r="AI76" i="11"/>
  <c r="AJ76" i="11"/>
  <c r="AK76" i="11"/>
  <c r="AL76" i="11"/>
  <c r="AM76" i="11"/>
  <c r="AN76" i="11"/>
  <c r="AO76" i="11"/>
  <c r="AP76" i="11"/>
  <c r="AQ76" i="11"/>
  <c r="AR76" i="11"/>
  <c r="AS76" i="11"/>
  <c r="AT76" i="11"/>
  <c r="AU76" i="11"/>
  <c r="AV76" i="11"/>
  <c r="AW76" i="11"/>
  <c r="AX76" i="11"/>
  <c r="AY76" i="11"/>
  <c r="AZ76" i="11"/>
  <c r="BA76" i="11"/>
  <c r="BB76" i="11"/>
  <c r="BC76" i="11"/>
  <c r="BD76" i="11"/>
  <c r="BE76" i="11"/>
  <c r="BF76" i="11"/>
  <c r="M78" i="11"/>
  <c r="N78" i="11"/>
  <c r="O78" i="11"/>
  <c r="O131" i="11" s="1"/>
  <c r="P78" i="11"/>
  <c r="Q78" i="11"/>
  <c r="Q131" i="11" s="1"/>
  <c r="R78" i="11"/>
  <c r="R131" i="11" s="1"/>
  <c r="S78" i="11"/>
  <c r="S131" i="11" s="1"/>
  <c r="T78" i="11"/>
  <c r="U78" i="11"/>
  <c r="U131" i="11" s="1"/>
  <c r="V78" i="11"/>
  <c r="V131" i="11" s="1"/>
  <c r="W78" i="11"/>
  <c r="W131" i="11" s="1"/>
  <c r="X78" i="11"/>
  <c r="X131" i="11" s="1"/>
  <c r="Y78" i="11"/>
  <c r="Y131" i="11" s="1"/>
  <c r="Z78" i="11"/>
  <c r="Z131" i="11" s="1"/>
  <c r="AA78" i="11"/>
  <c r="AA131" i="11" s="1"/>
  <c r="AB78" i="11"/>
  <c r="AB131" i="11" s="1"/>
  <c r="AC78" i="11"/>
  <c r="AC131" i="11" s="1"/>
  <c r="AD78" i="11"/>
  <c r="AD131" i="11" s="1"/>
  <c r="AE78" i="11"/>
  <c r="AE131" i="11" s="1"/>
  <c r="AF78" i="11"/>
  <c r="AF131" i="11" s="1"/>
  <c r="AG78" i="11"/>
  <c r="AG131" i="11" s="1"/>
  <c r="AH78" i="11"/>
  <c r="AH131" i="11" s="1"/>
  <c r="AI78" i="11"/>
  <c r="AI131" i="11" s="1"/>
  <c r="AI133" i="11" s="1"/>
  <c r="AJ78" i="11"/>
  <c r="AJ131" i="11" s="1"/>
  <c r="AJ133" i="11" s="1"/>
  <c r="AK78" i="11"/>
  <c r="AK131" i="11" s="1"/>
  <c r="AK133" i="11" s="1"/>
  <c r="AL78" i="11"/>
  <c r="AL131" i="11" s="1"/>
  <c r="AL133" i="11" s="1"/>
  <c r="AM78" i="11"/>
  <c r="AM131" i="11" s="1"/>
  <c r="AM133" i="11" s="1"/>
  <c r="AN78" i="11"/>
  <c r="AN131" i="11" s="1"/>
  <c r="AN133" i="11" s="1"/>
  <c r="AO78" i="11"/>
  <c r="AO131" i="11" s="1"/>
  <c r="AO133" i="11" s="1"/>
  <c r="AP78" i="11"/>
  <c r="AP131" i="11" s="1"/>
  <c r="AP133" i="11" s="1"/>
  <c r="AQ78" i="11"/>
  <c r="AQ131" i="11" s="1"/>
  <c r="AQ133" i="11" s="1"/>
  <c r="AR78" i="11"/>
  <c r="AR131" i="11" s="1"/>
  <c r="AR133" i="11" s="1"/>
  <c r="AS78" i="11"/>
  <c r="AS131" i="11" s="1"/>
  <c r="AS133" i="11" s="1"/>
  <c r="AT78" i="11"/>
  <c r="AT131" i="11" s="1"/>
  <c r="AT133" i="11" s="1"/>
  <c r="AU78" i="11"/>
  <c r="AU131" i="11" s="1"/>
  <c r="AU133" i="11" s="1"/>
  <c r="AV78" i="11"/>
  <c r="AV131" i="11" s="1"/>
  <c r="AV133" i="11" s="1"/>
  <c r="AW78" i="11"/>
  <c r="AW131" i="11" s="1"/>
  <c r="AW133" i="11" s="1"/>
  <c r="AX78" i="11"/>
  <c r="AX131" i="11" s="1"/>
  <c r="AX133" i="11" s="1"/>
  <c r="AY78" i="11"/>
  <c r="AY131" i="11" s="1"/>
  <c r="AY133" i="11" s="1"/>
  <c r="AZ78" i="11"/>
  <c r="AZ131" i="11" s="1"/>
  <c r="AZ133" i="11" s="1"/>
  <c r="BA78" i="11"/>
  <c r="BA131" i="11" s="1"/>
  <c r="BB78" i="11"/>
  <c r="BB131" i="11" s="1"/>
  <c r="BB133" i="11" s="1"/>
  <c r="BC78" i="11"/>
  <c r="BC131" i="11" s="1"/>
  <c r="BC133" i="11" s="1"/>
  <c r="BD78" i="11"/>
  <c r="BD131" i="11" s="1"/>
  <c r="BD133" i="11" s="1"/>
  <c r="BE78" i="11"/>
  <c r="BE131" i="11" s="1"/>
  <c r="BE133" i="11" s="1"/>
  <c r="BF78" i="11"/>
  <c r="BF131" i="11" s="1"/>
  <c r="BF133" i="11" s="1"/>
  <c r="J131" i="11" l="1"/>
  <c r="BA133" i="11"/>
  <c r="P131" i="11"/>
  <c r="M131" i="11"/>
  <c r="T131" i="11"/>
  <c r="BJ76" i="11"/>
  <c r="I131" i="11"/>
  <c r="BJ78" i="11"/>
  <c r="BH131" i="11"/>
  <c r="N131" i="11"/>
  <c r="J133" i="11" l="1"/>
  <c r="BJ131" i="11"/>
  <c r="BH133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F52" authorId="0" shapeId="0" xr:uid="{44280D83-87A2-4961-99FE-F9A63305C5C3}">
      <text>
        <r>
          <rPr>
            <b/>
            <sz val="9"/>
            <color indexed="81"/>
            <rFont val="Segoe UI"/>
            <family val="2"/>
          </rPr>
          <t>Administrador:</t>
        </r>
        <r>
          <rPr>
            <sz val="9"/>
            <color indexed="81"/>
            <rFont val="Segoe UI"/>
            <family val="2"/>
          </rPr>
          <t xml:space="preserve">
A endereço está errado no badnet
</t>
        </r>
      </text>
    </comment>
  </commentList>
</comments>
</file>

<file path=xl/sharedStrings.xml><?xml version="1.0" encoding="utf-8"?>
<sst xmlns="http://schemas.openxmlformats.org/spreadsheetml/2006/main" count="3714" uniqueCount="756">
  <si>
    <t>Alta Tensão</t>
  </si>
  <si>
    <t>Baixa Tensão</t>
  </si>
  <si>
    <t>Encargos Setoriais</t>
  </si>
  <si>
    <t>Proinfa</t>
  </si>
  <si>
    <t>TFSEE</t>
  </si>
  <si>
    <t>Transporte</t>
  </si>
  <si>
    <t>Rede Básica</t>
  </si>
  <si>
    <t>Uso do sistema de distribuição</t>
  </si>
  <si>
    <t>Compra de Energia</t>
  </si>
  <si>
    <t>Parcela A</t>
  </si>
  <si>
    <t>Parcela B</t>
  </si>
  <si>
    <t>Permissionária</t>
  </si>
  <si>
    <t>Total Econômico</t>
  </si>
  <si>
    <t>Repasse de PIS COFINS</t>
  </si>
  <si>
    <t>Neutralidade Encargos Setoriais</t>
  </si>
  <si>
    <t>Compensação DIC FIC</t>
  </si>
  <si>
    <t>Subvenção Baixa Densidade de Carga</t>
  </si>
  <si>
    <t>Retenção de Adicional de Bandeiras Tarif.</t>
  </si>
  <si>
    <t>Ajuste processos anteriores</t>
  </si>
  <si>
    <t>Total Financeiro</t>
  </si>
  <si>
    <t>Receita (R$)</t>
  </si>
  <si>
    <t>PROINFA</t>
  </si>
  <si>
    <t>Rede Básica Fronteira</t>
  </si>
  <si>
    <t>Conexão Transmissão</t>
  </si>
  <si>
    <t>CUSD</t>
  </si>
  <si>
    <t>Custos com Transporte</t>
  </si>
  <si>
    <t>Fornecimento (MWh)</t>
  </si>
  <si>
    <t>Energia Requerida (MWh)</t>
  </si>
  <si>
    <t>Geração Própria (MWh)</t>
  </si>
  <si>
    <t>Proinfa (MWh)</t>
  </si>
  <si>
    <t>Suprimento (MWh)</t>
  </si>
  <si>
    <t>Compra de Energia (MWh)</t>
  </si>
  <si>
    <t>Tarifa Média (R$/MWh)</t>
  </si>
  <si>
    <t>Despesa (R$)</t>
  </si>
  <si>
    <t>Investimentos</t>
  </si>
  <si>
    <t>Limite Parcela B</t>
  </si>
  <si>
    <t>Parcela B Considerada</t>
  </si>
  <si>
    <t>Ajuste CUST RB - PIS/COFINS</t>
  </si>
  <si>
    <t>Total Financeiros</t>
  </si>
  <si>
    <t>Carga Fonte Incentivada</t>
  </si>
  <si>
    <t>Geração Fonte Incentivada</t>
  </si>
  <si>
    <t>Distribuição</t>
  </si>
  <si>
    <t>Serviço Público
Água, Esgoto Saneamento</t>
  </si>
  <si>
    <t>Rural</t>
  </si>
  <si>
    <t>Irrigante/ Aquicultor</t>
  </si>
  <si>
    <t>Total</t>
  </si>
  <si>
    <t>Supridora</t>
  </si>
  <si>
    <t>B1-Permissionária</t>
  </si>
  <si>
    <t>B1- Supridora</t>
  </si>
  <si>
    <t>PIS/COFINS</t>
  </si>
  <si>
    <t>ICMS</t>
  </si>
  <si>
    <t>Cedri</t>
  </si>
  <si>
    <t>Cermoful</t>
  </si>
  <si>
    <t>Coopercocal</t>
  </si>
  <si>
    <t>Cerbranorte</t>
  </si>
  <si>
    <t>Cergal</t>
  </si>
  <si>
    <t>Cerej</t>
  </si>
  <si>
    <t>Cergapa</t>
  </si>
  <si>
    <t>Cergral</t>
  </si>
  <si>
    <t>Cerpalo</t>
  </si>
  <si>
    <t>Cersul</t>
  </si>
  <si>
    <t>Certrel</t>
  </si>
  <si>
    <t>Coopera</t>
  </si>
  <si>
    <t>Coopermila</t>
  </si>
  <si>
    <t>Coorsel</t>
  </si>
  <si>
    <t>Cejama</t>
  </si>
  <si>
    <t>Ceraçá</t>
  </si>
  <si>
    <t>Energia</t>
  </si>
  <si>
    <t>Encargos</t>
  </si>
  <si>
    <t>Compensação em função da baixa densidade de carga</t>
  </si>
  <si>
    <t>Data de aniversário</t>
  </si>
  <si>
    <t>Itens de Custo</t>
  </si>
  <si>
    <t>Receita Anual</t>
  </si>
  <si>
    <t>Transporte com energia</t>
  </si>
  <si>
    <t>Custos de Energia</t>
  </si>
  <si>
    <t>Diferença em relação ao limite</t>
  </si>
  <si>
    <t xml:space="preserve">Pleito Parcela B </t>
  </si>
  <si>
    <t>Compensação baixa densidade de carga</t>
  </si>
  <si>
    <t>Nível de Tensão</t>
  </si>
  <si>
    <t>Desconto Anterior</t>
  </si>
  <si>
    <t>Desconto Atual</t>
  </si>
  <si>
    <t>REH Supridora</t>
  </si>
  <si>
    <t>TUSD KW Ponta</t>
  </si>
  <si>
    <t>TUSD KW Fora Ponta</t>
  </si>
  <si>
    <t>TUSD MWh</t>
  </si>
  <si>
    <t>A4</t>
  </si>
  <si>
    <t>A2</t>
  </si>
  <si>
    <t>A3</t>
  </si>
  <si>
    <t>A3a</t>
  </si>
  <si>
    <t>Subsídio Descontos Tarifários</t>
  </si>
  <si>
    <t>Tributos  (por fora)</t>
  </si>
  <si>
    <t>Custo de Energia</t>
  </si>
  <si>
    <t>Custo de Transmissão</t>
  </si>
  <si>
    <t>Custo de Distribuição</t>
  </si>
  <si>
    <t>Receita Requerida</t>
  </si>
  <si>
    <t>Total com Tributos</t>
  </si>
  <si>
    <t>Distribuidora</t>
  </si>
  <si>
    <t>Participação na Receita</t>
  </si>
  <si>
    <t>Participação na Receita com tributos</t>
  </si>
  <si>
    <t>Fornecimento + Suprimento (MWh)</t>
  </si>
  <si>
    <t>Descontos</t>
  </si>
  <si>
    <t>DescontoCUSD</t>
  </si>
  <si>
    <t>Data de Aniversário</t>
  </si>
  <si>
    <t>Data de aniversário Contratual</t>
  </si>
  <si>
    <t>Sigla</t>
  </si>
  <si>
    <t>Número do Contrato</t>
  </si>
  <si>
    <t>Tipo de Processo Tarifário</t>
  </si>
  <si>
    <t>Metodologia</t>
  </si>
  <si>
    <t>Carta</t>
  </si>
  <si>
    <t>8.4</t>
  </si>
  <si>
    <t>Cooperativa de Energização e Desenvolvimento Rural do Vale do Itariri</t>
  </si>
  <si>
    <t>02/2008</t>
  </si>
  <si>
    <t>Cooperativa de Eletricidade Jacinto Machado</t>
  </si>
  <si>
    <t>21/2008</t>
  </si>
  <si>
    <t>Cooperativa Distribuidora de Energia Vale do Araçá</t>
  </si>
  <si>
    <t>24/2008</t>
  </si>
  <si>
    <t>Cooperativa de Eletrificação Braço do Norte</t>
  </si>
  <si>
    <t>25/2008</t>
  </si>
  <si>
    <t>Cooperativa de Prestação de Serviços Públicos de Distribuição de Energia Elétrica Senador Esteves Júnior</t>
  </si>
  <si>
    <t>28/2008</t>
  </si>
  <si>
    <t>Cooperativa de Eletrificação Rural Anita Garibaldi Ltda</t>
  </si>
  <si>
    <t>16/2008</t>
  </si>
  <si>
    <t>Cooperativa de Eletricidade de Grão Pará</t>
  </si>
  <si>
    <t>38/2010</t>
  </si>
  <si>
    <t>Cooperativa de Eletricidade de Gravatal</t>
  </si>
  <si>
    <t>22/2008</t>
  </si>
  <si>
    <t>Cooperativa Fumacense de Eletricidade</t>
  </si>
  <si>
    <t>40/2010</t>
  </si>
  <si>
    <t>Cooperativa de Eletricidade de Paulo Lopes</t>
  </si>
  <si>
    <t>23/2008</t>
  </si>
  <si>
    <t>Cooperativa de Eletrificação Sul Catarinense</t>
  </si>
  <si>
    <t>20/2008</t>
  </si>
  <si>
    <t>Cooperativa de Energia Treviso</t>
  </si>
  <si>
    <t>35/2010</t>
  </si>
  <si>
    <t>Cooperativa Pioneira de Eletrificação</t>
  </si>
  <si>
    <t>18/2008</t>
  </si>
  <si>
    <t>Cooperativa Energética Cocal</t>
  </si>
  <si>
    <t>34/2010</t>
  </si>
  <si>
    <t>Cooperativa de Eletrificação Lauro Muller</t>
  </si>
  <si>
    <t>17/2008</t>
  </si>
  <si>
    <t>Cooperativa Regional Sul de Eletrificação Rural</t>
  </si>
  <si>
    <t>26/2008</t>
  </si>
  <si>
    <t>Encargo Total</t>
  </si>
  <si>
    <t>Energia Total (MWh)</t>
  </si>
  <si>
    <t>Suprimento</t>
  </si>
  <si>
    <t>Elektro</t>
  </si>
  <si>
    <t>Celesc</t>
  </si>
  <si>
    <t>Cedrap</t>
  </si>
  <si>
    <t>Cooperativa de Eletrificação e Desenvolvimento Rural do Alto Paraíba Ltda</t>
  </si>
  <si>
    <t>01/2008</t>
  </si>
  <si>
    <t>Ceprag</t>
  </si>
  <si>
    <t>Cooperativa de Eletricidade Praia Grande</t>
  </si>
  <si>
    <t>19/2010</t>
  </si>
  <si>
    <t>Ceral Anitápolis</t>
  </si>
  <si>
    <t>Cooperativa de Distribuição de Energia Elétrica de Anitápolis</t>
  </si>
  <si>
    <t>27/2008</t>
  </si>
  <si>
    <t>Ceral Dis</t>
  </si>
  <si>
    <t>Cooperativa de Distribuição de Energia Elétrica de Arapoti Ltda</t>
  </si>
  <si>
    <t>14/2008</t>
  </si>
  <si>
    <t>Cercos</t>
  </si>
  <si>
    <t>Cooperativa de Eletrificação e Desenvolvimento Rural Centro Sul de Sergipe Ltda</t>
  </si>
  <si>
    <t>09/2008</t>
  </si>
  <si>
    <t>Ceres</t>
  </si>
  <si>
    <t>Cooperativa de Eletrificação Rural de Resende Ltda</t>
  </si>
  <si>
    <t>10/2008</t>
  </si>
  <si>
    <t>Ceriluz</t>
  </si>
  <si>
    <t>Cooperativa Regional de Energia e Desenvolvimento Ijuí Ltda</t>
  </si>
  <si>
    <t>36/2010</t>
  </si>
  <si>
    <t>Cerim</t>
  </si>
  <si>
    <t>Cooperativa de Eletrificação e Desenvolvimento da Região de Itu-Mairinque</t>
  </si>
  <si>
    <t>03/2008</t>
  </si>
  <si>
    <t>Ceripa</t>
  </si>
  <si>
    <t>Cooperativa de Eletrificação Rural de Itaí-Paranapanema-Avaré</t>
  </si>
  <si>
    <t>04/2008</t>
  </si>
  <si>
    <t>Ceris</t>
  </si>
  <si>
    <t>Cooperativa de Eletrificação da Região de Itapecerica da Serra</t>
  </si>
  <si>
    <t>05/2008</t>
  </si>
  <si>
    <t>CERMC</t>
  </si>
  <si>
    <t>Cooperativa de Eletrificação e Desenvolvimento da Região de Mogi das Cruzes</t>
  </si>
  <si>
    <t>06/2008</t>
  </si>
  <si>
    <t>Cermissões</t>
  </si>
  <si>
    <t>Cooperativa de Distribuição e Geração de Energia das Missões</t>
  </si>
  <si>
    <t>30/2010</t>
  </si>
  <si>
    <t>Cernhe</t>
  </si>
  <si>
    <t>Cooperativa de Eletrificação e Desenvolvimento Rural da Região de Novo Horizonte</t>
  </si>
  <si>
    <t>12/2008</t>
  </si>
  <si>
    <t>Cerpro</t>
  </si>
  <si>
    <t>Cooperativa de Eletrificação Rural da Região de Promissão</t>
  </si>
  <si>
    <t>07/2008</t>
  </si>
  <si>
    <t>CERRP</t>
  </si>
  <si>
    <t>Cooperativa de Eletrificação Rural da Região de São José do Rio Preto</t>
  </si>
  <si>
    <t>13/2008</t>
  </si>
  <si>
    <t>Certaja</t>
  </si>
  <si>
    <t>Cooperativa Regional de Energia Taquari Jacui</t>
  </si>
  <si>
    <t>15/2008</t>
  </si>
  <si>
    <t>Certel</t>
  </si>
  <si>
    <t>Cooperativa de Distribuição de Energia Teutônia</t>
  </si>
  <si>
    <t>33/2010</t>
  </si>
  <si>
    <t>Cetril</t>
  </si>
  <si>
    <t>Cooperativa de Eletrificação de Ibiúna e Região</t>
  </si>
  <si>
    <t>08/2008</t>
  </si>
  <si>
    <t>Cooperluz</t>
  </si>
  <si>
    <t>Cooperativa Distribuidora de Energia Fronteira Noroeste</t>
  </si>
  <si>
    <t>32/2010</t>
  </si>
  <si>
    <t>Coprel</t>
  </si>
  <si>
    <t>Coprel Cooperativa de Energia</t>
  </si>
  <si>
    <t>31/2010</t>
  </si>
  <si>
    <t>Creluz-D</t>
  </si>
  <si>
    <t>Cooperativa de Distribuição de Energia</t>
  </si>
  <si>
    <t>39/2010</t>
  </si>
  <si>
    <t>Creral</t>
  </si>
  <si>
    <t>Cooperativa Regional de Eletrificação Rural do Alto Uruguai</t>
  </si>
  <si>
    <t>41/2010</t>
  </si>
  <si>
    <t>Cerci</t>
  </si>
  <si>
    <t xml:space="preserve">Cooperativa de Eletrificação Rural Cachoeiras do Itaboraí Ltda. </t>
  </si>
  <si>
    <t>Ceral Araruama</t>
  </si>
  <si>
    <t>Cooperativa de Eletrificação Rural de Araruama Ltda.</t>
  </si>
  <si>
    <t>Cerfox</t>
  </si>
  <si>
    <t xml:space="preserve">Cooperativa de Distribuição de Energia Fontoura Xavier </t>
  </si>
  <si>
    <t>Certhil</t>
  </si>
  <si>
    <t xml:space="preserve">Cooperativa de Distribuição de Energia Entre Rios Ltda. </t>
  </si>
  <si>
    <t>Castro Dis</t>
  </si>
  <si>
    <t xml:space="preserve">Cooperativa de Distribuição de Energia Elétrica de Castro </t>
  </si>
  <si>
    <t>Cervam</t>
  </si>
  <si>
    <t xml:space="preserve">Cooperativa de Energização e Desenvolvimento do Vale do Mogi </t>
  </si>
  <si>
    <t>Cegero</t>
  </si>
  <si>
    <t xml:space="preserve">Cooperativa de Eletricidade de São Ludgero </t>
  </si>
  <si>
    <t>Cersad</t>
  </si>
  <si>
    <t xml:space="preserve">Cooperativa de Distribuição de Energia Elétrica Salto Donner </t>
  </si>
  <si>
    <t>Codesam</t>
  </si>
  <si>
    <t xml:space="preserve">Cooperativa de Distribuição de Energia Elétrica Santa Maria </t>
  </si>
  <si>
    <t>Cooperzem</t>
  </si>
  <si>
    <t>COOPERZEM Cooperativa de Distribuição de Energia Elétrica</t>
  </si>
  <si>
    <t>Cooperativa Regional de Eletrificação Rural Fronteira Sul Ltda. - COOPERSUL</t>
  </si>
  <si>
    <t>Coopernorte</t>
  </si>
  <si>
    <t>Cooperativa Regional de Distribuição De Energia do Litoral Norte - COOPERNORTE</t>
  </si>
  <si>
    <t>02/2018</t>
  </si>
  <si>
    <t>03/2018</t>
  </si>
  <si>
    <t>04/2018</t>
  </si>
  <si>
    <t>05/2018</t>
  </si>
  <si>
    <t>06/2018</t>
  </si>
  <si>
    <t>11/2018</t>
  </si>
  <si>
    <t>08/2018</t>
  </si>
  <si>
    <t>09/2018</t>
  </si>
  <si>
    <t>10/2018</t>
  </si>
  <si>
    <t>07/2018</t>
  </si>
  <si>
    <t>013/2018</t>
  </si>
  <si>
    <t>012/2018</t>
  </si>
  <si>
    <t>filtro</t>
  </si>
  <si>
    <t>RESUMO DOS PROCESSOS TARIFÁRIOS DE PERMISSIONÁRIA</t>
  </si>
  <si>
    <t>Processo nº :</t>
  </si>
  <si>
    <t>Nº NT</t>
  </si>
  <si>
    <t>Textos para NT</t>
  </si>
  <si>
    <t>Data de aniversário completa</t>
  </si>
  <si>
    <t>incio do período</t>
  </si>
  <si>
    <t>fim do período</t>
  </si>
  <si>
    <t>Periodo de referência</t>
  </si>
  <si>
    <t>Periodo subsidio</t>
  </si>
  <si>
    <t>EDP-SP</t>
  </si>
  <si>
    <t>CPFL Piratininga</t>
  </si>
  <si>
    <t>ESS</t>
  </si>
  <si>
    <t>CPFL Paulista</t>
  </si>
  <si>
    <t>RGE SUL</t>
  </si>
  <si>
    <t>Copel-Dis</t>
  </si>
  <si>
    <t>Energisa SE</t>
  </si>
  <si>
    <t>CEEE</t>
  </si>
  <si>
    <t>Parcela B 8.4</t>
  </si>
  <si>
    <t>Cerrp</t>
  </si>
  <si>
    <t>Parcela_B</t>
  </si>
  <si>
    <t>Parcela_A</t>
  </si>
  <si>
    <t>voto</t>
  </si>
  <si>
    <t>NT</t>
  </si>
  <si>
    <t>Copel</t>
  </si>
  <si>
    <t>Enel RJ</t>
  </si>
  <si>
    <t>CPFL Sta Cruz</t>
  </si>
  <si>
    <t>Cermc</t>
  </si>
  <si>
    <t>Creluz</t>
  </si>
  <si>
    <t>Coopersul</t>
  </si>
  <si>
    <t>Efeito Médio</t>
  </si>
  <si>
    <t>Conexão</t>
  </si>
  <si>
    <t>Coluna1</t>
  </si>
  <si>
    <t>Coluna2</t>
  </si>
  <si>
    <t xml:space="preserve"> </t>
  </si>
  <si>
    <t>Coluna3</t>
  </si>
  <si>
    <t>CEEE -D</t>
  </si>
  <si>
    <t>Ano:</t>
  </si>
  <si>
    <t>Cemirim</t>
  </si>
  <si>
    <t>Cooperativa de Eletrificação e Desenvolvimento da Região de Mogi Mirim - CEMIRIM</t>
  </si>
  <si>
    <t>001/2019</t>
  </si>
  <si>
    <t>COVID Parcela B</t>
  </si>
  <si>
    <t>Previsão Risco Hidrológico</t>
  </si>
  <si>
    <t>Tipo de Processo</t>
  </si>
  <si>
    <t>ESS/EER</t>
  </si>
  <si>
    <t>Contratos de Energia</t>
  </si>
  <si>
    <t>Angra</t>
  </si>
  <si>
    <t>CCGF</t>
  </si>
  <si>
    <t>B1</t>
  </si>
  <si>
    <t>Montante Contratado</t>
  </si>
  <si>
    <t>Despacho ANEEL</t>
  </si>
  <si>
    <t>Vendedor</t>
  </si>
  <si>
    <t>Preço</t>
  </si>
  <si>
    <t>Efeito COVID da Supridora</t>
  </si>
  <si>
    <t>Celetro</t>
  </si>
  <si>
    <t>001/2020</t>
  </si>
  <si>
    <t>Cooperativa de Eletrificação Centro Jacuí Ltda.</t>
  </si>
  <si>
    <t>RGE Sul</t>
  </si>
  <si>
    <t>Nova Palma</t>
  </si>
  <si>
    <t>CDE Conta Covid</t>
  </si>
  <si>
    <t>Reversão da Previsão de Risco Hidrológico</t>
  </si>
  <si>
    <t>ENEL SP</t>
  </si>
  <si>
    <t>Efeito B1</t>
  </si>
  <si>
    <t xml:space="preserve">Certhil </t>
  </si>
  <si>
    <t>Média</t>
  </si>
  <si>
    <t>Inicio de Vigência</t>
  </si>
  <si>
    <t>preencher</t>
  </si>
  <si>
    <t>CERMC*</t>
  </si>
  <si>
    <t>Financeiro  Ren 1.000/2022</t>
  </si>
  <si>
    <t>Repasse de ICMS</t>
  </si>
  <si>
    <t>preencher o número processso e nota técnica</t>
  </si>
  <si>
    <t>ESE</t>
  </si>
  <si>
    <t>CDE Eletrobrás</t>
  </si>
  <si>
    <t>CVE Energia</t>
  </si>
  <si>
    <t>CVE Encargos</t>
  </si>
  <si>
    <t>Sobrecontratação/Reversão de Energia</t>
  </si>
  <si>
    <t>Neutralidade Financeiro Covid</t>
  </si>
  <si>
    <t>Neutralidade Crédito Pis Cofins</t>
  </si>
  <si>
    <t>Contratos no ACL (MWh)</t>
  </si>
  <si>
    <t>Montante Considerado</t>
  </si>
  <si>
    <t>Subsidio e subvenção</t>
  </si>
  <si>
    <t>Conta Escassez</t>
  </si>
  <si>
    <t>Spread Conta COVID</t>
  </si>
  <si>
    <t>Garantias Financeiras</t>
  </si>
  <si>
    <t>PB considerada</t>
  </si>
  <si>
    <t xml:space="preserve">Efeito </t>
  </si>
  <si>
    <t xml:space="preserve">diferença entre AT e BT </t>
  </si>
  <si>
    <t>019/2010</t>
  </si>
  <si>
    <t>CDE Uso</t>
  </si>
  <si>
    <t>CDE GD</t>
  </si>
  <si>
    <t>CDE Escassez Hidrica</t>
  </si>
  <si>
    <t xml:space="preserve">Reversão do Diferimento de Pis Cofins </t>
  </si>
  <si>
    <t>Crédito de Pis Cofins</t>
  </si>
  <si>
    <t>Financeiros</t>
  </si>
  <si>
    <t>SCEE</t>
  </si>
  <si>
    <t>B</t>
  </si>
  <si>
    <t>Não se aplica</t>
  </si>
  <si>
    <t>Fora ponta</t>
  </si>
  <si>
    <t>Ponta</t>
  </si>
  <si>
    <t>Efeito 2023</t>
  </si>
  <si>
    <t>Neutralidade CDE Covid</t>
  </si>
  <si>
    <t>Neutralidade Conta Escassez</t>
  </si>
  <si>
    <t>Financeiro CDE Eletrobras</t>
  </si>
  <si>
    <t>Pis/Cofins CCT</t>
  </si>
  <si>
    <t>COOPERZEM</t>
  </si>
  <si>
    <t>CEGERO</t>
  </si>
  <si>
    <t>Tarifa</t>
  </si>
  <si>
    <t>TE</t>
  </si>
  <si>
    <t>Declaração de adimplência</t>
  </si>
  <si>
    <t>Reversão do Diferimento de Compra de Energia</t>
  </si>
  <si>
    <t>Reversão Diferimento CUSD</t>
  </si>
  <si>
    <t>Diferimento Previsão de Risco Hidrologico</t>
  </si>
  <si>
    <t>Multa leilão de energia - modicidade tarifaria</t>
  </si>
  <si>
    <t>Diferimento de Energia</t>
  </si>
  <si>
    <t>Reversão Diferimento  EUSD</t>
  </si>
  <si>
    <t>Reversão Diferimento Parcela B</t>
  </si>
  <si>
    <t>Spread Conta Escassez</t>
  </si>
  <si>
    <t>IdAgente</t>
  </si>
  <si>
    <t>Agente</t>
  </si>
  <si>
    <t>SIGLA</t>
  </si>
  <si>
    <t>dia</t>
  </si>
  <si>
    <t>mes</t>
  </si>
  <si>
    <t>Ceral COOPERATIVA de Eletrificação Rural de Araruama</t>
  </si>
  <si>
    <t xml:space="preserve">Janeiro </t>
  </si>
  <si>
    <t>COOPERATIVA de Eletrificação Rural Cachoeiras Itaboraí</t>
  </si>
  <si>
    <t>Fevereiro</t>
  </si>
  <si>
    <t>CERES COOPERATIVA DE ELETRIFICAÇÃO RURAL DE RESENDE LTDA</t>
  </si>
  <si>
    <t>Março</t>
  </si>
  <si>
    <t>CERIPA COOPERATIVA DE ELETRIFICAÇÃO RURAL DE ITAÍ-PARANAPANEMA-AVARÉ</t>
  </si>
  <si>
    <t>Abril</t>
  </si>
  <si>
    <t>CEMIRIM - COOPERATIVA de Eletrificação e Desenvolvimento da Região de Mogi Mirim</t>
  </si>
  <si>
    <t>Maio</t>
  </si>
  <si>
    <t>CERCOS COOPERATIVA DE ELETRIFICAÇÃO E DESENVOLVIMENTO RURAL CENTRO SUL DE SERGIPE LTDA</t>
  </si>
  <si>
    <t>Junho</t>
  </si>
  <si>
    <t>CERPRO COOPERATIVA DE ELETRIFICAÇÃO RURAL DA REGIÃO DE PROMISSÃO LTDA</t>
  </si>
  <si>
    <t>Julho</t>
  </si>
  <si>
    <t>CERRP  COOPERATIVA DE ELETRIFICAÇÃO RURAL DA REGIÃO DE SÃO JOSÉ DO RIO PRETO LTDA</t>
  </si>
  <si>
    <t>Agosto</t>
  </si>
  <si>
    <t>COOPERATIVA de Distribuição de Energia Elétrica de Castro</t>
  </si>
  <si>
    <t>Castro - DIS</t>
  </si>
  <si>
    <t>Setembro</t>
  </si>
  <si>
    <t>CELETRO COOPERATIVA DE ELETRIFICAÇÃO CENTRO JACUÍ LTDA</t>
  </si>
  <si>
    <t>CELETRO</t>
  </si>
  <si>
    <t>Outubro</t>
  </si>
  <si>
    <t>CERAL DIS COOPERATIVA DE DISTRIBUIÇÃO DE ENERGIA ELÉTRICA DE ARAPOTI</t>
  </si>
  <si>
    <t>Ceral DIS</t>
  </si>
  <si>
    <t>Novembro</t>
  </si>
  <si>
    <t>COOPERATIVA de Distribuição de Energia Fontoura Xavier</t>
  </si>
  <si>
    <t>CERFOX</t>
  </si>
  <si>
    <t>Dezembro</t>
  </si>
  <si>
    <t>CERILUZ COOPERATIVA REGIONAL DE ENERGIA E DESENVOLVIMENTO IJUÍ LTDA</t>
  </si>
  <si>
    <t>CERIS COOPERATIVA DE ELETRIFICAÇÃO RURAL DA REGIÃO DE ITAPECERICA DA SERRA</t>
  </si>
  <si>
    <t>CERMISSÕES COOPERATIVA DE DISTRIBUIÇÃO E GERAÇÃO DE ENERGIA DAS MISSÕES LTDA.</t>
  </si>
  <si>
    <t>CERNHE COOPERATIVA DE ELETRIFICAÇÃO E DESENVOLVIMENTO RURAL DA REGIÃO DE NOVO HORIZONTE</t>
  </si>
  <si>
    <t>CERTAJA  COOPERATIVA REGIONAL DE ENERGIA TAQUARI JACUI</t>
  </si>
  <si>
    <t>COOPERATIVA de Distribuição de Energia Entre Rios Ltda.</t>
  </si>
  <si>
    <t>CERTHIL</t>
  </si>
  <si>
    <t>COOPERLUZ COOPERATIVA DISTRIBUIDORA DE ENERGIA FRONTEIRA NOROESTE</t>
  </si>
  <si>
    <t>COPREL COPREL COOPERATIVA DE ENERGIA</t>
  </si>
  <si>
    <t>CRELUZ-D COOPERATIVA DE DISTRIBUIÇÃO DE ENERGIA CRELUZ-D</t>
  </si>
  <si>
    <t>CRERAL  COOPERATIVA REGIONAL DE ELETRIFICAÇÃO RURAL DO ALTO URUGUAI</t>
  </si>
  <si>
    <t>CEDRI COOPERATIVA DE ENERGIZAÇÃO E DESENVOLVIMENTO RURAL DO VALE DO ITARIRI</t>
  </si>
  <si>
    <t>COOPERATIVA de Eletricidade de São Ludgero - CEGERO</t>
  </si>
  <si>
    <t>CEJAMA  COOPERATIVA DE ELETRICIDADE JACINTO MACHADO</t>
  </si>
  <si>
    <t>CERAÇA - COOPERATIVA DE ELETRIFICAÇÃO E DESENVOLVIMENTO RURAL VALE DO ARAÇÁ</t>
  </si>
  <si>
    <t>Ceraça</t>
  </si>
  <si>
    <t>CERBRANORTE  COOPERATIVA DE ELETRIFICAÇÃO BRAÇO DO NORTE</t>
  </si>
  <si>
    <t>CEREJ COOPERATIVA DE PRESTAÇÃO DE SERVIÇOS PÚBLICOS DE DISTRIBUIÇÃO DE ENERGIA ELÉTRICA SENADOR ESTEVES JÚNIOR</t>
  </si>
  <si>
    <t>CERGAL COOPERATIVA DE ELETRIFICAÇÃO  ANITA GARIBALDI LTDA</t>
  </si>
  <si>
    <t>CERGAPA COOPERATIVA DE ELETRICIDADE GRÃO PARÁ</t>
  </si>
  <si>
    <t>CERGRAL COOPERATIVA DE ELETRICIDADE DE GRAVATAL</t>
  </si>
  <si>
    <t>CERMOFUL COOPERATIVA FUMACENSE DE ELETRICIDADE</t>
  </si>
  <si>
    <t>CERPALO COOPERATIVA DE ELETRICIDADE DE PAULO LOPES</t>
  </si>
  <si>
    <t>COOPERATIVA de Distribuição de Energia Elétrica Salto Donner - CERSAD</t>
  </si>
  <si>
    <t>CERSUL COOPERATIVA DE ELETRIFICAÇÃO SUL CATARINENSE</t>
  </si>
  <si>
    <t>CERTREL COOPERATIVA DE ENERGIA TREVISO</t>
  </si>
  <si>
    <t>COOPERATIVA de Energização e de Desenvolvimento do Vale do Mogi - CERVAM</t>
  </si>
  <si>
    <t>CERVAM</t>
  </si>
  <si>
    <t>COOPERATIVA de Distribuição de Energia Elétrica Santa Maria - CODESAM</t>
  </si>
  <si>
    <t>COOPERA COOPERATIVA PIONEIRA DE ELETRIFICAÇÃO</t>
  </si>
  <si>
    <t>COOPERCOCAL COOPERATIVA ENERGÉTICA COCAL</t>
  </si>
  <si>
    <t>COOPERMILA COOPERATIVA DE ELETRIFICAÇÃO LAURO MULLER</t>
  </si>
  <si>
    <t>Cooperzem COOPERATIVA de Eletrificação Rural de Armazém - COOPERZEM</t>
  </si>
  <si>
    <t>COORSEL COOPERATIVA REGIONAL SUL DE ELETRIFICAÇÃO RURAL</t>
  </si>
  <si>
    <t>CEDRAP COOPERATIVA DE ELETRIFICAÇÃO E DESENVOLVIMENTO RURAL DO ALTO PARAÍBA LTDA</t>
  </si>
  <si>
    <t>CERAL ANITÁPOLIS  COOPERATIVA DE DISTRIBUIÇÃO DE ENERGIA ELÉTRICA DE ANITÁPOLIS</t>
  </si>
  <si>
    <t>CERIM COOPERATIVA DE ELETRIFICAÇÃO RURAL ITU-MAIRINQUE</t>
  </si>
  <si>
    <t>CERMC COOPERATIVA DE ELETRIFICAÇÃO E DESENVOLVIMENTO DA REGIÃO DE MOGI DAS CRUZES</t>
  </si>
  <si>
    <t>CETRIL COOPERATIVA DE ELETRIFICAÇÃO E TELEFONIA RURAIS DE IBIÚNA LTDA</t>
  </si>
  <si>
    <t>CEPRAG COOPERATIVA DE ELETRICIDADE PRAIA GRANDE</t>
  </si>
  <si>
    <t>COOPERATIVA Regional de Distribuição de Energia do Litoral Norte - COOPERNORTE</t>
  </si>
  <si>
    <t>COOPERNORTE</t>
  </si>
  <si>
    <t>COOPERATIVA Regional de Eletrificação Rural Fronteira Sul Ltda. - COOPERSUL</t>
  </si>
  <si>
    <t>COOPERSUL</t>
  </si>
  <si>
    <t>Indices</t>
  </si>
  <si>
    <t>mês</t>
  </si>
  <si>
    <t>número de empresa</t>
  </si>
  <si>
    <t>Ano do Processo</t>
  </si>
  <si>
    <t>Mês</t>
  </si>
  <si>
    <t>Últimas versões</t>
  </si>
  <si>
    <t>Empresas</t>
  </si>
  <si>
    <t>Código da empresa</t>
  </si>
  <si>
    <t>Data de aniversário contratual</t>
  </si>
  <si>
    <t>Versão</t>
  </si>
  <si>
    <t>Data de Upload</t>
  </si>
  <si>
    <t>Data de extração</t>
  </si>
  <si>
    <t>sigla</t>
  </si>
  <si>
    <t>Ano</t>
  </si>
  <si>
    <t>idSREAg</t>
  </si>
  <si>
    <t>id_natureza_dado</t>
  </si>
  <si>
    <t>id_detalhe_natureza</t>
  </si>
  <si>
    <t>idDet1</t>
  </si>
  <si>
    <t>idDet2</t>
  </si>
  <si>
    <t>idDet3</t>
  </si>
  <si>
    <t>id_grupo_tarifa</t>
  </si>
  <si>
    <t>id_detalhe_grupo_tarifa</t>
  </si>
  <si>
    <t>id_tipo_tarifa</t>
  </si>
  <si>
    <t>id_subgrupo</t>
  </si>
  <si>
    <t>id_posto</t>
  </si>
  <si>
    <t>id_unidade</t>
  </si>
  <si>
    <t>id_UC</t>
  </si>
  <si>
    <t>valor</t>
  </si>
  <si>
    <t>DatadeRegistro</t>
  </si>
  <si>
    <t>idagente</t>
  </si>
  <si>
    <t>DRA</t>
  </si>
  <si>
    <t>DRP</t>
  </si>
  <si>
    <t>Compra de energia</t>
  </si>
  <si>
    <t>DatadeRegistro2</t>
  </si>
  <si>
    <t>Neoenergia Elektro</t>
  </si>
  <si>
    <t>CEEE Equatorial</t>
  </si>
  <si>
    <t>EDP SP</t>
  </si>
  <si>
    <t>Celesc-Dis</t>
  </si>
  <si>
    <t>ATENÇÃO</t>
  </si>
  <si>
    <t>CPFL SantaCruz</t>
  </si>
  <si>
    <t>AnoRef</t>
  </si>
  <si>
    <t>BaseTarifária</t>
  </si>
  <si>
    <t>SUBGRUPO</t>
  </si>
  <si>
    <t>TUSD</t>
  </si>
  <si>
    <t xml:space="preserve">&lt;-- Após escolher mês e ano clique em salvar </t>
  </si>
  <si>
    <t>(Neutralidade)Crédito Pis Cofins</t>
  </si>
  <si>
    <t>(Neutralidade) CDE GD</t>
  </si>
  <si>
    <t>(Neutralidade) CDE Conta - Escassez Hídrica TE</t>
  </si>
  <si>
    <t>(Neutralidade) CDE Conta - Escassez Hídrica TUSD</t>
  </si>
  <si>
    <t>Subgrupo</t>
  </si>
  <si>
    <t>id_SUBGRUPO</t>
  </si>
  <si>
    <t>A1</t>
  </si>
  <si>
    <t>AS</t>
  </si>
  <si>
    <t>B2</t>
  </si>
  <si>
    <t>B3</t>
  </si>
  <si>
    <t>B4</t>
  </si>
  <si>
    <t>Grupo A</t>
  </si>
  <si>
    <t>Grupo B</t>
  </si>
  <si>
    <t>A+B</t>
  </si>
  <si>
    <t>Resolucao</t>
  </si>
  <si>
    <t>idAgente</t>
  </si>
  <si>
    <t>carta</t>
  </si>
  <si>
    <t>TipoProcesso</t>
  </si>
  <si>
    <t>Carta s/n de 22/03/2024</t>
  </si>
  <si>
    <t>Recálculo - Econômico</t>
  </si>
  <si>
    <t>(Neutralidade) CDE Conta - Covid TUSD</t>
  </si>
  <si>
    <t>Of. REG 004/2024 de 27/03/2024</t>
  </si>
  <si>
    <t>AGENTE_TAR</t>
  </si>
  <si>
    <t>SAMP_SUBGRUPO</t>
  </si>
  <si>
    <t>SAMP_POSTO_TARIFARIO</t>
  </si>
  <si>
    <t>Intermediário</t>
  </si>
  <si>
    <t>Posto Tarifário</t>
  </si>
  <si>
    <t>Subgrupo(banco de tarifas)</t>
  </si>
  <si>
    <t>Subgrupo+IdAgente</t>
  </si>
  <si>
    <t>&lt;-- O nome do arquivo deve começar com "PREPAJA"</t>
  </si>
  <si>
    <t>Operação e Manutenção</t>
  </si>
  <si>
    <t>preencher a Declaração de Adimplêmcia</t>
  </si>
  <si>
    <t>Hidropan</t>
  </si>
  <si>
    <t>p</t>
  </si>
  <si>
    <t>Receita Total</t>
  </si>
  <si>
    <t xml:space="preserve">Transporte </t>
  </si>
  <si>
    <t>Componentes financeiros</t>
  </si>
  <si>
    <t>Receita total -1</t>
  </si>
  <si>
    <t>.</t>
  </si>
  <si>
    <t>permissionaria</t>
  </si>
  <si>
    <t>covid</t>
  </si>
  <si>
    <t>uso</t>
  </si>
  <si>
    <t>gd</t>
  </si>
  <si>
    <t>Copel REH 3336/2024</t>
  </si>
  <si>
    <t>REH 3347/2024</t>
  </si>
  <si>
    <t>versao</t>
  </si>
  <si>
    <t>Financeiros associados ao §5º do Art. 141 da REN 1.000/2021</t>
  </si>
  <si>
    <t>Diferimento Encargos ESS e EER</t>
  </si>
  <si>
    <t>Diferimento de PIS/Cofins</t>
  </si>
  <si>
    <t>Diferimento Parcela B</t>
  </si>
  <si>
    <t>Diferimento pis cofins e PB</t>
  </si>
  <si>
    <t>Arrecadação de encargo CDE Escassez Hídrica dos 
consumidores migrantes (Resolução Normativa 1.008/2022).</t>
  </si>
  <si>
    <t>Devolução Pis/Cofins referente ao
Encargo de Conexão  ao Sistema de Transmissão</t>
  </si>
  <si>
    <t>Retirada dos Finan. do Ano Anterior 
e alteração dos descontos na tarifa.</t>
  </si>
  <si>
    <t>Arrec CDE Escassez Hídrica dos
consumidores migrantes (Resolução Normativa 1.008/2022).</t>
  </si>
  <si>
    <t>Dev. Pis/Cofins -Encargo de Conexão  ao Sistema de Transmissão</t>
  </si>
  <si>
    <t>62351</t>
  </si>
  <si>
    <t>Fornecimento
(MWh)</t>
  </si>
  <si>
    <t>Consumidores
Livres</t>
  </si>
  <si>
    <t>Energia Total
(MWh)</t>
  </si>
  <si>
    <t>Receita</t>
  </si>
  <si>
    <t>Número de
Consumidores</t>
  </si>
  <si>
    <t>ENER - 185/2024, 20/07/24</t>
  </si>
  <si>
    <t>CERTEL ENERGIA COOPERATIVA DE DISTRIBUÇÃO DE ENERGIA TEUTÔNIA</t>
  </si>
  <si>
    <t>NomSubgrupo</t>
  </si>
  <si>
    <t>A</t>
  </si>
  <si>
    <t>A4a</t>
  </si>
  <si>
    <t>A4b</t>
  </si>
  <si>
    <t>A4c</t>
  </si>
  <si>
    <t>verificar tarifas</t>
  </si>
  <si>
    <t>https://portalrelatorios.aneel.gov.br/luznatarifa/basestarifas</t>
  </si>
  <si>
    <t>CodSubgrupo(bantar)</t>
  </si>
  <si>
    <t>SUBGRUPO - badnet</t>
  </si>
  <si>
    <t>48580.002845/2024-00</t>
  </si>
  <si>
    <t>48580.002844/2024-00</t>
  </si>
  <si>
    <t>48580.002846/2024-00</t>
  </si>
  <si>
    <t>48580.002847/2024-00</t>
  </si>
  <si>
    <t xml:space="preserve"> 48580.002848/2024-00</t>
  </si>
  <si>
    <t>48580.002849/2024-00</t>
  </si>
  <si>
    <t xml:space="preserve"> 48580.002850/2024-00</t>
  </si>
  <si>
    <t>48580.002851/2024-00</t>
  </si>
  <si>
    <t xml:space="preserve"> 48580.002852/2024-00</t>
  </si>
  <si>
    <t>48580.002853/2024-00</t>
  </si>
  <si>
    <t>48580.002854/2024-00</t>
  </si>
  <si>
    <t>48580.002855/2024-00</t>
  </si>
  <si>
    <t>48580.002856/2024-00</t>
  </si>
  <si>
    <t xml:space="preserve"> 48580.002857/2024-00</t>
  </si>
  <si>
    <t>48580.002858/2024-00</t>
  </si>
  <si>
    <t xml:space="preserve"> 48580.002859/2024-00</t>
  </si>
  <si>
    <t>48580.002860/2024-00</t>
  </si>
  <si>
    <t xml:space="preserve"> 48580.002861/2024-00</t>
  </si>
  <si>
    <t>48580.002862/2024-00</t>
  </si>
  <si>
    <t>48580.002863/2024-00</t>
  </si>
  <si>
    <t>48580.002864/2024-00</t>
  </si>
  <si>
    <t>Pleitos</t>
  </si>
  <si>
    <t>48513.025100/2024-00</t>
  </si>
  <si>
    <t>48513.024244/2024-00</t>
  </si>
  <si>
    <t>48513.024309/2024-00</t>
  </si>
  <si>
    <t>48513.023909/2024-00</t>
  </si>
  <si>
    <t>48513.024384/2024-00</t>
  </si>
  <si>
    <t>48513.024395/2024-00</t>
  </si>
  <si>
    <t>48513.024171/2024-00</t>
  </si>
  <si>
    <t>48513.024374/2024-00</t>
  </si>
  <si>
    <t>48513.024544/2024-00</t>
  </si>
  <si>
    <t>48513.025205/2024-00</t>
  </si>
  <si>
    <t>48513.024397/2024-00</t>
  </si>
  <si>
    <t>48513.024094/2024-00</t>
  </si>
  <si>
    <t>48513.024565/2024-00</t>
  </si>
  <si>
    <t xml:space="preserve">48513.023806/2024-00 </t>
  </si>
  <si>
    <t xml:space="preserve">48513.023847/2024-00 </t>
  </si>
  <si>
    <t xml:space="preserve">48513.024396/2024-00 </t>
  </si>
  <si>
    <t>48513.024378/2024-00</t>
  </si>
  <si>
    <t>Perda Rede Básica sobre Dist. (MWh)</t>
  </si>
  <si>
    <t>Perda Rede Básica sobre mercado Cat. (MWh)</t>
  </si>
  <si>
    <t>Perdas Regulatórias Distribuição (%)</t>
  </si>
  <si>
    <t>Perdas Regulatórias Distribuição (MWh)</t>
  </si>
  <si>
    <t>Apoio_Efeito!AJ4</t>
  </si>
  <si>
    <t>Apoio_Efeito!AJ5</t>
  </si>
  <si>
    <t>Apoio_Efeito!AJ6</t>
  </si>
  <si>
    <t>Apoio_Efeito!AJ7</t>
  </si>
  <si>
    <t>Apoio_Efeito!AJ8</t>
  </si>
  <si>
    <t>Apoio_Efeito!AJ9</t>
  </si>
  <si>
    <t>Apoio_Efeito!AJ10</t>
  </si>
  <si>
    <t>Apoio_Efeito!AJ11</t>
  </si>
  <si>
    <t>Apoio_Efeito!AJ12</t>
  </si>
  <si>
    <t>Apoio_Efeito!AJ13</t>
  </si>
  <si>
    <t>Apoio_Efeito!AJ14</t>
  </si>
  <si>
    <t>Apoio_Efeito!AJ15</t>
  </si>
  <si>
    <t>Apoio_Efeito!AJ16</t>
  </si>
  <si>
    <t>Apoio_Efeito!AJ17</t>
  </si>
  <si>
    <t>Apoio_Efeito!AJ18</t>
  </si>
  <si>
    <t>Apoio_Efeito!AJ19</t>
  </si>
  <si>
    <t>Apoio_Efeito!AJ20</t>
  </si>
  <si>
    <t>Apoio_Efeito!AJ21</t>
  </si>
  <si>
    <t>Apoio_Efeito!AJ22</t>
  </si>
  <si>
    <t>Apoio_Efeito!AJ23</t>
  </si>
  <si>
    <t>Apoio_Efeito!AJ24</t>
  </si>
  <si>
    <t>Apoio_Efeito!AJ25</t>
  </si>
  <si>
    <t>Apoio_Efeito!AJ26</t>
  </si>
  <si>
    <t>Apoio_Efeito!AJ27</t>
  </si>
  <si>
    <t>Apoio_Efeito!AJ28</t>
  </si>
  <si>
    <t>Apoio_Efeito!AJ29</t>
  </si>
  <si>
    <t>Apoio_Efeito!AJ30</t>
  </si>
  <si>
    <t>Apoio_Efeito!AJ31</t>
  </si>
  <si>
    <t>Apoio_Efeito!AJ32</t>
  </si>
  <si>
    <t>Apoio_Efeito!AJ33</t>
  </si>
  <si>
    <t>Apoio_Efeito!AJ34</t>
  </si>
  <si>
    <t>Apoio_Efeito!AJ35</t>
  </si>
  <si>
    <t>Apoio_Efeito!AJ36</t>
  </si>
  <si>
    <t>Apoio_Efeito!AJ37</t>
  </si>
  <si>
    <t>Apoio_Efeito!AJ38</t>
  </si>
  <si>
    <t>Apoio_Efeito!AJ39</t>
  </si>
  <si>
    <t>Apoio_Efeito!AJ40</t>
  </si>
  <si>
    <t>Apoio_Efeito!AJ41</t>
  </si>
  <si>
    <t>Apoio_Efeito!AJ42</t>
  </si>
  <si>
    <t>Apoio_Efeito!AJ43</t>
  </si>
  <si>
    <t>Apoio_Efeito!AJ44</t>
  </si>
  <si>
    <t>Apoio_Efeito!AJ45</t>
  </si>
  <si>
    <t>Apoio_Efeito!AJ46</t>
  </si>
  <si>
    <t>Apoio_Efeito!AJ47</t>
  </si>
  <si>
    <t>Apoio_Efeito!AJ48</t>
  </si>
  <si>
    <t>Apoio_Efeito!AJ49</t>
  </si>
  <si>
    <t>Apoio_Efeito!AJ50</t>
  </si>
  <si>
    <t>Apoio_Efeito!AJ51</t>
  </si>
  <si>
    <t>Apoio_Efeito!AJ52</t>
  </si>
  <si>
    <t>Apoio_Efeito!AJ53</t>
  </si>
  <si>
    <t>Apoio_Efeito!AJ54</t>
  </si>
  <si>
    <t>Apoio_Efeito!AJ55</t>
  </si>
  <si>
    <t>Nota Técnica nº XXX/2024-STR/ANEEL</t>
  </si>
  <si>
    <t>Preencher</t>
  </si>
  <si>
    <t>Tarifas de Suprimento Relativas ao CUSD</t>
  </si>
  <si>
    <t>OK</t>
  </si>
  <si>
    <t>REH 3283/2023</t>
  </si>
  <si>
    <t>Celesc-DIS</t>
  </si>
  <si>
    <t>Cemig-D</t>
  </si>
  <si>
    <t>Chesp</t>
  </si>
  <si>
    <t>Cocel</t>
  </si>
  <si>
    <t>Cooperaliança</t>
  </si>
  <si>
    <t>Copel-DIS</t>
  </si>
  <si>
    <t>CPFL Santa Cruz (agrupada)</t>
  </si>
  <si>
    <t>Dcelt</t>
  </si>
  <si>
    <t>Demei</t>
  </si>
  <si>
    <t>DMED</t>
  </si>
  <si>
    <t>REH 3285/2023</t>
  </si>
  <si>
    <t>EDP ES</t>
  </si>
  <si>
    <t>EFLJC</t>
  </si>
  <si>
    <t>Eflul</t>
  </si>
  <si>
    <t>Eletrocar</t>
  </si>
  <si>
    <t>ELFSM</t>
  </si>
  <si>
    <t>Enel CE</t>
  </si>
  <si>
    <t>Enel SP</t>
  </si>
  <si>
    <t>Energisa AC</t>
  </si>
  <si>
    <t>REH 3300/2023</t>
  </si>
  <si>
    <t>Energisa MS</t>
  </si>
  <si>
    <t>Energisa MT</t>
  </si>
  <si>
    <t>Energisa PB</t>
  </si>
  <si>
    <t>Energisa RO</t>
  </si>
  <si>
    <t>REH 3301/2023</t>
  </si>
  <si>
    <t>Energisa Sul Sudeste</t>
  </si>
  <si>
    <t>Energisa TO</t>
  </si>
  <si>
    <t>Equatorial MA</t>
  </si>
  <si>
    <t>Equatorial PI</t>
  </si>
  <si>
    <t>REH 3292/2023</t>
  </si>
  <si>
    <t>Light</t>
  </si>
  <si>
    <t>Neoenergia Brasília</t>
  </si>
  <si>
    <t>Neoenergia Coelba</t>
  </si>
  <si>
    <t>Neoenergia Cosern</t>
  </si>
  <si>
    <t>Sulgipe</t>
  </si>
  <si>
    <t>Tarifa de Aplicação</t>
  </si>
  <si>
    <t>CEMIG GT</t>
  </si>
  <si>
    <t>GOLD COMERCIALIZADORA DE ENERGIA LTDA.</t>
  </si>
  <si>
    <t>Tarifa de Suprimento</t>
  </si>
  <si>
    <t>Quitação conta Covid TE</t>
  </si>
  <si>
    <t>Quitação conta Escassez TE</t>
  </si>
  <si>
    <t>Reversão de Pgto Conta Covid TUSD</t>
  </si>
  <si>
    <t>Reversão de Pgto Conta Escassez TE</t>
  </si>
  <si>
    <t>Reversão de Pgto Conta Escassez TUSD</t>
  </si>
  <si>
    <t>REH 0/</t>
  </si>
  <si>
    <t>REH 3048/2022</t>
  </si>
  <si>
    <t>REH 3244/2023</t>
  </si>
  <si>
    <t>REH 3202/2023</t>
  </si>
  <si>
    <t>REH 3272/2023</t>
  </si>
  <si>
    <t>REH 3284/2023</t>
  </si>
  <si>
    <t>REH 3211/2023</t>
  </si>
  <si>
    <t>REH 3252/2023</t>
  </si>
  <si>
    <t>REH 3209/2023</t>
  </si>
  <si>
    <t>REH 3183/2023</t>
  </si>
  <si>
    <t>REH 3277/2023</t>
  </si>
  <si>
    <t>REH 3178/2023</t>
  </si>
  <si>
    <t>REH 3245/2023</t>
  </si>
  <si>
    <t>REH 3220/2023</t>
  </si>
  <si>
    <t>REH 3241/2023</t>
  </si>
  <si>
    <t>REH 3278/2023</t>
  </si>
  <si>
    <t>REH 3246/2023</t>
  </si>
  <si>
    <t>REH 3247/2023</t>
  </si>
  <si>
    <t>REH 3223/2023</t>
  </si>
  <si>
    <t>REH 3254/2023</t>
  </si>
  <si>
    <t>REH 3185/2023</t>
  </si>
  <si>
    <t>REH 3177/2023</t>
  </si>
  <si>
    <t>REH 3215/2023</t>
  </si>
  <si>
    <t>Energisa Minas Rio</t>
  </si>
  <si>
    <t>REH 3210/2023</t>
  </si>
  <si>
    <t>REH 3181/2023</t>
  </si>
  <si>
    <t>REH 3182/2023</t>
  </si>
  <si>
    <t>REH 3250/2023</t>
  </si>
  <si>
    <t>REH 3184/2023</t>
  </si>
  <si>
    <t>REH 3219/2023</t>
  </si>
  <si>
    <t>REH 3214/2023</t>
  </si>
  <si>
    <t>Equatorial CEEE</t>
  </si>
  <si>
    <t>Equatorial GO</t>
  </si>
  <si>
    <t>REH 3279/2023</t>
  </si>
  <si>
    <t>REH 3251/2023</t>
  </si>
  <si>
    <t>REH 3224/2023</t>
  </si>
  <si>
    <t>REH 3176/2023</t>
  </si>
  <si>
    <t>MuxEnergia</t>
  </si>
  <si>
    <t>REH 3221/2023</t>
  </si>
  <si>
    <t>REH 3276/2023</t>
  </si>
  <si>
    <t>REH 3186/2023</t>
  </si>
  <si>
    <t>REH 3187/2023</t>
  </si>
  <si>
    <t>REH 3253/2023</t>
  </si>
  <si>
    <t>REH 3222/2023</t>
  </si>
  <si>
    <t>Pacto Energia</t>
  </si>
  <si>
    <t>REH 3249/2023</t>
  </si>
  <si>
    <t>RGE (agrupada)</t>
  </si>
  <si>
    <t>REH 3206/2023</t>
  </si>
  <si>
    <t>REH 3197/2023</t>
  </si>
  <si>
    <t>Data de aniversario</t>
  </si>
  <si>
    <t>Próxima Revisão</t>
  </si>
  <si>
    <t>PREPAJA - Planilha Resumo de Permisionária do Jayson e da Aline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</si>
</sst>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1">
    <numFmt numFmtId="41" formatCode="_-* #,##0_-;\-* #,##0_-;_-* &quot;-&quot;_-;_-@_-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* #,##0.00_-;\-&quot;R$&quot;* #,##0.00_-;_-&quot;R$&quot;* &quot;-&quot;??_-;_-@_-"/>
    <numFmt numFmtId="165" formatCode="0.0%"/>
    <numFmt numFmtId="166" formatCode="[$-416]mmm\-yy;@"/>
    <numFmt numFmtId="167" formatCode="d&quot; de &quot;mmmm&quot; de &quot;yyyy"/>
    <numFmt numFmtId="168" formatCode="_-\ #,##0.00_-;\-\ #,##0.00_-;_-\ &quot;-&quot;??_-;_-@_-"/>
    <numFmt numFmtId="169" formatCode="_-\ #,##0_-;\-\ #,##0_-;_-\ &quot;-&quot;??_-;_-@_-"/>
    <numFmt numFmtId="170" formatCode="#,##0.00_ ;\-#,##0.00\ "/>
    <numFmt numFmtId="171" formatCode="_-* #,##0_-;\-* #,##0_-;_-* &quot;-&quot;??_-;_-@_-"/>
    <numFmt numFmtId="172" formatCode="_(* #,##0_);_(* \(#,##0\);_(* &quot;-&quot;??_);_(@_)"/>
    <numFmt numFmtId="173" formatCode="_(&quot;R$ &quot;* #,##0.00_);_(&quot;R$ &quot;* \(#,##0.00\);_(&quot;R$ &quot;* &quot;-&quot;??_);_(@_)"/>
    <numFmt numFmtId="174" formatCode="0.0000"/>
    <numFmt numFmtId="175" formatCode="#,##0.0_);\(#,##0.0\)"/>
    <numFmt numFmtId="176" formatCode="General_)"/>
    <numFmt numFmtId="177" formatCode="yyyy"/>
    <numFmt numFmtId="178" formatCode="&quot;\&quot;#,##0.00;[Red]&quot;\&quot;\-#,##0.00"/>
    <numFmt numFmtId="179" formatCode="_([$€]* #,##0.00_);_([$€]* \(#,##0.00\);_([$€]* &quot;-&quot;??_);_(@_)"/>
    <numFmt numFmtId="180" formatCode="_-* #,##0.0_-;\-* #,##0.0_-;_-* &quot;-&quot;??_-;_-@_-"/>
    <numFmt numFmtId="181" formatCode="#,#00"/>
    <numFmt numFmtId="182" formatCode="\$#,"/>
    <numFmt numFmtId="183" formatCode="#,"/>
    <numFmt numFmtId="184" formatCode="[Blue]General"/>
    <numFmt numFmtId="185" formatCode="_ * #,##0.00_ ;_ * \-#,##0.00_ ;_ * &quot;-&quot;??_ ;_ @_ "/>
    <numFmt numFmtId="186" formatCode="###0;[Blue]\(###0\)"/>
    <numFmt numFmtId="187" formatCode="#,##0;[Blue]\(#,##0\)"/>
    <numFmt numFmtId="188" formatCode="#,##0.0;[Blue]\(#,##0.0\)"/>
    <numFmt numFmtId="189" formatCode="0%;[Red]\(0%\)"/>
    <numFmt numFmtId="190" formatCode="#,##0.0%;[Blue]\(#,##0.0%\)"/>
    <numFmt numFmtId="191" formatCode="0.0%;[Blue]\(0.0%\)"/>
    <numFmt numFmtId="192" formatCode="#,##0.0_);[Red]\(#,##0.0\)"/>
    <numFmt numFmtId="193" formatCode="_([$€-2]* #,##0.00_);_([$€-2]* \(#,##0.00\);_([$€-2]* &quot;-&quot;??_)"/>
    <numFmt numFmtId="194" formatCode="_([$€-2]* #,##0.0000_);_([$€-2]* \(#,##0.0000\);_([$€-2]* &quot;-&quot;??_)"/>
    <numFmt numFmtId="195" formatCode="_(* #,##0.0_);_(* \(#,##0.0\);_(* &quot;-&quot;?_);_(@_)"/>
    <numFmt numFmtId="196" formatCode="0.00000000"/>
    <numFmt numFmtId="197" formatCode="#,##0.00&quot;F&quot;_);\(#,##0.00&quot;F&quot;\)"/>
    <numFmt numFmtId="198" formatCode="0\ 000\ 000\ 000"/>
    <numFmt numFmtId="199" formatCode="#,##0;\(#,##0\)"/>
    <numFmt numFmtId="200" formatCode="_-* #,##0.00\ &quot;Kč&quot;_-;\-* #,##0.00\ &quot;Kč&quot;_-;_-* &quot;-&quot;??\ &quot;Kč&quot;_-;_-@_-"/>
    <numFmt numFmtId="201" formatCode="0.0000000000"/>
    <numFmt numFmtId="202" formatCode="_(&quot;N$&quot;* #,##0.00_);_(&quot;N$&quot;* \(#,##0.00\);_(&quot;N$&quot;* &quot;-&quot;??_);_(@_)"/>
    <numFmt numFmtId="203" formatCode="0_)%;[Red]\(0\)%"/>
    <numFmt numFmtId="204" formatCode="0.0\ %;[Red]\(0.0\)%"/>
    <numFmt numFmtId="205" formatCode="_-* #,##0.00\ _€_-;\-* #,##0.00\ _€_-;_-* &quot;-&quot;??\ _€_-;_-@_-"/>
    <numFmt numFmtId="206" formatCode="_-[$R$-416]\ * #,##0.00_-;\-[$R$-416]\ * #,##0.00_-;_-[$R$-416]\ * &quot;-&quot;??_-;_-@_-"/>
    <numFmt numFmtId="207" formatCode="d/m;@"/>
    <numFmt numFmtId="208" formatCode="d/m/yy\ h:mm;@"/>
    <numFmt numFmtId="209" formatCode="&quot;R$&quot;#,##0.00"/>
    <numFmt numFmtId="210" formatCode="0.000%"/>
    <numFmt numFmtId="211" formatCode="_(* #,##0.00_);_(* \(#,##0.00\);_(* &quot;-&quot;??_);_(@_)"/>
  </numFmts>
  <fonts count="12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sz val="11"/>
      <color theme="1"/>
      <name val="Calibri"/>
      <family val="2"/>
      <scheme val="minor"/>
    </font>
    <font>
      <b/>
      <sz val="10"/>
      <color theme="0"/>
      <name val="Arial Narrow"/>
      <family val="2"/>
    </font>
    <font>
      <sz val="10"/>
      <name val="Arial Narrow"/>
      <family val="2"/>
    </font>
    <font>
      <sz val="10"/>
      <color theme="1"/>
      <name val="Arial Narrow"/>
      <family val="2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MS Sans Serif"/>
      <family val="2"/>
    </font>
    <font>
      <b/>
      <sz val="10"/>
      <color indexed="9"/>
      <name val="Arial Narrow"/>
      <family val="2"/>
    </font>
    <font>
      <b/>
      <sz val="10"/>
      <name val="Arial Narrow"/>
      <family val="2"/>
    </font>
    <font>
      <sz val="11"/>
      <color theme="1"/>
      <name val="Arial Narrow"/>
      <family val="2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name val="Arial Narrow"/>
      <family val="2"/>
    </font>
    <font>
      <sz val="8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theme="1"/>
      <name val="Times New Roman"/>
      <family val="1"/>
    </font>
    <font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name val="Microsoft New Tai Lue"/>
      <family val="2"/>
    </font>
    <font>
      <sz val="11"/>
      <color theme="1"/>
      <name val="Calibri"/>
      <family val="2"/>
      <scheme val="minor"/>
    </font>
    <font>
      <sz val="10"/>
      <name val="Calibri"/>
      <family val="2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0"/>
      <name val="Courier"/>
      <family val="3"/>
    </font>
    <font>
      <sz val="12"/>
      <color indexed="8"/>
      <name val="Arial"/>
      <family val="2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11"/>
      <color indexed="9"/>
      <name val="Calibri"/>
      <family val="2"/>
    </font>
    <font>
      <sz val="8"/>
      <name val="MS Sans Serif"/>
      <family val="2"/>
    </font>
    <font>
      <sz val="12"/>
      <name val="Helv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1"/>
      <color indexed="8"/>
      <name val="Courier"/>
      <family val="3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8"/>
      <name val="Arial"/>
      <family val="2"/>
    </font>
    <font>
      <sz val="10"/>
      <name val="Helv"/>
    </font>
    <font>
      <sz val="10"/>
      <color indexed="24"/>
      <name val="Arial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8"/>
      <name val="Times New Roman"/>
      <family val="1"/>
    </font>
    <font>
      <b/>
      <sz val="48"/>
      <color indexed="12"/>
      <name val="Lucida Console"/>
      <family val="3"/>
    </font>
    <font>
      <b/>
      <sz val="12"/>
      <name val="Arial"/>
      <family val="2"/>
    </font>
    <font>
      <b/>
      <sz val="12"/>
      <color indexed="24"/>
      <name val="Arial"/>
      <family val="2"/>
    </font>
    <font>
      <shadow/>
      <sz val="8"/>
      <color indexed="12"/>
      <name val="Times New Roman"/>
      <family val="1"/>
    </font>
    <font>
      <sz val="11"/>
      <color indexed="60"/>
      <name val="Calibri"/>
      <family val="2"/>
    </font>
    <font>
      <sz val="7"/>
      <name val="Small Fonts"/>
      <family val="2"/>
    </font>
    <font>
      <sz val="10"/>
      <name val="Palatino"/>
    </font>
    <font>
      <b/>
      <sz val="11"/>
      <color indexed="63"/>
      <name val="Calibri"/>
      <family val="2"/>
    </font>
    <font>
      <sz val="1"/>
      <color indexed="18"/>
      <name val="Courier"/>
      <family val="3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62"/>
      <name val="Cambria"/>
      <family val="2"/>
    </font>
    <font>
      <sz val="10"/>
      <name val="Palatino"/>
      <family val="1"/>
    </font>
    <font>
      <sz val="10"/>
      <name val="Century Gothic"/>
      <family val="2"/>
    </font>
    <font>
      <b/>
      <i/>
      <sz val="14"/>
      <name val="Arial"/>
      <family val="2"/>
    </font>
    <font>
      <b/>
      <sz val="11"/>
      <color indexed="8"/>
      <name val="Calibri"/>
      <family val="2"/>
    </font>
    <font>
      <sz val="10"/>
      <name val="Tms Rmn"/>
    </font>
    <font>
      <sz val="10"/>
      <color indexed="39"/>
      <name val="Arial"/>
      <family val="2"/>
    </font>
    <font>
      <sz val="10"/>
      <color indexed="9"/>
      <name val="Arial"/>
      <family val="2"/>
    </font>
    <font>
      <sz val="12"/>
      <name val="Times New Roman"/>
      <family val="1"/>
    </font>
    <font>
      <u/>
      <sz val="11"/>
      <color theme="10"/>
      <name val="Calibri"/>
      <family val="2"/>
    </font>
    <font>
      <sz val="10"/>
      <name val="Arial Unicode MS"/>
      <family val="2"/>
    </font>
    <font>
      <sz val="10"/>
      <name val="Times New Roman"/>
      <family val="1"/>
    </font>
    <font>
      <sz val="10"/>
      <name val="Helv"/>
      <charset val="204"/>
    </font>
    <font>
      <sz val="9"/>
      <color indexed="8"/>
      <name val="Calibri"/>
      <family val="2"/>
    </font>
    <font>
      <sz val="9"/>
      <color indexed="9"/>
      <name val="Calibri"/>
      <family val="2"/>
    </font>
    <font>
      <b/>
      <sz val="12"/>
      <name val="Times New Roman"/>
      <family val="1"/>
    </font>
    <font>
      <sz val="7.5"/>
      <color indexed="12"/>
      <name val="Arial"/>
      <family val="2"/>
    </font>
    <font>
      <sz val="7"/>
      <name val="Palatino"/>
      <family val="1"/>
    </font>
    <font>
      <b/>
      <sz val="10"/>
      <name val="Palatino"/>
      <family val="1"/>
    </font>
    <font>
      <sz val="9"/>
      <color indexed="52"/>
      <name val="Calibri"/>
      <family val="2"/>
    </font>
    <font>
      <sz val="10"/>
      <name val="Arial CE"/>
      <charset val="238"/>
    </font>
    <font>
      <sz val="10"/>
      <color indexed="20"/>
      <name val="Times New Roman"/>
      <family val="1"/>
    </font>
    <font>
      <i/>
      <sz val="10"/>
      <name val="MS Sans Serif"/>
      <family val="2"/>
    </font>
    <font>
      <sz val="10"/>
      <color indexed="16"/>
      <name val="Helvetica-Black"/>
      <family val="2"/>
    </font>
    <font>
      <sz val="22"/>
      <name val="UBSHeadline"/>
      <family val="1"/>
    </font>
    <font>
      <sz val="10"/>
      <color indexed="10"/>
      <name val="Arial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sz val="9"/>
      <name val="Tms Rmn"/>
    </font>
    <font>
      <b/>
      <sz val="11"/>
      <name val="Times New Roman"/>
      <family val="1"/>
    </font>
    <font>
      <sz val="8"/>
      <color indexed="10"/>
      <name val="Arial Narrow"/>
      <family val="2"/>
    </font>
    <font>
      <sz val="7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 tint="0.1499984740745262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indexed="9"/>
      <name val="Calibri"/>
      <family val="2"/>
    </font>
    <font>
      <sz val="12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sz val="18"/>
      <color theme="1"/>
      <name val="Calibri"/>
      <family val="2"/>
      <scheme val="minor"/>
    </font>
  </fonts>
  <fills count="75">
    <fill>
      <patternFill patternType="none"/>
    </fill>
    <fill>
      <patternFill patternType="gray125"/>
    </fill>
    <fill>
      <patternFill patternType="solid">
        <fgColor theme="4" tint="-0.499984740745262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6E6FF"/>
        <bgColor indexed="64"/>
      </patternFill>
    </fill>
    <fill>
      <patternFill patternType="solid">
        <fgColor rgb="FFCAE6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2"/>
        <bgColor indexed="19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gray0625"/>
    </fill>
    <fill>
      <patternFill patternType="solid">
        <fgColor indexed="9"/>
        <bgColor indexed="43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44"/>
      </patternFill>
    </fill>
    <fill>
      <patternFill patternType="solid">
        <fgColor indexed="24"/>
        <bgColor indexed="24"/>
      </patternFill>
    </fill>
    <fill>
      <patternFill patternType="solid">
        <fgColor indexed="48"/>
        <bgColor indexed="48"/>
      </patternFill>
    </fill>
    <fill>
      <patternFill patternType="solid">
        <fgColor indexed="15"/>
        <bgColor indexed="15"/>
      </patternFill>
    </fill>
    <fill>
      <patternFill patternType="solid">
        <fgColor indexed="45"/>
        <bgColor indexed="45"/>
      </patternFill>
    </fill>
    <fill>
      <patternFill patternType="solid">
        <fgColor indexed="55"/>
        <bgColor indexed="55"/>
      </patternFill>
    </fill>
    <fill>
      <patternFill patternType="solid">
        <fgColor indexed="25"/>
        <bgColor indexed="25"/>
      </patternFill>
    </fill>
    <fill>
      <patternFill patternType="solid">
        <fgColor indexed="41"/>
        <bgColor indexed="41"/>
      </patternFill>
    </fill>
    <fill>
      <patternFill patternType="solid">
        <fgColor indexed="40"/>
        <bgColor indexed="40"/>
      </patternFill>
    </fill>
    <fill>
      <patternFill patternType="solid">
        <fgColor indexed="22"/>
        <bgColor indexed="22"/>
      </patternFill>
    </fill>
    <fill>
      <patternFill patternType="solid">
        <fgColor indexed="33"/>
      </patternFill>
    </fill>
    <fill>
      <patternFill patternType="solid">
        <fgColor indexed="47"/>
        <bgColor indexed="47"/>
      </patternFill>
    </fill>
    <fill>
      <patternFill patternType="solid">
        <fgColor indexed="9"/>
      </patternFill>
    </fill>
    <fill>
      <patternFill patternType="solid">
        <fgColor indexed="35"/>
        <bgColor indexed="64"/>
      </patternFill>
    </fill>
    <fill>
      <patternFill patternType="gray125">
        <fgColor indexed="8"/>
      </patternFill>
    </fill>
    <fill>
      <patternFill patternType="solid">
        <fgColor indexed="8"/>
        <bgColor indexed="64"/>
      </patternFill>
    </fill>
    <fill>
      <patternFill patternType="solid">
        <fgColor rgb="FFF8F192"/>
        <bgColor indexed="64"/>
      </patternFill>
    </fill>
    <fill>
      <patternFill patternType="solid">
        <fgColor theme="4" tint="0.79998168889431442"/>
        <bgColor theme="4"/>
      </patternFill>
    </fill>
    <fill>
      <patternFill patternType="solid">
        <fgColor theme="4" tint="-0.249977111117893"/>
        <b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244062"/>
        <bgColor rgb="FF4F81BD"/>
      </patternFill>
    </fill>
    <fill>
      <patternFill patternType="solid">
        <fgColor rgb="FFCAE6FF"/>
        <bgColor rgb="FF000000"/>
      </patternFill>
    </fill>
    <fill>
      <patternFill patternType="solid">
        <fgColor rgb="FF92D050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4"/>
      </left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/>
      <top/>
      <bottom style="medium">
        <color indexed="8"/>
      </bottom>
      <diagonal/>
    </border>
    <border>
      <left/>
      <right/>
      <top style="thin">
        <color theme="0" tint="-0.14996795556505021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theme="0" tint="-0.1499679555650502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auto="1"/>
      </bottom>
      <diagonal/>
    </border>
  </borders>
  <cellStyleXfs count="17351">
    <xf numFmtId="0" fontId="0" fillId="0" borderId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22" fillId="0" borderId="0"/>
    <xf numFmtId="164" fontId="4" fillId="0" borderId="0" applyFont="0" applyFill="0" applyBorder="0" applyAlignment="0" applyProtection="0"/>
    <xf numFmtId="0" fontId="22" fillId="0" borderId="0"/>
    <xf numFmtId="0" fontId="43" fillId="0" borderId="0">
      <alignment vertical="center"/>
    </xf>
    <xf numFmtId="0" fontId="43" fillId="0" borderId="0">
      <alignment vertical="center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0" fontId="43" fillId="0" borderId="0">
      <alignment vertical="center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0" fontId="8" fillId="0" borderId="0"/>
    <xf numFmtId="0" fontId="43" fillId="0" borderId="0">
      <alignment vertical="center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8" fillId="0" borderId="0"/>
    <xf numFmtId="0" fontId="8" fillId="0" borderId="0"/>
    <xf numFmtId="0" fontId="8" fillId="0" borderId="0"/>
    <xf numFmtId="3" fontId="44" fillId="17" borderId="0">
      <alignment horizontal="left"/>
    </xf>
    <xf numFmtId="0" fontId="45" fillId="18" borderId="0" applyNumberFormat="0" applyBorder="0" applyAlignment="0" applyProtection="0"/>
    <xf numFmtId="0" fontId="45" fillId="23" borderId="0" applyNumberFormat="0" applyBorder="0" applyAlignment="0" applyProtection="0"/>
    <xf numFmtId="0" fontId="45" fillId="27" borderId="0" applyNumberFormat="0" applyBorder="0" applyAlignment="0" applyProtection="0"/>
    <xf numFmtId="0" fontId="45" fillId="25" borderId="0" applyNumberFormat="0" applyBorder="0" applyAlignment="0" applyProtection="0"/>
    <xf numFmtId="0" fontId="45" fillId="21" borderId="0" applyNumberFormat="0" applyBorder="0" applyAlignment="0" applyProtection="0"/>
    <xf numFmtId="0" fontId="47" fillId="32" borderId="0" applyNumberFormat="0" applyBorder="0" applyAlignment="0" applyProtection="0"/>
    <xf numFmtId="0" fontId="47" fillId="32" borderId="0" applyNumberFormat="0" applyBorder="0" applyAlignment="0" applyProtection="0"/>
    <xf numFmtId="37" fontId="49" fillId="0" borderId="0"/>
    <xf numFmtId="0" fontId="49" fillId="0" borderId="3" applyBorder="0"/>
    <xf numFmtId="0" fontId="47" fillId="33" borderId="0" applyNumberFormat="0" applyBorder="0" applyAlignment="0" applyProtection="0"/>
    <xf numFmtId="0" fontId="47" fillId="35" borderId="0" applyNumberFormat="0" applyBorder="0" applyAlignment="0" applyProtection="0"/>
    <xf numFmtId="10" fontId="8" fillId="38" borderId="0" applyFont="0" applyBorder="0" applyAlignment="0">
      <protection locked="0"/>
    </xf>
    <xf numFmtId="175" fontId="43" fillId="0" borderId="0" applyFill="0" applyBorder="0" applyAlignment="0"/>
    <xf numFmtId="178" fontId="8" fillId="0" borderId="0" applyFill="0" applyBorder="0" applyAlignment="0"/>
    <xf numFmtId="40" fontId="53" fillId="38" borderId="1">
      <alignment vertical="center"/>
    </xf>
    <xf numFmtId="177" fontId="8" fillId="0" borderId="0" applyFill="0" applyBorder="0" applyAlignment="0"/>
    <xf numFmtId="0" fontId="8" fillId="0" borderId="0" applyFill="0" applyBorder="0" applyAlignment="0"/>
    <xf numFmtId="0" fontId="62" fillId="42" borderId="0" applyNumberFormat="0" applyFont="0" applyBorder="0" applyAlignment="0" applyProtection="0">
      <alignment horizontal="centerContinuous"/>
    </xf>
    <xf numFmtId="0" fontId="8" fillId="38" borderId="27" applyNumberFormat="0" applyFont="0" applyBorder="0" applyAlignment="0" applyProtection="0"/>
    <xf numFmtId="37" fontId="65" fillId="0" borderId="0" applyFill="0" applyBorder="0" applyAlignment="0">
      <protection locked="0"/>
    </xf>
    <xf numFmtId="177" fontId="8" fillId="0" borderId="0" applyFill="0" applyBorder="0" applyAlignment="0"/>
    <xf numFmtId="176" fontId="53" fillId="0" borderId="0" applyFill="0" applyBorder="0" applyAlignment="0"/>
    <xf numFmtId="176" fontId="53" fillId="0" borderId="0" applyFill="0" applyBorder="0" applyAlignment="0"/>
    <xf numFmtId="182" fontId="52" fillId="0" borderId="0">
      <protection locked="0"/>
    </xf>
    <xf numFmtId="0" fontId="66" fillId="43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44" borderId="28" applyNumberFormat="0" applyFont="0" applyAlignment="0" applyProtection="0"/>
    <xf numFmtId="0" fontId="8" fillId="44" borderId="28" applyNumberFormat="0" applyFont="0" applyAlignment="0" applyProtection="0"/>
    <xf numFmtId="0" fontId="8" fillId="0" borderId="11" applyFont="0" applyFill="0" applyBorder="0" applyAlignment="0" applyProtection="0">
      <alignment horizontal="right"/>
    </xf>
    <xf numFmtId="183" fontId="70" fillId="0" borderId="0">
      <protection locked="0"/>
    </xf>
    <xf numFmtId="43" fontId="8" fillId="0" borderId="0" applyFont="0" applyFill="0" applyBorder="0" applyAlignment="0" applyProtection="0"/>
    <xf numFmtId="38" fontId="11" fillId="45" borderId="0" applyNumberFormat="0" applyFont="0" applyBorder="0" applyAlignment="0" applyProtection="0"/>
    <xf numFmtId="0" fontId="40" fillId="0" borderId="0">
      <alignment vertical="top"/>
    </xf>
    <xf numFmtId="0" fontId="8" fillId="0" borderId="0" applyFill="0" applyBorder="0" applyAlignment="0" applyProtection="0"/>
    <xf numFmtId="0" fontId="71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8" fillId="0" borderId="0" applyFont="0" applyFill="0" applyBorder="0" applyAlignment="0" applyProtection="0"/>
    <xf numFmtId="3" fontId="46" fillId="46" borderId="0">
      <alignment horizontal="right"/>
    </xf>
    <xf numFmtId="37" fontId="41" fillId="41" borderId="0" applyNumberFormat="0" applyBorder="0" applyAlignment="0" applyProtection="0"/>
    <xf numFmtId="37" fontId="41" fillId="0" borderId="0"/>
    <xf numFmtId="0" fontId="40" fillId="0" borderId="0">
      <alignment vertical="top"/>
    </xf>
    <xf numFmtId="0" fontId="8" fillId="0" borderId="0"/>
    <xf numFmtId="0" fontId="40" fillId="0" borderId="0">
      <alignment vertical="top"/>
    </xf>
    <xf numFmtId="0" fontId="45" fillId="19" borderId="0" applyNumberFormat="0" applyBorder="0" applyAlignment="0" applyProtection="0"/>
    <xf numFmtId="0" fontId="45" fillId="23" borderId="0" applyNumberFormat="0" applyBorder="0" applyAlignment="0" applyProtection="0"/>
    <xf numFmtId="0" fontId="45" fillId="18" borderId="0" applyNumberFormat="0" applyBorder="0" applyAlignment="0" applyProtection="0"/>
    <xf numFmtId="0" fontId="45" fillId="19" borderId="0" applyNumberFormat="0" applyBorder="0" applyAlignment="0" applyProtection="0"/>
    <xf numFmtId="0" fontId="45" fillId="23" borderId="0" applyNumberFormat="0" applyBorder="0" applyAlignment="0" applyProtection="0"/>
    <xf numFmtId="0" fontId="45" fillId="25" borderId="0" applyNumberFormat="0" applyBorder="0" applyAlignment="0" applyProtection="0"/>
    <xf numFmtId="0" fontId="45" fillId="27" borderId="0" applyNumberFormat="0" applyBorder="0" applyAlignment="0" applyProtection="0"/>
    <xf numFmtId="0" fontId="45" fillId="21" borderId="0" applyNumberFormat="0" applyBorder="0" applyAlignment="0" applyProtection="0"/>
    <xf numFmtId="0" fontId="45" fillId="25" borderId="0" applyNumberFormat="0" applyBorder="0" applyAlignment="0" applyProtection="0"/>
    <xf numFmtId="184" fontId="8" fillId="37" borderId="22">
      <alignment horizontal="center" vertical="center"/>
    </xf>
    <xf numFmtId="177" fontId="8" fillId="0" borderId="0" applyFill="0" applyBorder="0" applyAlignment="0"/>
    <xf numFmtId="180" fontId="8" fillId="0" borderId="0">
      <protection locked="0"/>
    </xf>
    <xf numFmtId="180" fontId="8" fillId="0" borderId="0">
      <protection locked="0"/>
    </xf>
    <xf numFmtId="0" fontId="50" fillId="19" borderId="0" applyNumberFormat="0" applyBorder="0" applyAlignment="0" applyProtection="0"/>
    <xf numFmtId="0" fontId="59" fillId="23" borderId="24" applyNumberFormat="0" applyAlignment="0" applyProtection="0"/>
    <xf numFmtId="0" fontId="59" fillId="23" borderId="24" applyNumberFormat="0" applyAlignment="0" applyProtection="0"/>
    <xf numFmtId="185" fontId="8" fillId="0" borderId="0" applyFont="0" applyFill="0" applyBorder="0" applyAlignment="0" applyProtection="0"/>
    <xf numFmtId="173" fontId="45" fillId="0" borderId="0" applyFont="0" applyFill="0" applyBorder="0" applyAlignment="0" applyProtection="0"/>
    <xf numFmtId="0" fontId="8" fillId="0" borderId="0">
      <alignment vertical="top"/>
    </xf>
    <xf numFmtId="0" fontId="45" fillId="0" borderId="0"/>
    <xf numFmtId="0" fontId="45" fillId="0" borderId="0"/>
    <xf numFmtId="0" fontId="45" fillId="0" borderId="0"/>
    <xf numFmtId="0" fontId="77" fillId="0" borderId="0"/>
    <xf numFmtId="0" fontId="8" fillId="0" borderId="0"/>
    <xf numFmtId="179" fontId="11" fillId="0" borderId="0"/>
    <xf numFmtId="0" fontId="8" fillId="0" borderId="0"/>
    <xf numFmtId="0" fontId="8" fillId="0" borderId="0"/>
    <xf numFmtId="0" fontId="8" fillId="0" borderId="0"/>
    <xf numFmtId="0" fontId="8" fillId="44" borderId="28" applyNumberFormat="0" applyFont="0" applyAlignment="0" applyProtection="0"/>
    <xf numFmtId="0" fontId="8" fillId="44" borderId="28" applyNumberFormat="0" applyFont="0" applyAlignment="0" applyProtection="0"/>
    <xf numFmtId="0" fontId="8" fillId="44" borderId="28" applyNumberFormat="0" applyFont="0" applyAlignment="0" applyProtection="0"/>
    <xf numFmtId="9" fontId="4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45" fillId="0" borderId="0" applyFont="0" applyFill="0" applyBorder="0" applyAlignment="0" applyProtection="0"/>
    <xf numFmtId="185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45" fillId="0" borderId="0" applyFont="0" applyFill="0" applyBorder="0" applyAlignment="0" applyProtection="0"/>
    <xf numFmtId="0" fontId="78" fillId="0" borderId="9" applyProtection="0">
      <alignment horizontal="centerContinuous"/>
    </xf>
    <xf numFmtId="0" fontId="42" fillId="0" borderId="0"/>
    <xf numFmtId="0" fontId="42" fillId="0" borderId="0"/>
    <xf numFmtId="49" fontId="40" fillId="0" borderId="0" applyFill="0" applyBorder="0" applyAlignment="0"/>
    <xf numFmtId="0" fontId="8" fillId="0" borderId="0" applyFill="0" applyBorder="0" applyAlignment="0"/>
    <xf numFmtId="0" fontId="71" fillId="0" borderId="0" applyNumberFormat="0" applyFill="0" applyBorder="0" applyAlignment="0" applyProtection="0"/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0" fontId="43" fillId="0" borderId="0">
      <alignment vertical="center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0" fontId="43" fillId="0" borderId="0">
      <alignment vertical="center"/>
    </xf>
    <xf numFmtId="0" fontId="40" fillId="0" borderId="0">
      <alignment vertical="top"/>
    </xf>
    <xf numFmtId="0" fontId="43" fillId="0" borderId="0">
      <alignment vertical="center"/>
    </xf>
    <xf numFmtId="0" fontId="40" fillId="0" borderId="0">
      <alignment vertical="top"/>
    </xf>
    <xf numFmtId="0" fontId="43" fillId="0" borderId="0">
      <alignment vertical="center"/>
    </xf>
    <xf numFmtId="0" fontId="43" fillId="0" borderId="0">
      <alignment vertical="center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8" fillId="0" borderId="0"/>
    <xf numFmtId="0" fontId="48" fillId="0" borderId="0"/>
    <xf numFmtId="0" fontId="48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73" fontId="6" fillId="0" borderId="0" applyFont="0" applyFill="0" applyBorder="0" applyAlignment="0" applyProtection="0"/>
    <xf numFmtId="186" fontId="80" fillId="0" borderId="0" applyFill="0" applyBorder="0" applyProtection="0">
      <alignment horizontal="right"/>
      <protection locked="0"/>
    </xf>
    <xf numFmtId="187" fontId="80" fillId="0" borderId="0" applyFill="0" applyBorder="0" applyProtection="0">
      <alignment horizontal="right"/>
      <protection locked="0"/>
    </xf>
    <xf numFmtId="188" fontId="80" fillId="0" borderId="0" applyFill="0" applyBorder="0" applyProtection="0">
      <alignment horizontal="right"/>
      <protection locked="0"/>
    </xf>
    <xf numFmtId="187" fontId="80" fillId="0" borderId="0" applyFont="0" applyFill="0" applyBorder="0" applyAlignment="0"/>
    <xf numFmtId="188" fontId="80" fillId="0" borderId="0" applyFont="0" applyFill="0" applyBorder="0" applyAlignment="0"/>
    <xf numFmtId="0" fontId="43" fillId="0" borderId="0">
      <alignment vertical="center"/>
    </xf>
    <xf numFmtId="0" fontId="40" fillId="0" borderId="0">
      <alignment vertical="top"/>
    </xf>
    <xf numFmtId="0" fontId="43" fillId="0" borderId="0">
      <alignment vertical="center"/>
    </xf>
    <xf numFmtId="0" fontId="43" fillId="0" borderId="0">
      <alignment vertical="center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8" fillId="0" borderId="0"/>
    <xf numFmtId="0" fontId="40" fillId="0" borderId="0">
      <alignment vertical="top"/>
    </xf>
    <xf numFmtId="0" fontId="43" fillId="0" borderId="0">
      <alignment vertical="center"/>
    </xf>
    <xf numFmtId="0" fontId="43" fillId="0" borderId="0">
      <alignment vertical="center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189" fontId="76" fillId="0" borderId="0" applyFill="0" applyBorder="0" applyProtection="0">
      <alignment horizontal="right"/>
      <protection locked="0"/>
    </xf>
    <xf numFmtId="190" fontId="80" fillId="0" borderId="1" applyFont="0" applyFill="0" applyBorder="0" applyAlignment="0"/>
    <xf numFmtId="191" fontId="80" fillId="0" borderId="0" applyFill="0" applyBorder="0" applyProtection="0">
      <alignment horizontal="right"/>
      <protection locked="0"/>
    </xf>
    <xf numFmtId="0" fontId="48" fillId="0" borderId="0"/>
    <xf numFmtId="0" fontId="48" fillId="0" borderId="0"/>
    <xf numFmtId="0" fontId="48" fillId="0" borderId="0"/>
    <xf numFmtId="0" fontId="8" fillId="0" borderId="0"/>
    <xf numFmtId="17" fontId="56" fillId="0" borderId="0" applyFill="0" applyBorder="0">
      <alignment horizontal="right"/>
    </xf>
    <xf numFmtId="173" fontId="4" fillId="0" borderId="0" applyFont="0" applyFill="0" applyBorder="0" applyAlignment="0" applyProtection="0"/>
    <xf numFmtId="0" fontId="8" fillId="0" borderId="0"/>
    <xf numFmtId="0" fontId="8" fillId="0" borderId="0"/>
    <xf numFmtId="192" fontId="56" fillId="0" borderId="0" applyNumberFormat="0" applyFill="0" applyBorder="0" applyAlignment="0" applyProtection="0"/>
    <xf numFmtId="4" fontId="40" fillId="38" borderId="33" applyNumberFormat="0" applyProtection="0">
      <alignment vertical="center"/>
    </xf>
    <xf numFmtId="4" fontId="81" fillId="38" borderId="33" applyNumberFormat="0" applyProtection="0">
      <alignment vertical="center"/>
    </xf>
    <xf numFmtId="4" fontId="40" fillId="38" borderId="33" applyNumberFormat="0" applyProtection="0">
      <alignment horizontal="left" vertical="center" indent="1"/>
    </xf>
    <xf numFmtId="0" fontId="40" fillId="38" borderId="33" applyNumberFormat="0" applyProtection="0">
      <alignment horizontal="left" vertical="top" indent="1"/>
    </xf>
    <xf numFmtId="4" fontId="81" fillId="0" borderId="33" applyNumberFormat="0" applyProtection="0">
      <alignment horizontal="right" vertical="center"/>
    </xf>
    <xf numFmtId="4" fontId="40" fillId="0" borderId="34" applyNumberFormat="0" applyProtection="0">
      <alignment horizontal="left" vertical="center" indent="1"/>
    </xf>
    <xf numFmtId="4" fontId="8" fillId="0" borderId="33" applyNumberFormat="0" applyProtection="0">
      <alignment horizontal="right" vertical="center"/>
    </xf>
    <xf numFmtId="43" fontId="6" fillId="0" borderId="0" applyFont="0" applyFill="0" applyBorder="0" applyAlignment="0" applyProtection="0"/>
    <xf numFmtId="0" fontId="4" fillId="0" borderId="0"/>
    <xf numFmtId="9" fontId="22" fillId="0" borderId="0" applyFont="0" applyFill="0" applyBorder="0" applyAlignment="0" applyProtection="0"/>
    <xf numFmtId="0" fontId="45" fillId="19" borderId="0" applyNumberFormat="0" applyBorder="0" applyAlignment="0" applyProtection="0"/>
    <xf numFmtId="0" fontId="45" fillId="23" borderId="0" applyNumberFormat="0" applyBorder="0" applyAlignment="0" applyProtection="0"/>
    <xf numFmtId="0" fontId="45" fillId="27" borderId="0" applyNumberFormat="0" applyBorder="0" applyAlignment="0" applyProtection="0"/>
    <xf numFmtId="0" fontId="45" fillId="25" borderId="0" applyNumberFormat="0" applyBorder="0" applyAlignment="0" applyProtection="0"/>
    <xf numFmtId="0" fontId="47" fillId="29" borderId="0" applyNumberFormat="0" applyBorder="0" applyAlignment="0" applyProtection="0"/>
    <xf numFmtId="0" fontId="8" fillId="0" borderId="0" applyFill="0" applyBorder="0" applyAlignment="0"/>
    <xf numFmtId="0" fontId="55" fillId="40" borderId="25" applyNumberFormat="0" applyAlignment="0" applyProtection="0"/>
    <xf numFmtId="0" fontId="59" fillId="23" borderId="24" applyNumberFormat="0" applyAlignment="0" applyProtection="0"/>
    <xf numFmtId="177" fontId="8" fillId="0" borderId="0" applyFill="0" applyBorder="0" applyAlignment="0"/>
    <xf numFmtId="0" fontId="8" fillId="0" borderId="0">
      <alignment vertical="top"/>
    </xf>
    <xf numFmtId="49" fontId="40" fillId="0" borderId="0" applyFill="0" applyBorder="0" applyAlignment="0"/>
    <xf numFmtId="0" fontId="8" fillId="0" borderId="0" applyFill="0" applyBorder="0" applyAlignment="0"/>
    <xf numFmtId="0" fontId="71" fillId="0" borderId="0" applyNumberFormat="0" applyFill="0" applyBorder="0" applyAlignment="0" applyProtection="0"/>
    <xf numFmtId="43" fontId="4" fillId="0" borderId="0" applyFont="0" applyFill="0" applyBorder="0" applyAlignment="0" applyProtection="0"/>
    <xf numFmtId="0" fontId="40" fillId="0" borderId="0">
      <alignment vertical="top"/>
    </xf>
    <xf numFmtId="0" fontId="83" fillId="0" borderId="0" applyNumberFormat="0" applyFill="0" applyBorder="0" applyAlignment="0" applyProtection="0"/>
    <xf numFmtId="0" fontId="59" fillId="23" borderId="24" applyNumberFormat="0" applyAlignment="0" applyProtection="0"/>
    <xf numFmtId="0" fontId="84" fillId="0" borderId="0" applyNumberFormat="0" applyFill="0" applyBorder="0" applyAlignment="0" applyProtection="0">
      <alignment vertical="top"/>
      <protection locked="0"/>
    </xf>
    <xf numFmtId="0" fontId="69" fillId="39" borderId="29" applyNumberFormat="0" applyAlignment="0" applyProtection="0"/>
    <xf numFmtId="0" fontId="4" fillId="0" borderId="0"/>
    <xf numFmtId="0" fontId="4" fillId="0" borderId="0"/>
    <xf numFmtId="0" fontId="22" fillId="0" borderId="0"/>
    <xf numFmtId="0" fontId="8" fillId="44" borderId="28" applyNumberFormat="0" applyFont="0" applyAlignment="0" applyProtection="0"/>
    <xf numFmtId="0" fontId="49" fillId="0" borderId="3" applyBorder="0"/>
    <xf numFmtId="10" fontId="41" fillId="38" borderId="1" applyNumberFormat="0" applyBorder="0" applyAlignment="0" applyProtection="0"/>
    <xf numFmtId="0" fontId="59" fillId="23" borderId="24" applyNumberFormat="0" applyAlignment="0" applyProtection="0"/>
    <xf numFmtId="0" fontId="59" fillId="23" borderId="24" applyNumberFormat="0" applyAlignment="0" applyProtection="0"/>
    <xf numFmtId="0" fontId="59" fillId="23" borderId="24" applyNumberFormat="0" applyAlignment="0" applyProtection="0"/>
    <xf numFmtId="0" fontId="8" fillId="0" borderId="11" applyFont="0" applyFill="0" applyBorder="0" applyAlignment="0" applyProtection="0">
      <alignment horizontal="right"/>
    </xf>
    <xf numFmtId="0" fontId="8" fillId="0" borderId="1" applyNumberFormat="0" applyProtection="0">
      <alignment horizontal="left" vertical="center" indent="1"/>
    </xf>
    <xf numFmtId="4" fontId="40" fillId="0" borderId="1" applyNumberFormat="0" applyProtection="0">
      <alignment horizontal="right" vertical="center"/>
    </xf>
    <xf numFmtId="0" fontId="46" fillId="0" borderId="1" applyNumberFormat="0" applyProtection="0">
      <alignment horizontal="left" vertical="top" indent="1"/>
    </xf>
    <xf numFmtId="0" fontId="4" fillId="0" borderId="0"/>
    <xf numFmtId="173" fontId="4" fillId="0" borderId="0" applyFont="0" applyFill="0" applyBorder="0" applyAlignment="0" applyProtection="0"/>
    <xf numFmtId="0" fontId="45" fillId="44" borderId="28" applyNumberFormat="0" applyFont="0" applyAlignment="0" applyProtection="0"/>
    <xf numFmtId="0" fontId="4" fillId="0" borderId="0"/>
    <xf numFmtId="0" fontId="4" fillId="0" borderId="0"/>
    <xf numFmtId="0" fontId="59" fillId="23" borderId="24" applyNumberFormat="0" applyAlignment="0" applyProtection="0"/>
    <xf numFmtId="0" fontId="4" fillId="0" borderId="0"/>
    <xf numFmtId="0" fontId="22" fillId="0" borderId="0"/>
    <xf numFmtId="0" fontId="22" fillId="0" borderId="0"/>
    <xf numFmtId="0" fontId="8" fillId="48" borderId="33" applyNumberFormat="0" applyProtection="0">
      <alignment horizontal="left" vertical="top" indent="1"/>
    </xf>
    <xf numFmtId="0" fontId="54" fillId="39" borderId="24" applyNumberFormat="0" applyAlignment="0" applyProtection="0"/>
    <xf numFmtId="0" fontId="59" fillId="23" borderId="24" applyNumberFormat="0" applyAlignment="0" applyProtection="0"/>
    <xf numFmtId="0" fontId="8" fillId="44" borderId="28" applyNumberFormat="0" applyFont="0" applyAlignment="0" applyProtection="0"/>
    <xf numFmtId="0" fontId="22" fillId="0" borderId="0"/>
    <xf numFmtId="10" fontId="41" fillId="38" borderId="1" applyNumberFormat="0" applyBorder="0" applyAlignment="0" applyProtection="0"/>
    <xf numFmtId="10" fontId="41" fillId="38" borderId="1" applyNumberFormat="0" applyBorder="0" applyAlignment="0" applyProtection="0"/>
    <xf numFmtId="10" fontId="41" fillId="38" borderId="1" applyNumberFormat="0" applyBorder="0" applyAlignment="0" applyProtection="0"/>
    <xf numFmtId="0" fontId="59" fillId="23" borderId="24" applyNumberFormat="0" applyAlignment="0" applyProtection="0"/>
    <xf numFmtId="0" fontId="59" fillId="23" borderId="24" applyNumberFormat="0" applyAlignment="0" applyProtection="0"/>
    <xf numFmtId="0" fontId="4" fillId="0" borderId="0"/>
    <xf numFmtId="0" fontId="45" fillId="44" borderId="28" applyNumberFormat="0" applyFont="0" applyAlignment="0" applyProtection="0"/>
    <xf numFmtId="0" fontId="8" fillId="44" borderId="28" applyNumberFormat="0" applyFont="0" applyAlignment="0" applyProtection="0"/>
    <xf numFmtId="0" fontId="8" fillId="44" borderId="28" applyNumberFormat="0" applyFont="0" applyAlignment="0" applyProtection="0"/>
    <xf numFmtId="0" fontId="8" fillId="44" borderId="28" applyNumberFormat="0" applyFont="0" applyAlignment="0" applyProtection="0"/>
    <xf numFmtId="0" fontId="8" fillId="44" borderId="28" applyNumberFormat="0" applyFont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78" fillId="0" borderId="9" applyProtection="0">
      <alignment horizontal="centerContinuous"/>
    </xf>
    <xf numFmtId="0" fontId="8" fillId="48" borderId="33" applyNumberFormat="0" applyProtection="0">
      <alignment horizontal="left" vertical="center" indent="1"/>
    </xf>
    <xf numFmtId="0" fontId="8" fillId="37" borderId="33" applyNumberFormat="0" applyProtection="0">
      <alignment horizontal="left" vertical="top" indent="1"/>
    </xf>
    <xf numFmtId="0" fontId="8" fillId="47" borderId="33" applyNumberFormat="0" applyProtection="0">
      <alignment horizontal="left" vertical="top" indent="1"/>
    </xf>
    <xf numFmtId="190" fontId="80" fillId="0" borderId="1" applyFont="0" applyFill="0" applyBorder="0" applyAlignment="0"/>
    <xf numFmtId="173" fontId="4" fillId="0" borderId="0" applyFont="0" applyFill="0" applyBorder="0" applyAlignment="0" applyProtection="0"/>
    <xf numFmtId="0" fontId="8" fillId="0" borderId="1" applyNumberFormat="0" applyProtection="0">
      <alignment horizontal="left" vertical="center" indent="1"/>
    </xf>
    <xf numFmtId="0" fontId="8" fillId="47" borderId="33" applyNumberFormat="0" applyProtection="0">
      <alignment horizontal="left" vertical="top" indent="1"/>
    </xf>
    <xf numFmtId="0" fontId="8" fillId="37" borderId="33" applyNumberFormat="0" applyProtection="0">
      <alignment horizontal="left" vertical="top" indent="1"/>
    </xf>
    <xf numFmtId="0" fontId="8" fillId="48" borderId="33" applyNumberFormat="0" applyProtection="0">
      <alignment horizontal="left" vertical="center" indent="1"/>
    </xf>
    <xf numFmtId="0" fontId="8" fillId="48" borderId="33" applyNumberFormat="0" applyProtection="0">
      <alignment horizontal="left" vertical="top" indent="1"/>
    </xf>
    <xf numFmtId="4" fontId="40" fillId="0" borderId="1" applyNumberFormat="0" applyProtection="0">
      <alignment horizontal="right" vertical="center"/>
    </xf>
    <xf numFmtId="4" fontId="40" fillId="0" borderId="34" applyNumberFormat="0" applyProtection="0">
      <alignment horizontal="left" vertical="center" indent="1"/>
    </xf>
    <xf numFmtId="0" fontId="4" fillId="0" borderId="0"/>
    <xf numFmtId="0" fontId="54" fillId="39" borderId="24" applyNumberFormat="0" applyAlignment="0" applyProtection="0"/>
    <xf numFmtId="0" fontId="59" fillId="23" borderId="24" applyNumberFormat="0" applyAlignment="0" applyProtection="0"/>
    <xf numFmtId="0" fontId="45" fillId="44" borderId="28" applyNumberFormat="0" applyFont="0" applyAlignment="0" applyProtection="0"/>
    <xf numFmtId="0" fontId="79" fillId="0" borderId="32" applyNumberFormat="0" applyFill="0" applyAlignment="0" applyProtection="0"/>
    <xf numFmtId="0" fontId="4" fillId="0" borderId="0"/>
    <xf numFmtId="0" fontId="59" fillId="23" borderId="24" applyNumberFormat="0" applyAlignment="0" applyProtection="0"/>
    <xf numFmtId="0" fontId="85" fillId="44" borderId="28" applyNumberFormat="0" applyFont="0" applyAlignment="0" applyProtection="0"/>
    <xf numFmtId="0" fontId="4" fillId="0" borderId="0"/>
    <xf numFmtId="0" fontId="4" fillId="0" borderId="0"/>
    <xf numFmtId="0" fontId="8" fillId="44" borderId="28" applyNumberFormat="0" applyFont="0" applyAlignment="0" applyProtection="0"/>
    <xf numFmtId="0" fontId="59" fillId="23" borderId="24" applyNumberFormat="0" applyAlignment="0" applyProtection="0"/>
    <xf numFmtId="0" fontId="59" fillId="23" borderId="24" applyNumberFormat="0" applyAlignment="0" applyProtection="0"/>
    <xf numFmtId="0" fontId="59" fillId="23" borderId="24" applyNumberFormat="0" applyAlignment="0" applyProtection="0"/>
    <xf numFmtId="0" fontId="59" fillId="23" borderId="24" applyNumberFormat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78" fillId="0" borderId="9" applyProtection="0">
      <alignment horizontal="centerContinuous"/>
    </xf>
    <xf numFmtId="4" fontId="40" fillId="0" borderId="34" applyNumberFormat="0" applyProtection="0">
      <alignment horizontal="left" vertical="center" indent="1"/>
    </xf>
    <xf numFmtId="0" fontId="4" fillId="0" borderId="0"/>
    <xf numFmtId="0" fontId="4" fillId="0" borderId="0"/>
    <xf numFmtId="0" fontId="59" fillId="23" borderId="24" applyNumberFormat="0" applyAlignment="0" applyProtection="0"/>
    <xf numFmtId="0" fontId="4" fillId="0" borderId="0"/>
    <xf numFmtId="0" fontId="59" fillId="23" borderId="24" applyNumberFormat="0" applyAlignment="0" applyProtection="0"/>
    <xf numFmtId="10" fontId="41" fillId="38" borderId="1" applyNumberFormat="0" applyBorder="0" applyAlignment="0" applyProtection="0"/>
    <xf numFmtId="0" fontId="54" fillId="39" borderId="24" applyNumberFormat="0" applyAlignment="0" applyProtection="0"/>
    <xf numFmtId="10" fontId="41" fillId="38" borderId="1" applyNumberFormat="0" applyBorder="0" applyAlignment="0" applyProtection="0"/>
    <xf numFmtId="0" fontId="59" fillId="23" borderId="24" applyNumberFormat="0" applyAlignment="0" applyProtection="0"/>
    <xf numFmtId="0" fontId="59" fillId="23" borderId="24" applyNumberFormat="0" applyAlignment="0" applyProtection="0"/>
    <xf numFmtId="190" fontId="80" fillId="0" borderId="1" applyFont="0" applyFill="0" applyBorder="0" applyAlignment="0"/>
    <xf numFmtId="0" fontId="22" fillId="0" borderId="0"/>
    <xf numFmtId="0" fontId="46" fillId="0" borderId="1" applyNumberFormat="0" applyProtection="0">
      <alignment horizontal="left" vertical="top" indent="1"/>
    </xf>
    <xf numFmtId="0" fontId="45" fillId="44" borderId="28" applyNumberFormat="0" applyFont="0" applyAlignment="0" applyProtection="0"/>
    <xf numFmtId="0" fontId="69" fillId="39" borderId="29" applyNumberFormat="0" applyAlignment="0" applyProtection="0"/>
    <xf numFmtId="4" fontId="40" fillId="38" borderId="33" applyNumberFormat="0" applyProtection="0">
      <alignment horizontal="left" vertical="center" indent="1"/>
    </xf>
    <xf numFmtId="4" fontId="81" fillId="38" borderId="33" applyNumberFormat="0" applyProtection="0">
      <alignment vertical="center"/>
    </xf>
    <xf numFmtId="4" fontId="40" fillId="38" borderId="33" applyNumberFormat="0" applyProtection="0">
      <alignment vertical="center"/>
    </xf>
    <xf numFmtId="0" fontId="78" fillId="0" borderId="9" applyProtection="0">
      <alignment horizontal="centerContinuous"/>
    </xf>
    <xf numFmtId="0" fontId="59" fillId="23" borderId="24" applyNumberFormat="0" applyAlignment="0" applyProtection="0"/>
    <xf numFmtId="0" fontId="8" fillId="44" borderId="28" applyNumberFormat="0" applyFont="0" applyAlignment="0" applyProtection="0"/>
    <xf numFmtId="0" fontId="79" fillId="0" borderId="32" applyNumberFormat="0" applyFill="0" applyAlignment="0" applyProtection="0"/>
    <xf numFmtId="0" fontId="8" fillId="48" borderId="33" applyNumberFormat="0" applyProtection="0">
      <alignment horizontal="left" vertical="top" indent="1"/>
    </xf>
    <xf numFmtId="0" fontId="40" fillId="38" borderId="33" applyNumberFormat="0" applyProtection="0">
      <alignment horizontal="left" vertical="top" indent="1"/>
    </xf>
    <xf numFmtId="0" fontId="59" fillId="23" borderId="24" applyNumberFormat="0" applyAlignment="0" applyProtection="0"/>
    <xf numFmtId="10" fontId="41" fillId="38" borderId="1" applyNumberFormat="0" applyBorder="0" applyAlignment="0" applyProtection="0"/>
    <xf numFmtId="0" fontId="8" fillId="44" borderId="28" applyNumberFormat="0" applyFont="0" applyAlignment="0" applyProtection="0"/>
    <xf numFmtId="0" fontId="85" fillId="44" borderId="28" applyNumberFormat="0" applyFont="0" applyAlignment="0" applyProtection="0"/>
    <xf numFmtId="0" fontId="63" fillId="0" borderId="7">
      <alignment horizontal="left" vertical="center"/>
    </xf>
    <xf numFmtId="0" fontId="8" fillId="44" borderId="28" applyNumberFormat="0" applyFont="0" applyAlignment="0" applyProtection="0"/>
    <xf numFmtId="0" fontId="45" fillId="44" borderId="28" applyNumberFormat="0" applyFont="0" applyAlignment="0" applyProtection="0"/>
    <xf numFmtId="0" fontId="8" fillId="44" borderId="28" applyNumberFormat="0" applyFont="0" applyAlignment="0" applyProtection="0"/>
    <xf numFmtId="0" fontId="8" fillId="44" borderId="28" applyNumberFormat="0" applyFont="0" applyAlignment="0" applyProtection="0"/>
    <xf numFmtId="0" fontId="8" fillId="44" borderId="28" applyNumberFormat="0" applyFont="0" applyAlignment="0" applyProtection="0"/>
    <xf numFmtId="0" fontId="8" fillId="47" borderId="33" applyNumberFormat="0" applyProtection="0">
      <alignment horizontal="left" vertical="top" indent="1"/>
    </xf>
    <xf numFmtId="0" fontId="8" fillId="44" borderId="28" applyNumberFormat="0" applyFont="0" applyAlignment="0" applyProtection="0"/>
    <xf numFmtId="0" fontId="8" fillId="0" borderId="1" applyNumberFormat="0" applyProtection="0">
      <alignment horizontal="left" vertical="center" indent="1"/>
    </xf>
    <xf numFmtId="0" fontId="8" fillId="0" borderId="1" applyNumberFormat="0" applyProtection="0">
      <alignment horizontal="left" vertical="center" indent="1"/>
    </xf>
    <xf numFmtId="0" fontId="78" fillId="0" borderId="9" applyProtection="0">
      <alignment horizontal="centerContinuous"/>
    </xf>
    <xf numFmtId="0" fontId="59" fillId="23" borderId="24" applyNumberFormat="0" applyAlignment="0" applyProtection="0"/>
    <xf numFmtId="0" fontId="8" fillId="44" borderId="28" applyNumberFormat="0" applyFont="0" applyAlignment="0" applyProtection="0"/>
    <xf numFmtId="0" fontId="4" fillId="0" borderId="0"/>
    <xf numFmtId="0" fontId="8" fillId="44" borderId="28" applyNumberFormat="0" applyFont="0" applyAlignment="0" applyProtection="0"/>
    <xf numFmtId="0" fontId="8" fillId="44" borderId="28" applyNumberFormat="0" applyFont="0" applyAlignment="0" applyProtection="0"/>
    <xf numFmtId="0" fontId="8" fillId="44" borderId="28" applyNumberFormat="0" applyFont="0" applyAlignment="0" applyProtection="0"/>
    <xf numFmtId="0" fontId="8" fillId="48" borderId="33" applyNumberFormat="0" applyProtection="0">
      <alignment horizontal="left" vertical="center" indent="1"/>
    </xf>
    <xf numFmtId="43" fontId="4" fillId="0" borderId="0" applyFont="0" applyFill="0" applyBorder="0" applyAlignment="0" applyProtection="0"/>
    <xf numFmtId="0" fontId="85" fillId="44" borderId="28" applyNumberFormat="0" applyFont="0" applyAlignment="0" applyProtection="0"/>
    <xf numFmtId="0" fontId="8" fillId="44" borderId="28" applyNumberFormat="0" applyFont="0" applyAlignment="0" applyProtection="0"/>
    <xf numFmtId="0" fontId="8" fillId="44" borderId="28" applyNumberFormat="0" applyFont="0" applyAlignment="0" applyProtection="0"/>
    <xf numFmtId="0" fontId="69" fillId="39" borderId="29" applyNumberFormat="0" applyAlignment="0" applyProtection="0"/>
    <xf numFmtId="0" fontId="8" fillId="44" borderId="28" applyNumberFormat="0" applyFont="0" applyAlignment="0" applyProtection="0"/>
    <xf numFmtId="0" fontId="40" fillId="38" borderId="33" applyNumberFormat="0" applyProtection="0">
      <alignment horizontal="left" vertical="top" indent="1"/>
    </xf>
    <xf numFmtId="190" fontId="80" fillId="0" borderId="1" applyFont="0" applyFill="0" applyBorder="0" applyAlignment="0"/>
    <xf numFmtId="0" fontId="8" fillId="37" borderId="33" applyNumberFormat="0" applyProtection="0">
      <alignment horizontal="left" vertical="top" indent="1"/>
    </xf>
    <xf numFmtId="0" fontId="54" fillId="39" borderId="24" applyNumberFormat="0" applyAlignment="0" applyProtection="0"/>
    <xf numFmtId="190" fontId="80" fillId="0" borderId="1" applyFont="0" applyFill="0" applyBorder="0" applyAlignment="0"/>
    <xf numFmtId="0" fontId="4" fillId="0" borderId="0"/>
    <xf numFmtId="0" fontId="59" fillId="23" borderId="24" applyNumberFormat="0" applyAlignment="0" applyProtection="0"/>
    <xf numFmtId="0" fontId="59" fillId="23" borderId="24" applyNumberFormat="0" applyAlignment="0" applyProtection="0"/>
    <xf numFmtId="10" fontId="41" fillId="38" borderId="1" applyNumberFormat="0" applyBorder="0" applyAlignment="0" applyProtection="0"/>
    <xf numFmtId="10" fontId="41" fillId="38" borderId="1" applyNumberFormat="0" applyBorder="0" applyAlignment="0" applyProtection="0"/>
    <xf numFmtId="0" fontId="59" fillId="23" borderId="24" applyNumberFormat="0" applyAlignment="0" applyProtection="0"/>
    <xf numFmtId="4" fontId="81" fillId="0" borderId="33" applyNumberFormat="0" applyProtection="0">
      <alignment horizontal="right" vertical="center"/>
    </xf>
    <xf numFmtId="173" fontId="4" fillId="0" borderId="0" applyFont="0" applyFill="0" applyBorder="0" applyAlignment="0" applyProtection="0"/>
    <xf numFmtId="0" fontId="59" fillId="23" borderId="24" applyNumberFormat="0" applyAlignment="0" applyProtection="0"/>
    <xf numFmtId="0" fontId="54" fillId="39" borderId="24" applyNumberFormat="0" applyAlignment="0" applyProtection="0"/>
    <xf numFmtId="0" fontId="59" fillId="23" borderId="24" applyNumberFormat="0" applyAlignment="0" applyProtection="0"/>
    <xf numFmtId="0" fontId="8" fillId="44" borderId="28" applyNumberFormat="0" applyFont="0" applyAlignment="0" applyProtection="0"/>
    <xf numFmtId="0" fontId="78" fillId="0" borderId="9" applyProtection="0">
      <alignment horizontal="centerContinuous"/>
    </xf>
    <xf numFmtId="4" fontId="40" fillId="0" borderId="1" applyNumberFormat="0" applyProtection="0">
      <alignment horizontal="right" vertical="center"/>
    </xf>
    <xf numFmtId="0" fontId="59" fillId="23" borderId="24" applyNumberFormat="0" applyAlignment="0" applyProtection="0"/>
    <xf numFmtId="0" fontId="4" fillId="0" borderId="0"/>
    <xf numFmtId="0" fontId="4" fillId="0" borderId="0"/>
    <xf numFmtId="10" fontId="41" fillId="38" borderId="1" applyNumberFormat="0" applyBorder="0" applyAlignment="0" applyProtection="0"/>
    <xf numFmtId="0" fontId="8" fillId="44" borderId="28" applyNumberFormat="0" applyFont="0" applyAlignment="0" applyProtection="0"/>
    <xf numFmtId="0" fontId="45" fillId="44" borderId="28" applyNumberFormat="0" applyFont="0" applyAlignment="0" applyProtection="0"/>
    <xf numFmtId="4" fontId="40" fillId="0" borderId="34" applyNumberFormat="0" applyProtection="0">
      <alignment horizontal="left" vertical="center" indent="1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0" fontId="53" fillId="38" borderId="1">
      <alignment vertical="center"/>
    </xf>
    <xf numFmtId="0" fontId="4" fillId="0" borderId="0"/>
    <xf numFmtId="173" fontId="4" fillId="0" borderId="0" applyFont="0" applyFill="0" applyBorder="0" applyAlignment="0" applyProtection="0"/>
    <xf numFmtId="0" fontId="45" fillId="44" borderId="28" applyNumberFormat="0" applyFont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22" fillId="0" borderId="0"/>
    <xf numFmtId="40" fontId="53" fillId="38" borderId="1">
      <alignment vertical="center"/>
    </xf>
    <xf numFmtId="0" fontId="59" fillId="23" borderId="24" applyNumberFormat="0" applyAlignment="0" applyProtection="0"/>
    <xf numFmtId="10" fontId="41" fillId="38" borderId="1" applyNumberFormat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5" fillId="44" borderId="28" applyNumberFormat="0" applyFont="0" applyAlignment="0" applyProtection="0"/>
    <xf numFmtId="0" fontId="8" fillId="44" borderId="28" applyNumberFormat="0" applyFont="0" applyAlignment="0" applyProtection="0"/>
    <xf numFmtId="0" fontId="8" fillId="44" borderId="28" applyNumberFormat="0" applyFont="0" applyAlignment="0" applyProtection="0"/>
    <xf numFmtId="0" fontId="8" fillId="44" borderId="28" applyNumberFormat="0" applyFont="0" applyAlignment="0" applyProtection="0"/>
    <xf numFmtId="0" fontId="8" fillId="44" borderId="28" applyNumberFormat="0" applyFont="0" applyAlignment="0" applyProtection="0"/>
    <xf numFmtId="0" fontId="85" fillId="44" borderId="2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8" fillId="0" borderId="1" applyNumberFormat="0" applyProtection="0">
      <alignment horizontal="left" vertical="center" indent="1"/>
    </xf>
    <xf numFmtId="0" fontId="46" fillId="0" borderId="1" applyNumberFormat="0" applyProtection="0">
      <alignment horizontal="left" vertical="top" indent="1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9" fontId="68" fillId="0" borderId="0" applyFill="0" applyBorder="0" applyProtection="0">
      <alignment horizontal="right"/>
      <protection locked="0"/>
    </xf>
    <xf numFmtId="0" fontId="49" fillId="0" borderId="3" applyBorder="0"/>
    <xf numFmtId="0" fontId="55" fillId="40" borderId="25" applyNumberFormat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8" fillId="0" borderId="0"/>
    <xf numFmtId="0" fontId="8" fillId="0" borderId="0"/>
    <xf numFmtId="0" fontId="4" fillId="0" borderId="0"/>
    <xf numFmtId="0" fontId="4" fillId="0" borderId="0"/>
    <xf numFmtId="0" fontId="22" fillId="0" borderId="0"/>
    <xf numFmtId="0" fontId="45" fillId="44" borderId="28" applyNumberFormat="0" applyFont="0" applyAlignment="0" applyProtection="0"/>
    <xf numFmtId="0" fontId="8" fillId="44" borderId="28" applyNumberFormat="0" applyFont="0" applyAlignment="0" applyProtection="0"/>
    <xf numFmtId="0" fontId="8" fillId="44" borderId="28" applyNumberFormat="0" applyFont="0" applyAlignment="0" applyProtection="0"/>
    <xf numFmtId="0" fontId="8" fillId="44" borderId="28" applyNumberFormat="0" applyFont="0" applyAlignment="0" applyProtection="0"/>
    <xf numFmtId="0" fontId="8" fillId="44" borderId="28" applyNumberFormat="0" applyFont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8" fillId="0" borderId="1" applyNumberFormat="0" applyProtection="0">
      <alignment horizontal="left" vertical="center" indent="1"/>
    </xf>
    <xf numFmtId="4" fontId="40" fillId="0" borderId="1" applyNumberFormat="0" applyProtection="0">
      <alignment horizontal="right" vertical="center"/>
    </xf>
    <xf numFmtId="0" fontId="46" fillId="0" borderId="1" applyNumberFormat="0" applyProtection="0">
      <alignment horizontal="left" vertical="top" indent="1"/>
    </xf>
    <xf numFmtId="0" fontId="59" fillId="23" borderId="24" applyNumberFormat="0" applyAlignment="0" applyProtection="0"/>
    <xf numFmtId="190" fontId="80" fillId="0" borderId="1" applyFont="0" applyFill="0" applyBorder="0" applyAlignment="0"/>
    <xf numFmtId="40" fontId="53" fillId="38" borderId="1">
      <alignment vertical="center"/>
    </xf>
    <xf numFmtId="10" fontId="41" fillId="38" borderId="1" applyNumberFormat="0" applyBorder="0" applyAlignment="0" applyProtection="0"/>
    <xf numFmtId="0" fontId="45" fillId="44" borderId="28" applyNumberFormat="0" applyFont="0" applyAlignment="0" applyProtection="0"/>
    <xf numFmtId="0" fontId="8" fillId="44" borderId="28" applyNumberFormat="0" applyFont="0" applyAlignment="0" applyProtection="0"/>
    <xf numFmtId="0" fontId="8" fillId="44" borderId="28" applyNumberFormat="0" applyFont="0" applyAlignment="0" applyProtection="0"/>
    <xf numFmtId="0" fontId="8" fillId="44" borderId="28" applyNumberFormat="0" applyFont="0" applyAlignment="0" applyProtection="0"/>
    <xf numFmtId="0" fontId="8" fillId="44" borderId="28" applyNumberFormat="0" applyFont="0" applyAlignment="0" applyProtection="0"/>
    <xf numFmtId="0" fontId="8" fillId="44" borderId="28" applyNumberFormat="0" applyFont="0" applyAlignment="0" applyProtection="0"/>
    <xf numFmtId="0" fontId="8" fillId="0" borderId="1" applyNumberFormat="0" applyProtection="0">
      <alignment horizontal="left" vertical="center" indent="1"/>
    </xf>
    <xf numFmtId="4" fontId="40" fillId="0" borderId="1" applyNumberFormat="0" applyProtection="0">
      <alignment horizontal="right" vertical="center"/>
    </xf>
    <xf numFmtId="4" fontId="40" fillId="0" borderId="1" applyNumberFormat="0" applyProtection="0">
      <alignment horizontal="right" vertical="center"/>
    </xf>
    <xf numFmtId="0" fontId="46" fillId="0" borderId="1" applyNumberFormat="0" applyProtection="0">
      <alignment horizontal="left" vertical="top" indent="1"/>
    </xf>
    <xf numFmtId="0" fontId="78" fillId="0" borderId="9" applyProtection="0">
      <alignment horizontal="centerContinuous"/>
    </xf>
    <xf numFmtId="0" fontId="45" fillId="44" borderId="28" applyNumberFormat="0" applyFont="0" applyAlignment="0" applyProtection="0"/>
    <xf numFmtId="0" fontId="8" fillId="44" borderId="28" applyNumberFormat="0" applyFont="0" applyAlignment="0" applyProtection="0"/>
    <xf numFmtId="0" fontId="8" fillId="44" borderId="28" applyNumberFormat="0" applyFont="0" applyAlignment="0" applyProtection="0"/>
    <xf numFmtId="0" fontId="8" fillId="44" borderId="28" applyNumberFormat="0" applyFont="0" applyAlignment="0" applyProtection="0"/>
    <xf numFmtId="0" fontId="8" fillId="44" borderId="28" applyNumberFormat="0" applyFont="0" applyAlignment="0" applyProtection="0"/>
    <xf numFmtId="0" fontId="8" fillId="44" borderId="28" applyNumberFormat="0" applyFont="0" applyAlignment="0" applyProtection="0"/>
    <xf numFmtId="0" fontId="8" fillId="44" borderId="28" applyNumberFormat="0" applyFont="0" applyAlignment="0" applyProtection="0"/>
    <xf numFmtId="0" fontId="85" fillId="44" borderId="28" applyNumberFormat="0" applyFont="0" applyAlignment="0" applyProtection="0"/>
    <xf numFmtId="0" fontId="45" fillId="44" borderId="28" applyNumberFormat="0" applyFont="0" applyAlignment="0" applyProtection="0"/>
    <xf numFmtId="0" fontId="8" fillId="44" borderId="28" applyNumberFormat="0" applyFont="0" applyAlignment="0" applyProtection="0"/>
    <xf numFmtId="0" fontId="8" fillId="44" borderId="28" applyNumberFormat="0" applyFont="0" applyAlignment="0" applyProtection="0"/>
    <xf numFmtId="0" fontId="8" fillId="44" borderId="28" applyNumberFormat="0" applyFont="0" applyAlignment="0" applyProtection="0"/>
    <xf numFmtId="0" fontId="8" fillId="44" borderId="28" applyNumberFormat="0" applyFont="0" applyAlignment="0" applyProtection="0"/>
    <xf numFmtId="0" fontId="8" fillId="44" borderId="28" applyNumberFormat="0" applyFont="0" applyAlignment="0" applyProtection="0"/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0" fontId="40" fillId="0" borderId="0">
      <alignment vertical="top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8" fillId="0" borderId="0"/>
    <xf numFmtId="0" fontId="43" fillId="0" borderId="0">
      <alignment vertical="center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0" fontId="40" fillId="0" borderId="0">
      <alignment vertical="top"/>
    </xf>
    <xf numFmtId="0" fontId="43" fillId="0" borderId="0">
      <alignment vertical="center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8" fillId="0" borderId="0"/>
    <xf numFmtId="0" fontId="8" fillId="0" borderId="0"/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0" fontId="8" fillId="0" borderId="0"/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8" fillId="0" borderId="0"/>
    <xf numFmtId="0" fontId="43" fillId="0" borderId="0">
      <alignment vertical="center"/>
    </xf>
    <xf numFmtId="0" fontId="40" fillId="0" borderId="0">
      <alignment vertical="top"/>
    </xf>
    <xf numFmtId="0" fontId="43" fillId="0" borderId="0">
      <alignment vertical="center"/>
    </xf>
    <xf numFmtId="0" fontId="40" fillId="0" borderId="0">
      <alignment vertical="top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0" fontId="43" fillId="0" borderId="0">
      <alignment vertical="center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0" fontId="87" fillId="0" borderId="0"/>
    <xf numFmtId="0" fontId="87" fillId="0" borderId="0"/>
    <xf numFmtId="0" fontId="43" fillId="0" borderId="0">
      <alignment vertical="center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57" fillId="0" borderId="0"/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0" fillId="0" borderId="0">
      <alignment vertical="top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0" fillId="0" borderId="0">
      <alignment vertical="top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8" fillId="0" borderId="0"/>
    <xf numFmtId="0" fontId="40" fillId="0" borderId="0">
      <alignment vertical="top"/>
    </xf>
    <xf numFmtId="0" fontId="40" fillId="0" borderId="0">
      <alignment vertical="top"/>
    </xf>
    <xf numFmtId="0" fontId="8" fillId="0" borderId="0"/>
    <xf numFmtId="0" fontId="8" fillId="0" borderId="0"/>
    <xf numFmtId="0" fontId="8" fillId="0" borderId="0"/>
    <xf numFmtId="0" fontId="40" fillId="0" borderId="0">
      <alignment vertical="top"/>
    </xf>
    <xf numFmtId="0" fontId="83" fillId="0" borderId="0" applyFont="0" applyFill="0" applyBorder="0" applyAlignment="0" applyProtection="0"/>
    <xf numFmtId="0" fontId="83" fillId="0" borderId="0" applyFont="0" applyFill="0" applyBorder="0" applyAlignment="0" applyProtection="0"/>
    <xf numFmtId="9" fontId="8" fillId="49" borderId="0"/>
    <xf numFmtId="9" fontId="8" fillId="49" borderId="0"/>
    <xf numFmtId="9" fontId="8" fillId="49" borderId="0"/>
    <xf numFmtId="9" fontId="8" fillId="49" borderId="0"/>
    <xf numFmtId="183" fontId="52" fillId="0" borderId="0">
      <protection locked="0"/>
    </xf>
    <xf numFmtId="183" fontId="52" fillId="0" borderId="0">
      <protection locked="0"/>
    </xf>
    <xf numFmtId="183" fontId="52" fillId="0" borderId="0">
      <protection locked="0"/>
    </xf>
    <xf numFmtId="0" fontId="8" fillId="0" borderId="0"/>
    <xf numFmtId="0" fontId="8" fillId="0" borderId="0">
      <alignment horizontal="left"/>
    </xf>
    <xf numFmtId="0" fontId="88" fillId="18" borderId="0" applyNumberFormat="0" applyBorder="0" applyAlignment="0" applyProtection="0"/>
    <xf numFmtId="0" fontId="88" fillId="20" borderId="0" applyNumberFormat="0" applyBorder="0" applyAlignment="0" applyProtection="0"/>
    <xf numFmtId="0" fontId="88" fillId="21" borderId="0" applyNumberFormat="0" applyBorder="0" applyAlignment="0" applyProtection="0"/>
    <xf numFmtId="0" fontId="88" fillId="22" borderId="0" applyNumberFormat="0" applyBorder="0" applyAlignment="0" applyProtection="0"/>
    <xf numFmtId="0" fontId="88" fillId="23" borderId="0" applyNumberFormat="0" applyBorder="0" applyAlignment="0" applyProtection="0"/>
    <xf numFmtId="194" fontId="45" fillId="18" borderId="0" applyNumberFormat="0" applyBorder="0" applyAlignment="0" applyProtection="0"/>
    <xf numFmtId="194" fontId="45" fillId="18" borderId="0" applyNumberFormat="0" applyBorder="0" applyAlignment="0" applyProtection="0"/>
    <xf numFmtId="193" fontId="45" fillId="18" borderId="0" applyNumberFormat="0" applyBorder="0" applyAlignment="0" applyProtection="0"/>
    <xf numFmtId="193" fontId="45" fillId="18" borderId="0" applyNumberFormat="0" applyBorder="0" applyAlignment="0" applyProtection="0"/>
    <xf numFmtId="193" fontId="45" fillId="18" borderId="0" applyNumberFormat="0" applyBorder="0" applyAlignment="0" applyProtection="0"/>
    <xf numFmtId="193" fontId="45" fillId="20" borderId="0" applyNumberFormat="0" applyBorder="0" applyAlignment="0" applyProtection="0"/>
    <xf numFmtId="193" fontId="45" fillId="20" borderId="0" applyNumberFormat="0" applyBorder="0" applyAlignment="0" applyProtection="0"/>
    <xf numFmtId="193" fontId="45" fillId="21" borderId="0" applyNumberFormat="0" applyBorder="0" applyAlignment="0" applyProtection="0"/>
    <xf numFmtId="193" fontId="45" fillId="21" borderId="0" applyNumberFormat="0" applyBorder="0" applyAlignment="0" applyProtection="0"/>
    <xf numFmtId="194" fontId="45" fillId="22" borderId="0" applyNumberFormat="0" applyBorder="0" applyAlignment="0" applyProtection="0"/>
    <xf numFmtId="193" fontId="45" fillId="22" borderId="0" applyNumberFormat="0" applyBorder="0" applyAlignment="0" applyProtection="0"/>
    <xf numFmtId="193" fontId="45" fillId="22" borderId="0" applyNumberFormat="0" applyBorder="0" applyAlignment="0" applyProtection="0"/>
    <xf numFmtId="193" fontId="45" fillId="22" borderId="0" applyNumberFormat="0" applyBorder="0" applyAlignment="0" applyProtection="0"/>
    <xf numFmtId="193" fontId="45" fillId="23" borderId="0" applyNumberFormat="0" applyBorder="0" applyAlignment="0" applyProtection="0"/>
    <xf numFmtId="194" fontId="45" fillId="23" borderId="0" applyNumberFormat="0" applyBorder="0" applyAlignment="0" applyProtection="0"/>
    <xf numFmtId="194" fontId="45" fillId="23" borderId="0" applyNumberFormat="0" applyBorder="0" applyAlignment="0" applyProtection="0"/>
    <xf numFmtId="193" fontId="45" fillId="23" borderId="0" applyNumberFormat="0" applyBorder="0" applyAlignment="0" applyProtection="0"/>
    <xf numFmtId="194" fontId="45" fillId="23" borderId="0" applyNumberFormat="0" applyBorder="0" applyAlignment="0" applyProtection="0"/>
    <xf numFmtId="193" fontId="45" fillId="23" borderId="0" applyNumberFormat="0" applyBorder="0" applyAlignment="0" applyProtection="0"/>
    <xf numFmtId="193" fontId="45" fillId="23" borderId="0" applyNumberFormat="0" applyBorder="0" applyAlignment="0" applyProtection="0"/>
    <xf numFmtId="193" fontId="45" fillId="23" borderId="0" applyNumberFormat="0" applyBorder="0" applyAlignment="0" applyProtection="0"/>
    <xf numFmtId="193" fontId="45" fillId="23" borderId="0" applyNumberFormat="0" applyBorder="0" applyAlignment="0" applyProtection="0"/>
    <xf numFmtId="193" fontId="45" fillId="23" borderId="0" applyNumberFormat="0" applyBorder="0" applyAlignment="0" applyProtection="0"/>
    <xf numFmtId="193" fontId="45" fillId="18" borderId="0" applyNumberFormat="0" applyBorder="0" applyAlignment="0" applyProtection="0"/>
    <xf numFmtId="193" fontId="45" fillId="18" borderId="0" applyNumberFormat="0" applyBorder="0" applyAlignment="0" applyProtection="0"/>
    <xf numFmtId="193" fontId="45" fillId="18" borderId="0" applyNumberFormat="0" applyBorder="0" applyAlignment="0" applyProtection="0"/>
    <xf numFmtId="193" fontId="45" fillId="18" borderId="0" applyNumberFormat="0" applyBorder="0" applyAlignment="0" applyProtection="0"/>
    <xf numFmtId="193" fontId="45" fillId="18" borderId="0" applyNumberFormat="0" applyBorder="0" applyAlignment="0" applyProtection="0"/>
    <xf numFmtId="193" fontId="45" fillId="18" borderId="0" applyNumberFormat="0" applyBorder="0" applyAlignment="0" applyProtection="0"/>
    <xf numFmtId="193" fontId="45" fillId="18" borderId="0" applyNumberFormat="0" applyBorder="0" applyAlignment="0" applyProtection="0"/>
    <xf numFmtId="193" fontId="45" fillId="18" borderId="0" applyNumberFormat="0" applyBorder="0" applyAlignment="0" applyProtection="0"/>
    <xf numFmtId="194" fontId="45" fillId="18" borderId="0" applyNumberFormat="0" applyBorder="0" applyAlignment="0" applyProtection="0"/>
    <xf numFmtId="193" fontId="45" fillId="18" borderId="0" applyNumberFormat="0" applyBorder="0" applyAlignment="0" applyProtection="0"/>
    <xf numFmtId="193" fontId="45" fillId="18" borderId="0" applyNumberFormat="0" applyBorder="0" applyAlignment="0" applyProtection="0"/>
    <xf numFmtId="193" fontId="45" fillId="18" borderId="0" applyNumberFormat="0" applyBorder="0" applyAlignment="0" applyProtection="0"/>
    <xf numFmtId="193" fontId="45" fillId="18" borderId="0" applyNumberFormat="0" applyBorder="0" applyAlignment="0" applyProtection="0"/>
    <xf numFmtId="194" fontId="45" fillId="18" borderId="0" applyNumberFormat="0" applyBorder="0" applyAlignment="0" applyProtection="0"/>
    <xf numFmtId="193" fontId="45" fillId="18" borderId="0" applyNumberFormat="0" applyBorder="0" applyAlignment="0" applyProtection="0"/>
    <xf numFmtId="193" fontId="45" fillId="18" borderId="0" applyNumberFormat="0" applyBorder="0" applyAlignment="0" applyProtection="0"/>
    <xf numFmtId="193" fontId="45" fillId="18" borderId="0" applyNumberFormat="0" applyBorder="0" applyAlignment="0" applyProtection="0"/>
    <xf numFmtId="193" fontId="45" fillId="18" borderId="0" applyNumberFormat="0" applyBorder="0" applyAlignment="0" applyProtection="0"/>
    <xf numFmtId="193" fontId="45" fillId="18" borderId="0" applyNumberFormat="0" applyBorder="0" applyAlignment="0" applyProtection="0"/>
    <xf numFmtId="193" fontId="45" fillId="20" borderId="0" applyNumberFormat="0" applyBorder="0" applyAlignment="0" applyProtection="0"/>
    <xf numFmtId="193" fontId="45" fillId="21" borderId="0" applyNumberFormat="0" applyBorder="0" applyAlignment="0" applyProtection="0"/>
    <xf numFmtId="193" fontId="45" fillId="21" borderId="0" applyNumberFormat="0" applyBorder="0" applyAlignment="0" applyProtection="0"/>
    <xf numFmtId="193" fontId="45" fillId="21" borderId="0" applyNumberFormat="0" applyBorder="0" applyAlignment="0" applyProtection="0"/>
    <xf numFmtId="193" fontId="45" fillId="21" borderId="0" applyNumberFormat="0" applyBorder="0" applyAlignment="0" applyProtection="0"/>
    <xf numFmtId="193" fontId="45" fillId="21" borderId="0" applyNumberFormat="0" applyBorder="0" applyAlignment="0" applyProtection="0"/>
    <xf numFmtId="194" fontId="45" fillId="21" borderId="0" applyNumberFormat="0" applyBorder="0" applyAlignment="0" applyProtection="0"/>
    <xf numFmtId="193" fontId="45" fillId="21" borderId="0" applyNumberFormat="0" applyBorder="0" applyAlignment="0" applyProtection="0"/>
    <xf numFmtId="193" fontId="45" fillId="21" borderId="0" applyNumberFormat="0" applyBorder="0" applyAlignment="0" applyProtection="0"/>
    <xf numFmtId="193" fontId="45" fillId="21" borderId="0" applyNumberFormat="0" applyBorder="0" applyAlignment="0" applyProtection="0"/>
    <xf numFmtId="194" fontId="45" fillId="21" borderId="0" applyNumberFormat="0" applyBorder="0" applyAlignment="0" applyProtection="0"/>
    <xf numFmtId="193" fontId="45" fillId="21" borderId="0" applyNumberFormat="0" applyBorder="0" applyAlignment="0" applyProtection="0"/>
    <xf numFmtId="193" fontId="45" fillId="21" borderId="0" applyNumberFormat="0" applyBorder="0" applyAlignment="0" applyProtection="0"/>
    <xf numFmtId="193" fontId="45" fillId="21" borderId="0" applyNumberFormat="0" applyBorder="0" applyAlignment="0" applyProtection="0"/>
    <xf numFmtId="193" fontId="45" fillId="21" borderId="0" applyNumberFormat="0" applyBorder="0" applyAlignment="0" applyProtection="0"/>
    <xf numFmtId="193" fontId="45" fillId="21" borderId="0" applyNumberFormat="0" applyBorder="0" applyAlignment="0" applyProtection="0"/>
    <xf numFmtId="193" fontId="45" fillId="21" borderId="0" applyNumberFormat="0" applyBorder="0" applyAlignment="0" applyProtection="0"/>
    <xf numFmtId="193" fontId="45" fillId="22" borderId="0" applyNumberFormat="0" applyBorder="0" applyAlignment="0" applyProtection="0"/>
    <xf numFmtId="193" fontId="45" fillId="22" borderId="0" applyNumberFormat="0" applyBorder="0" applyAlignment="0" applyProtection="0"/>
    <xf numFmtId="193" fontId="45" fillId="22" borderId="0" applyNumberFormat="0" applyBorder="0" applyAlignment="0" applyProtection="0"/>
    <xf numFmtId="193" fontId="45" fillId="22" borderId="0" applyNumberFormat="0" applyBorder="0" applyAlignment="0" applyProtection="0"/>
    <xf numFmtId="193" fontId="45" fillId="22" borderId="0" applyNumberFormat="0" applyBorder="0" applyAlignment="0" applyProtection="0"/>
    <xf numFmtId="193" fontId="45" fillId="22" borderId="0" applyNumberFormat="0" applyBorder="0" applyAlignment="0" applyProtection="0"/>
    <xf numFmtId="193" fontId="45" fillId="22" borderId="0" applyNumberFormat="0" applyBorder="0" applyAlignment="0" applyProtection="0"/>
    <xf numFmtId="194" fontId="45" fillId="22" borderId="0" applyNumberFormat="0" applyBorder="0" applyAlignment="0" applyProtection="0"/>
    <xf numFmtId="193" fontId="45" fillId="22" borderId="0" applyNumberFormat="0" applyBorder="0" applyAlignment="0" applyProtection="0"/>
    <xf numFmtId="194" fontId="45" fillId="22" borderId="0" applyNumberFormat="0" applyBorder="0" applyAlignment="0" applyProtection="0"/>
    <xf numFmtId="193" fontId="45" fillId="22" borderId="0" applyNumberFormat="0" applyBorder="0" applyAlignment="0" applyProtection="0"/>
    <xf numFmtId="193" fontId="45" fillId="22" borderId="0" applyNumberFormat="0" applyBorder="0" applyAlignment="0" applyProtection="0"/>
    <xf numFmtId="193" fontId="45" fillId="22" borderId="0" applyNumberFormat="0" applyBorder="0" applyAlignment="0" applyProtection="0"/>
    <xf numFmtId="194" fontId="45" fillId="22" borderId="0" applyNumberFormat="0" applyBorder="0" applyAlignment="0" applyProtection="0"/>
    <xf numFmtId="193" fontId="45" fillId="22" borderId="0" applyNumberFormat="0" applyBorder="0" applyAlignment="0" applyProtection="0"/>
    <xf numFmtId="193" fontId="45" fillId="22" borderId="0" applyNumberFormat="0" applyBorder="0" applyAlignment="0" applyProtection="0"/>
    <xf numFmtId="193" fontId="45" fillId="22" borderId="0" applyNumberFormat="0" applyBorder="0" applyAlignment="0" applyProtection="0"/>
    <xf numFmtId="193" fontId="45" fillId="22" borderId="0" applyNumberFormat="0" applyBorder="0" applyAlignment="0" applyProtection="0"/>
    <xf numFmtId="193" fontId="45" fillId="22" borderId="0" applyNumberFormat="0" applyBorder="0" applyAlignment="0" applyProtection="0"/>
    <xf numFmtId="193" fontId="45" fillId="22" borderId="0" applyNumberFormat="0" applyBorder="0" applyAlignment="0" applyProtection="0"/>
    <xf numFmtId="193" fontId="45" fillId="23" borderId="0" applyNumberFormat="0" applyBorder="0" applyAlignment="0" applyProtection="0"/>
    <xf numFmtId="193" fontId="45" fillId="23" borderId="0" applyNumberFormat="0" applyBorder="0" applyAlignment="0" applyProtection="0"/>
    <xf numFmtId="193" fontId="45" fillId="23" borderId="0" applyNumberFormat="0" applyBorder="0" applyAlignment="0" applyProtection="0"/>
    <xf numFmtId="193" fontId="45" fillId="23" borderId="0" applyNumberFormat="0" applyBorder="0" applyAlignment="0" applyProtection="0"/>
    <xf numFmtId="193" fontId="45" fillId="23" borderId="0" applyNumberFormat="0" applyBorder="0" applyAlignment="0" applyProtection="0"/>
    <xf numFmtId="193" fontId="45" fillId="23" borderId="0" applyNumberFormat="0" applyBorder="0" applyAlignment="0" applyProtection="0"/>
    <xf numFmtId="193" fontId="45" fillId="23" borderId="0" applyNumberFormat="0" applyBorder="0" applyAlignment="0" applyProtection="0"/>
    <xf numFmtId="193" fontId="45" fillId="23" borderId="0" applyNumberFormat="0" applyBorder="0" applyAlignment="0" applyProtection="0"/>
    <xf numFmtId="193" fontId="45" fillId="23" borderId="0" applyNumberFormat="0" applyBorder="0" applyAlignment="0" applyProtection="0"/>
    <xf numFmtId="193" fontId="45" fillId="23" borderId="0" applyNumberFormat="0" applyBorder="0" applyAlignment="0" applyProtection="0"/>
    <xf numFmtId="193" fontId="45" fillId="23" borderId="0" applyNumberFormat="0" applyBorder="0" applyAlignment="0" applyProtection="0"/>
    <xf numFmtId="193" fontId="45" fillId="23" borderId="0" applyNumberFormat="0" applyBorder="0" applyAlignment="0" applyProtection="0"/>
    <xf numFmtId="0" fontId="88" fillId="25" borderId="0" applyNumberFormat="0" applyBorder="0" applyAlignment="0" applyProtection="0"/>
    <xf numFmtId="194" fontId="45" fillId="26" borderId="0" applyNumberFormat="0" applyBorder="0" applyAlignment="0" applyProtection="0"/>
    <xf numFmtId="193" fontId="45" fillId="26" borderId="0" applyNumberFormat="0" applyBorder="0" applyAlignment="0" applyProtection="0"/>
    <xf numFmtId="193" fontId="45" fillId="26" borderId="0" applyNumberFormat="0" applyBorder="0" applyAlignment="0" applyProtection="0"/>
    <xf numFmtId="194" fontId="45" fillId="27" borderId="0" applyNumberFormat="0" applyBorder="0" applyAlignment="0" applyProtection="0"/>
    <xf numFmtId="193" fontId="45" fillId="27" borderId="0" applyNumberFormat="0" applyBorder="0" applyAlignment="0" applyProtection="0"/>
    <xf numFmtId="193" fontId="45" fillId="27" borderId="0" applyNumberFormat="0" applyBorder="0" applyAlignment="0" applyProtection="0"/>
    <xf numFmtId="194" fontId="45" fillId="21" borderId="0" applyNumberFormat="0" applyBorder="0" applyAlignment="0" applyProtection="0"/>
    <xf numFmtId="194" fontId="45" fillId="21" borderId="0" applyNumberFormat="0" applyBorder="0" applyAlignment="0" applyProtection="0"/>
    <xf numFmtId="193" fontId="45" fillId="21" borderId="0" applyNumberFormat="0" applyBorder="0" applyAlignment="0" applyProtection="0"/>
    <xf numFmtId="193" fontId="45" fillId="25" borderId="0" applyNumberFormat="0" applyBorder="0" applyAlignment="0" applyProtection="0"/>
    <xf numFmtId="194" fontId="45" fillId="28" borderId="0" applyNumberFormat="0" applyBorder="0" applyAlignment="0" applyProtection="0"/>
    <xf numFmtId="193" fontId="45" fillId="28" borderId="0" applyNumberFormat="0" applyBorder="0" applyAlignment="0" applyProtection="0"/>
    <xf numFmtId="193" fontId="45" fillId="28" borderId="0" applyNumberFormat="0" applyBorder="0" applyAlignment="0" applyProtection="0"/>
    <xf numFmtId="193" fontId="45" fillId="25" borderId="0" applyNumberFormat="0" applyBorder="0" applyAlignment="0" applyProtection="0"/>
    <xf numFmtId="193" fontId="45" fillId="25" borderId="0" applyNumberFormat="0" applyBorder="0" applyAlignment="0" applyProtection="0"/>
    <xf numFmtId="193" fontId="45" fillId="25" borderId="0" applyNumberFormat="0" applyBorder="0" applyAlignment="0" applyProtection="0"/>
    <xf numFmtId="193" fontId="45" fillId="25" borderId="0" applyNumberFormat="0" applyBorder="0" applyAlignment="0" applyProtection="0"/>
    <xf numFmtId="193" fontId="45" fillId="25" borderId="0" applyNumberFormat="0" applyBorder="0" applyAlignment="0" applyProtection="0"/>
    <xf numFmtId="193" fontId="45" fillId="26" borderId="0" applyNumberFormat="0" applyBorder="0" applyAlignment="0" applyProtection="0"/>
    <xf numFmtId="193" fontId="45" fillId="26" borderId="0" applyNumberFormat="0" applyBorder="0" applyAlignment="0" applyProtection="0"/>
    <xf numFmtId="194" fontId="45" fillId="26" borderId="0" applyNumberFormat="0" applyBorder="0" applyAlignment="0" applyProtection="0"/>
    <xf numFmtId="193" fontId="45" fillId="26" borderId="0" applyNumberFormat="0" applyBorder="0" applyAlignment="0" applyProtection="0"/>
    <xf numFmtId="193" fontId="45" fillId="27" borderId="0" applyNumberFormat="0" applyBorder="0" applyAlignment="0" applyProtection="0"/>
    <xf numFmtId="193" fontId="45" fillId="27" borderId="0" applyNumberFormat="0" applyBorder="0" applyAlignment="0" applyProtection="0"/>
    <xf numFmtId="193" fontId="45" fillId="27" borderId="0" applyNumberFormat="0" applyBorder="0" applyAlignment="0" applyProtection="0"/>
    <xf numFmtId="193" fontId="45" fillId="27" borderId="0" applyNumberFormat="0" applyBorder="0" applyAlignment="0" applyProtection="0"/>
    <xf numFmtId="193" fontId="45" fillId="27" borderId="0" applyNumberFormat="0" applyBorder="0" applyAlignment="0" applyProtection="0"/>
    <xf numFmtId="193" fontId="45" fillId="27" borderId="0" applyNumberFormat="0" applyBorder="0" applyAlignment="0" applyProtection="0"/>
    <xf numFmtId="194" fontId="45" fillId="27" borderId="0" applyNumberFormat="0" applyBorder="0" applyAlignment="0" applyProtection="0"/>
    <xf numFmtId="193" fontId="45" fillId="27" borderId="0" applyNumberFormat="0" applyBorder="0" applyAlignment="0" applyProtection="0"/>
    <xf numFmtId="193" fontId="45" fillId="27" borderId="0" applyNumberFormat="0" applyBorder="0" applyAlignment="0" applyProtection="0"/>
    <xf numFmtId="194" fontId="45" fillId="27" borderId="0" applyNumberFormat="0" applyBorder="0" applyAlignment="0" applyProtection="0"/>
    <xf numFmtId="193" fontId="45" fillId="27" borderId="0" applyNumberFormat="0" applyBorder="0" applyAlignment="0" applyProtection="0"/>
    <xf numFmtId="193" fontId="45" fillId="27" borderId="0" applyNumberFormat="0" applyBorder="0" applyAlignment="0" applyProtection="0"/>
    <xf numFmtId="193" fontId="45" fillId="27" borderId="0" applyNumberFormat="0" applyBorder="0" applyAlignment="0" applyProtection="0"/>
    <xf numFmtId="194" fontId="45" fillId="27" borderId="0" applyNumberFormat="0" applyBorder="0" applyAlignment="0" applyProtection="0"/>
    <xf numFmtId="193" fontId="45" fillId="27" borderId="0" applyNumberFormat="0" applyBorder="0" applyAlignment="0" applyProtection="0"/>
    <xf numFmtId="193" fontId="45" fillId="27" borderId="0" applyNumberFormat="0" applyBorder="0" applyAlignment="0" applyProtection="0"/>
    <xf numFmtId="193" fontId="45" fillId="27" borderId="0" applyNumberFormat="0" applyBorder="0" applyAlignment="0" applyProtection="0"/>
    <xf numFmtId="193" fontId="45" fillId="27" borderId="0" applyNumberFormat="0" applyBorder="0" applyAlignment="0" applyProtection="0"/>
    <xf numFmtId="193" fontId="45" fillId="21" borderId="0" applyNumberFormat="0" applyBorder="0" applyAlignment="0" applyProtection="0"/>
    <xf numFmtId="193" fontId="45" fillId="21" borderId="0" applyNumberFormat="0" applyBorder="0" applyAlignment="0" applyProtection="0"/>
    <xf numFmtId="193" fontId="45" fillId="21" borderId="0" applyNumberFormat="0" applyBorder="0" applyAlignment="0" applyProtection="0"/>
    <xf numFmtId="193" fontId="45" fillId="21" borderId="0" applyNumberFormat="0" applyBorder="0" applyAlignment="0" applyProtection="0"/>
    <xf numFmtId="193" fontId="45" fillId="21" borderId="0" applyNumberFormat="0" applyBorder="0" applyAlignment="0" applyProtection="0"/>
    <xf numFmtId="193" fontId="45" fillId="21" borderId="0" applyNumberFormat="0" applyBorder="0" applyAlignment="0" applyProtection="0"/>
    <xf numFmtId="193" fontId="45" fillId="21" borderId="0" applyNumberFormat="0" applyBorder="0" applyAlignment="0" applyProtection="0"/>
    <xf numFmtId="193" fontId="45" fillId="21" borderId="0" applyNumberFormat="0" applyBorder="0" applyAlignment="0" applyProtection="0"/>
    <xf numFmtId="193" fontId="45" fillId="21" borderId="0" applyNumberFormat="0" applyBorder="0" applyAlignment="0" applyProtection="0"/>
    <xf numFmtId="193" fontId="45" fillId="21" borderId="0" applyNumberFormat="0" applyBorder="0" applyAlignment="0" applyProtection="0"/>
    <xf numFmtId="193" fontId="45" fillId="21" borderId="0" applyNumberFormat="0" applyBorder="0" applyAlignment="0" applyProtection="0"/>
    <xf numFmtId="194" fontId="45" fillId="21" borderId="0" applyNumberFormat="0" applyBorder="0" applyAlignment="0" applyProtection="0"/>
    <xf numFmtId="193" fontId="45" fillId="21" borderId="0" applyNumberFormat="0" applyBorder="0" applyAlignment="0" applyProtection="0"/>
    <xf numFmtId="193" fontId="45" fillId="21" borderId="0" applyNumberFormat="0" applyBorder="0" applyAlignment="0" applyProtection="0"/>
    <xf numFmtId="194" fontId="45" fillId="21" borderId="0" applyNumberFormat="0" applyBorder="0" applyAlignment="0" applyProtection="0"/>
    <xf numFmtId="193" fontId="45" fillId="21" borderId="0" applyNumberFormat="0" applyBorder="0" applyAlignment="0" applyProtection="0"/>
    <xf numFmtId="193" fontId="45" fillId="21" borderId="0" applyNumberFormat="0" applyBorder="0" applyAlignment="0" applyProtection="0"/>
    <xf numFmtId="193" fontId="45" fillId="21" borderId="0" applyNumberFormat="0" applyBorder="0" applyAlignment="0" applyProtection="0"/>
    <xf numFmtId="193" fontId="45" fillId="21" borderId="0" applyNumberFormat="0" applyBorder="0" applyAlignment="0" applyProtection="0"/>
    <xf numFmtId="194" fontId="45" fillId="21" borderId="0" applyNumberFormat="0" applyBorder="0" applyAlignment="0" applyProtection="0"/>
    <xf numFmtId="193" fontId="45" fillId="21" borderId="0" applyNumberFormat="0" applyBorder="0" applyAlignment="0" applyProtection="0"/>
    <xf numFmtId="193" fontId="45" fillId="21" borderId="0" applyNumberFormat="0" applyBorder="0" applyAlignment="0" applyProtection="0"/>
    <xf numFmtId="193" fontId="45" fillId="21" borderId="0" applyNumberFormat="0" applyBorder="0" applyAlignment="0" applyProtection="0"/>
    <xf numFmtId="193" fontId="45" fillId="21" borderId="0" applyNumberFormat="0" applyBorder="0" applyAlignment="0" applyProtection="0"/>
    <xf numFmtId="193" fontId="45" fillId="25" borderId="0" applyNumberFormat="0" applyBorder="0" applyAlignment="0" applyProtection="0"/>
    <xf numFmtId="193" fontId="45" fillId="25" borderId="0" applyNumberFormat="0" applyBorder="0" applyAlignment="0" applyProtection="0"/>
    <xf numFmtId="193" fontId="45" fillId="25" borderId="0" applyNumberFormat="0" applyBorder="0" applyAlignment="0" applyProtection="0"/>
    <xf numFmtId="193" fontId="45" fillId="25" borderId="0" applyNumberFormat="0" applyBorder="0" applyAlignment="0" applyProtection="0"/>
    <xf numFmtId="194" fontId="45" fillId="25" borderId="0" applyNumberFormat="0" applyBorder="0" applyAlignment="0" applyProtection="0"/>
    <xf numFmtId="194" fontId="45" fillId="25" borderId="0" applyNumberFormat="0" applyBorder="0" applyAlignment="0" applyProtection="0"/>
    <xf numFmtId="193" fontId="45" fillId="25" borderId="0" applyNumberFormat="0" applyBorder="0" applyAlignment="0" applyProtection="0"/>
    <xf numFmtId="193" fontId="45" fillId="25" borderId="0" applyNumberFormat="0" applyBorder="0" applyAlignment="0" applyProtection="0"/>
    <xf numFmtId="193" fontId="45" fillId="28" borderId="0" applyNumberFormat="0" applyBorder="0" applyAlignment="0" applyProtection="0"/>
    <xf numFmtId="193" fontId="45" fillId="28" borderId="0" applyNumberFormat="0" applyBorder="0" applyAlignment="0" applyProtection="0"/>
    <xf numFmtId="193" fontId="45" fillId="28" borderId="0" applyNumberFormat="0" applyBorder="0" applyAlignment="0" applyProtection="0"/>
    <xf numFmtId="0" fontId="89" fillId="27" borderId="0" applyNumberFormat="0" applyBorder="0" applyAlignment="0" applyProtection="0"/>
    <xf numFmtId="193" fontId="47" fillId="26" borderId="0" applyNumberFormat="0" applyBorder="0" applyAlignment="0" applyProtection="0"/>
    <xf numFmtId="194" fontId="47" fillId="27" borderId="0" applyNumberFormat="0" applyBorder="0" applyAlignment="0" applyProtection="0"/>
    <xf numFmtId="194" fontId="47" fillId="27" borderId="0" applyNumberFormat="0" applyBorder="0" applyAlignment="0" applyProtection="0"/>
    <xf numFmtId="194" fontId="47" fillId="27" borderId="0" applyNumberFormat="0" applyBorder="0" applyAlignment="0" applyProtection="0"/>
    <xf numFmtId="193" fontId="47" fillId="27" borderId="0" applyNumberFormat="0" applyBorder="0" applyAlignment="0" applyProtection="0"/>
    <xf numFmtId="193" fontId="47" fillId="27" borderId="0" applyNumberFormat="0" applyBorder="0" applyAlignment="0" applyProtection="0"/>
    <xf numFmtId="193" fontId="47" fillId="30" borderId="0" applyNumberFormat="0" applyBorder="0" applyAlignment="0" applyProtection="0"/>
    <xf numFmtId="193" fontId="47" fillId="31" borderId="0" applyNumberFormat="0" applyBorder="0" applyAlignment="0" applyProtection="0"/>
    <xf numFmtId="194" fontId="47" fillId="32" borderId="0" applyNumberFormat="0" applyBorder="0" applyAlignment="0" applyProtection="0"/>
    <xf numFmtId="194" fontId="47" fillId="32" borderId="0" applyNumberFormat="0" applyBorder="0" applyAlignment="0" applyProtection="0"/>
    <xf numFmtId="194" fontId="47" fillId="32" borderId="0" applyNumberFormat="0" applyBorder="0" applyAlignment="0" applyProtection="0"/>
    <xf numFmtId="193" fontId="47" fillId="32" borderId="0" applyNumberFormat="0" applyBorder="0" applyAlignment="0" applyProtection="0"/>
    <xf numFmtId="193" fontId="47" fillId="32" borderId="0" applyNumberFormat="0" applyBorder="0" applyAlignment="0" applyProtection="0"/>
    <xf numFmtId="193" fontId="47" fillId="32" borderId="0" applyNumberFormat="0" applyBorder="0" applyAlignment="0" applyProtection="0"/>
    <xf numFmtId="193" fontId="47" fillId="32" borderId="0" applyNumberFormat="0" applyBorder="0" applyAlignment="0" applyProtection="0"/>
    <xf numFmtId="194" fontId="47" fillId="29" borderId="0" applyNumberFormat="0" applyBorder="0" applyAlignment="0" applyProtection="0"/>
    <xf numFmtId="194" fontId="47" fillId="26" borderId="0" applyNumberFormat="0" applyBorder="0" applyAlignment="0" applyProtection="0"/>
    <xf numFmtId="194" fontId="47" fillId="27" borderId="0" applyNumberFormat="0" applyBorder="0" applyAlignment="0" applyProtection="0"/>
    <xf numFmtId="194" fontId="47" fillId="32" borderId="0" applyNumberFormat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7" fillId="51" borderId="0" applyNumberFormat="0" applyBorder="0" applyAlignment="0" applyProtection="0"/>
    <xf numFmtId="0" fontId="47" fillId="52" borderId="0" applyNumberFormat="0" applyBorder="0" applyAlignment="0" applyProtection="0"/>
    <xf numFmtId="0" fontId="45" fillId="53" borderId="0" applyNumberFormat="0" applyBorder="0" applyAlignment="0" applyProtection="0"/>
    <xf numFmtId="0" fontId="45" fillId="54" borderId="0" applyNumberFormat="0" applyBorder="0" applyAlignment="0" applyProtection="0"/>
    <xf numFmtId="0" fontId="47" fillId="55" borderId="0" applyNumberFormat="0" applyBorder="0" applyAlignment="0" applyProtection="0"/>
    <xf numFmtId="0" fontId="89" fillId="34" borderId="0" applyNumberFormat="0" applyBorder="0" applyAlignment="0" applyProtection="0"/>
    <xf numFmtId="0" fontId="47" fillId="56" borderId="0" applyNumberFormat="0" applyBorder="0" applyAlignment="0" applyProtection="0"/>
    <xf numFmtId="0" fontId="45" fillId="57" borderId="0" applyNumberFormat="0" applyBorder="0" applyAlignment="0" applyProtection="0"/>
    <xf numFmtId="0" fontId="45" fillId="58" borderId="0" applyNumberFormat="0" applyBorder="0" applyAlignment="0" applyProtection="0"/>
    <xf numFmtId="179" fontId="82" fillId="60" borderId="0" applyNumberFormat="0" applyBorder="0" applyAlignment="0" applyProtection="0"/>
    <xf numFmtId="0" fontId="47" fillId="55" borderId="0" applyNumberFormat="0" applyBorder="0" applyAlignment="0" applyProtection="0"/>
    <xf numFmtId="0" fontId="45" fillId="58" borderId="0" applyNumberFormat="0" applyBorder="0" applyAlignment="0" applyProtection="0"/>
    <xf numFmtId="0" fontId="47" fillId="59" borderId="0" applyNumberFormat="0" applyBorder="0" applyAlignment="0" applyProtection="0"/>
    <xf numFmtId="0" fontId="45" fillId="50" borderId="0" applyNumberFormat="0" applyBorder="0" applyAlignment="0" applyProtection="0"/>
    <xf numFmtId="0" fontId="47" fillId="61" borderId="0" applyNumberFormat="0" applyBorder="0" applyAlignment="0" applyProtection="0"/>
    <xf numFmtId="0" fontId="8" fillId="0" borderId="0"/>
    <xf numFmtId="0" fontId="8" fillId="0" borderId="0"/>
    <xf numFmtId="10" fontId="8" fillId="38" borderId="0" applyFont="0" applyBorder="0" applyAlignment="0">
      <protection locked="0"/>
    </xf>
    <xf numFmtId="174" fontId="8" fillId="38" borderId="0" applyBorder="0" applyAlignment="0">
      <protection locked="0"/>
    </xf>
    <xf numFmtId="194" fontId="51" fillId="20" borderId="0" applyNumberFormat="0" applyBorder="0" applyAlignment="0" applyProtection="0"/>
    <xf numFmtId="193" fontId="51" fillId="20" borderId="0" applyNumberFormat="0" applyBorder="0" applyAlignment="0" applyProtection="0"/>
    <xf numFmtId="175" fontId="43" fillId="0" borderId="0" applyFill="0" applyBorder="0" applyAlignment="0"/>
    <xf numFmtId="178" fontId="8" fillId="0" borderId="0" applyFill="0" applyBorder="0" applyAlignment="0"/>
    <xf numFmtId="193" fontId="54" fillId="39" borderId="24" applyNumberFormat="0" applyAlignment="0" applyProtection="0"/>
    <xf numFmtId="195" fontId="8" fillId="0" borderId="0" applyFont="0" applyFill="0" applyBorder="0" applyAlignment="0" applyProtection="0"/>
    <xf numFmtId="3" fontId="58" fillId="0" borderId="0" applyFont="0" applyFill="0" applyBorder="0" applyAlignment="0" applyProtection="0"/>
    <xf numFmtId="0" fontId="8" fillId="0" borderId="0" applyFont="0" applyFill="0" applyBorder="0" applyProtection="0">
      <alignment horizontal="left"/>
    </xf>
    <xf numFmtId="37" fontId="90" fillId="45" borderId="35" applyNumberFormat="0" applyAlignment="0">
      <alignment horizontal="left"/>
    </xf>
    <xf numFmtId="193" fontId="47" fillId="31" borderId="0" applyNumberFormat="0" applyBorder="0" applyAlignment="0" applyProtection="0"/>
    <xf numFmtId="193" fontId="47" fillId="36" borderId="0" applyNumberFormat="0" applyBorder="0" applyAlignment="0" applyProtection="0"/>
    <xf numFmtId="193" fontId="47" fillId="36" borderId="0" applyNumberFormat="0" applyBorder="0" applyAlignment="0" applyProtection="0"/>
    <xf numFmtId="194" fontId="47" fillId="33" borderId="0" applyNumberFormat="0" applyBorder="0" applyAlignment="0" applyProtection="0"/>
    <xf numFmtId="194" fontId="47" fillId="35" borderId="0" applyNumberFormat="0" applyBorder="0" applyAlignment="0" applyProtection="0"/>
    <xf numFmtId="0" fontId="64" fillId="0" borderId="0" applyNumberFormat="0" applyFill="0" applyBorder="0" applyAlignment="0" applyProtection="0"/>
    <xf numFmtId="193" fontId="59" fillId="23" borderId="24" applyNumberFormat="0" applyAlignment="0" applyProtection="0"/>
    <xf numFmtId="193" fontId="59" fillId="23" borderId="24" applyNumberFormat="0" applyAlignment="0" applyProtection="0"/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0" fillId="0" borderId="0">
      <alignment vertical="top"/>
    </xf>
    <xf numFmtId="179" fontId="8" fillId="0" borderId="0" applyFont="0" applyFill="0" applyBorder="0" applyAlignment="0" applyProtection="0"/>
    <xf numFmtId="0" fontId="52" fillId="0" borderId="0">
      <protection locked="0"/>
    </xf>
    <xf numFmtId="37" fontId="61" fillId="0" borderId="0" applyBorder="0" applyAlignment="0"/>
    <xf numFmtId="0" fontId="52" fillId="0" borderId="0">
      <protection locked="0"/>
    </xf>
    <xf numFmtId="0" fontId="52" fillId="0" borderId="0">
      <protection locked="0"/>
    </xf>
    <xf numFmtId="180" fontId="8" fillId="0" borderId="0">
      <protection locked="0"/>
    </xf>
    <xf numFmtId="181" fontId="52" fillId="0" borderId="0">
      <protection locked="0"/>
    </xf>
    <xf numFmtId="0" fontId="92" fillId="0" borderId="0" applyFill="0" applyBorder="0" applyProtection="0">
      <alignment horizontal="left"/>
    </xf>
    <xf numFmtId="38" fontId="91" fillId="0" borderId="18" applyBorder="0"/>
    <xf numFmtId="0" fontId="8" fillId="38" borderId="27" applyNumberFormat="0" applyFont="0" applyBorder="0" applyAlignment="0" applyProtection="0"/>
    <xf numFmtId="0" fontId="50" fillId="19" borderId="0" applyNumberFormat="0" applyBorder="0" applyAlignment="0" applyProtection="0"/>
    <xf numFmtId="0" fontId="65" fillId="0" borderId="5" applyFill="0" applyBorder="0" applyAlignment="0">
      <alignment horizontal="center"/>
      <protection locked="0"/>
    </xf>
    <xf numFmtId="0" fontId="65" fillId="0" borderId="5" applyFill="0" applyBorder="0" applyAlignment="0">
      <alignment horizontal="center"/>
      <protection locked="0"/>
    </xf>
    <xf numFmtId="196" fontId="83" fillId="0" borderId="0"/>
    <xf numFmtId="197" fontId="83" fillId="0" borderId="0"/>
    <xf numFmtId="198" fontId="83" fillId="0" borderId="0"/>
    <xf numFmtId="10" fontId="41" fillId="38" borderId="1" applyNumberFormat="0" applyBorder="0" applyAlignment="0" applyProtection="0"/>
    <xf numFmtId="199" fontId="93" fillId="0" borderId="0"/>
    <xf numFmtId="177" fontId="8" fillId="0" borderId="0" applyFill="0" applyBorder="0" applyAlignment="0"/>
    <xf numFmtId="0" fontId="94" fillId="0" borderId="26" applyNumberFormat="0" applyFill="0" applyAlignment="0" applyProtection="0"/>
    <xf numFmtId="200" fontId="95" fillId="0" borderId="0" applyFont="0" applyFill="0" applyBorder="0" applyAlignment="0" applyProtection="0"/>
    <xf numFmtId="0" fontId="96" fillId="0" borderId="0" applyBorder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201" fontId="4" fillId="0" borderId="0" applyFont="0" applyFill="0" applyBorder="0" applyAlignment="0" applyProtection="0"/>
    <xf numFmtId="201" fontId="4" fillId="0" borderId="0" applyFont="0" applyFill="0" applyBorder="0" applyAlignment="0" applyProtection="0"/>
    <xf numFmtId="201" fontId="4" fillId="0" borderId="0" applyFont="0" applyFill="0" applyBorder="0" applyAlignment="0" applyProtection="0"/>
    <xf numFmtId="201" fontId="4" fillId="0" borderId="0" applyFont="0" applyFill="0" applyBorder="0" applyAlignment="0" applyProtection="0"/>
    <xf numFmtId="182" fontId="52" fillId="0" borderId="0">
      <protection locked="0"/>
    </xf>
    <xf numFmtId="202" fontId="8" fillId="0" borderId="0" applyFont="0" applyFill="0" applyBorder="0" applyAlignment="0" applyProtection="0"/>
    <xf numFmtId="37" fontId="67" fillId="0" borderId="0"/>
    <xf numFmtId="197" fontId="83" fillId="0" borderId="0"/>
    <xf numFmtId="0" fontId="4" fillId="0" borderId="0"/>
    <xf numFmtId="0" fontId="4" fillId="0" borderId="0"/>
    <xf numFmtId="193" fontId="4" fillId="0" borderId="0"/>
    <xf numFmtId="0" fontId="4" fillId="0" borderId="0"/>
    <xf numFmtId="0" fontId="4" fillId="0" borderId="0"/>
    <xf numFmtId="0" fontId="4" fillId="0" borderId="0"/>
    <xf numFmtId="193" fontId="4" fillId="0" borderId="0"/>
    <xf numFmtId="193" fontId="4" fillId="0" borderId="0"/>
    <xf numFmtId="0" fontId="4" fillId="0" borderId="0"/>
    <xf numFmtId="193" fontId="4" fillId="0" borderId="0"/>
    <xf numFmtId="193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4" fillId="0" borderId="0"/>
    <xf numFmtId="193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4" fillId="0" borderId="0"/>
    <xf numFmtId="193" fontId="4" fillId="0" borderId="0"/>
    <xf numFmtId="0" fontId="4" fillId="0" borderId="0"/>
    <xf numFmtId="193" fontId="4" fillId="0" borderId="0"/>
    <xf numFmtId="193" fontId="4" fillId="0" borderId="0"/>
    <xf numFmtId="193" fontId="4" fillId="0" borderId="0"/>
    <xf numFmtId="0" fontId="4" fillId="0" borderId="0"/>
    <xf numFmtId="193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4" fillId="0" borderId="0"/>
    <xf numFmtId="193" fontId="4" fillId="0" borderId="0"/>
    <xf numFmtId="0" fontId="4" fillId="0" borderId="0"/>
    <xf numFmtId="193" fontId="4" fillId="0" borderId="0"/>
    <xf numFmtId="0" fontId="4" fillId="0" borderId="0"/>
    <xf numFmtId="0" fontId="4" fillId="0" borderId="0"/>
    <xf numFmtId="193" fontId="4" fillId="0" borderId="0"/>
    <xf numFmtId="0" fontId="4" fillId="0" borderId="0"/>
    <xf numFmtId="0" fontId="4" fillId="0" borderId="0"/>
    <xf numFmtId="193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4" fillId="0" borderId="0"/>
    <xf numFmtId="0" fontId="4" fillId="0" borderId="0"/>
    <xf numFmtId="193" fontId="4" fillId="0" borderId="0"/>
    <xf numFmtId="193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4" fillId="0" borderId="0"/>
    <xf numFmtId="193" fontId="4" fillId="0" borderId="0"/>
    <xf numFmtId="0" fontId="4" fillId="0" borderId="0"/>
    <xf numFmtId="193" fontId="4" fillId="0" borderId="0"/>
    <xf numFmtId="193" fontId="4" fillId="0" borderId="0"/>
    <xf numFmtId="0" fontId="4" fillId="0" borderId="0"/>
    <xf numFmtId="0" fontId="4" fillId="0" borderId="0"/>
    <xf numFmtId="193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4" fillId="0" borderId="0"/>
    <xf numFmtId="193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4" fillId="0" borderId="0"/>
    <xf numFmtId="0" fontId="4" fillId="0" borderId="0"/>
    <xf numFmtId="0" fontId="4" fillId="0" borderId="0"/>
    <xf numFmtId="193" fontId="4" fillId="0" borderId="0"/>
    <xf numFmtId="193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4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0" fontId="4" fillId="0" borderId="0"/>
    <xf numFmtId="193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4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4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193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193" fontId="4" fillId="0" borderId="0"/>
    <xf numFmtId="0" fontId="4" fillId="0" borderId="0"/>
    <xf numFmtId="193" fontId="4" fillId="0" borderId="0"/>
    <xf numFmtId="0" fontId="4" fillId="0" borderId="0"/>
    <xf numFmtId="0" fontId="4" fillId="0" borderId="0"/>
    <xf numFmtId="0" fontId="4" fillId="0" borderId="0"/>
    <xf numFmtId="193" fontId="4" fillId="0" borderId="0"/>
    <xf numFmtId="193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4" fillId="0" borderId="0"/>
    <xf numFmtId="0" fontId="4" fillId="0" borderId="0"/>
    <xf numFmtId="193" fontId="4" fillId="0" borderId="0"/>
    <xf numFmtId="193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4" fillId="0" borderId="0"/>
    <xf numFmtId="0" fontId="4" fillId="0" borderId="0"/>
    <xf numFmtId="193" fontId="4" fillId="0" borderId="0"/>
    <xf numFmtId="193" fontId="4" fillId="0" borderId="0"/>
    <xf numFmtId="0" fontId="4" fillId="0" borderId="0"/>
    <xf numFmtId="0" fontId="4" fillId="0" borderId="0"/>
    <xf numFmtId="193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4" fillId="0" borderId="0"/>
    <xf numFmtId="0" fontId="4" fillId="0" borderId="0"/>
    <xf numFmtId="193" fontId="4" fillId="0" borderId="0"/>
    <xf numFmtId="193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8" fillId="0" borderId="0"/>
    <xf numFmtId="0" fontId="8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4" fontId="4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194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4" fillId="0" borderId="0"/>
    <xf numFmtId="0" fontId="11" fillId="0" borderId="0"/>
    <xf numFmtId="0" fontId="4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4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4" fontId="4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4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" fillId="0" borderId="0"/>
    <xf numFmtId="0" fontId="8" fillId="0" borderId="0"/>
    <xf numFmtId="194" fontId="8" fillId="0" borderId="0"/>
    <xf numFmtId="194" fontId="8" fillId="0" borderId="0"/>
    <xf numFmtId="0" fontId="22" fillId="0" borderId="0"/>
    <xf numFmtId="0" fontId="4" fillId="0" borderId="0"/>
    <xf numFmtId="0" fontId="8" fillId="0" borderId="0">
      <alignment vertical="center"/>
    </xf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0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94" fontId="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94" fontId="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" fillId="0" borderId="0"/>
    <xf numFmtId="0" fontId="11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193" fontId="11" fillId="0" borderId="0"/>
    <xf numFmtId="193" fontId="11" fillId="0" borderId="0"/>
    <xf numFmtId="193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193" fontId="11" fillId="0" borderId="0"/>
    <xf numFmtId="193" fontId="11" fillId="0" borderId="0"/>
    <xf numFmtId="0" fontId="8" fillId="0" borderId="0"/>
    <xf numFmtId="193" fontId="11" fillId="0" borderId="0"/>
    <xf numFmtId="0" fontId="8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8" fillId="0" borderId="0"/>
    <xf numFmtId="193" fontId="11" fillId="0" borderId="0"/>
    <xf numFmtId="0" fontId="4" fillId="0" borderId="0"/>
    <xf numFmtId="193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93" fontId="11" fillId="0" borderId="0"/>
    <xf numFmtId="0" fontId="4" fillId="0" borderId="0"/>
    <xf numFmtId="0" fontId="4" fillId="0" borderId="0"/>
    <xf numFmtId="193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11" fillId="0" borderId="0"/>
    <xf numFmtId="193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11" fillId="0" borderId="0"/>
    <xf numFmtId="0" fontId="4" fillId="0" borderId="0"/>
    <xf numFmtId="0" fontId="4" fillId="0" borderId="0"/>
    <xf numFmtId="193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193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93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4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193" fontId="11" fillId="0" borderId="0"/>
    <xf numFmtId="0" fontId="8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8" fillId="0" borderId="0"/>
    <xf numFmtId="194" fontId="11" fillId="0" borderId="0"/>
    <xf numFmtId="0" fontId="8" fillId="0" borderId="0"/>
    <xf numFmtId="0" fontId="8" fillId="0" borderId="0"/>
    <xf numFmtId="193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11" fillId="0" borderId="0"/>
    <xf numFmtId="0" fontId="4" fillId="0" borderId="0"/>
    <xf numFmtId="0" fontId="4" fillId="0" borderId="0"/>
    <xf numFmtId="0" fontId="8" fillId="0" borderId="0"/>
    <xf numFmtId="0" fontId="8" fillId="0" borderId="0"/>
    <xf numFmtId="193" fontId="11" fillId="0" borderId="0"/>
    <xf numFmtId="0" fontId="8" fillId="0" borderId="0"/>
    <xf numFmtId="0" fontId="4" fillId="0" borderId="0"/>
    <xf numFmtId="193" fontId="11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193" fontId="11" fillId="0" borderId="0"/>
    <xf numFmtId="0" fontId="4" fillId="0" borderId="0"/>
    <xf numFmtId="0" fontId="4" fillId="0" borderId="0"/>
    <xf numFmtId="194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93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11" fillId="0" borderId="0"/>
    <xf numFmtId="193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193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8" fillId="0" borderId="0"/>
    <xf numFmtId="193" fontId="11" fillId="0" borderId="0"/>
    <xf numFmtId="0" fontId="4" fillId="0" borderId="0"/>
    <xf numFmtId="193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193" fontId="11" fillId="0" borderId="0"/>
    <xf numFmtId="0" fontId="4" fillId="0" borderId="0"/>
    <xf numFmtId="0" fontId="4" fillId="0" borderId="0"/>
    <xf numFmtId="193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94" fontId="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8" fillId="0" borderId="0"/>
    <xf numFmtId="0" fontId="8" fillId="0" borderId="0"/>
    <xf numFmtId="193" fontId="11" fillId="0" borderId="0"/>
    <xf numFmtId="0" fontId="8" fillId="0" borderId="0"/>
    <xf numFmtId="0" fontId="8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193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193" fontId="11" fillId="0" borderId="0"/>
    <xf numFmtId="0" fontId="8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4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4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193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4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193" fontId="11" fillId="0" borderId="0"/>
    <xf numFmtId="0" fontId="8" fillId="0" borderId="0"/>
    <xf numFmtId="193" fontId="11" fillId="0" borderId="0"/>
    <xf numFmtId="193" fontId="11" fillId="0" borderId="0"/>
    <xf numFmtId="193" fontId="11" fillId="0" borderId="0"/>
    <xf numFmtId="0" fontId="8" fillId="0" borderId="0"/>
    <xf numFmtId="0" fontId="4" fillId="0" borderId="0"/>
    <xf numFmtId="0" fontId="4" fillId="0" borderId="0"/>
    <xf numFmtId="0" fontId="4" fillId="0" borderId="0"/>
    <xf numFmtId="193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193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0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4" fillId="0" borderId="0"/>
    <xf numFmtId="194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194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8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193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94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93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193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93" fontId="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93" fontId="8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93" fontId="8" fillId="0" borderId="0"/>
    <xf numFmtId="193" fontId="8" fillId="0" borderId="0"/>
    <xf numFmtId="193" fontId="8" fillId="0" borderId="0"/>
    <xf numFmtId="193" fontId="8" fillId="0" borderId="0"/>
    <xf numFmtId="193" fontId="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94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93" fontId="8" fillId="0" borderId="0"/>
    <xf numFmtId="193" fontId="8" fillId="0" borderId="0"/>
    <xf numFmtId="194" fontId="8" fillId="0" borderId="0"/>
    <xf numFmtId="193" fontId="8" fillId="0" borderId="0"/>
    <xf numFmtId="0" fontId="8" fillId="0" borderId="0"/>
    <xf numFmtId="194" fontId="1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93" fontId="8" fillId="0" borderId="0"/>
    <xf numFmtId="194" fontId="8" fillId="0" borderId="0"/>
    <xf numFmtId="0" fontId="8" fillId="0" borderId="0"/>
    <xf numFmtId="194" fontId="8" fillId="0" borderId="0"/>
    <xf numFmtId="0" fontId="8" fillId="0" borderId="0"/>
    <xf numFmtId="0" fontId="8" fillId="0" borderId="0"/>
    <xf numFmtId="193" fontId="8" fillId="0" borderId="0"/>
    <xf numFmtId="0" fontId="8" fillId="0" borderId="0"/>
    <xf numFmtId="0" fontId="8" fillId="0" borderId="0"/>
    <xf numFmtId="193" fontId="8" fillId="0" borderId="0"/>
    <xf numFmtId="193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93" fontId="8" fillId="0" borderId="0"/>
    <xf numFmtId="193" fontId="8" fillId="0" borderId="0"/>
    <xf numFmtId="193" fontId="8" fillId="0" borderId="0"/>
    <xf numFmtId="193" fontId="8" fillId="0" borderId="0"/>
    <xf numFmtId="193" fontId="8" fillId="0" borderId="0"/>
    <xf numFmtId="194" fontId="11" fillId="0" borderId="0"/>
    <xf numFmtId="0" fontId="4" fillId="0" borderId="0"/>
    <xf numFmtId="0" fontId="8" fillId="0" borderId="0">
      <alignment vertical="top"/>
    </xf>
    <xf numFmtId="193" fontId="8" fillId="0" borderId="0"/>
    <xf numFmtId="193" fontId="8" fillId="0" borderId="0"/>
    <xf numFmtId="194" fontId="8" fillId="0" borderId="0"/>
    <xf numFmtId="193" fontId="8" fillId="0" borderId="0"/>
    <xf numFmtId="0" fontId="11" fillId="0" borderId="0"/>
    <xf numFmtId="193" fontId="8" fillId="0" borderId="0"/>
    <xf numFmtId="194" fontId="8" fillId="0" borderId="0"/>
    <xf numFmtId="194" fontId="8" fillId="0" borderId="0"/>
    <xf numFmtId="193" fontId="8" fillId="0" borderId="0"/>
    <xf numFmtId="179" fontId="8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8" fillId="0" borderId="0"/>
    <xf numFmtId="0" fontId="8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" fillId="0" borderId="0"/>
    <xf numFmtId="0" fontId="8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6" fillId="0" borderId="0"/>
    <xf numFmtId="0" fontId="87" fillId="0" borderId="0"/>
    <xf numFmtId="193" fontId="8" fillId="44" borderId="28" applyNumberFormat="0" applyFont="0" applyAlignment="0" applyProtection="0"/>
    <xf numFmtId="193" fontId="8" fillId="44" borderId="28" applyNumberFormat="0" applyFont="0" applyAlignment="0" applyProtection="0"/>
    <xf numFmtId="193" fontId="8" fillId="44" borderId="28" applyNumberFormat="0" applyFont="0" applyAlignment="0" applyProtection="0"/>
    <xf numFmtId="193" fontId="8" fillId="44" borderId="28" applyNumberFormat="0" applyFont="0" applyAlignment="0" applyProtection="0"/>
    <xf numFmtId="193" fontId="8" fillId="44" borderId="28" applyNumberFormat="0" applyFont="0" applyAlignment="0" applyProtection="0"/>
    <xf numFmtId="193" fontId="8" fillId="44" borderId="28" applyNumberFormat="0" applyFont="0" applyAlignment="0" applyProtection="0"/>
    <xf numFmtId="193" fontId="8" fillId="44" borderId="28" applyNumberFormat="0" applyFont="0" applyAlignment="0" applyProtection="0"/>
    <xf numFmtId="193" fontId="8" fillId="44" borderId="28" applyNumberFormat="0" applyFont="0" applyAlignment="0" applyProtection="0"/>
    <xf numFmtId="193" fontId="8" fillId="44" borderId="28" applyNumberFormat="0" applyFont="0" applyAlignment="0" applyProtection="0"/>
    <xf numFmtId="194" fontId="8" fillId="44" borderId="28" applyNumberFormat="0" applyFont="0" applyAlignment="0" applyProtection="0"/>
    <xf numFmtId="193" fontId="8" fillId="44" borderId="28" applyNumberFormat="0" applyFont="0" applyAlignment="0" applyProtection="0"/>
    <xf numFmtId="0" fontId="97" fillId="0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" fontId="98" fillId="0" borderId="0" applyProtection="0">
      <alignment horizontal="right" vertical="center"/>
    </xf>
    <xf numFmtId="176" fontId="99" fillId="0" borderId="3">
      <alignment vertical="center"/>
    </xf>
    <xf numFmtId="0" fontId="49" fillId="0" borderId="0"/>
    <xf numFmtId="203" fontId="80" fillId="62" borderId="0" applyFill="0" applyBorder="0" applyAlignment="0" applyProtection="0">
      <protection locked="0"/>
    </xf>
    <xf numFmtId="0" fontId="8" fillId="0" borderId="0" applyFont="0" applyFill="0" applyBorder="0" applyAlignment="0" applyProtection="0"/>
    <xf numFmtId="204" fontId="80" fillId="62" borderId="0" applyFill="0" applyBorder="0" applyAlignment="0" applyProtection="0">
      <alignment vertical="top"/>
    </xf>
    <xf numFmtId="178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52" fillId="0" borderId="0">
      <protection locked="0"/>
    </xf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" fontId="81" fillId="38" borderId="33" applyNumberFormat="0" applyProtection="0">
      <alignment vertical="center"/>
    </xf>
    <xf numFmtId="4" fontId="40" fillId="38" borderId="33" applyNumberFormat="0" applyProtection="0">
      <alignment horizontal="left" vertical="center" indent="1"/>
    </xf>
    <xf numFmtId="0" fontId="40" fillId="38" borderId="33" applyNumberFormat="0" applyProtection="0">
      <alignment horizontal="left" vertical="top" indent="1"/>
    </xf>
    <xf numFmtId="4" fontId="81" fillId="0" borderId="33" applyNumberFormat="0" applyProtection="0">
      <alignment horizontal="right" vertical="center"/>
    </xf>
    <xf numFmtId="4" fontId="100" fillId="63" borderId="29" applyNumberFormat="0" applyProtection="0">
      <alignment horizontal="right" vertical="center"/>
    </xf>
    <xf numFmtId="0" fontId="8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4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205" fontId="8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5" fontId="8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5" fontId="8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0" fontId="75" fillId="0" borderId="0" applyNumberFormat="0" applyFill="0" applyBorder="0" applyAlignment="0" applyProtection="0"/>
    <xf numFmtId="0" fontId="8" fillId="0" borderId="36"/>
    <xf numFmtId="0" fontId="40" fillId="0" borderId="0">
      <alignment vertical="top"/>
    </xf>
    <xf numFmtId="0" fontId="39" fillId="24" borderId="1" applyNumberFormat="0" applyProtection="0">
      <alignment horizontal="center"/>
    </xf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8" fillId="64" borderId="0"/>
    <xf numFmtId="41" fontId="8" fillId="0" borderId="0"/>
    <xf numFmtId="0" fontId="101" fillId="0" borderId="0" applyBorder="0" applyProtection="0">
      <alignment vertical="center"/>
    </xf>
    <xf numFmtId="0" fontId="102" fillId="65" borderId="3" applyBorder="0" applyProtection="0">
      <alignment horizontal="centerContinuous" vertical="center"/>
    </xf>
    <xf numFmtId="0" fontId="92" fillId="0" borderId="5" applyFill="0" applyBorder="0" applyProtection="0">
      <alignment horizontal="left" vertical="top"/>
    </xf>
    <xf numFmtId="0" fontId="103" fillId="0" borderId="0" applyNumberFormat="0" applyFill="0" applyBorder="0" applyAlignment="0" applyProtection="0"/>
    <xf numFmtId="0" fontId="8" fillId="0" borderId="0" applyFill="0" applyBorder="0" applyAlignment="0"/>
    <xf numFmtId="194" fontId="60" fillId="0" borderId="0" applyNumberFormat="0" applyFill="0" applyBorder="0" applyAlignment="0" applyProtection="0"/>
    <xf numFmtId="194" fontId="60" fillId="0" borderId="0" applyNumberFormat="0" applyFill="0" applyBorder="0" applyAlignment="0" applyProtection="0"/>
    <xf numFmtId="194" fontId="60" fillId="0" borderId="0" applyNumberFormat="0" applyFill="0" applyBorder="0" applyAlignment="0" applyProtection="0"/>
    <xf numFmtId="193" fontId="60" fillId="0" borderId="0" applyNumberFormat="0" applyFill="0" applyBorder="0" applyAlignment="0" applyProtection="0"/>
    <xf numFmtId="193" fontId="60" fillId="0" borderId="0" applyNumberForma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40" fontId="104" fillId="0" borderId="0"/>
    <xf numFmtId="194" fontId="73" fillId="0" borderId="30" applyNumberFormat="0" applyFill="0" applyAlignment="0" applyProtection="0"/>
    <xf numFmtId="193" fontId="73" fillId="0" borderId="30" applyNumberFormat="0" applyFill="0" applyAlignment="0" applyProtection="0"/>
    <xf numFmtId="193" fontId="72" fillId="0" borderId="0" applyNumberFormat="0" applyFill="0" applyBorder="0" applyAlignment="0" applyProtection="0"/>
    <xf numFmtId="193" fontId="74" fillId="0" borderId="31" applyNumberFormat="0" applyFill="0" applyAlignment="0" applyProtection="0"/>
    <xf numFmtId="15" fontId="8" fillId="0" borderId="1" applyFont="0" applyFill="0" applyBorder="0" applyProtection="0">
      <alignment horizontal="center"/>
      <protection locked="0"/>
    </xf>
    <xf numFmtId="0" fontId="105" fillId="0" borderId="0">
      <alignment vertical="top"/>
    </xf>
    <xf numFmtId="44" fontId="22" fillId="0" borderId="0" applyFont="0" applyFill="0" applyBorder="0" applyAlignment="0" applyProtection="0"/>
    <xf numFmtId="43" fontId="4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9" fillId="0" borderId="3" applyBorder="0"/>
    <xf numFmtId="0" fontId="49" fillId="0" borderId="3" applyBorder="0"/>
    <xf numFmtId="0" fontId="49" fillId="0" borderId="3" applyBorder="0"/>
    <xf numFmtId="10" fontId="41" fillId="38" borderId="1" applyNumberFormat="0" applyBorder="0" applyAlignment="0" applyProtection="0"/>
    <xf numFmtId="10" fontId="41" fillId="38" borderId="1" applyNumberFormat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8" fillId="0" borderId="1" applyNumberFormat="0" applyProtection="0">
      <alignment horizontal="left" vertical="center" indent="1"/>
    </xf>
    <xf numFmtId="0" fontId="8" fillId="0" borderId="1" applyNumberFormat="0" applyProtection="0">
      <alignment horizontal="left" vertical="center" indent="1"/>
    </xf>
    <xf numFmtId="0" fontId="8" fillId="0" borderId="1" applyNumberFormat="0" applyProtection="0">
      <alignment horizontal="left" vertical="center" indent="1"/>
    </xf>
    <xf numFmtId="4" fontId="40" fillId="0" borderId="1" applyNumberFormat="0" applyProtection="0">
      <alignment horizontal="right" vertical="center"/>
    </xf>
    <xf numFmtId="0" fontId="46" fillId="0" borderId="1" applyNumberFormat="0" applyProtection="0">
      <alignment horizontal="left" vertical="top" indent="1"/>
    </xf>
    <xf numFmtId="0" fontId="46" fillId="0" borderId="1" applyNumberFormat="0" applyProtection="0">
      <alignment horizontal="left" vertical="top" indent="1"/>
    </xf>
    <xf numFmtId="43" fontId="40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22" fillId="0" borderId="0"/>
    <xf numFmtId="0" fontId="49" fillId="0" borderId="3" applyBorder="0"/>
    <xf numFmtId="0" fontId="49" fillId="0" borderId="3" applyBorder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</cellStyleXfs>
  <cellXfs count="429">
    <xf numFmtId="0" fontId="0" fillId="0" borderId="0" xfId="0"/>
    <xf numFmtId="0" fontId="17" fillId="0" borderId="46" xfId="0" applyFont="1" applyBorder="1" applyAlignment="1">
      <alignment horizontal="left" vertical="center"/>
    </xf>
    <xf numFmtId="0" fontId="17" fillId="0" borderId="17" xfId="0" applyFont="1" applyBorder="1" applyAlignment="1">
      <alignment horizontal="left" vertical="center"/>
    </xf>
    <xf numFmtId="0" fontId="17" fillId="0" borderId="13" xfId="0" applyFont="1" applyBorder="1" applyAlignment="1">
      <alignment horizontal="left" vertical="center"/>
    </xf>
    <xf numFmtId="0" fontId="0" fillId="0" borderId="0" xfId="0" applyAlignment="1">
      <alignment horizontal="center"/>
    </xf>
    <xf numFmtId="10" fontId="0" fillId="0" borderId="0" xfId="0" applyNumberFormat="1"/>
    <xf numFmtId="0" fontId="2" fillId="0" borderId="0" xfId="0" applyFont="1"/>
    <xf numFmtId="22" fontId="0" fillId="0" borderId="0" xfId="0" applyNumberFormat="1"/>
    <xf numFmtId="0" fontId="0" fillId="0" borderId="1" xfId="0" applyBorder="1"/>
    <xf numFmtId="0" fontId="5" fillId="2" borderId="1" xfId="0" applyFont="1" applyFill="1" applyBorder="1" applyAlignment="1">
      <alignment horizontal="center" vertical="center"/>
    </xf>
    <xf numFmtId="0" fontId="9" fillId="0" borderId="0" xfId="0" applyFont="1"/>
    <xf numFmtId="0" fontId="5" fillId="2" borderId="1" xfId="0" applyFont="1" applyFill="1" applyBorder="1" applyAlignment="1">
      <alignment vertical="center" wrapText="1"/>
    </xf>
    <xf numFmtId="0" fontId="6" fillId="0" borderId="1" xfId="0" quotePrefix="1" applyFont="1" applyBorder="1"/>
    <xf numFmtId="0" fontId="6" fillId="0" borderId="0" xfId="0" quotePrefix="1" applyFont="1"/>
    <xf numFmtId="43" fontId="7" fillId="0" borderId="0" xfId="4" applyFont="1" applyBorder="1"/>
    <xf numFmtId="10" fontId="7" fillId="0" borderId="0" xfId="3" applyNumberFormat="1" applyFont="1" applyBorder="1"/>
    <xf numFmtId="43" fontId="0" fillId="0" borderId="0" xfId="0" applyNumberFormat="1"/>
    <xf numFmtId="43" fontId="0" fillId="0" borderId="0" xfId="4" applyFont="1" applyBorder="1"/>
    <xf numFmtId="10" fontId="0" fillId="0" borderId="0" xfId="3" applyNumberFormat="1" applyFont="1" applyBorder="1"/>
    <xf numFmtId="166" fontId="12" fillId="8" borderId="1" xfId="3" applyNumberFormat="1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vertical="center" wrapText="1"/>
    </xf>
    <xf numFmtId="0" fontId="7" fillId="0" borderId="1" xfId="0" applyFont="1" applyBorder="1" applyAlignment="1">
      <alignment horizontal="center" vertical="center" wrapText="1"/>
    </xf>
    <xf numFmtId="0" fontId="10" fillId="0" borderId="0" xfId="0" applyFont="1"/>
    <xf numFmtId="43" fontId="7" fillId="0" borderId="1" xfId="4" applyFont="1" applyBorder="1"/>
    <xf numFmtId="10" fontId="7" fillId="0" borderId="1" xfId="3" applyNumberFormat="1" applyFont="1" applyBorder="1"/>
    <xf numFmtId="43" fontId="7" fillId="0" borderId="1" xfId="0" applyNumberFormat="1" applyFont="1" applyBorder="1"/>
    <xf numFmtId="0" fontId="14" fillId="0" borderId="0" xfId="0" applyFont="1"/>
    <xf numFmtId="165" fontId="14" fillId="0" borderId="1" xfId="3" applyNumberFormat="1" applyFont="1" applyBorder="1" applyAlignment="1">
      <alignment horizontal="center"/>
    </xf>
    <xf numFmtId="165" fontId="14" fillId="0" borderId="1" xfId="3" applyNumberFormat="1" applyFont="1" applyFill="1" applyBorder="1" applyAlignment="1">
      <alignment horizontal="center"/>
    </xf>
    <xf numFmtId="166" fontId="13" fillId="6" borderId="1" xfId="3" applyNumberFormat="1" applyFont="1" applyFill="1" applyBorder="1" applyAlignment="1">
      <alignment horizontal="center" vertical="center" wrapText="1"/>
    </xf>
    <xf numFmtId="166" fontId="13" fillId="7" borderId="1" xfId="3" applyNumberFormat="1" applyFont="1" applyFill="1" applyBorder="1" applyAlignment="1">
      <alignment horizontal="center" vertical="center" wrapText="1"/>
    </xf>
    <xf numFmtId="165" fontId="0" fillId="0" borderId="0" xfId="3" applyNumberFormat="1" applyFont="1"/>
    <xf numFmtId="43" fontId="0" fillId="0" borderId="0" xfId="4" applyFont="1"/>
    <xf numFmtId="0" fontId="2" fillId="0" borderId="9" xfId="0" applyFont="1" applyBorder="1"/>
    <xf numFmtId="0" fontId="2" fillId="14" borderId="0" xfId="0" applyFont="1" applyFill="1" applyAlignment="1">
      <alignment horizontal="center"/>
    </xf>
    <xf numFmtId="0" fontId="2" fillId="14" borderId="5" xfId="0" applyFont="1" applyFill="1" applyBorder="1" applyAlignment="1">
      <alignment horizontal="left"/>
    </xf>
    <xf numFmtId="0" fontId="2" fillId="14" borderId="4" xfId="0" applyFont="1" applyFill="1" applyBorder="1" applyAlignment="1">
      <alignment horizontal="center"/>
    </xf>
    <xf numFmtId="0" fontId="2" fillId="14" borderId="8" xfId="0" applyFont="1" applyFill="1" applyBorder="1" applyAlignment="1">
      <alignment horizontal="center"/>
    </xf>
    <xf numFmtId="0" fontId="5" fillId="2" borderId="12" xfId="0" applyFont="1" applyFill="1" applyBorder="1" applyAlignment="1">
      <alignment vertical="center" wrapText="1"/>
    </xf>
    <xf numFmtId="0" fontId="6" fillId="0" borderId="12" xfId="0" quotePrefix="1" applyFont="1" applyBorder="1"/>
    <xf numFmtId="0" fontId="2" fillId="14" borderId="6" xfId="0" applyFont="1" applyFill="1" applyBorder="1" applyAlignment="1">
      <alignment horizontal="center"/>
    </xf>
    <xf numFmtId="0" fontId="2" fillId="14" borderId="3" xfId="0" applyFont="1" applyFill="1" applyBorder="1" applyAlignment="1">
      <alignment horizontal="center"/>
    </xf>
    <xf numFmtId="0" fontId="5" fillId="8" borderId="12" xfId="0" applyFont="1" applyFill="1" applyBorder="1" applyAlignment="1">
      <alignment vertical="center" wrapText="1"/>
    </xf>
    <xf numFmtId="167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15" fillId="2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14" fontId="16" fillId="0" borderId="1" xfId="0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 wrapText="1"/>
    </xf>
    <xf numFmtId="49" fontId="16" fillId="0" borderId="1" xfId="0" applyNumberFormat="1" applyFont="1" applyBorder="1" applyAlignment="1">
      <alignment horizontal="center" vertical="center"/>
    </xf>
    <xf numFmtId="167" fontId="16" fillId="0" borderId="1" xfId="0" applyNumberFormat="1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167" fontId="16" fillId="0" borderId="0" xfId="0" applyNumberFormat="1" applyFont="1" applyAlignment="1">
      <alignment horizontal="center" vertical="center" wrapText="1"/>
    </xf>
    <xf numFmtId="0" fontId="0" fillId="0" borderId="7" xfId="0" applyBorder="1"/>
    <xf numFmtId="167" fontId="16" fillId="0" borderId="12" xfId="0" applyNumberFormat="1" applyFont="1" applyBorder="1" applyAlignment="1">
      <alignment horizontal="center" vertical="center" wrapText="1"/>
    </xf>
    <xf numFmtId="0" fontId="0" fillId="14" borderId="8" xfId="0" applyFill="1" applyBorder="1"/>
    <xf numFmtId="0" fontId="0" fillId="14" borderId="10" xfId="0" applyFill="1" applyBorder="1"/>
    <xf numFmtId="0" fontId="0" fillId="14" borderId="0" xfId="0" applyFill="1"/>
    <xf numFmtId="167" fontId="0" fillId="14" borderId="0" xfId="0" applyNumberFormat="1" applyFill="1" applyAlignment="1">
      <alignment horizontal="left"/>
    </xf>
    <xf numFmtId="0" fontId="0" fillId="14" borderId="0" xfId="0" applyFill="1" applyAlignment="1">
      <alignment horizontal="left"/>
    </xf>
    <xf numFmtId="0" fontId="0" fillId="14" borderId="2" xfId="0" applyFill="1" applyBorder="1" applyAlignment="1">
      <alignment horizontal="left"/>
    </xf>
    <xf numFmtId="14" fontId="0" fillId="14" borderId="0" xfId="0" applyNumberFormat="1" applyFill="1" applyAlignment="1">
      <alignment horizontal="left"/>
    </xf>
    <xf numFmtId="14" fontId="0" fillId="14" borderId="2" xfId="0" applyNumberFormat="1" applyFill="1" applyBorder="1" applyAlignment="1">
      <alignment horizontal="left"/>
    </xf>
    <xf numFmtId="0" fontId="0" fillId="14" borderId="3" xfId="0" applyFill="1" applyBorder="1"/>
    <xf numFmtId="0" fontId="0" fillId="14" borderId="11" xfId="0" applyFill="1" applyBorder="1"/>
    <xf numFmtId="0" fontId="15" fillId="2" borderId="9" xfId="0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 wrapText="1"/>
    </xf>
    <xf numFmtId="0" fontId="17" fillId="0" borderId="14" xfId="0" applyFont="1" applyBorder="1" applyAlignment="1">
      <alignment horizontal="left" vertical="center"/>
    </xf>
    <xf numFmtId="0" fontId="16" fillId="0" borderId="0" xfId="0" applyFont="1"/>
    <xf numFmtId="0" fontId="15" fillId="5" borderId="3" xfId="0" applyFont="1" applyFill="1" applyBorder="1" applyAlignment="1">
      <alignment horizontal="left" vertical="center" wrapText="1"/>
    </xf>
    <xf numFmtId="0" fontId="18" fillId="10" borderId="7" xfId="0" applyFont="1" applyFill="1" applyBorder="1" applyAlignment="1">
      <alignment horizontal="left" vertical="center" wrapText="1"/>
    </xf>
    <xf numFmtId="10" fontId="16" fillId="10" borderId="7" xfId="3" applyNumberFormat="1" applyFont="1" applyFill="1" applyBorder="1" applyAlignment="1">
      <alignment horizontal="right" vertical="center" indent="1"/>
    </xf>
    <xf numFmtId="0" fontId="18" fillId="4" borderId="0" xfId="0" applyFont="1" applyFill="1" applyAlignment="1">
      <alignment horizontal="left" vertical="center"/>
    </xf>
    <xf numFmtId="10" fontId="16" fillId="4" borderId="0" xfId="3" applyNumberFormat="1" applyFont="1" applyFill="1" applyBorder="1" applyAlignment="1">
      <alignment horizontal="right" vertical="center" indent="1"/>
    </xf>
    <xf numFmtId="10" fontId="16" fillId="4" borderId="3" xfId="3" applyNumberFormat="1" applyFont="1" applyFill="1" applyBorder="1" applyAlignment="1">
      <alignment horizontal="right" vertical="center" indent="1"/>
    </xf>
    <xf numFmtId="0" fontId="18" fillId="4" borderId="8" xfId="0" applyFont="1" applyFill="1" applyBorder="1" applyAlignment="1">
      <alignment horizontal="left" vertical="center" wrapText="1"/>
    </xf>
    <xf numFmtId="10" fontId="16" fillId="4" borderId="8" xfId="3" applyNumberFormat="1" applyFont="1" applyFill="1" applyBorder="1" applyAlignment="1">
      <alignment horizontal="right" vertical="center" indent="1"/>
    </xf>
    <xf numFmtId="9" fontId="18" fillId="4" borderId="0" xfId="0" applyNumberFormat="1" applyFont="1" applyFill="1" applyAlignment="1">
      <alignment horizontal="left" vertical="center" wrapText="1"/>
    </xf>
    <xf numFmtId="0" fontId="19" fillId="3" borderId="7" xfId="0" applyFont="1" applyFill="1" applyBorder="1" applyAlignment="1">
      <alignment horizontal="left" vertical="center" wrapText="1"/>
    </xf>
    <xf numFmtId="10" fontId="20" fillId="3" borderId="7" xfId="3" applyNumberFormat="1" applyFont="1" applyFill="1" applyBorder="1" applyAlignment="1">
      <alignment horizontal="right" vertical="center" indent="1"/>
    </xf>
    <xf numFmtId="10" fontId="15" fillId="5" borderId="3" xfId="0" applyNumberFormat="1" applyFont="1" applyFill="1" applyBorder="1" applyAlignment="1">
      <alignment horizontal="right" vertical="center" indent="1"/>
    </xf>
    <xf numFmtId="0" fontId="18" fillId="4" borderId="0" xfId="0" applyFont="1" applyFill="1" applyAlignment="1">
      <alignment vertical="center"/>
    </xf>
    <xf numFmtId="10" fontId="16" fillId="4" borderId="0" xfId="0" applyNumberFormat="1" applyFont="1" applyFill="1" applyAlignment="1">
      <alignment horizontal="right" vertical="center" indent="1"/>
    </xf>
    <xf numFmtId="168" fontId="16" fillId="0" borderId="13" xfId="4" applyNumberFormat="1" applyFont="1" applyBorder="1" applyAlignment="1">
      <alignment vertical="center"/>
    </xf>
    <xf numFmtId="168" fontId="20" fillId="12" borderId="13" xfId="4" applyNumberFormat="1" applyFont="1" applyFill="1" applyBorder="1" applyAlignment="1">
      <alignment vertical="center"/>
    </xf>
    <xf numFmtId="168" fontId="20" fillId="12" borderId="14" xfId="4" applyNumberFormat="1" applyFont="1" applyFill="1" applyBorder="1" applyAlignment="1">
      <alignment vertical="center"/>
    </xf>
    <xf numFmtId="168" fontId="16" fillId="0" borderId="14" xfId="4" applyNumberFormat="1" applyFont="1" applyBorder="1" applyAlignment="1">
      <alignment vertical="center"/>
    </xf>
    <xf numFmtId="14" fontId="0" fillId="0" borderId="0" xfId="0" applyNumberFormat="1"/>
    <xf numFmtId="165" fontId="16" fillId="0" borderId="13" xfId="3" applyNumberFormat="1" applyFont="1" applyFill="1" applyBorder="1" applyAlignment="1">
      <alignment horizontal="right" vertical="center" indent="2"/>
    </xf>
    <xf numFmtId="0" fontId="17" fillId="0" borderId="15" xfId="0" applyFont="1" applyBorder="1" applyAlignment="1">
      <alignment horizontal="left" vertical="center"/>
    </xf>
    <xf numFmtId="168" fontId="16" fillId="0" borderId="15" xfId="4" applyNumberFormat="1" applyFont="1" applyBorder="1" applyAlignment="1">
      <alignment vertical="center"/>
    </xf>
    <xf numFmtId="168" fontId="20" fillId="12" borderId="15" xfId="4" applyNumberFormat="1" applyFont="1" applyFill="1" applyBorder="1" applyAlignment="1">
      <alignment vertical="center"/>
    </xf>
    <xf numFmtId="0" fontId="18" fillId="0" borderId="0" xfId="0" quotePrefix="1" applyFont="1" applyAlignment="1">
      <alignment horizontal="center" vertical="center"/>
    </xf>
    <xf numFmtId="10" fontId="18" fillId="0" borderId="0" xfId="0" quotePrefix="1" applyNumberFormat="1" applyFont="1" applyAlignment="1">
      <alignment horizontal="center" vertical="center"/>
    </xf>
    <xf numFmtId="171" fontId="0" fillId="0" borderId="0" xfId="4" applyNumberFormat="1" applyFont="1"/>
    <xf numFmtId="14" fontId="16" fillId="0" borderId="16" xfId="0" applyNumberFormat="1" applyFont="1" applyBorder="1" applyAlignment="1">
      <alignment horizontal="center" vertical="center"/>
    </xf>
    <xf numFmtId="0" fontId="15" fillId="5" borderId="7" xfId="0" applyFont="1" applyFill="1" applyBorder="1" applyAlignment="1">
      <alignment horizontal="left" vertical="center" wrapText="1"/>
    </xf>
    <xf numFmtId="10" fontId="15" fillId="5" borderId="7" xfId="0" applyNumberFormat="1" applyFont="1" applyFill="1" applyBorder="1" applyAlignment="1">
      <alignment horizontal="center" vertical="center"/>
    </xf>
    <xf numFmtId="10" fontId="0" fillId="0" borderId="0" xfId="3" applyNumberFormat="1" applyFont="1"/>
    <xf numFmtId="10" fontId="18" fillId="0" borderId="0" xfId="0" quotePrefix="1" applyNumberFormat="1" applyFont="1" applyAlignment="1">
      <alignment horizontal="right" vertical="center" indent="1"/>
    </xf>
    <xf numFmtId="0" fontId="0" fillId="0" borderId="0" xfId="0" applyAlignment="1">
      <alignment horizontal="center" vertical="center"/>
    </xf>
    <xf numFmtId="0" fontId="15" fillId="2" borderId="7" xfId="0" applyFont="1" applyFill="1" applyBorder="1" applyAlignment="1">
      <alignment horizontal="center" vertical="center"/>
    </xf>
    <xf numFmtId="0" fontId="0" fillId="15" borderId="0" xfId="0" applyFill="1"/>
    <xf numFmtId="0" fontId="24" fillId="0" borderId="0" xfId="0" applyFont="1"/>
    <xf numFmtId="14" fontId="2" fillId="16" borderId="0" xfId="0" applyNumberFormat="1" applyFont="1" applyFill="1"/>
    <xf numFmtId="0" fontId="25" fillId="2" borderId="1" xfId="0" applyFont="1" applyFill="1" applyBorder="1" applyAlignment="1">
      <alignment horizontal="center" vertical="center" wrapText="1"/>
    </xf>
    <xf numFmtId="0" fontId="25" fillId="2" borderId="1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10" fontId="16" fillId="0" borderId="15" xfId="3" applyNumberFormat="1" applyFont="1" applyFill="1" applyBorder="1" applyAlignment="1">
      <alignment horizontal="right" vertical="center" indent="1"/>
    </xf>
    <xf numFmtId="43" fontId="20" fillId="12" borderId="13" xfId="4" applyFont="1" applyFill="1" applyBorder="1" applyAlignment="1">
      <alignment vertical="center"/>
    </xf>
    <xf numFmtId="0" fontId="17" fillId="0" borderId="0" xfId="0" applyFont="1" applyAlignment="1">
      <alignment horizontal="left" vertical="center"/>
    </xf>
    <xf numFmtId="168" fontId="16" fillId="0" borderId="0" xfId="4" applyNumberFormat="1" applyFont="1" applyBorder="1" applyAlignment="1">
      <alignment vertical="center"/>
    </xf>
    <xf numFmtId="165" fontId="16" fillId="0" borderId="0" xfId="3" applyNumberFormat="1" applyFont="1" applyFill="1" applyBorder="1" applyAlignment="1">
      <alignment horizontal="right" vertical="center" indent="2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right" vertical="center" wrapText="1"/>
    </xf>
    <xf numFmtId="171" fontId="28" fillId="0" borderId="0" xfId="4" applyNumberFormat="1" applyFont="1"/>
    <xf numFmtId="43" fontId="28" fillId="0" borderId="0" xfId="4" applyFont="1"/>
    <xf numFmtId="0" fontId="29" fillId="0" borderId="13" xfId="0" applyFont="1" applyBorder="1" applyAlignment="1">
      <alignment horizontal="left" vertical="center"/>
    </xf>
    <xf numFmtId="168" fontId="32" fillId="12" borderId="13" xfId="4" applyNumberFormat="1" applyFont="1" applyFill="1" applyBorder="1" applyAlignment="1">
      <alignment vertical="center"/>
    </xf>
    <xf numFmtId="0" fontId="30" fillId="2" borderId="7" xfId="0" applyFont="1" applyFill="1" applyBorder="1" applyAlignment="1">
      <alignment horizontal="center" vertical="center" wrapText="1"/>
    </xf>
    <xf numFmtId="172" fontId="34" fillId="4" borderId="0" xfId="4" applyNumberFormat="1" applyFont="1" applyFill="1" applyBorder="1" applyAlignment="1">
      <alignment horizontal="right"/>
    </xf>
    <xf numFmtId="0" fontId="15" fillId="2" borderId="0" xfId="0" applyFont="1" applyFill="1" applyAlignment="1">
      <alignment horizontal="center" vertical="center" wrapText="1"/>
    </xf>
    <xf numFmtId="43" fontId="18" fillId="0" borderId="18" xfId="4" applyFont="1" applyFill="1" applyBorder="1" applyAlignment="1">
      <alignment horizontal="left"/>
    </xf>
    <xf numFmtId="0" fontId="17" fillId="0" borderId="3" xfId="0" applyFont="1" applyBorder="1" applyAlignment="1">
      <alignment horizontal="left" vertical="center"/>
    </xf>
    <xf numFmtId="168" fontId="20" fillId="11" borderId="13" xfId="4" applyNumberFormat="1" applyFont="1" applyFill="1" applyBorder="1" applyAlignment="1">
      <alignment vertical="center"/>
    </xf>
    <xf numFmtId="43" fontId="20" fillId="12" borderId="14" xfId="4" applyFont="1" applyFill="1" applyBorder="1" applyAlignment="1">
      <alignment vertical="center"/>
    </xf>
    <xf numFmtId="165" fontId="16" fillId="0" borderId="14" xfId="3" applyNumberFormat="1" applyFont="1" applyFill="1" applyBorder="1" applyAlignment="1">
      <alignment horizontal="right" vertical="center" indent="2"/>
    </xf>
    <xf numFmtId="43" fontId="16" fillId="0" borderId="0" xfId="4" applyFont="1" applyAlignment="1">
      <alignment horizontal="left"/>
    </xf>
    <xf numFmtId="0" fontId="0" fillId="0" borderId="0" xfId="0" applyAlignment="1">
      <alignment vertical="center"/>
    </xf>
    <xf numFmtId="0" fontId="1" fillId="0" borderId="0" xfId="1"/>
    <xf numFmtId="0" fontId="21" fillId="15" borderId="0" xfId="0" applyFont="1" applyFill="1"/>
    <xf numFmtId="165" fontId="16" fillId="0" borderId="15" xfId="3" applyNumberFormat="1" applyFont="1" applyFill="1" applyBorder="1" applyAlignment="1">
      <alignment horizontal="right" vertical="center" indent="2"/>
    </xf>
    <xf numFmtId="169" fontId="16" fillId="0" borderId="15" xfId="4" applyNumberFormat="1" applyFont="1" applyBorder="1" applyAlignment="1">
      <alignment vertical="center"/>
    </xf>
    <xf numFmtId="10" fontId="16" fillId="0" borderId="15" xfId="3" applyNumberFormat="1" applyFont="1" applyBorder="1" applyAlignment="1">
      <alignment horizontal="right" vertical="center" indent="2"/>
    </xf>
    <xf numFmtId="168" fontId="32" fillId="12" borderId="15" xfId="4" applyNumberFormat="1" applyFont="1" applyFill="1" applyBorder="1" applyAlignment="1">
      <alignment vertical="center"/>
    </xf>
    <xf numFmtId="10" fontId="15" fillId="5" borderId="7" xfId="0" applyNumberFormat="1" applyFont="1" applyFill="1" applyBorder="1" applyAlignment="1">
      <alignment horizontal="right" vertical="center" indent="1"/>
    </xf>
    <xf numFmtId="43" fontId="16" fillId="0" borderId="13" xfId="4" applyFont="1" applyBorder="1" applyAlignment="1">
      <alignment vertical="center"/>
    </xf>
    <xf numFmtId="0" fontId="2" fillId="15" borderId="0" xfId="0" applyFont="1" applyFill="1"/>
    <xf numFmtId="4" fontId="16" fillId="0" borderId="13" xfId="4" applyNumberFormat="1" applyFont="1" applyBorder="1" applyAlignment="1">
      <alignment vertical="center"/>
    </xf>
    <xf numFmtId="10" fontId="16" fillId="0" borderId="14" xfId="3" applyNumberFormat="1" applyFont="1" applyBorder="1" applyAlignment="1">
      <alignment horizontal="right" vertical="center" indent="2"/>
    </xf>
    <xf numFmtId="0" fontId="15" fillId="0" borderId="0" xfId="0" applyFont="1" applyAlignment="1">
      <alignment horizontal="center" vertical="center" wrapText="1"/>
    </xf>
    <xf numFmtId="171" fontId="16" fillId="0" borderId="0" xfId="4" applyNumberFormat="1" applyFont="1" applyFill="1" applyBorder="1" applyAlignment="1">
      <alignment vertical="center"/>
    </xf>
    <xf numFmtId="10" fontId="0" fillId="0" borderId="0" xfId="3" applyNumberFormat="1" applyFont="1" applyFill="1" applyBorder="1" applyAlignment="1">
      <alignment vertical="center"/>
    </xf>
    <xf numFmtId="9" fontId="36" fillId="4" borderId="0" xfId="0" applyNumberFormat="1" applyFont="1" applyFill="1" applyAlignment="1">
      <alignment horizontal="left" vertical="center" wrapText="1"/>
    </xf>
    <xf numFmtId="0" fontId="18" fillId="0" borderId="0" xfId="0" applyFont="1" applyAlignment="1">
      <alignment vertical="center"/>
    </xf>
    <xf numFmtId="10" fontId="16" fillId="0" borderId="0" xfId="0" applyNumberFormat="1" applyFont="1" applyAlignment="1">
      <alignment horizontal="right" vertical="center" indent="1"/>
    </xf>
    <xf numFmtId="171" fontId="37" fillId="0" borderId="0" xfId="4" applyNumberFormat="1" applyFont="1"/>
    <xf numFmtId="43" fontId="37" fillId="0" borderId="0" xfId="4" applyFont="1"/>
    <xf numFmtId="0" fontId="38" fillId="0" borderId="19" xfId="0" applyFont="1" applyBorder="1" applyAlignment="1">
      <alignment horizontal="right" vertical="center" wrapText="1"/>
    </xf>
    <xf numFmtId="0" fontId="38" fillId="0" borderId="20" xfId="0" applyFont="1" applyBorder="1" applyAlignment="1">
      <alignment horizontal="right" vertical="center" wrapText="1"/>
    </xf>
    <xf numFmtId="43" fontId="7" fillId="0" borderId="1" xfId="4" applyFont="1" applyFill="1" applyBorder="1"/>
    <xf numFmtId="10" fontId="16" fillId="0" borderId="13" xfId="3" applyNumberFormat="1" applyFont="1" applyFill="1" applyBorder="1" applyAlignment="1">
      <alignment horizontal="right" vertical="center" indent="2"/>
    </xf>
    <xf numFmtId="168" fontId="0" fillId="0" borderId="0" xfId="0" applyNumberFormat="1"/>
    <xf numFmtId="170" fontId="0" fillId="0" borderId="0" xfId="0" applyNumberFormat="1"/>
    <xf numFmtId="0" fontId="33" fillId="0" borderId="0" xfId="0" applyFont="1" applyAlignment="1">
      <alignment horizontal="left" vertical="center"/>
    </xf>
    <xf numFmtId="164" fontId="33" fillId="0" borderId="0" xfId="6" applyFont="1" applyFill="1" applyBorder="1" applyAlignment="1">
      <alignment horizontal="left" vertical="center"/>
    </xf>
    <xf numFmtId="10" fontId="16" fillId="0" borderId="0" xfId="3" applyNumberFormat="1" applyFont="1" applyFill="1" applyBorder="1" applyAlignment="1">
      <alignment horizontal="right" vertical="center" indent="2"/>
    </xf>
    <xf numFmtId="168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71" fontId="0" fillId="0" borderId="0" xfId="4" applyNumberFormat="1" applyFont="1" applyFill="1"/>
    <xf numFmtId="43" fontId="0" fillId="0" borderId="0" xfId="4" applyFont="1" applyFill="1"/>
    <xf numFmtId="171" fontId="107" fillId="0" borderId="0" xfId="4" applyNumberFormat="1" applyFont="1"/>
    <xf numFmtId="43" fontId="107" fillId="0" borderId="0" xfId="4" applyFont="1"/>
    <xf numFmtId="4" fontId="16" fillId="0" borderId="0" xfId="0" applyNumberFormat="1" applyFont="1"/>
    <xf numFmtId="10" fontId="16" fillId="0" borderId="13" xfId="3" applyNumberFormat="1" applyFont="1" applyFill="1" applyBorder="1" applyAlignment="1">
      <alignment horizontal="center" vertical="center"/>
    </xf>
    <xf numFmtId="10" fontId="16" fillId="0" borderId="0" xfId="0" applyNumberFormat="1" applyFont="1" applyAlignment="1">
      <alignment horizontal="center"/>
    </xf>
    <xf numFmtId="0" fontId="30" fillId="0" borderId="0" xfId="0" applyFont="1" applyAlignment="1">
      <alignment horizontal="center" vertical="center" wrapText="1"/>
    </xf>
    <xf numFmtId="10" fontId="0" fillId="0" borderId="0" xfId="3" applyNumberFormat="1" applyFont="1" applyFill="1" applyBorder="1"/>
    <xf numFmtId="10" fontId="20" fillId="0" borderId="0" xfId="3" applyNumberFormat="1" applyFont="1" applyFill="1" applyBorder="1" applyAlignment="1">
      <alignment vertical="center"/>
    </xf>
    <xf numFmtId="0" fontId="29" fillId="0" borderId="0" xfId="0" applyFont="1" applyAlignment="1">
      <alignment horizontal="left" vertical="center" wrapText="1"/>
    </xf>
    <xf numFmtId="43" fontId="29" fillId="0" borderId="0" xfId="4" applyFont="1" applyFill="1" applyBorder="1" applyAlignment="1">
      <alignment horizontal="center" vertical="center"/>
    </xf>
    <xf numFmtId="164" fontId="29" fillId="0" borderId="0" xfId="6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14" fontId="17" fillId="0" borderId="0" xfId="0" applyNumberFormat="1" applyFont="1" applyAlignment="1">
      <alignment horizontal="center" vertical="center"/>
    </xf>
    <xf numFmtId="0" fontId="29" fillId="0" borderId="0" xfId="0" applyFont="1" applyAlignment="1">
      <alignment horizontal="left" vertical="center"/>
    </xf>
    <xf numFmtId="43" fontId="29" fillId="0" borderId="0" xfId="4" applyFont="1" applyFill="1" applyBorder="1" applyAlignment="1">
      <alignment horizontal="left" vertical="center"/>
    </xf>
    <xf numFmtId="164" fontId="29" fillId="0" borderId="0" xfId="6" applyFont="1" applyFill="1" applyBorder="1" applyAlignment="1">
      <alignment horizontal="left" vertical="center"/>
    </xf>
    <xf numFmtId="0" fontId="25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/>
    </xf>
    <xf numFmtId="43" fontId="0" fillId="0" borderId="0" xfId="4" applyFont="1" applyFill="1" applyBorder="1" applyAlignment="1">
      <alignment vertical="center"/>
    </xf>
    <xf numFmtId="43" fontId="2" fillId="0" borderId="0" xfId="0" applyNumberFormat="1" applyFont="1"/>
    <xf numFmtId="10" fontId="2" fillId="0" borderId="0" xfId="3" applyNumberFormat="1" applyFont="1" applyFill="1" applyBorder="1"/>
    <xf numFmtId="0" fontId="16" fillId="0" borderId="0" xfId="0" applyFont="1" applyAlignment="1">
      <alignment horizontal="center"/>
    </xf>
    <xf numFmtId="43" fontId="16" fillId="0" borderId="0" xfId="4" applyFont="1" applyBorder="1" applyAlignment="1">
      <alignment horizontal="left"/>
    </xf>
    <xf numFmtId="0" fontId="17" fillId="0" borderId="37" xfId="0" applyFont="1" applyBorder="1" applyAlignment="1">
      <alignment horizontal="left" vertical="center"/>
    </xf>
    <xf numFmtId="168" fontId="20" fillId="12" borderId="0" xfId="4" applyNumberFormat="1" applyFont="1" applyFill="1" applyBorder="1" applyAlignment="1">
      <alignment vertical="center"/>
    </xf>
    <xf numFmtId="4" fontId="0" fillId="0" borderId="0" xfId="4" applyNumberFormat="1" applyFont="1" applyFill="1" applyBorder="1"/>
    <xf numFmtId="43" fontId="0" fillId="0" borderId="0" xfId="4" applyFont="1" applyFill="1" applyBorder="1" applyAlignment="1">
      <alignment horizontal="center"/>
    </xf>
    <xf numFmtId="37" fontId="18" fillId="4" borderId="0" xfId="359" applyNumberFormat="1" applyFont="1" applyFill="1" applyAlignment="1">
      <alignment horizontal="left"/>
    </xf>
    <xf numFmtId="168" fontId="25" fillId="69" borderId="0" xfId="0" applyNumberFormat="1" applyFont="1" applyFill="1" applyAlignment="1">
      <alignment horizontal="center"/>
    </xf>
    <xf numFmtId="168" fontId="0" fillId="0" borderId="38" xfId="0" applyNumberFormat="1" applyBorder="1" applyAlignment="1">
      <alignment horizontal="center"/>
    </xf>
    <xf numFmtId="0" fontId="15" fillId="68" borderId="40" xfId="0" applyFont="1" applyFill="1" applyBorder="1" applyAlignment="1">
      <alignment horizontal="center" vertical="center" wrapText="1"/>
    </xf>
    <xf numFmtId="164" fontId="0" fillId="0" borderId="0" xfId="0" applyNumberFormat="1"/>
    <xf numFmtId="0" fontId="108" fillId="67" borderId="23" xfId="0" applyFont="1" applyFill="1" applyBorder="1" applyAlignment="1">
      <alignment horizontal="left" vertical="center" wrapText="1"/>
    </xf>
    <xf numFmtId="0" fontId="18" fillId="0" borderId="0" xfId="0" applyFont="1" applyAlignment="1">
      <alignment horizontal="left" vertical="center"/>
    </xf>
    <xf numFmtId="2" fontId="6" fillId="0" borderId="0" xfId="0" quotePrefix="1" applyNumberFormat="1" applyFont="1"/>
    <xf numFmtId="43" fontId="16" fillId="0" borderId="0" xfId="0" applyNumberFormat="1" applyFont="1" applyAlignment="1">
      <alignment horizontal="center" vertical="center"/>
    </xf>
    <xf numFmtId="0" fontId="18" fillId="0" borderId="21" xfId="0" applyFont="1" applyBorder="1" applyAlignment="1">
      <alignment horizontal="left" vertical="center"/>
    </xf>
    <xf numFmtId="0" fontId="18" fillId="0" borderId="21" xfId="0" applyFont="1" applyBorder="1" applyAlignment="1">
      <alignment horizontal="left" vertical="center" wrapText="1"/>
    </xf>
    <xf numFmtId="14" fontId="18" fillId="0" borderId="21" xfId="6" applyNumberFormat="1" applyFont="1" applyFill="1" applyBorder="1" applyAlignment="1">
      <alignment horizontal="center" vertical="center"/>
    </xf>
    <xf numFmtId="10" fontId="16" fillId="0" borderId="3" xfId="3" applyNumberFormat="1" applyFont="1" applyFill="1" applyBorder="1" applyAlignment="1">
      <alignment horizontal="center" vertical="center"/>
    </xf>
    <xf numFmtId="0" fontId="106" fillId="0" borderId="0" xfId="0" applyFont="1" applyAlignment="1">
      <alignment horizontal="center"/>
    </xf>
    <xf numFmtId="10" fontId="0" fillId="0" borderId="0" xfId="3" applyNumberFormat="1" applyFont="1" applyFill="1" applyAlignment="1">
      <alignment horizontal="center"/>
    </xf>
    <xf numFmtId="10" fontId="0" fillId="0" borderId="0" xfId="3" applyNumberFormat="1" applyFont="1" applyAlignment="1">
      <alignment horizontal="center"/>
    </xf>
    <xf numFmtId="0" fontId="17" fillId="0" borderId="3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2" fillId="3" borderId="1" xfId="0" applyFont="1" applyFill="1" applyBorder="1"/>
    <xf numFmtId="171" fontId="109" fillId="0" borderId="0" xfId="4" applyNumberFormat="1" applyFont="1" applyFill="1"/>
    <xf numFmtId="43" fontId="109" fillId="0" borderId="0" xfId="4" applyFont="1" applyFill="1"/>
    <xf numFmtId="171" fontId="109" fillId="0" borderId="0" xfId="4" applyNumberFormat="1" applyFont="1"/>
    <xf numFmtId="43" fontId="109" fillId="0" borderId="0" xfId="4" applyFont="1"/>
    <xf numFmtId="165" fontId="0" fillId="0" borderId="0" xfId="0" applyNumberFormat="1"/>
    <xf numFmtId="43" fontId="18" fillId="0" borderId="21" xfId="4" applyFont="1" applyBorder="1" applyAlignment="1">
      <alignment horizontal="center" vertical="center"/>
    </xf>
    <xf numFmtId="164" fontId="18" fillId="0" borderId="21" xfId="6" applyFont="1" applyFill="1" applyBorder="1" applyAlignment="1">
      <alignment horizontal="center" vertical="center"/>
    </xf>
    <xf numFmtId="0" fontId="18" fillId="0" borderId="21" xfId="0" applyFont="1" applyBorder="1" applyAlignment="1">
      <alignment horizontal="center" vertical="center"/>
    </xf>
    <xf numFmtId="206" fontId="18" fillId="0" borderId="21" xfId="6" applyNumberFormat="1" applyFont="1" applyFill="1" applyBorder="1" applyAlignment="1">
      <alignment horizontal="center" vertical="center"/>
    </xf>
    <xf numFmtId="10" fontId="16" fillId="10" borderId="7" xfId="3" applyNumberFormat="1" applyFont="1" applyFill="1" applyBorder="1" applyAlignment="1">
      <alignment horizontal="center" vertical="center"/>
    </xf>
    <xf numFmtId="10" fontId="16" fillId="4" borderId="0" xfId="3" applyNumberFormat="1" applyFont="1" applyFill="1" applyBorder="1" applyAlignment="1">
      <alignment horizontal="center" vertical="center"/>
    </xf>
    <xf numFmtId="10" fontId="16" fillId="4" borderId="8" xfId="3" applyNumberFormat="1" applyFont="1" applyFill="1" applyBorder="1" applyAlignment="1">
      <alignment horizontal="center" vertical="center"/>
    </xf>
    <xf numFmtId="10" fontId="16" fillId="4" borderId="3" xfId="3" applyNumberFormat="1" applyFont="1" applyFill="1" applyBorder="1" applyAlignment="1">
      <alignment horizontal="center" vertical="center"/>
    </xf>
    <xf numFmtId="10" fontId="20" fillId="3" borderId="7" xfId="3" applyNumberFormat="1" applyFont="1" applyFill="1" applyBorder="1" applyAlignment="1">
      <alignment horizontal="center" vertical="center"/>
    </xf>
    <xf numFmtId="10" fontId="15" fillId="5" borderId="3" xfId="0" applyNumberFormat="1" applyFont="1" applyFill="1" applyBorder="1" applyAlignment="1">
      <alignment horizontal="center" vertical="center"/>
    </xf>
    <xf numFmtId="10" fontId="16" fillId="4" borderId="0" xfId="0" applyNumberFormat="1" applyFont="1" applyFill="1" applyAlignment="1">
      <alignment horizontal="center" vertical="center"/>
    </xf>
    <xf numFmtId="10" fontId="16" fillId="0" borderId="0" xfId="0" applyNumberFormat="1" applyFont="1" applyAlignment="1">
      <alignment horizontal="center" vertical="center"/>
    </xf>
    <xf numFmtId="10" fontId="0" fillId="15" borderId="0" xfId="0" applyNumberFormat="1" applyFill="1" applyAlignment="1">
      <alignment horizontal="center"/>
    </xf>
    <xf numFmtId="165" fontId="0" fillId="0" borderId="0" xfId="3" applyNumberFormat="1" applyFont="1" applyAlignment="1">
      <alignment horizontal="center"/>
    </xf>
    <xf numFmtId="0" fontId="0" fillId="0" borderId="1" xfId="0" applyBorder="1" applyAlignment="1">
      <alignment horizontal="center"/>
    </xf>
    <xf numFmtId="0" fontId="15" fillId="5" borderId="7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10" fontId="0" fillId="0" borderId="1" xfId="3" applyNumberFormat="1" applyFont="1" applyBorder="1" applyAlignment="1">
      <alignment horizontal="center"/>
    </xf>
    <xf numFmtId="0" fontId="21" fillId="0" borderId="0" xfId="0" applyFont="1"/>
    <xf numFmtId="0" fontId="2" fillId="3" borderId="12" xfId="0" applyFont="1" applyFill="1" applyBorder="1" applyAlignment="1">
      <alignment horizontal="center"/>
    </xf>
    <xf numFmtId="10" fontId="0" fillId="0" borderId="12" xfId="3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10" fontId="0" fillId="0" borderId="0" xfId="3" applyNumberFormat="1" applyFont="1" applyFill="1" applyBorder="1" applyAlignment="1">
      <alignment horizontal="center"/>
    </xf>
    <xf numFmtId="171" fontId="110" fillId="0" borderId="0" xfId="4" applyNumberFormat="1" applyFont="1" applyFill="1"/>
    <xf numFmtId="43" fontId="110" fillId="0" borderId="0" xfId="4" applyFont="1" applyFill="1"/>
    <xf numFmtId="207" fontId="0" fillId="0" borderId="0" xfId="0" applyNumberFormat="1"/>
    <xf numFmtId="0" fontId="111" fillId="70" borderId="12" xfId="0" applyFont="1" applyFill="1" applyBorder="1" applyAlignment="1">
      <alignment vertical="center"/>
    </xf>
    <xf numFmtId="0" fontId="112" fillId="13" borderId="41" xfId="4" applyNumberFormat="1" applyFont="1" applyFill="1" applyBorder="1" applyAlignment="1">
      <alignment horizontal="right"/>
    </xf>
    <xf numFmtId="0" fontId="111" fillId="70" borderId="42" xfId="0" applyFont="1" applyFill="1" applyBorder="1" applyAlignment="1">
      <alignment vertical="center"/>
    </xf>
    <xf numFmtId="0" fontId="0" fillId="0" borderId="43" xfId="0" applyBorder="1"/>
    <xf numFmtId="0" fontId="111" fillId="70" borderId="44" xfId="0" applyFont="1" applyFill="1" applyBorder="1" applyAlignment="1">
      <alignment vertical="center"/>
    </xf>
    <xf numFmtId="0" fontId="112" fillId="71" borderId="0" xfId="5" applyFont="1" applyFill="1"/>
    <xf numFmtId="14" fontId="112" fillId="71" borderId="0" xfId="5" applyNumberFormat="1" applyFont="1" applyFill="1"/>
    <xf numFmtId="0" fontId="113" fillId="71" borderId="0" xfId="0" applyFont="1" applyFill="1"/>
    <xf numFmtId="22" fontId="0" fillId="0" borderId="43" xfId="0" applyNumberFormat="1" applyBorder="1"/>
    <xf numFmtId="208" fontId="113" fillId="71" borderId="0" xfId="0" applyNumberFormat="1" applyFont="1" applyFill="1"/>
    <xf numFmtId="43" fontId="16" fillId="0" borderId="14" xfId="4" applyFont="1" applyBorder="1" applyAlignment="1">
      <alignment vertical="center"/>
    </xf>
    <xf numFmtId="0" fontId="115" fillId="0" borderId="0" xfId="0" applyFont="1"/>
    <xf numFmtId="169" fontId="16" fillId="0" borderId="14" xfId="4" applyNumberFormat="1" applyFont="1" applyBorder="1" applyAlignment="1">
      <alignment vertical="center"/>
    </xf>
    <xf numFmtId="169" fontId="16" fillId="0" borderId="45" xfId="4" applyNumberFormat="1" applyFont="1" applyBorder="1" applyAlignment="1">
      <alignment vertical="center"/>
    </xf>
    <xf numFmtId="169" fontId="16" fillId="0" borderId="46" xfId="4" applyNumberFormat="1" applyFont="1" applyBorder="1" applyAlignment="1">
      <alignment vertical="center"/>
    </xf>
    <xf numFmtId="168" fontId="20" fillId="12" borderId="45" xfId="4" applyNumberFormat="1" applyFont="1" applyFill="1" applyBorder="1" applyAlignment="1">
      <alignment vertical="center"/>
    </xf>
    <xf numFmtId="168" fontId="20" fillId="12" borderId="46" xfId="4" applyNumberFormat="1" applyFont="1" applyFill="1" applyBorder="1" applyAlignment="1">
      <alignment vertical="center"/>
    </xf>
    <xf numFmtId="168" fontId="16" fillId="0" borderId="45" xfId="4" applyNumberFormat="1" applyFont="1" applyBorder="1" applyAlignment="1">
      <alignment vertical="center"/>
    </xf>
    <xf numFmtId="168" fontId="16" fillId="0" borderId="46" xfId="4" applyNumberFormat="1" applyFont="1" applyBorder="1" applyAlignment="1">
      <alignment vertical="center"/>
    </xf>
    <xf numFmtId="168" fontId="20" fillId="12" borderId="41" xfId="4" applyNumberFormat="1" applyFont="1" applyFill="1" applyBorder="1" applyAlignment="1">
      <alignment vertical="center"/>
    </xf>
    <xf numFmtId="0" fontId="29" fillId="0" borderId="15" xfId="0" applyFont="1" applyBorder="1" applyAlignment="1">
      <alignment horizontal="right" vertical="center"/>
    </xf>
    <xf numFmtId="0" fontId="29" fillId="0" borderId="45" xfId="0" applyFont="1" applyBorder="1" applyAlignment="1">
      <alignment horizontal="left" vertical="center"/>
    </xf>
    <xf numFmtId="0" fontId="29" fillId="0" borderId="45" xfId="0" applyFont="1" applyBorder="1" applyAlignment="1">
      <alignment horizontal="right" vertical="center"/>
    </xf>
    <xf numFmtId="209" fontId="18" fillId="0" borderId="0" xfId="0" applyNumberFormat="1" applyFont="1" applyAlignment="1">
      <alignment horizontal="right" vertical="center"/>
    </xf>
    <xf numFmtId="0" fontId="116" fillId="0" borderId="0" xfId="0" applyFont="1" applyAlignment="1">
      <alignment horizontal="left"/>
    </xf>
    <xf numFmtId="209" fontId="18" fillId="15" borderId="0" xfId="0" applyNumberFormat="1" applyFont="1" applyFill="1" applyAlignment="1">
      <alignment horizontal="right" vertical="center"/>
    </xf>
    <xf numFmtId="10" fontId="15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left" vertical="center" wrapText="1"/>
    </xf>
    <xf numFmtId="10" fontId="16" fillId="0" borderId="0" xfId="3" applyNumberFormat="1" applyFont="1" applyFill="1" applyBorder="1" applyAlignment="1">
      <alignment horizontal="right" vertical="center" indent="1"/>
    </xf>
    <xf numFmtId="2" fontId="0" fillId="0" borderId="0" xfId="0" applyNumberFormat="1" applyAlignment="1">
      <alignment horizontal="right"/>
    </xf>
    <xf numFmtId="10" fontId="0" fillId="15" borderId="0" xfId="0" applyNumberFormat="1" applyFill="1"/>
    <xf numFmtId="209" fontId="16" fillId="4" borderId="0" xfId="0" applyNumberFormat="1" applyFont="1" applyFill="1" applyAlignment="1">
      <alignment horizontal="right" vertical="center" indent="1"/>
    </xf>
    <xf numFmtId="2" fontId="0" fillId="0" borderId="0" xfId="0" applyNumberFormat="1"/>
    <xf numFmtId="1" fontId="0" fillId="0" borderId="0" xfId="3" applyNumberFormat="1" applyFont="1"/>
    <xf numFmtId="1" fontId="0" fillId="0" borderId="0" xfId="0" applyNumberFormat="1"/>
    <xf numFmtId="43" fontId="34" fillId="0" borderId="0" xfId="4" applyFont="1" applyFill="1" applyBorder="1"/>
    <xf numFmtId="43" fontId="16" fillId="0" borderId="0" xfId="4" applyFont="1" applyFill="1" applyBorder="1" applyAlignment="1">
      <alignment horizontal="left"/>
    </xf>
    <xf numFmtId="0" fontId="0" fillId="0" borderId="0" xfId="0" applyAlignment="1">
      <alignment horizontal="right"/>
    </xf>
    <xf numFmtId="0" fontId="26" fillId="0" borderId="0" xfId="0" applyFont="1" applyAlignment="1">
      <alignment horizontal="left" vertical="center"/>
    </xf>
    <xf numFmtId="168" fontId="0" fillId="0" borderId="0" xfId="4" applyNumberFormat="1" applyFont="1" applyBorder="1" applyAlignment="1">
      <alignment vertical="center"/>
    </xf>
    <xf numFmtId="10" fontId="0" fillId="0" borderId="0" xfId="3" applyNumberFormat="1" applyFont="1" applyBorder="1" applyAlignment="1">
      <alignment vertical="center"/>
    </xf>
    <xf numFmtId="0" fontId="6" fillId="0" borderId="43" xfId="0" quotePrefix="1" applyFont="1" applyBorder="1"/>
    <xf numFmtId="43" fontId="7" fillId="0" borderId="43" xfId="4" applyFont="1" applyFill="1" applyBorder="1"/>
    <xf numFmtId="10" fontId="7" fillId="0" borderId="43" xfId="3" applyNumberFormat="1" applyFont="1" applyBorder="1"/>
    <xf numFmtId="43" fontId="7" fillId="0" borderId="43" xfId="0" applyNumberFormat="1" applyFont="1" applyBorder="1"/>
    <xf numFmtId="43" fontId="7" fillId="0" borderId="43" xfId="4" applyFont="1" applyBorder="1"/>
    <xf numFmtId="0" fontId="7" fillId="0" borderId="43" xfId="0" applyFont="1" applyBorder="1" applyAlignment="1">
      <alignment horizontal="center" vertical="center" wrapText="1"/>
    </xf>
    <xf numFmtId="0" fontId="9" fillId="15" borderId="0" xfId="0" applyFont="1" applyFill="1"/>
    <xf numFmtId="0" fontId="2" fillId="15" borderId="0" xfId="0" applyFont="1" applyFill="1" applyAlignment="1">
      <alignment horizontal="left"/>
    </xf>
    <xf numFmtId="0" fontId="9" fillId="15" borderId="5" xfId="0" applyFont="1" applyFill="1" applyBorder="1"/>
    <xf numFmtId="0" fontId="17" fillId="0" borderId="44" xfId="0" applyFont="1" applyBorder="1" applyAlignment="1">
      <alignment horizontal="center" vertical="center"/>
    </xf>
    <xf numFmtId="43" fontId="16" fillId="0" borderId="13" xfId="4" applyFont="1" applyFill="1" applyBorder="1" applyAlignment="1">
      <alignment vertical="center"/>
    </xf>
    <xf numFmtId="43" fontId="16" fillId="0" borderId="14" xfId="4" applyFont="1" applyFill="1" applyBorder="1" applyAlignment="1">
      <alignment vertical="center"/>
    </xf>
    <xf numFmtId="14" fontId="9" fillId="0" borderId="0" xfId="0" applyNumberFormat="1" applyFont="1"/>
    <xf numFmtId="0" fontId="0" fillId="13" borderId="0" xfId="0" applyFill="1" applyAlignment="1">
      <alignment wrapText="1"/>
    </xf>
    <xf numFmtId="0" fontId="0" fillId="13" borderId="0" xfId="0" applyFill="1"/>
    <xf numFmtId="164" fontId="0" fillId="0" borderId="0" xfId="6" applyFont="1" applyFill="1"/>
    <xf numFmtId="1" fontId="0" fillId="0" borderId="0" xfId="6" applyNumberFormat="1" applyFont="1"/>
    <xf numFmtId="1" fontId="0" fillId="0" borderId="0" xfId="0" applyNumberFormat="1" applyAlignment="1">
      <alignment horizontal="center"/>
    </xf>
    <xf numFmtId="10" fontId="0" fillId="0" borderId="43" xfId="3" applyNumberFormat="1" applyFont="1" applyBorder="1" applyAlignment="1">
      <alignment horizontal="center"/>
    </xf>
    <xf numFmtId="4" fontId="16" fillId="0" borderId="13" xfId="4" applyNumberFormat="1" applyFont="1" applyFill="1" applyBorder="1" applyAlignment="1">
      <alignment vertical="center"/>
    </xf>
    <xf numFmtId="0" fontId="0" fillId="0" borderId="9" xfId="0" applyBorder="1"/>
    <xf numFmtId="0" fontId="0" fillId="0" borderId="47" xfId="0" applyBorder="1"/>
    <xf numFmtId="0" fontId="0" fillId="0" borderId="6" xfId="0" applyBorder="1"/>
    <xf numFmtId="0" fontId="18" fillId="0" borderId="0" xfId="0" quotePrefix="1" applyFont="1" applyAlignment="1">
      <alignment horizontal="left" vertical="center"/>
    </xf>
    <xf numFmtId="2" fontId="18" fillId="0" borderId="0" xfId="0" quotePrefix="1" applyNumberFormat="1" applyFont="1" applyAlignment="1">
      <alignment horizontal="center" vertical="center"/>
    </xf>
    <xf numFmtId="1" fontId="115" fillId="0" borderId="43" xfId="0" applyNumberFormat="1" applyFont="1" applyBorder="1" applyAlignment="1">
      <alignment horizontal="right"/>
    </xf>
    <xf numFmtId="14" fontId="16" fillId="0" borderId="18" xfId="0" applyNumberFormat="1" applyFont="1" applyBorder="1" applyAlignment="1">
      <alignment horizontal="center" vertical="center"/>
    </xf>
    <xf numFmtId="0" fontId="115" fillId="0" borderId="43" xfId="0" applyFont="1" applyBorder="1" applyAlignment="1">
      <alignment horizontal="right"/>
    </xf>
    <xf numFmtId="0" fontId="16" fillId="13" borderId="43" xfId="0" applyFont="1" applyFill="1" applyBorder="1"/>
    <xf numFmtId="0" fontId="0" fillId="13" borderId="43" xfId="0" applyFill="1" applyBorder="1"/>
    <xf numFmtId="43" fontId="16" fillId="0" borderId="15" xfId="4" applyFont="1" applyBorder="1" applyAlignment="1">
      <alignment vertical="center"/>
    </xf>
    <xf numFmtId="10" fontId="16" fillId="0" borderId="15" xfId="3" applyNumberFormat="1" applyFont="1" applyFill="1" applyBorder="1" applyAlignment="1">
      <alignment horizontal="right" vertical="center" indent="2"/>
    </xf>
    <xf numFmtId="43" fontId="16" fillId="0" borderId="0" xfId="4" applyFont="1" applyFill="1" applyBorder="1" applyAlignment="1">
      <alignment vertical="center"/>
    </xf>
    <xf numFmtId="0" fontId="119" fillId="0" borderId="0" xfId="0" applyFont="1"/>
    <xf numFmtId="10" fontId="16" fillId="0" borderId="46" xfId="3" applyNumberFormat="1" applyFont="1" applyBorder="1" applyAlignment="1">
      <alignment horizontal="right" vertical="center" indent="2"/>
    </xf>
    <xf numFmtId="0" fontId="29" fillId="0" borderId="14" xfId="0" applyFont="1" applyBorder="1" applyAlignment="1">
      <alignment horizontal="left" vertical="center"/>
    </xf>
    <xf numFmtId="10" fontId="0" fillId="0" borderId="0" xfId="4" applyNumberFormat="1" applyFont="1"/>
    <xf numFmtId="0" fontId="15" fillId="2" borderId="44" xfId="0" applyFont="1" applyFill="1" applyBorder="1" applyAlignment="1">
      <alignment horizontal="center" vertical="center" wrapText="1"/>
    </xf>
    <xf numFmtId="43" fontId="0" fillId="15" borderId="0" xfId="4" applyFont="1" applyFill="1"/>
    <xf numFmtId="9" fontId="0" fillId="0" borderId="0" xfId="0" applyNumberFormat="1"/>
    <xf numFmtId="4" fontId="16" fillId="0" borderId="14" xfId="4" applyNumberFormat="1" applyFont="1" applyBorder="1" applyAlignment="1">
      <alignment vertical="center"/>
    </xf>
    <xf numFmtId="0" fontId="0" fillId="66" borderId="0" xfId="0" applyFill="1"/>
    <xf numFmtId="0" fontId="0" fillId="11" borderId="0" xfId="0" applyFill="1"/>
    <xf numFmtId="0" fontId="6" fillId="11" borderId="1" xfId="0" quotePrefix="1" applyFont="1" applyFill="1" applyBorder="1"/>
    <xf numFmtId="0" fontId="35" fillId="0" borderId="0" xfId="0" applyFont="1" applyAlignment="1">
      <alignment horizontal="left"/>
    </xf>
    <xf numFmtId="43" fontId="29" fillId="0" borderId="15" xfId="4" applyFont="1" applyBorder="1" applyAlignment="1">
      <alignment horizontal="right" vertical="center"/>
    </xf>
    <xf numFmtId="43" fontId="31" fillId="0" borderId="15" xfId="4" applyFont="1" applyBorder="1" applyAlignment="1">
      <alignment vertical="center"/>
    </xf>
    <xf numFmtId="43" fontId="31" fillId="0" borderId="13" xfId="4" applyFont="1" applyBorder="1" applyAlignment="1">
      <alignment vertical="center"/>
    </xf>
    <xf numFmtId="43" fontId="32" fillId="12" borderId="13" xfId="4" applyFont="1" applyFill="1" applyBorder="1" applyAlignment="1">
      <alignment vertical="center"/>
    </xf>
    <xf numFmtId="43" fontId="29" fillId="0" borderId="14" xfId="4" applyFont="1" applyBorder="1" applyAlignment="1">
      <alignment horizontal="right" vertical="center"/>
    </xf>
    <xf numFmtId="43" fontId="31" fillId="0" borderId="14" xfId="4" applyFont="1" applyBorder="1" applyAlignment="1">
      <alignment vertical="center"/>
    </xf>
    <xf numFmtId="43" fontId="32" fillId="12" borderId="14" xfId="4" applyFont="1" applyFill="1" applyBorder="1" applyAlignment="1">
      <alignment vertical="center"/>
    </xf>
    <xf numFmtId="43" fontId="29" fillId="0" borderId="46" xfId="4" applyFont="1" applyBorder="1" applyAlignment="1">
      <alignment horizontal="right" vertical="center"/>
    </xf>
    <xf numFmtId="43" fontId="31" fillId="0" borderId="46" xfId="4" applyFont="1" applyBorder="1" applyAlignment="1">
      <alignment vertical="center"/>
    </xf>
    <xf numFmtId="43" fontId="20" fillId="12" borderId="46" xfId="4" applyFont="1" applyFill="1" applyBorder="1" applyAlignment="1">
      <alignment vertical="center"/>
    </xf>
    <xf numFmtId="0" fontId="18" fillId="10" borderId="0" xfId="0" applyFont="1" applyFill="1" applyAlignment="1">
      <alignment horizontal="left" vertical="center" wrapText="1"/>
    </xf>
    <xf numFmtId="0" fontId="18" fillId="4" borderId="0" xfId="0" applyFont="1" applyFill="1" applyAlignment="1">
      <alignment vertical="center" wrapText="1"/>
    </xf>
    <xf numFmtId="10" fontId="16" fillId="0" borderId="0" xfId="3" applyNumberFormat="1" applyFont="1" applyAlignment="1">
      <alignment horizontal="right" vertical="center" indent="1"/>
    </xf>
    <xf numFmtId="10" fontId="16" fillId="4" borderId="0" xfId="3" applyNumberFormat="1" applyFont="1" applyFill="1" applyAlignment="1">
      <alignment horizontal="center" vertical="center"/>
    </xf>
    <xf numFmtId="10" fontId="16" fillId="4" borderId="0" xfId="3" applyNumberFormat="1" applyFont="1" applyFill="1" applyAlignment="1">
      <alignment horizontal="right" vertical="center" indent="1"/>
    </xf>
    <xf numFmtId="10" fontId="16" fillId="0" borderId="0" xfId="3" applyNumberFormat="1" applyFont="1" applyAlignment="1">
      <alignment horizontal="center" vertical="center"/>
    </xf>
    <xf numFmtId="10" fontId="15" fillId="5" borderId="7" xfId="3" applyNumberFormat="1" applyFont="1" applyFill="1" applyBorder="1" applyAlignment="1">
      <alignment horizontal="center" vertical="center"/>
    </xf>
    <xf numFmtId="10" fontId="15" fillId="5" borderId="7" xfId="3" applyNumberFormat="1" applyFont="1" applyFill="1" applyBorder="1" applyAlignment="1">
      <alignment horizontal="right" vertical="center" indent="1"/>
    </xf>
    <xf numFmtId="0" fontId="15" fillId="8" borderId="7" xfId="0" applyFont="1" applyFill="1" applyBorder="1" applyAlignment="1">
      <alignment horizontal="center" vertical="center" wrapText="1"/>
    </xf>
    <xf numFmtId="10" fontId="15" fillId="8" borderId="7" xfId="0" applyNumberFormat="1" applyFont="1" applyFill="1" applyBorder="1" applyAlignment="1">
      <alignment horizontal="center" vertical="center"/>
    </xf>
    <xf numFmtId="10" fontId="16" fillId="0" borderId="0" xfId="3" applyNumberFormat="1" applyFont="1" applyFill="1" applyAlignment="1">
      <alignment horizontal="center" vertical="center"/>
    </xf>
    <xf numFmtId="0" fontId="121" fillId="72" borderId="44" xfId="0" applyFont="1" applyFill="1" applyBorder="1" applyAlignment="1">
      <alignment horizontal="center" vertical="center" wrapText="1"/>
    </xf>
    <xf numFmtId="0" fontId="122" fillId="0" borderId="48" xfId="0" applyFont="1" applyBorder="1" applyAlignment="1">
      <alignment horizontal="left" vertical="center"/>
    </xf>
    <xf numFmtId="43" fontId="120" fillId="0" borderId="0" xfId="0" applyNumberFormat="1" applyFont="1"/>
    <xf numFmtId="168" fontId="123" fillId="73" borderId="48" xfId="4" applyNumberFormat="1" applyFont="1" applyFill="1" applyBorder="1" applyAlignment="1">
      <alignment vertical="center"/>
    </xf>
    <xf numFmtId="0" fontId="122" fillId="0" borderId="49" xfId="0" applyFont="1" applyBorder="1" applyAlignment="1">
      <alignment horizontal="left" vertical="center"/>
    </xf>
    <xf numFmtId="171" fontId="120" fillId="0" borderId="0" xfId="0" applyNumberFormat="1" applyFont="1"/>
    <xf numFmtId="0" fontId="122" fillId="0" borderId="50" xfId="0" applyFont="1" applyBorder="1" applyAlignment="1">
      <alignment horizontal="left" vertical="center"/>
    </xf>
    <xf numFmtId="0" fontId="15" fillId="2" borderId="51" xfId="0" applyFont="1" applyFill="1" applyBorder="1" applyAlignment="1">
      <alignment horizontal="center" vertical="center" wrapText="1"/>
    </xf>
    <xf numFmtId="0" fontId="15" fillId="2" borderId="52" xfId="0" applyFont="1" applyFill="1" applyBorder="1" applyAlignment="1">
      <alignment horizontal="center" vertical="center" wrapText="1"/>
    </xf>
    <xf numFmtId="0" fontId="15" fillId="2" borderId="53" xfId="0" applyFont="1" applyFill="1" applyBorder="1" applyAlignment="1">
      <alignment horizontal="center" vertical="center" wrapText="1"/>
    </xf>
    <xf numFmtId="0" fontId="18" fillId="0" borderId="54" xfId="0" quotePrefix="1" applyFont="1" applyBorder="1" applyAlignment="1">
      <alignment horizontal="left" vertical="center"/>
    </xf>
    <xf numFmtId="0" fontId="18" fillId="0" borderId="55" xfId="0" quotePrefix="1" applyFont="1" applyBorder="1" applyAlignment="1">
      <alignment horizontal="center" vertical="center"/>
    </xf>
    <xf numFmtId="0" fontId="18" fillId="0" borderId="54" xfId="0" quotePrefix="1" applyFont="1" applyBorder="1" applyAlignment="1">
      <alignment vertical="center"/>
    </xf>
    <xf numFmtId="0" fontId="18" fillId="0" borderId="56" xfId="0" quotePrefix="1" applyFont="1" applyBorder="1" applyAlignment="1">
      <alignment horizontal="left" vertical="center"/>
    </xf>
    <xf numFmtId="0" fontId="18" fillId="0" borderId="57" xfId="0" quotePrefix="1" applyFont="1" applyBorder="1" applyAlignment="1">
      <alignment horizontal="center" vertical="center"/>
    </xf>
    <xf numFmtId="10" fontId="18" fillId="0" borderId="57" xfId="0" quotePrefix="1" applyNumberFormat="1" applyFont="1" applyBorder="1" applyAlignment="1">
      <alignment horizontal="center" vertical="center"/>
    </xf>
    <xf numFmtId="2" fontId="18" fillId="0" borderId="57" xfId="0" quotePrefix="1" applyNumberFormat="1" applyFont="1" applyBorder="1" applyAlignment="1">
      <alignment horizontal="center" vertical="center"/>
    </xf>
    <xf numFmtId="43" fontId="2" fillId="0" borderId="0" xfId="4" applyFont="1"/>
    <xf numFmtId="22" fontId="2" fillId="0" borderId="0" xfId="0" applyNumberFormat="1" applyFont="1"/>
    <xf numFmtId="2" fontId="18" fillId="0" borderId="58" xfId="0" quotePrefix="1" applyNumberFormat="1" applyFont="1" applyBorder="1" applyAlignment="1">
      <alignment horizontal="center" vertical="center"/>
    </xf>
    <xf numFmtId="10" fontId="16" fillId="0" borderId="0" xfId="3" applyNumberFormat="1" applyFont="1" applyFill="1" applyBorder="1" applyAlignment="1">
      <alignment horizontal="center" vertical="center"/>
    </xf>
    <xf numFmtId="10" fontId="18" fillId="0" borderId="0" xfId="3" applyNumberFormat="1" applyFont="1" applyFill="1" applyAlignment="1">
      <alignment horizontal="center" vertical="center"/>
    </xf>
    <xf numFmtId="0" fontId="21" fillId="0" borderId="0" xfId="0" applyFont="1" applyAlignment="1">
      <alignment horizontal="center" vertical="top" wrapText="1"/>
    </xf>
    <xf numFmtId="0" fontId="0" fillId="0" borderId="0" xfId="0" applyAlignment="1">
      <alignment horizontal="center" wrapText="1"/>
    </xf>
    <xf numFmtId="210" fontId="0" fillId="0" borderId="0" xfId="3" applyNumberFormat="1" applyFont="1"/>
    <xf numFmtId="0" fontId="18" fillId="0" borderId="58" xfId="0" quotePrefix="1" applyFont="1" applyBorder="1" applyAlignment="1">
      <alignment horizontal="center" vertical="center"/>
    </xf>
    <xf numFmtId="211" fontId="0" fillId="0" borderId="38" xfId="0" applyNumberFormat="1" applyBorder="1" applyAlignment="1">
      <alignment horizontal="center"/>
    </xf>
    <xf numFmtId="211" fontId="25" fillId="69" borderId="38" xfId="4" applyNumberFormat="1" applyFont="1" applyFill="1" applyBorder="1" applyAlignment="1">
      <alignment horizontal="center"/>
    </xf>
    <xf numFmtId="211" fontId="25" fillId="69" borderId="39" xfId="4" applyNumberFormat="1" applyFont="1" applyFill="1" applyBorder="1" applyAlignment="1">
      <alignment horizontal="center"/>
    </xf>
    <xf numFmtId="211" fontId="25" fillId="69" borderId="0" xfId="4" applyNumberFormat="1" applyFont="1" applyFill="1" applyAlignment="1">
      <alignment horizontal="center"/>
    </xf>
    <xf numFmtId="0" fontId="15" fillId="2" borderId="43" xfId="0" applyFont="1" applyFill="1" applyBorder="1" applyAlignment="1">
      <alignment horizontal="center" vertical="center"/>
    </xf>
    <xf numFmtId="0" fontId="16" fillId="0" borderId="43" xfId="0" applyFont="1" applyBorder="1" applyAlignment="1">
      <alignment horizontal="center" vertical="center" wrapText="1"/>
    </xf>
    <xf numFmtId="0" fontId="21" fillId="74" borderId="0" xfId="0" applyFont="1" applyFill="1"/>
    <xf numFmtId="0" fontId="18" fillId="0" borderId="59" xfId="0" quotePrefix="1" applyFont="1" applyBorder="1" applyAlignment="1">
      <alignment horizontal="left" vertical="center"/>
    </xf>
    <xf numFmtId="0" fontId="18" fillId="0" borderId="46" xfId="0" quotePrefix="1" applyFont="1" applyBorder="1" applyAlignment="1">
      <alignment horizontal="center" vertical="center"/>
    </xf>
    <xf numFmtId="10" fontId="18" fillId="0" borderId="46" xfId="0" quotePrefix="1" applyNumberFormat="1" applyFont="1" applyBorder="1" applyAlignment="1">
      <alignment horizontal="center" vertical="center"/>
    </xf>
    <xf numFmtId="2" fontId="18" fillId="0" borderId="46" xfId="0" quotePrefix="1" applyNumberFormat="1" applyFont="1" applyBorder="1" applyAlignment="1">
      <alignment horizontal="center" vertical="center"/>
    </xf>
    <xf numFmtId="0" fontId="18" fillId="0" borderId="60" xfId="0" quotePrefix="1" applyFont="1" applyBorder="1" applyAlignment="1">
      <alignment horizontal="center" vertical="center"/>
    </xf>
    <xf numFmtId="4" fontId="0" fillId="0" borderId="0" xfId="0" applyNumberFormat="1"/>
    <xf numFmtId="0" fontId="18" fillId="0" borderId="46" xfId="0" applyFont="1" applyBorder="1" applyAlignment="1">
      <alignment vertical="center"/>
    </xf>
    <xf numFmtId="0" fontId="15" fillId="2" borderId="41" xfId="0" applyFont="1" applyFill="1" applyBorder="1" applyAlignment="1">
      <alignment horizontal="center" vertical="center" wrapText="1"/>
    </xf>
    <xf numFmtId="0" fontId="17" fillId="0" borderId="61" xfId="0" applyFont="1" applyBorder="1" applyAlignment="1">
      <alignment horizontal="left" vertical="center"/>
    </xf>
    <xf numFmtId="169" fontId="16" fillId="0" borderId="62" xfId="4" applyNumberFormat="1" applyFont="1" applyBorder="1" applyAlignment="1">
      <alignment vertical="center"/>
    </xf>
    <xf numFmtId="168" fontId="20" fillId="12" borderId="62" xfId="4" applyNumberFormat="1" applyFont="1" applyFill="1" applyBorder="1" applyAlignment="1">
      <alignment vertical="center"/>
    </xf>
    <xf numFmtId="43" fontId="0" fillId="0" borderId="62" xfId="4" applyFont="1" applyBorder="1"/>
    <xf numFmtId="43" fontId="0" fillId="0" borderId="63" xfId="0" applyNumberFormat="1" applyBorder="1"/>
    <xf numFmtId="0" fontId="17" fillId="0" borderId="64" xfId="0" applyFont="1" applyBorder="1" applyAlignment="1">
      <alignment horizontal="left" vertical="center"/>
    </xf>
    <xf numFmtId="169" fontId="16" fillId="0" borderId="65" xfId="4" applyNumberFormat="1" applyFont="1" applyBorder="1" applyAlignment="1">
      <alignment vertical="center"/>
    </xf>
    <xf numFmtId="168" fontId="20" fillId="12" borderId="65" xfId="4" applyNumberFormat="1" applyFont="1" applyFill="1" applyBorder="1" applyAlignment="1">
      <alignment vertical="center"/>
    </xf>
    <xf numFmtId="43" fontId="0" fillId="0" borderId="65" xfId="4" applyFont="1" applyBorder="1"/>
    <xf numFmtId="43" fontId="0" fillId="0" borderId="66" xfId="0" applyNumberFormat="1" applyBorder="1"/>
    <xf numFmtId="43" fontId="0" fillId="15" borderId="66" xfId="0" applyNumberFormat="1" applyFill="1" applyBorder="1"/>
    <xf numFmtId="0" fontId="17" fillId="0" borderId="67" xfId="0" applyFont="1" applyBorder="1" applyAlignment="1">
      <alignment horizontal="left" vertical="center"/>
    </xf>
    <xf numFmtId="169" fontId="16" fillId="0" borderId="68" xfId="4" applyNumberFormat="1" applyFont="1" applyBorder="1" applyAlignment="1">
      <alignment vertical="center"/>
    </xf>
    <xf numFmtId="168" fontId="20" fillId="12" borderId="68" xfId="4" applyNumberFormat="1" applyFont="1" applyFill="1" applyBorder="1" applyAlignment="1">
      <alignment vertical="center"/>
    </xf>
    <xf numFmtId="43" fontId="0" fillId="0" borderId="68" xfId="4" applyFont="1" applyBorder="1"/>
    <xf numFmtId="43" fontId="0" fillId="0" borderId="69" xfId="0" applyNumberFormat="1" applyBorder="1"/>
    <xf numFmtId="0" fontId="108" fillId="67" borderId="41" xfId="0" applyFont="1" applyFill="1" applyBorder="1" applyAlignment="1">
      <alignment horizontal="left" vertical="center" wrapText="1"/>
    </xf>
    <xf numFmtId="0" fontId="108" fillId="67" borderId="0" xfId="0" applyFont="1" applyFill="1" applyAlignment="1">
      <alignment horizontal="left" vertical="center" wrapText="1"/>
    </xf>
    <xf numFmtId="211" fontId="0" fillId="0" borderId="64" xfId="0" applyNumberFormat="1" applyBorder="1" applyAlignment="1">
      <alignment horizontal="center"/>
    </xf>
    <xf numFmtId="211" fontId="0" fillId="0" borderId="65" xfId="0" applyNumberFormat="1" applyBorder="1" applyAlignment="1">
      <alignment horizontal="center"/>
    </xf>
    <xf numFmtId="43" fontId="15" fillId="0" borderId="0" xfId="4" applyFont="1" applyAlignment="1">
      <alignment horizontal="center" vertical="center" wrapText="1"/>
    </xf>
    <xf numFmtId="43" fontId="29" fillId="0" borderId="45" xfId="4" applyFont="1" applyBorder="1" applyAlignment="1">
      <alignment horizontal="right" vertical="center"/>
    </xf>
    <xf numFmtId="43" fontId="31" fillId="0" borderId="45" xfId="4" applyFont="1" applyBorder="1" applyAlignment="1">
      <alignment vertical="center"/>
    </xf>
    <xf numFmtId="172" fontId="0" fillId="0" borderId="61" xfId="0" applyNumberFormat="1" applyBorder="1" applyAlignment="1">
      <alignment horizontal="center"/>
    </xf>
    <xf numFmtId="172" fontId="0" fillId="0" borderId="62" xfId="0" applyNumberFormat="1" applyBorder="1" applyAlignment="1">
      <alignment horizontal="center"/>
    </xf>
    <xf numFmtId="172" fontId="0" fillId="4" borderId="62" xfId="0" applyNumberFormat="1" applyFill="1" applyBorder="1" applyAlignment="1">
      <alignment horizontal="center"/>
    </xf>
    <xf numFmtId="172" fontId="0" fillId="0" borderId="65" xfId="0" applyNumberFormat="1" applyBorder="1" applyAlignment="1">
      <alignment horizontal="center"/>
    </xf>
    <xf numFmtId="172" fontId="0" fillId="0" borderId="64" xfId="0" applyNumberFormat="1" applyBorder="1" applyAlignment="1">
      <alignment horizontal="center"/>
    </xf>
    <xf numFmtId="172" fontId="0" fillId="4" borderId="65" xfId="0" applyNumberFormat="1" applyFill="1" applyBorder="1" applyAlignment="1">
      <alignment horizontal="center"/>
    </xf>
    <xf numFmtId="168" fontId="16" fillId="15" borderId="15" xfId="4" applyNumberFormat="1" applyFont="1" applyFill="1" applyBorder="1" applyAlignment="1">
      <alignment vertical="center"/>
    </xf>
    <xf numFmtId="43" fontId="7" fillId="15" borderId="1" xfId="4" applyFont="1" applyFill="1" applyBorder="1"/>
    <xf numFmtId="0" fontId="5" fillId="0" borderId="12" xfId="0" applyFont="1" applyBorder="1" applyAlignment="1">
      <alignment vertical="center" wrapText="1"/>
    </xf>
    <xf numFmtId="0" fontId="2" fillId="14" borderId="0" xfId="0" applyFont="1" applyFill="1" applyAlignment="1">
      <alignment horizontal="left"/>
    </xf>
    <xf numFmtId="0" fontId="0" fillId="13" borderId="0" xfId="0" applyFill="1" applyAlignment="1">
      <alignment horizontal="left" wrapText="1"/>
    </xf>
    <xf numFmtId="0" fontId="0" fillId="13" borderId="2" xfId="0" applyFill="1" applyBorder="1" applyAlignment="1">
      <alignment horizontal="left" wrapText="1"/>
    </xf>
    <xf numFmtId="0" fontId="21" fillId="15" borderId="0" xfId="0" applyFont="1" applyFill="1" applyAlignment="1">
      <alignment horizontal="center" vertical="center"/>
    </xf>
    <xf numFmtId="0" fontId="124" fillId="0" borderId="0" xfId="0" applyFont="1"/>
  </cellXfs>
  <cellStyles count="17351">
    <cellStyle name="###0" xfId="547" xr:uid="{AC584E71-8238-4CBE-A8E6-0F873F7CD764}"/>
    <cellStyle name="#,##0" xfId="548" xr:uid="{3A16A369-D36D-41FC-A00E-97D4AC0768AC}"/>
    <cellStyle name="#,##0.0" xfId="549" xr:uid="{92A976E1-8329-4E17-9AA5-7A65D2888AD4}"/>
    <cellStyle name="#.##0" xfId="550" xr:uid="{EF40BA77-465A-437D-A69E-A7E9E609FBE9}"/>
    <cellStyle name="#.##0,0" xfId="551" xr:uid="{A2608D5E-1A30-49F8-8DFF-0109293F524D}"/>
    <cellStyle name="_~3339090" xfId="933" xr:uid="{416980B4-8E01-436E-8CCB-94985FF96E45}"/>
    <cellStyle name="_0 -Preenchido_CPFL-PIRATININGA_2_CICLO_DADOS_INICIAIS_Of.037_270207" xfId="934" xr:uid="{01E9C526-743F-4232-AF0C-DE903E94E49F}"/>
    <cellStyle name="_0 -Preenchido_CPFL-PIRATININGA_2_CICLO_DADOS_INICIAIS_Of.037_270207(V 09-04-07)" xfId="935" xr:uid="{5874C01C-D996-4E56-94A1-019EE2163967}"/>
    <cellStyle name="_0 -Preenchido_CPFL-PIRATININGA_2_CICLO_DADOS_INICIAIS_Of.037_270207(V 09-04-07)_Base Mercado_EMG" xfId="936" xr:uid="{A2B9886E-1F47-4845-A96E-DDC00E166B2C}"/>
    <cellStyle name="_0 -Preenchido_CPFL-PIRATININGA_2_CICLO_DADOS_INICIAIS_Of.037_270207(V 09-04-07)_IF_Consumidores livres e geradoras_2010" xfId="937" xr:uid="{30D6FE58-30C1-48D3-97A9-0993EFC2BD19}"/>
    <cellStyle name="_0 -Preenchido_CPFL-PIRATININGA_2_CICLO_DADOS_INICIAIS_Of.037_270207(V 09-04-07)_Sheet1" xfId="938" xr:uid="{937F212A-ACB3-4CAF-9479-4B706F99326F}"/>
    <cellStyle name="_0 -Preenchido_CPFL-PIRATININGA_2_CICLO_DADOS_INICIAIS_Of.037_270207(VF)_2009.04.09 EEB IRT2009 Conexao CEMIG C Financeiro" xfId="939" xr:uid="{2241BA0F-5FA6-4ECD-B28A-77704846665E}"/>
    <cellStyle name="_0 -Preenchido_CPFL-PIRATININGA_2_CICLO_DADOS_INICIAIS_Of.037_270207(VF)_IF - Autoprodutores 2" xfId="940" xr:uid="{641E4BE1-1770-49FB-A5FF-A2D98C87D3FF}"/>
    <cellStyle name="_0 -Preenchido_CPFL-PIRATININGA_2_CICLO_DADOS_INICIAIS_Of.037_270207(VF)_Pleito_IRT_ESE_2010_Envio_ANEEL_Final_atualizado_05_04" xfId="941" xr:uid="{70FFC9EB-161C-49F1-8F00-DA1D3C4D9014}"/>
    <cellStyle name="_0 -Preenchido_CPFL-PIRATININGA_2_CICLO_DADOS_INICIAIS_Of.037_270207_2009.04.09 EEB IRT2009 Conexao CEMIG C Financeiro" xfId="942" xr:uid="{2DA9D9DE-CBE3-4877-9480-95E37A186E71}"/>
    <cellStyle name="_0 -Preenchido_CPFL-PIRATININGA_2_CICLO_DADOS_INICIAIS_Of.037_270207_IF - Autoprodutores 2" xfId="943" xr:uid="{C16C0193-952E-4E1A-A44D-538E36DF6F96}"/>
    <cellStyle name="_0 -Preenchido_CPFL-PIRATININGA_2_CICLO_DADOS_INICIAIS_Of.037_270207_Pleito_IRT_ESE_2010_Envio_ANEEL_Final_atualizado_05_04" xfId="944" xr:uid="{0B574D05-3BFF-4758-BF84-81BD02C63713}"/>
    <cellStyle name="_0 -Preenchido_CPFL-PIRATININGA_2_CICLO_DADOS_INICIAIS_Of.037_270207-EV 17abril" xfId="945" xr:uid="{3CFFAC96-0E4E-49C4-BB46-D8297EA9039F}"/>
    <cellStyle name="_0 -Preenchido_CPFL-PIRATININGA_2_CICLO_DADOS_INICIAIS_Of.037_270207-EV 17abril_Base Mercado_EMG" xfId="946" xr:uid="{A1D1B990-A46B-40DB-BFD3-180872CE3A42}"/>
    <cellStyle name="_0 -Preenchido_CPFL-PIRATININGA_2_CICLO_DADOS_INICIAIS_Of.037_270207-EV 17abril_IF_Consumidores livres e geradoras_2010" xfId="947" xr:uid="{F9552E91-46EA-4C08-834E-E2CA4F340C3B}"/>
    <cellStyle name="_0 -Preenchido_CPFL-PIRATININGA_2_CICLO_DADOS_INICIAIS_Of.037_270207-EV 17abril_Sheet1" xfId="948" xr:uid="{255F4739-C251-40D3-A7DB-1595FD013BE7}"/>
    <cellStyle name="_0 -Preenchido_CPFL-PIRATININGA_2_CICLO_DADOS_INICIAIS_Of_Base Mercado_EMG" xfId="949" xr:uid="{E5E7C237-3FA5-4C28-82E0-636FFBF618C2}"/>
    <cellStyle name="_0 -Preenchido_CPFL-PIRATININGA_2_CICLO_DADOS_INICIAIS_Of_IF_Consumidores livres e geradoras_2010" xfId="950" xr:uid="{DB2C497B-B49E-4CEF-BFCD-FA71893A6CD2}"/>
    <cellStyle name="_0 -Preenchido_CPFL-PIRATININGA_2_CICLO_DADOS_INICIAIS_Of_Sheet1" xfId="951" xr:uid="{DC826161-2164-4815-898B-CEAA2C5D3410}"/>
    <cellStyle name="_02 IRT COSERN 2009" xfId="552" xr:uid="{8235DF98-622A-4B08-9F4D-6076ABCC47E5}"/>
    <cellStyle name="_11 PIS COFINS - FCC-Roger-OK" xfId="952" xr:uid="{39B7830A-FAC3-4E0A-8F5B-A4E1ABB48F68}"/>
    <cellStyle name="_15. Custos Operacionais versão FINAL (FC 160507)_2009.04.09 EEB IRT2009 Conexao CEMIG C Financeiro" xfId="953" xr:uid="{9C49F5D6-E1DE-4045-A146-3C82EDA76CB8}"/>
    <cellStyle name="_15. Custos Operacionais versão FINAL (FC 160507)_IF_Consumidores livres e geradoras_2010" xfId="954" xr:uid="{BB6C8739-7648-48DA-B636-563237EDAE9C}"/>
    <cellStyle name="_2006.07.04 CELTINS IRT 2006 homologado" xfId="553" xr:uid="{6B86C2CA-4F04-497F-82E0-5A26364D5A56}"/>
    <cellStyle name="_2006.07.04 CELTINS IRT 2006 homologado_COELCE - RTO 2011 - PLPT_PLANILHA_CÁLCULO_DÉFICIT" xfId="955" xr:uid="{CEE17D4C-E131-4833-B4C1-895D7478F379}"/>
    <cellStyle name="_2006.08.07 CELPA IRT 2006 pleito 2" xfId="956" xr:uid="{A88E4443-E130-442F-B053-2B19BE69B684}"/>
    <cellStyle name="_2007.04.08 CEMAT IRT 2007 Pleito" xfId="957" xr:uid="{BB15EF91-F056-4C3E-966A-2B12FD763681}"/>
    <cellStyle name="_4 Outras Receitas - FCC-Roger" xfId="958" xr:uid="{47B19F8E-5A9F-4970-BC70-3588EADA1477}"/>
    <cellStyle name="_5114722684(1).EXCEL_2009.04.09 EEB IRT2009 Conexao CEMIG C Financeiro" xfId="959" xr:uid="{EB72A036-5891-4263-954C-B75118D41562}"/>
    <cellStyle name="_5114722684(1).EXCEL_IF_Consumidores livres e geradoras_2010" xfId="960" xr:uid="{840F3E71-EA9E-44DC-B271-4E7D736B8ACD}"/>
    <cellStyle name="_Abertura - ELETROPAULO 2008 - REAJUSTE Estrutura 2º Ciclo" xfId="961" xr:uid="{64783C16-EC54-4E54-9A94-5C3E3E76260A}"/>
    <cellStyle name="_Abertura Tarifária LIGHT RTP 2008" xfId="962" xr:uid="{4069D14A-304D-4609-B387-B9B9ED7F7A35}"/>
    <cellStyle name="_ADIANTAMENTO SOBRECONTRATAÇÃO" xfId="8" xr:uid="{3016BDF4-B5F7-44E7-8453-5620EB41D052}"/>
    <cellStyle name="_ADIANTAMENTO SOBRECONTRATAÇÃO_Calculo_Subsidio_ELFSM_26_06_08_Modelo_ANEEL" xfId="963" xr:uid="{C79B4ACE-6E12-4108-9005-B477B119C003}"/>
    <cellStyle name="_ADIANTAMENTO SOBRECONTRATAÇÃO_Custo com Avaliação de Ativos para Base de Remuneração" xfId="964" xr:uid="{093E5430-3486-4664-B963-12A2BBCFB457}"/>
    <cellStyle name="_ADIANTAMENTO SOBRECONTRATAÇÃO_Energia Comprada_Dados Gerais" xfId="965" xr:uid="{38E083BA-14AE-4EB5-98EB-E6C656BD0F23}"/>
    <cellStyle name="_ADIANTAMENTO SOBRECONTRATAÇÃO_Fator X" xfId="554" xr:uid="{8EF3DF98-1945-48B0-B841-F67A8A81359D}"/>
    <cellStyle name="_ADIANTAMENTO SOBRECONTRATAÇÃO_Fator X_IRT-cálculo CAPA NEUTRALIDADE" xfId="966" xr:uid="{90FC79C2-29D0-4CB0-BA09-6408827C7DAE}"/>
    <cellStyle name="_ADIANTAMENTO SOBRECONTRATAÇÃO_IF - Autoprodutores 2" xfId="967" xr:uid="{EF4BF573-0F0E-4C0C-8891-80787F0E656F}"/>
    <cellStyle name="_ADIANTAMENTO SOBRECONTRATAÇÃO_IRT_1" xfId="555" xr:uid="{21B3D807-40C6-4102-9908-D3211A1C0870}"/>
    <cellStyle name="_ADIANTAMENTO SOBRECONTRATAÇÃO_IRT_1_IRT-cálculo CAPA NEUTRALIDADE" xfId="968" xr:uid="{97070F5E-A700-459C-A469-F1C073631579}"/>
    <cellStyle name="_ADIANTAMENTO SOBRECONTRATAÇÃO_IRT_Pleito_IRT_Revisão A-1" xfId="969" xr:uid="{B82D654B-2620-44F6-B9DA-8F470E9C9A21}"/>
    <cellStyle name="_ADIANTAMENTO SOBRECONTRATAÇÃO_IRT-cálculo" xfId="970" xr:uid="{6B7C6624-BC3F-4985-814E-86468F8F9297}"/>
    <cellStyle name="_ADIANTAMENTO SOBRECONTRATAÇÃO_Pasta1_IRT_Revisão A-1" xfId="971" xr:uid="{CAD1F97C-9C96-41F1-9FF4-BD9DDAC84B88}"/>
    <cellStyle name="_ADIANTAMENTO SOBRECONTRATAÇÃO_Sheet1" xfId="972" xr:uid="{390D44E8-8F42-4DC5-A3BB-5A312C3F0D7F}"/>
    <cellStyle name="_Ajustes REVISÃO 2007 ELETROPAULO" xfId="973" xr:uid="{685B3417-6D18-4E9C-A95C-E5E37B9DB572}"/>
    <cellStyle name="_Alocação Financeiros_Energia Comprada_Dados Gerais" xfId="974" xr:uid="{1B1F04B3-2163-4538-A897-BA5684716553}"/>
    <cellStyle name="_Alocação Financeiros_Fator X" xfId="556" xr:uid="{12D60C3F-A1E6-4598-ACA0-0BF1046511E6}"/>
    <cellStyle name="_Alocação Financeiros_Fator X_IRT-cálculo" xfId="975" xr:uid="{424D9ABC-D509-4FA5-9DCB-8E497526D5D1}"/>
    <cellStyle name="_Alocação Financeiros_IRT_1" xfId="557" xr:uid="{BAF03075-4534-4352-A440-F85BDE1EC277}"/>
    <cellStyle name="_Alocação Financeiros_IRT_1_IRT-cálculo" xfId="976" xr:uid="{687F9544-03E6-48CD-9562-C07722B4F1F1}"/>
    <cellStyle name="_Alocação Financeiros_IRT-cálculo" xfId="977" xr:uid="{9D4D6A08-227B-4496-9060-58BE5CC57115}"/>
    <cellStyle name="_Alocação Financeiros_Pasta1" xfId="558" xr:uid="{4E35255D-AE03-420E-BE23-D54D3B7574F2}"/>
    <cellStyle name="_Alocação Financeiros_Pasta1_SOBRECONTRATAÇÃO E CVA" xfId="978" xr:uid="{B91998FD-0429-4109-AC31-06B15518E59A}"/>
    <cellStyle name="_AMPLA_Repasse sobrecontratação" xfId="9" xr:uid="{73F9B9EE-3333-4D25-8792-4DF62100EF6C}"/>
    <cellStyle name="_AMPLA_Repasse sobrecontratação_IRT_Revisão A-2" xfId="979" xr:uid="{944BF966-C51A-481E-BF6A-EFA84CE93C31}"/>
    <cellStyle name="_ANEEL_FINAL_4ªRTP_ESCELSA_Planilhas" xfId="980" xr:uid="{354ADBE8-B398-4F15-B2A5-8D49AB1A553E}"/>
    <cellStyle name="_ANEXO II_Carta_CT_DP_3_06_Memória_IF - Autoprodutores 2" xfId="981" xr:uid="{8CA36F71-88F3-4D69-8974-31DB0A29DEDC}"/>
    <cellStyle name="_ANEXO II_Carta_CT_DP_3_06_Memória_IRT-cálculo CAPA NEUTRALIDADE" xfId="982" xr:uid="{0C80A555-7EF8-41A2-A5B4-227347B30696}"/>
    <cellStyle name="_BALANÇO" xfId="983" xr:uid="{EAC3A658-813E-49AA-8EEF-EAA8AF13F617}"/>
    <cellStyle name="_BALANÇO_IF - Autoprodutores 2" xfId="984" xr:uid="{3CAF09A3-DF72-40F4-9EAD-687FD2998BBF}"/>
    <cellStyle name="_Base de Dados - Ofício" xfId="661" xr:uid="{79F866EE-2A02-4908-AAC8-8F14ECB2801A}"/>
    <cellStyle name="_Bragantina-SobrasExposição1" xfId="10" xr:uid="{846F6CE9-833D-49CE-B8A9-4202A07C81DD}"/>
    <cellStyle name="_Bragantina-SobrasExposição1 2" xfId="410" xr:uid="{948E7E8E-335A-4C5E-8B52-CC428B6F7C11}"/>
    <cellStyle name="_Bragantina-SobrasExposição1_Balanço" xfId="11" xr:uid="{CF86F3DA-E7BA-4D31-B961-91121F5684F6}"/>
    <cellStyle name="_Bragantina-SobrasExposição1_casulo 15" xfId="12" xr:uid="{BDA52914-6902-4973-A3A3-CF3219B0351A}"/>
    <cellStyle name="_Bragantina-SobrasExposição1_Energia Comprada" xfId="985" xr:uid="{078AB6B6-6D3A-4E88-9121-434800A24356}"/>
    <cellStyle name="_Bragantina-SobrasExposição1_Energia Comprada_IRT-cálculo" xfId="986" xr:uid="{5E437AFD-7EA4-465D-AA9F-38CC6B05DEEA}"/>
    <cellStyle name="_Bragantina-SobrasExposição1_Energia Comprada_IRT-cálculo CAPA NEUTRALIDADE" xfId="987" xr:uid="{2D196F55-012A-4220-A48A-BEE44DFB8556}"/>
    <cellStyle name="_Bragantina-SobrasExposição1_Exposição_Agosto 2" xfId="988" xr:uid="{F3DB2D5F-799F-4D1F-A14B-211B4588FBD5}"/>
    <cellStyle name="_Bragantina-SobrasExposição1_Fator X" xfId="559" xr:uid="{65BD782B-4379-4743-87D6-16CE3EA7F72A}"/>
    <cellStyle name="_Bragantina-SobrasExposição1_Fator X 2" xfId="989" xr:uid="{8E636CE1-BDAF-4E0E-B2A3-802F3B09EB7C}"/>
    <cellStyle name="_Bragantina-SobrasExposição1_Fator X_IRT-cálculo" xfId="990" xr:uid="{074EB506-97D5-449B-83FC-23B824A29D1C}"/>
    <cellStyle name="_Bragantina-SobrasExposição1_Fator X_IRT-cálculo CAPA NEUTRALIDADE" xfId="991" xr:uid="{0AE2E5CF-E2CE-4B70-9F24-BBBE62EC6606}"/>
    <cellStyle name="_Bragantina-SobrasExposição1_Fator X_SOBRECONTRATAÇÃO E CVA" xfId="992" xr:uid="{17D1F9A6-5C46-4B6A-903C-2039D0B4A156}"/>
    <cellStyle name="_Bragantina-SobrasExposição1_IMPACTO RECEITA" xfId="13" xr:uid="{F6B161A2-519B-4F78-9F30-12C260225909}"/>
    <cellStyle name="_Bragantina-SobrasExposição1_IMPACTO RECEITA 2" xfId="411" xr:uid="{20C60D09-7BBE-42FD-B89E-6C909405D4F5}"/>
    <cellStyle name="_Bragantina-SobrasExposição1_IMPACTO RECEITA_Balanço" xfId="14" xr:uid="{34DCEF60-27BB-4918-B116-C83A8FCA9F38}"/>
    <cellStyle name="_Bragantina-SobrasExposição1_IMPACTO RECEITA_casulo 15" xfId="15" xr:uid="{C20DC9B2-B714-46B6-B90F-51E41B5F021C}"/>
    <cellStyle name="_Bragantina-SobrasExposição1_IMPACTO RECEITA_IRT EEB 2010" xfId="993" xr:uid="{4FB5D35E-1763-4C06-8530-F2C24E6C04A7}"/>
    <cellStyle name="_Bragantina-SobrasExposição1_IRT (2)" xfId="560" xr:uid="{6955800F-0FA6-4ED2-B8B6-A58A1D4A1203}"/>
    <cellStyle name="_Bragantina-SobrasExposição1_IRT EEB 2010" xfId="994" xr:uid="{2AB80B91-11BA-4A44-81C8-8845C3811D5D}"/>
    <cellStyle name="_Bragantina-SobrasExposição1_IRT_1" xfId="561" xr:uid="{34B85728-9BE8-4FE3-8A9C-926C0E4513A0}"/>
    <cellStyle name="_Bragantina-SobrasExposição1_IRT_1 2" xfId="995" xr:uid="{A89A897A-BE14-45E1-9EE6-40ABE1ABC17A}"/>
    <cellStyle name="_Bragantina-SobrasExposição1_IRT_1_IRT-cálculo" xfId="996" xr:uid="{0CB5C5F1-2E70-494E-B9A3-E6842E88E471}"/>
    <cellStyle name="_Bragantina-SobrasExposição1_IRT_1_IRT-cálculo CAPA NEUTRALIDADE" xfId="997" xr:uid="{68C6C963-5B0C-4D7C-8768-165AA52CD8C1}"/>
    <cellStyle name="_Bragantina-SobrasExposição1_IRT_1_SOBRECONTRATAÇÃO E CVA" xfId="998" xr:uid="{4B3CC3E8-ADE7-4040-811D-8F3657066E20}"/>
    <cellStyle name="_Bragantina-SobrasExposição1_IRT_Revisão A-2" xfId="999" xr:uid="{43F6179B-CB43-4E1B-9B2F-0FC3CAF87E43}"/>
    <cellStyle name="_Bragantina-SobrasExposição1_IRT-cálculo" xfId="1000" xr:uid="{0CB98956-6DC1-4E87-AA8E-C4E10AAA5B13}"/>
    <cellStyle name="_Bragantina-SobrasExposição1_IRT-cálculo CAPA NEUTRALIDADE" xfId="1001" xr:uid="{1B4959F8-7934-4FF6-8050-56AE00866388}"/>
    <cellStyle name="_Bragantina-SobrasExposição1_Pasta1" xfId="562" xr:uid="{1E446719-6CC7-45A4-A1EB-86DE3BF5DA7B}"/>
    <cellStyle name="_Bragantina-SobrasExposição1_Pasta1 2" xfId="1002" xr:uid="{61B29DD9-E632-4F30-A9B6-43276037FBBE}"/>
    <cellStyle name="_Bragantina-SobrasExposição1_Pasta1_IRT-cálculo" xfId="1003" xr:uid="{A4ADA5B7-1D13-4269-81F3-4C0E9DD99AA5}"/>
    <cellStyle name="_Bragantina-SobrasExposição1_Pasta1_SOBRECONTRATAÇÃO E CVA" xfId="1004" xr:uid="{76312F12-807E-40EA-A1CF-108876E87EA8}"/>
    <cellStyle name="_Bragantina-SobrasExposição1_SOBRECONTRATAÇÃO E CVA" xfId="1005" xr:uid="{B13B1473-8801-4432-A484-7CBD5DB82DE2}"/>
    <cellStyle name="_Calculo Tarifa" xfId="1006" xr:uid="{550D644D-079F-43E9-BED8-86915E7B3FD2}"/>
    <cellStyle name="_Calculo_Subsidio_ELFSM_26_06_08_Modelo_ANEEL_IRT-cálculo" xfId="1007" xr:uid="{29761554-250F-47D8-9885-1B8A6452128C}"/>
    <cellStyle name="_Cartilha CEB" xfId="1008" xr:uid="{F0C8BA80-3285-4464-8548-103FE95C9D00}"/>
    <cellStyle name="_CELPE - Repasse sobrecontratação" xfId="16" xr:uid="{0291962F-E193-4CD0-8640-75DAD990232D}"/>
    <cellStyle name="_CELPE - Repasse sobrecontratação 2 2" xfId="412" xr:uid="{36AAA598-8921-41F5-B3A0-3BF52B8B2451}"/>
    <cellStyle name="_CELPE - Repasse sobrecontratação 2_Exposição_Agosto 2" xfId="1009" xr:uid="{1D92C50D-796A-40C7-A241-C9210ACF195D}"/>
    <cellStyle name="_CELPE - Repasse sobrecontratação 2_IRT_Revisão A-2" xfId="1010" xr:uid="{5C0750E3-7D91-41E2-8869-20CAF4BD37CC}"/>
    <cellStyle name="_CELPE - Repasse sobrecontratação 3" xfId="413" xr:uid="{D93013E3-32B5-4B2A-A838-A20AEF28A33E}"/>
    <cellStyle name="_CELPE - Repasse sobrecontratação 4" xfId="1011" xr:uid="{99F427FA-2738-487B-8F42-B233FA0F5650}"/>
    <cellStyle name="_CELPE - Repasse sobrecontratação_IRT_Revisão A-2" xfId="1012" xr:uid="{2131FA34-5DA3-46DC-AAB7-DF669314DA16}"/>
    <cellStyle name="_CEMIG - Repasse sobrecontratação" xfId="17" xr:uid="{28384BE0-8FB7-4477-8C51-21165F1851B1}"/>
    <cellStyle name="_CEMIG - Repasse sobrecontratação 3" xfId="1013" xr:uid="{53C24809-B366-4541-B6D8-1C279F38D4E1}"/>
    <cellStyle name="_CEMIG - Repasse sobrecontratação_IRT_Revisão A-2" xfId="1014" xr:uid="{F7268456-38CB-4973-9D39-50B9470BFDEC}"/>
    <cellStyle name="_Comprovação_Itens_Financeiros_IRT-cálculo" xfId="1015" xr:uid="{E3884064-6358-42BC-94FB-D166E929400A}"/>
    <cellStyle name="_Conferido Calculo_Subsídios_ENERGISA_MG" xfId="1016" xr:uid="{990A0EB6-D971-492E-9AC4-E414EAA3F685}"/>
    <cellStyle name="_Controle RT EMG" xfId="1017" xr:uid="{F75B19AA-679A-496C-AACA-2FD2027A8AB5}"/>
    <cellStyle name="_Cópia (2) de PLPT_PLANILHA_CÁLCULO_DÉFICIT_RESOLUÇÃO_294_2007" xfId="1018" xr:uid="{BA70BCC0-895A-414C-A756-32425A81A882}"/>
    <cellStyle name="_Cópia de 2006.05.10 EEB IRT 2006 pleito 2" xfId="414" xr:uid="{180BAF4E-3975-4BA3-9918-B37BAF8FCE62}"/>
    <cellStyle name="_Cópia de 2006.05.10 EEB IRT 2006 pleito_casulo 15" xfId="18" xr:uid="{E4115781-D7C6-443F-9AEB-731BE4C90BD6}"/>
    <cellStyle name="_Cópia de 2006.05.10 EEB IRT 2006 pleito_Energia Comprada_IRT-cálculo" xfId="1019" xr:uid="{DA1B210D-5126-4A5E-9956-9B1A5EF964F2}"/>
    <cellStyle name="_Cópia de 2006.05.10 EEB IRT 2006 pleito_Exposição_Agosto 2" xfId="1020" xr:uid="{94322843-86B6-47B2-8E8A-525760DE4F53}"/>
    <cellStyle name="_Cópia de 2006.05.10 EEB IRT 2006 pleito_Fator X 2" xfId="1021" xr:uid="{8E4653D9-3012-4BC8-97FD-D37BCF177CAF}"/>
    <cellStyle name="_Cópia de 2006.05.10 EEB IRT 2006 pleito_Fator X_IRT-cálculo CAPA NEUTRALIDADE" xfId="1022" xr:uid="{67DA74BF-0B9C-46B9-AD66-0BB4AE66ACD9}"/>
    <cellStyle name="_Cópia de 2006.05.10 EEB IRT 2006 pleito_IMPACTO RECEITA" xfId="19" xr:uid="{659281C7-9A0A-4B8D-AEAC-CB80ADF3C8FF}"/>
    <cellStyle name="_Cópia de 2006.05.10 EEB IRT 2006 pleito_IMPACTO RECEITA_Balanço" xfId="20" xr:uid="{7D7CF0B2-FAC1-45DC-88C8-41723FA3823E}"/>
    <cellStyle name="_Cópia de 2006.05.10 EEB IRT 2006 pleito_IRT (2)" xfId="563" xr:uid="{BA3E7F33-7983-463E-999D-869E57BFA135}"/>
    <cellStyle name="_Cópia de 2006.05.10 EEB IRT 2006 pleito_IRT_1" xfId="564" xr:uid="{492E11CF-F172-4893-9B13-7BA8E07F47AF}"/>
    <cellStyle name="_Cópia de 2006.05.10 EEB IRT 2006 pleito_IRT_1_IRT-cálculo" xfId="1023" xr:uid="{9BD8C706-D3F2-491A-A49D-85203D0929D0}"/>
    <cellStyle name="_Cópia de 2006.05.10 EEB IRT 2006 pleito_IRT_1_SOBRECONTRATAÇÃO E CVA" xfId="1024" xr:uid="{222B2761-AB6E-424E-9A97-90D453F04A0C}"/>
    <cellStyle name="_Cópia de 2006.05.10 EEB IRT 2006 pleito_IRT-cálculo" xfId="1025" xr:uid="{0A63A45D-448F-4595-8C2B-4A0834E37395}"/>
    <cellStyle name="_Cópia de 2006.05.10 EEB IRT 2006 pleito_Pasta1" xfId="565" xr:uid="{5E0E883D-6FE3-46CA-95BE-9210C27D94E0}"/>
    <cellStyle name="_Cópia de 2006.05.10 EEB IRT 2006 pleito_Pasta1_IRT-cálculo" xfId="1026" xr:uid="{3E088A39-F159-4BAF-96FB-320DB0F0AFB3}"/>
    <cellStyle name="_Cópia de 2006.05.10 EEB IRT 2006 pleito_Pasta1_SOBRECONTRATAÇÃO E CVA" xfId="1027" xr:uid="{D3459298-DFAD-4D48-B5AD-F14FC45904D0}"/>
    <cellStyle name="_Cópia de 2006.05.10 EEB IRT 2006 pleito_SOBRECONTRATAÇÃO E CVA" xfId="1028" xr:uid="{D8793728-171B-446E-A733-8F1B239B31BA}"/>
    <cellStyle name="_Cópia de IRT2006_CEB_Final" xfId="21" xr:uid="{5B060CFE-CCCC-4B0D-B183-55BA45065D0B}"/>
    <cellStyle name="_Cópia de IRT2006_CEB_Final 3" xfId="1029" xr:uid="{0C7A31DE-FA68-427D-953F-AF795A279E4A}"/>
    <cellStyle name="_Cópia de IRT2006_CEB_Final_casulo 15" xfId="22" xr:uid="{52746D2B-B4FC-45CD-89FB-0EE5ADCDFC04}"/>
    <cellStyle name="_Cópia de IRT2006_CEB_Final_IRT EEB 2010" xfId="1030" xr:uid="{56D8A007-1EF6-4119-9E14-5E9513EA4177}"/>
    <cellStyle name="_Cópia de IRT2006_CEB_Final_Simulação AES SUL 03_04_07" xfId="23" xr:uid="{0BA1F95E-E9A6-4661-BA68-EF749CAE6498}"/>
    <cellStyle name="_Cópia de IRT2006_CEB_Final_Simulação AES SUL 03_04_07 3" xfId="1031" xr:uid="{89F23241-3EF5-4F35-B447-D4DE8078506E}"/>
    <cellStyle name="_Cópia de IRT2006_CEB_Final_Simulação AES SUL 03_04_07_casulo 15" xfId="24" xr:uid="{1C76F62B-79A0-48C4-A0F7-EBC9B5106E7D}"/>
    <cellStyle name="_Cópia de IRT2006_CEB_Final_Sobrecontratação AES (2)" xfId="25" xr:uid="{CE878E12-780B-40CE-BA37-89DAA9DB7B22}"/>
    <cellStyle name="_Cópia de IRT2006_CEB_Final_Sobrecontratação AES (2) 3" xfId="1032" xr:uid="{5406E051-D5C1-4459-A03D-D2DD48B8A09D}"/>
    <cellStyle name="_Cópia de IRT2006_CEB_Final_Sobrecontratação AES (2)_IRT EEB 2010" xfId="1033" xr:uid="{D942920F-F3B9-4875-AA79-80042F6B7E11}"/>
    <cellStyle name="_Cópia de PRTP v9_Balanço" xfId="26" xr:uid="{B5F7EA0F-8896-4995-8193-9C859DB691F5}"/>
    <cellStyle name="_Cópia de PRTP v9_casulo 5 2" xfId="415" xr:uid="{3DFDC8F1-2EA0-4A9C-B30B-BD47B0975601}"/>
    <cellStyle name="_Cópia de PRTP v9_IRT EEB 2010" xfId="1034" xr:uid="{38AB19C9-F93A-4CC0-8666-F01CFBDECE1B}"/>
    <cellStyle name="_Cópia de PRTP v9_IRT Piratininga 2009_casulo 15" xfId="27" xr:uid="{4A019C91-F17E-4871-ACD9-461C44955E3D}"/>
    <cellStyle name="_Cópia de PRTP v9_IRT_Planilha Básica_ CETRIL 2" xfId="416" xr:uid="{53307344-6654-4109-9C2E-5D897A7DE75E}"/>
    <cellStyle name="_Cópia de PRTP v9_IRT_Planilha Básica_DIRETORIA" xfId="1035" xr:uid="{65F36CCA-B513-48D0-90C2-1125907D7A35}"/>
    <cellStyle name="_Cópia de PRTP v9_IRT_Planilha Básica_fev2010a_Balanço" xfId="28" xr:uid="{1B80A836-3492-4B51-AC36-1029C226919B}"/>
    <cellStyle name="_Cópia de PRTP v9_IRT_Planilha Básica_fev2010a_casulo 5 2" xfId="417" xr:uid="{1FAF46E6-CA0E-49AC-B7BC-72A76FDE6294}"/>
    <cellStyle name="_Cópia de PRTP v9_IRT_Planilha Básica_fev2010a_IRT EEB 2010" xfId="1036" xr:uid="{66CEE235-D40C-463C-B4C1-9D7F349B8BBB}"/>
    <cellStyle name="_Cópia de PRTP v9_IRT_Planilha Básica_mar2010d 2" xfId="418" xr:uid="{0BD202D5-06B6-4C12-A0FA-717359E1B80E}"/>
    <cellStyle name="_Cópia de PRTP v9_IRT-cálculo CAPA NEUTRALIDADE" xfId="1037" xr:uid="{5EF1ABD2-C288-49DC-BEB9-1FE2E5F62993}"/>
    <cellStyle name="_Cópia de PRTP v9_teste ampla 2" xfId="419" xr:uid="{25170000-AA63-4487-98F8-FB8B681B9F85}"/>
    <cellStyle name="_Cópia de PRTP v9_teste ampla_casulo 5" xfId="29" xr:uid="{7E106F3E-33D0-44C1-8230-66F1443D3FE4}"/>
    <cellStyle name="_Cópia de PRTP v9_teste ampla_casulo 5 2" xfId="420" xr:uid="{02D58703-84C8-4D7D-BE02-A4B4ADE8CA52}"/>
    <cellStyle name="_Cópia de PRTP v9_teste ampla_casulo 5_Balanço" xfId="30" xr:uid="{85FA58A0-D049-4256-AEA2-D5EE1D752669}"/>
    <cellStyle name="_Cópia de PRTP v9_teste ampla_casulo 5_IRT EEB 2010" xfId="1038" xr:uid="{5C39AB48-E202-45C8-AA16-1DD76ABC1292}"/>
    <cellStyle name="_Cópia de PRTP v9_teste ampla_IRT EEB 2010" xfId="1039" xr:uid="{76546412-F208-4606-8962-094B6853AFFE}"/>
    <cellStyle name="_Cópia de SOBRECONTRATAÇÃO - RES  255-2007 ENERGIPE - FINAL" xfId="566" xr:uid="{237595AC-D102-4561-92CA-93DBD88B01AC}"/>
    <cellStyle name="_Cópia de SOBRECONTRATAÇÃO - RES  255-2007 ENERGIPE - FINAL 2" xfId="1040" xr:uid="{A3C80DFC-7ED1-4136-A820-D5E67AA59B96}"/>
    <cellStyle name="_Cópia de SOBRECONTRATAÇÃO - RES  255-2007 ENERGIPE - FINAL_CVA Borborema 2010 - Fiscalizada Final" xfId="1041" xr:uid="{B4DE0E16-A2BD-4CDD-9816-1398D7F438DC}"/>
    <cellStyle name="_Cópia de SOBRECONTRATAÇÃO - RES  255-2007 ENERGIPE - FINAL_Energia Comprada_IRT-cálculo" xfId="1042" xr:uid="{7E61FC6B-565A-4F73-A1A3-135AFC600546}"/>
    <cellStyle name="_Cópia de SOBRECONTRATAÇÃO - RES  255-2007 ENERGIPE - FINAL_Fator X" xfId="567" xr:uid="{46FF7EC3-2C8F-48DF-9866-D89D8694662A}"/>
    <cellStyle name="_Cópia de SOBRECONTRATAÇÃO - RES  255-2007 ENERGIPE - FINAL_Fator X_IRT-cálculo" xfId="1043" xr:uid="{85BE6699-78DD-4CBC-93E9-F14505D1D43A}"/>
    <cellStyle name="_Cópia de SOBRECONTRATAÇÃO - RES  255-2007 ENERGIPE - FINAL_Fator X_IRT-cálculo CAPA NEUTRALIDADE" xfId="1044" xr:uid="{2A4BED97-2A29-4FDE-BF4D-BECFE8B20569}"/>
    <cellStyle name="_Cópia de SOBRECONTRATAÇÃO - RES  255-2007 ENERGIPE - FINAL_Fator X_SOBRECONTRATAÇÃO E CVA" xfId="1045" xr:uid="{B98CD8E5-8C41-4AD5-A2AE-17E4D3C6AE37}"/>
    <cellStyle name="_Cópia de SOBRECONTRATAÇÃO - RES  255-2007 ENERGIPE - FINAL_IRT (2)" xfId="568" xr:uid="{7EE4BA67-7E0D-4DBA-BD56-DF63449FC22F}"/>
    <cellStyle name="_Cópia de SOBRECONTRATAÇÃO - RES  255-2007 ENERGIPE - FINAL_IRT_1" xfId="569" xr:uid="{5D6752B8-CC97-41D2-8788-6B0F2300C41B}"/>
    <cellStyle name="_Cópia de SOBRECONTRATAÇÃO - RES  255-2007 ENERGIPE - FINAL_IRT_1 2" xfId="1046" xr:uid="{204E800C-9B7A-4D48-B168-51997A524E44}"/>
    <cellStyle name="_Cópia de SOBRECONTRATAÇÃO - RES  255-2007 ENERGIPE - FINAL_IRT_1_IRT-cálculo" xfId="1047" xr:uid="{705647C6-3FF9-44E4-9256-82B4B00D130D}"/>
    <cellStyle name="_Cópia de SOBRECONTRATAÇÃO - RES  255-2007 ENERGIPE - FINAL_IRT_1_IRT-cálculo CAPA NEUTRALIDADE" xfId="1048" xr:uid="{2FEC8C6E-650B-44BA-8BC4-079A927ABC78}"/>
    <cellStyle name="_Cópia de SOBRECONTRATAÇÃO - RES  255-2007 ENERGIPE - FINAL_IRT_1_SOBRECONTRATAÇÃO E CVA" xfId="1049" xr:uid="{DA5CB198-C29B-444C-B8E2-4D37C9486A62}"/>
    <cellStyle name="_Cópia de SOBRECONTRATAÇÃO - RES  255-2007 ENERGIPE - FINAL_IRT-cálculo" xfId="1050" xr:uid="{B52DE1A3-D48A-4AF3-BEDB-A770014CDC19}"/>
    <cellStyle name="_Cópia de SOBRECONTRATAÇÃO - RES  255-2007 ENERGIPE - FINAL_IRT-cálculo CAPA NEUTRALIDADE" xfId="1051" xr:uid="{9DEEC741-C189-46DD-975D-B986B5343CFE}"/>
    <cellStyle name="_Cópia de SOBRECONTRATAÇÃO - RES  255-2007 ENERGIPE - FINAL_Pasta1" xfId="570" xr:uid="{20E2FB42-BC64-43C4-897A-A0FC8CFC28D1}"/>
    <cellStyle name="_Cópia de SOBRECONTRATAÇÃO - RES  255-2007 ENERGIPE - FINAL_Pasta1 2" xfId="1052" xr:uid="{1219740C-0C49-4709-98B0-66BA352FBCB7}"/>
    <cellStyle name="_Cópia de SOBRECONTRATAÇÃO - RES  255-2007 ENERGIPE - FINAL_Pasta1_IRT-cálculo" xfId="1053" xr:uid="{D057CEE1-D2B8-46EE-B74A-5DBB78679D50}"/>
    <cellStyle name="_Cópia de SOBRECONTRATAÇÃO - RES  255-2007 ENERGIPE - FINAL_Pasta1_IRT-cálculo CAPA NEUTRALIDADE" xfId="1054" xr:uid="{1637488F-EAA6-4D3B-88C8-0DA9D32AF025}"/>
    <cellStyle name="_Cópia de SOBRECONTRATAÇÃO - RES  255-2007 ENERGIPE - FINAL_Pasta1_SOBRECONTRATAÇÃO E CVA" xfId="1055" xr:uid="{E8FA9E48-7E0C-4DAB-AAC9-75A970099C2D}"/>
    <cellStyle name="_Cópia de SOBRECONTRATAÇÃO - RES  255-2007 ENERGIPE - FINAL_SOBRECONTRATAÇÃO E CVA" xfId="1056" xr:uid="{3064DFF0-FA88-4036-BB41-BDB2CE3723E4}"/>
    <cellStyle name="_Correção e apuração PIS COFINS 26-08-2005_CEB" xfId="31" xr:uid="{A68E8EBC-71B9-4C86-90F4-A0C968E02A4F}"/>
    <cellStyle name="_Correção e apuração PIS COFINS 26-08-2005_CEB_Calculo_Subsidio_ELFSM_26_06_08_Modelo_ANEEL_IRT-cálculo" xfId="1057" xr:uid="{FD9A2D09-BA24-4C60-8F53-0AF02BDFFAA5}"/>
    <cellStyle name="_Correção e apuração PIS COFINS 26-08-2005_CEB_CVA_Projetada até dez-2008_Setembro" xfId="1058" xr:uid="{61930A8F-AC1E-4D2B-95A1-EFCB354C29AD}"/>
    <cellStyle name="_Correção e apuração PIS COFINS 26-08-2005_CEB_Energia Comprada" xfId="1059" xr:uid="{D22A081E-E3C3-4868-A48F-15FF21CA61D2}"/>
    <cellStyle name="_Correção e apuração PIS COFINS 26-08-2005_CEB_Energia Comprada_IRT-cálculo CAPA NEUTRALIDADE" xfId="1060" xr:uid="{3AAAF78C-9627-479F-9BFD-815A4A62C28B}"/>
    <cellStyle name="_Correção e apuração PIS COFINS 26-08-2005_CEB_Fator X_IRT-cálculo" xfId="1061" xr:uid="{6FCE716F-492E-4EBD-92FC-221347B62140}"/>
    <cellStyle name="_Correção e apuração PIS COFINS 26-08-2005_CEB_Fator X_SOBRECONTRATAÇÃO E CVA" xfId="1062" xr:uid="{AEEFC2D4-E772-47FA-9C2F-10FCD9A013E2}"/>
    <cellStyle name="_Correção e apuração PIS COFINS 26-08-2005_CEB_IF_Consumidores livres e geradoras_2010" xfId="1063" xr:uid="{45D38D1B-CBBE-46C7-A669-F97136443200}"/>
    <cellStyle name="_Correção e apuração PIS COFINS 26-08-2005_CEB_IRT (2) 2" xfId="1064" xr:uid="{ACAA718D-8A51-4017-B008-101AD22479E9}"/>
    <cellStyle name="_Correção e apuração PIS COFINS 26-08-2005_CEB_IRT_1_IRT-cálculo" xfId="1065" xr:uid="{195B0C9F-A19B-44B8-B945-2E543A39416E}"/>
    <cellStyle name="_Correção e apuração PIS COFINS 26-08-2005_CEB_IRT_1_SOBRECONTRATAÇÃO E CVA" xfId="1066" xr:uid="{DFA7EE82-78B3-4C9F-A9AD-7C2CC2F2F772}"/>
    <cellStyle name="_Correção e apuração PIS COFINS 26-08-2005_CEB_IRT_Planilha Básica_ CETRIL 2" xfId="421" xr:uid="{533B84B3-2671-44DD-BC21-6EB1B3A1BBB9}"/>
    <cellStyle name="_Correção e apuração PIS COFINS 26-08-2005_CEB_IRT_Pleito_IRT-cálculo" xfId="1067" xr:uid="{6B8EE9A1-FC7D-493B-A70D-8847C6103475}"/>
    <cellStyle name="_Correção e apuração PIS COFINS 26-08-2005_CEB_IRT_Revisão A-1" xfId="1068" xr:uid="{287C0A73-ECE5-4840-A068-23E7CBBB15F7}"/>
    <cellStyle name="_Correção e apuração PIS COFINS 26-08-2005_CEB_IRT-cálculo CAPA NEUTRALIDADE" xfId="1069" xr:uid="{FF9D35C0-7E86-49FC-8140-16021C117A5C}"/>
    <cellStyle name="_Correção e apuração PIS COFINS 26-08-2005_CEB_Pasta1_IRT-cálculo" xfId="1070" xr:uid="{D8F6523D-4010-46BF-8A30-72C5A62F16B9}"/>
    <cellStyle name="_Correção e apuração PIS COFINS 26-08-2005_CEB_Pasta1_SOBRECONTRATAÇÃO E CVA" xfId="1071" xr:uid="{9D9AEEC8-193E-48BB-A118-C40F2221334B}"/>
    <cellStyle name="_Correção e apuração PIS COFINS 26-08-2005_CEB_SOBRECONTRATAÇÃO E CVA" xfId="1072" xr:uid="{1117882F-250B-4D21-9A38-467CB57BD65D}"/>
    <cellStyle name="_Correção e apuração PIS COFINS 26-08-2005_CEB_SOBRECONTRATAÇÃO E CVA A-1_IRT-cálculo" xfId="1073" xr:uid="{118ADA1C-8D50-4B3B-A355-DAE6E4ED9E12}"/>
    <cellStyle name="_COSERN_IRT_2007_SIMULADOR" xfId="571" xr:uid="{F9070B3E-7063-46CD-89AA-EB7B4638BD4C}"/>
    <cellStyle name="_CPFL PAULISTA - Repasse sobrecontratação" xfId="1074" xr:uid="{00607B82-7755-4ACE-9AD5-270D99F0813D}"/>
    <cellStyle name="_CPFL-SobrasExposiçãoSubmercados 2" xfId="360" xr:uid="{0B1F97D4-B7AD-4BB5-850F-4EBB50A3F30C}"/>
    <cellStyle name="_CPFL-SobrasExposiçãoSubmercados_02 IRT COSERN 2009" xfId="572" xr:uid="{F5B2C050-1612-432F-BB74-D13D34275580}"/>
    <cellStyle name="_CPFL-SobrasExposiçãoSubmercados_2009.04.09 EEB IRT2009 Conexao CEMIG C Financeiro" xfId="1075" xr:uid="{026B81FF-2EF9-4213-8F95-6EF5EED42A3C}"/>
    <cellStyle name="_CPFL-SobrasExposiçãoSubmercados_Ajustes REAJUSTE 2008 ELETROPAULO" xfId="1076" xr:uid="{6D3EAC89-0C00-492D-9F9D-C60414D261AA}"/>
    <cellStyle name="_CPFL-SobrasExposiçãoSubmercados_Ajustes REAJUSTE 2008 ELETROPAULO_IRT-cálculo CAPA NEUTRALIDADE" xfId="1077" xr:uid="{AA173DDB-5305-4866-B003-51801C18795C}"/>
    <cellStyle name="_CPFL-SobrasExposiçãoSubmercados_Ajustes REVISÃO 2007 ELETROPAULO_IRT-cálculo" xfId="1078" xr:uid="{008E141F-093D-4FDC-BBC2-7203BF1E819E}"/>
    <cellStyle name="_CPFL-SobrasExposiçãoSubmercados_Balanço" xfId="32" xr:uid="{93F6195B-1F08-4E2E-96FC-DADEDED4FFB5}"/>
    <cellStyle name="_CPFL-SobrasExposiçãoSubmercados_Cálculo do Financeiro do Baixa Renda" xfId="1079" xr:uid="{130A65BC-2FA8-4C01-9B28-7EAAA4C7DF16}"/>
    <cellStyle name="_CPFL-SobrasExposiçãoSubmercados_Cálculo do Financeiro do Baixa Renda_IRT-cálculo CAPA NEUTRALIDADE" xfId="1080" xr:uid="{175676AD-7058-4AC7-98BF-B5B836113097}"/>
    <cellStyle name="_CPFL-SobrasExposiçãoSubmercados_Calculo_Subsidio_ELFSM_26_06_08_Modelo_ANEEL_IRT-cálculo" xfId="1081" xr:uid="{FE9B4F6E-D73E-4809-BD47-B5E5DDBA2614}"/>
    <cellStyle name="_CPFL-SobrasExposiçãoSubmercados_casulo 15" xfId="33" xr:uid="{EBD5EDED-2E8B-4758-9FF5-FA2584CD4898}"/>
    <cellStyle name="_CPFL-SobrasExposiçãoSubmercados_casulo 5 2" xfId="422" xr:uid="{B838E0C8-24D6-485D-B01C-F447ECDFFD89}"/>
    <cellStyle name="_CPFL-SobrasExposiçãoSubmercados_casulo 5_casulo 15" xfId="34" xr:uid="{CD961521-E069-49FF-8468-5B0F712E0C7C}"/>
    <cellStyle name="_CPFL-SobrasExposiçãoSubmercados_Cópia de IRT_CPFL_LESTE_PAULISTA(CPEE)_fev2009-COM_PREVISÃO_BR_da_Diretoria_pos_IGPM" xfId="35" xr:uid="{D8E3BBCA-6823-4993-A93A-FC82719126E2}"/>
    <cellStyle name="_CPFL-SobrasExposiçãoSubmercados_Cópia de IRT_CPFL_LESTE_PAULISTA(CPEE)_fev2009-COM_PREVISÃO_BR_da_Diretoria_pos_IGPM_Balanço" xfId="36" xr:uid="{C017DB5E-B8A1-40CC-9BDD-770DD75CD2DD}"/>
    <cellStyle name="_CPFL-SobrasExposiçãoSubmercados_Cópia de IRT_CPFL_LESTE_PAULISTA(CPEE)_fev2009-COM_PREVISÃO_BR_da_Diretoria_pos_IGPM_casulo 15" xfId="37" xr:uid="{77579E74-1B69-46BE-A106-7087901A1EDC}"/>
    <cellStyle name="_CPFL-SobrasExposiçãoSubmercados_Cópia de IRT_CPFL_LESTE_PAULISTA(CPEE)_fev2009-COM_PREVISÃO_BR_da_Diretoria_pos_IGPM_casulo 5 2" xfId="423" xr:uid="{8CD7E391-6570-4EA0-A237-4BFAED650708}"/>
    <cellStyle name="_CPFL-SobrasExposiçãoSubmercados_Cópia de IRT_CPFL_LESTE_PAULISTA(CPEE)_fev2009-COM_PREVISÃO_BR_da_Diretoria_pos_IGPM_casulo 5_Balanço" xfId="38" xr:uid="{E8FDFCDB-47F7-4BA2-9E02-E2C506DA26D8}"/>
    <cellStyle name="_CPFL-SobrasExposiçãoSubmercados_Cópia de IRT_CPFL_LESTE_PAULISTA(CPEE)_fev2009-COM_PREVISÃO_BR_da_Diretoria_pos_IGPM_casulo 5_casulo 15" xfId="39" xr:uid="{58EFBEA5-07DC-4AC3-B589-3C8CFED617DC}"/>
    <cellStyle name="_CPFL-SobrasExposiçãoSubmercados_Cópia de IRT_CPFL_LESTE_PAULISTA(CPEE)_fev2009-COM_PREVISÃO_BR_da_Diretoria_pos_IGPM_casulo 5_IRT EEB 2010" xfId="1082" xr:uid="{C8730A00-1F4F-4D78-AFD7-23D07679E920}"/>
    <cellStyle name="_CPFL-SobrasExposiçãoSubmercados_Cópia de IRT_CPFL_LESTE_PAULISTA(CPEE)_fev2009-COM_PREVISÃO_BR_da_Diretoria_pos_IGPM_IRT EEB 2010" xfId="1083" xr:uid="{5FB939F6-D216-4376-B083-CD5127961741}"/>
    <cellStyle name="_CPFL-SobrasExposiçãoSubmercados_Custo com Avaliação de Ativos para Base de Remuneração" xfId="1084" xr:uid="{3FDA20BB-DD74-4987-95D7-FF3F83573D20}"/>
    <cellStyle name="_CPFL-SobrasExposiçãoSubmercados_Custo com Avaliação de Ativos para Base de Remuneração_IRT-cálculo" xfId="1085" xr:uid="{47B3BF8E-F76D-4393-9EB0-AD4648250F95}"/>
    <cellStyle name="_CPFL-SobrasExposiçãoSubmercados_Custo com Avaliação de Ativos para Base de Remuneração_IRT-cálculo CAPA NEUTRALIDADE" xfId="1086" xr:uid="{5297BC43-ACEC-4379-8B25-5ECA019E29B7}"/>
    <cellStyle name="_CPFL-SobrasExposiçãoSubmercados_CVA e Subsídios fiscalização ESCELSA_08_07_2009 v3 SRE" xfId="1087" xr:uid="{0F9B08A8-81C9-47E0-8F67-F27DC19D8F85}"/>
    <cellStyle name="_CPFL-SobrasExposiçãoSubmercados_CVA Outros Componentes PROVISÃO" xfId="1088" xr:uid="{820AB528-AC4D-4B1B-84B7-39E7744C3151}"/>
    <cellStyle name="_CPFL-SobrasExposiçãoSubmercados_CVA_Projetada até dez-2008_Setembro" xfId="1089" xr:uid="{7F3F8E6D-9F9D-4298-9631-89C4BC3309E4}"/>
    <cellStyle name="_CPFL-SobrasExposiçãoSubmercados_Descontos CCC_CDE_PROINFA Nov_07_Out_08" xfId="1090" xr:uid="{9D034A4C-F4A6-4DB6-A7DF-1731BD76BFB0}"/>
    <cellStyle name="_CPFL-SobrasExposiçãoSubmercados_Descontos CCC_CDE_PROINFA Nov_07_Out_08_IRT-cálculo" xfId="1091" xr:uid="{4E9F4949-1E2E-42C5-A071-2E466444DC38}"/>
    <cellStyle name="_CPFL-SobrasExposiçãoSubmercados_Descontos CCC_CDE_PROINFA Nov_07_Out_08_IRT-cálculo CAPA NEUTRALIDADE" xfId="1092" xr:uid="{60E3DF91-17BD-4B81-AFCA-C1F8A03F0099}"/>
    <cellStyle name="_CPFL-SobrasExposiçãoSubmercados_Energia Comprada" xfId="1093" xr:uid="{729B076D-B314-4B6F-B901-3396F73E0F64}"/>
    <cellStyle name="_CPFL-SobrasExposiçãoSubmercados_Energia Comprada_IRT-cálculo" xfId="1094" xr:uid="{B9C0CABC-1FC3-4075-8EBB-D46AD31ACC27}"/>
    <cellStyle name="_CPFL-SobrasExposiçãoSubmercados_Energia Comprada_IRT-cálculo CAPA NEUTRALIDADE" xfId="1095" xr:uid="{64295196-B1F5-42C9-BE82-13BB7DE1DDA2}"/>
    <cellStyle name="_CPFL-SobrasExposiçãoSubmercados_Fator Novo e Antigo 4 anos" xfId="1096" xr:uid="{D2BF3866-10D7-4BEE-9C30-12DE5239B3B7}"/>
    <cellStyle name="_CPFL-SobrasExposiçãoSubmercados_Fator X" xfId="573" xr:uid="{DABF2132-5541-4777-8DC0-C1592BF77684}"/>
    <cellStyle name="_CPFL-SobrasExposiçãoSubmercados_Fator X 2" xfId="1097" xr:uid="{C53EB12E-A7F4-46DD-80F3-DA468D3C0B6C}"/>
    <cellStyle name="_CPFL-SobrasExposiçãoSubmercados_Fator X_IRT-cálculo" xfId="1098" xr:uid="{1238D419-DD3C-44B9-9A3D-C31AC9A5D8A4}"/>
    <cellStyle name="_CPFL-SobrasExposiçãoSubmercados_Fator X_IRT-cálculo CAPA NEUTRALIDADE" xfId="1099" xr:uid="{3EABA2B1-0FFB-4BB3-BF6D-921EA602737A}"/>
    <cellStyle name="_CPFL-SobrasExposiçãoSubmercados_Fator X_SOBRECONTRATAÇÃO E CVA" xfId="1100" xr:uid="{8A8AB76D-EB4F-411C-AC49-B7BE4E9A695A}"/>
    <cellStyle name="_CPFL-SobrasExposiçãoSubmercados_IF - Autoprodutores 2" xfId="1101" xr:uid="{D7A23285-84FD-48BD-A85C-6BE9A321AB4D}"/>
    <cellStyle name="_CPFL-SobrasExposiçãoSubmercados_IF_Consumidores livres e geradoras_2010" xfId="1102" xr:uid="{9DB2C440-24A9-4097-A1B8-3D2A959F6F15}"/>
    <cellStyle name="_CPFL-SobrasExposiçãoSubmercados_IRT" xfId="1103" xr:uid="{FDE35272-BAF0-4F2B-AC60-25DBDF80D69C}"/>
    <cellStyle name="_CPFL-SobrasExposiçãoSubmercados_IRT (2)" xfId="574" xr:uid="{2A027BD5-3666-4967-90B6-99675B825EC8}"/>
    <cellStyle name="_CPFL-SobrasExposiçãoSubmercados_IRT CELTINS 2009 versão 5" xfId="1104" xr:uid="{D13BE1F6-420F-4A77-B315-B5C4FAE7E420}"/>
    <cellStyle name="_CPFL-SobrasExposiçãoSubmercados_IRT Piratininga 2009" xfId="40" xr:uid="{C88FECD6-D634-48AA-860B-4FC0F83038BF}"/>
    <cellStyle name="_CPFL-SobrasExposiçãoSubmercados_IRT Piratininga 2009_Balanço" xfId="41" xr:uid="{8CF2FE08-D25A-4918-8817-85FED8EF05FF}"/>
    <cellStyle name="_CPFL-SobrasExposiçãoSubmercados_IRT Piratininga 2009_IRT EEB 2010" xfId="1105" xr:uid="{3F991B38-C2CE-47F0-8922-C68C47FD72F8}"/>
    <cellStyle name="_CPFL-SobrasExposiçãoSubmercados_IRT Reloaded_Balanço" xfId="42" xr:uid="{C1FE8DD7-853E-4662-B009-7AA00BAE1536}"/>
    <cellStyle name="_CPFL-SobrasExposiçãoSubmercados_IRT Reloaded_casulo 5 2" xfId="424" xr:uid="{6F1BBD73-8A0B-4B1D-8305-59D68602343A}"/>
    <cellStyle name="_CPFL-SobrasExposiçãoSubmercados_IRT Reloaded_IRT EEB 2010" xfId="1106" xr:uid="{B82DB6EB-51B0-4E6D-A708-6AB0807BFEFD}"/>
    <cellStyle name="_CPFL-SobrasExposiçãoSubmercados_IRT_1_IRT-cálculo CAPA NEUTRALIDADE" xfId="1107" xr:uid="{9ACC612A-87AF-4137-AF88-ADDD706BD478}"/>
    <cellStyle name="_CPFL-SobrasExposiçãoSubmercados_IRT_EBB_mai2010d" xfId="1108" xr:uid="{066A4C8A-E3F7-4554-ABDE-2BA220DAE144}"/>
    <cellStyle name="_CPFL-SobrasExposiçãoSubmercados_IRT_LIGHT_nov2007" xfId="575" xr:uid="{FFE5DB7C-9FEA-4AB0-A9E3-D2D7D58130F0}"/>
    <cellStyle name="_CPFL-SobrasExposiçãoSubmercados_IRT_LIGHT_nov2007_SOBRECONTRATAÇÃO E CVA" xfId="1109" xr:uid="{56FF547B-209C-4A4F-A888-960522E83F2D}"/>
    <cellStyle name="_CPFL-SobrasExposiçãoSubmercados_IRT_Planilha Básica_ CETRIL_casulo 15" xfId="43" xr:uid="{46F768C9-10CE-417E-8C48-E27159E71924}"/>
    <cellStyle name="_CPFL-SobrasExposiçãoSubmercados_IRT_Planilha Básica_fev2010" xfId="1110" xr:uid="{FDF6ECDA-F55D-406A-AF8B-9DD749194328}"/>
    <cellStyle name="_CPFL-SobrasExposiçãoSubmercados_IRT_Planilha Básica_fev2010a_Balanço 2" xfId="425" xr:uid="{DC0F731B-A7C2-48B3-9705-7DD15E2CEC79}"/>
    <cellStyle name="_CPFL-SobrasExposiçãoSubmercados_IRT_Planilha Básica_fev2010a_casulo 5_Balanço" xfId="44" xr:uid="{107BF483-507D-49B5-8A82-1246C9452DBC}"/>
    <cellStyle name="_CPFL-SobrasExposiçãoSubmercados_IRT_Planilha Básica_jun2009" xfId="1111" xr:uid="{CB2328DC-3462-4359-B3A8-2BEF51AE05DF}"/>
    <cellStyle name="_CPFL-SobrasExposiçãoSubmercados_IRT_Planilha Básica_março2009" xfId="45" xr:uid="{FE9EB41A-85BD-4DDB-BB71-26A877E67276}"/>
    <cellStyle name="_CPFL-SobrasExposiçãoSubmercados_IRT_Planilha Básica_março2009_Balanço 2" xfId="426" xr:uid="{484FCE88-E48D-4B84-8B3F-1387E39CEF62}"/>
    <cellStyle name="_CPFL-SobrasExposiçãoSubmercados_IRT_Planilha Básica_março2009_casulo 5_Balanço" xfId="46" xr:uid="{02C9A8E4-8762-4318-B24F-8CD4BE0FEC5B}"/>
    <cellStyle name="_CPFL-SobrasExposiçãoSubmercados_IRT_Planilha Básica_março2009_COELCE - RTO 2011 - PLPT_PLANILHA_CÁLCULO_DÉFICIT" xfId="1112" xr:uid="{C2283345-99B9-4749-AB76-6D4A285657A9}"/>
    <cellStyle name="_CPFL-SobrasExposiçãoSubmercados_IRT_Planilha Básica_março2009_IRT Piratininga 2009_Balanço" xfId="47" xr:uid="{CB3DA11A-9C75-481A-8DC4-DACB7EBD3E1E}"/>
    <cellStyle name="_CPFL-SobrasExposiçãoSubmercados_IRT_Planilha Básica_março2009_IRT_Planilha Básica_ CETRIL" xfId="48" xr:uid="{E891B8E5-0386-43D0-9872-C6B47076FD16}"/>
    <cellStyle name="_CPFL-SobrasExposiçãoSubmercados_IRT_Planilha Básica_março2009_IRT_Planilha Básica_ CETRIL_IRT EEB 2010" xfId="1113" xr:uid="{05E14A36-7F0B-49CA-9719-A900FE963B86}"/>
    <cellStyle name="_CPFL-SobrasExposiçãoSubmercados_IRT_Planilha Básica_março2009_IRT_Planilha Básica_fev2010a 2" xfId="427" xr:uid="{F5BF98AA-3382-4FE9-8EE9-B6FCEAF6C1CD}"/>
    <cellStyle name="_CPFL-SobrasExposiçãoSubmercados_IRT_Planilha Básica_março2009_IRT_Planilha Básica_fev2010a_casulo 5" xfId="49" xr:uid="{3D715C0A-6306-495C-8126-EF410909FBAA}"/>
    <cellStyle name="_CPFL-SobrasExposiçãoSubmercados_IRT_Planilha Básica_março2009_IRT_Planilha Básica_fev2010a_casulo 5_casulo 15" xfId="50" xr:uid="{08BE054B-92FE-471B-903D-886AD7DE8BFC}"/>
    <cellStyle name="_CPFL-SobrasExposiçãoSubmercados_IRT_Planilha Básica_março2009_IRT_Planilha Básica_fev2010a_IRT EEB 2010" xfId="1114" xr:uid="{32074A93-A7CC-4208-B1E4-FA862018245E}"/>
    <cellStyle name="_CPFL-SobrasExposiçãoSubmercados_IRT_Planilha Básica_março2009_IRT_Planilha Básica_mar2010d" xfId="51" xr:uid="{45B78912-A4B7-438A-B134-3D9F25220AEE}"/>
    <cellStyle name="_CPFL-SobrasExposiçãoSubmercados_IRT_Planilha Básica_março2009_IRT_Planilha Básica_NOVA METODOLOGIA" xfId="1115" xr:uid="{1D079E1D-E3C0-4CF8-9E0C-99FD3FE3FE13}"/>
    <cellStyle name="_CPFL-SobrasExposiçãoSubmercados_IRT_Planilha Básica_março2009_Resultados_DEA_RND_QUAL_PERDAS" xfId="1116" xr:uid="{7FF702AA-ABE8-44BC-A304-316C8B929CE5}"/>
    <cellStyle name="_CPFL-SobrasExposiçãoSubmercados_IRT_Planilha Básica_março2009_teste ampla" xfId="52" xr:uid="{9809394D-8B2E-4A57-92D2-6B1ED78B37BC}"/>
    <cellStyle name="_CPFL-SobrasExposiçãoSubmercados_IRT_Planilha Básica_março2009_teste ampla_Balanço" xfId="53" xr:uid="{32A7CC3C-721C-4DB5-A000-2181EFB86989}"/>
    <cellStyle name="_CPFL-SobrasExposiçãoSubmercados_IRT_Planilha Básica_março2009_teste ampla_casulo 15" xfId="54" xr:uid="{131769C2-284F-4770-9BE9-8AB35C708A1A}"/>
    <cellStyle name="_CPFL-SobrasExposiçãoSubmercados_IRT_Planilha Básica_março2009_teste ampla_casulo 5 2" xfId="428" xr:uid="{A7429399-15F1-4632-A264-A498A813ECC2}"/>
    <cellStyle name="_CPFL-SobrasExposiçãoSubmercados_IRT_Planilha Básica_março2009_teste ampla_casulo 5_casulo 15" xfId="55" xr:uid="{E5D88436-0960-48DD-BE5E-1C69698F5E42}"/>
    <cellStyle name="_CPFL-SobrasExposiçãoSubmercados_IRT_Planilha Básica_março2009_teste ampla_IRT EEB 2010" xfId="1117" xr:uid="{B1931B91-1823-475B-A6C6-C5B91B903FAF}"/>
    <cellStyle name="_CPFL-SobrasExposiçãoSubmercados_IRT_Planilha Básica_out2009" xfId="56" xr:uid="{F6A455CD-1DF1-40D0-B7EA-D0BA2D07B1E1}"/>
    <cellStyle name="_CPFL-SobrasExposiçãoSubmercados_IRT_Planilha Básica_out2009 2" xfId="429" xr:uid="{B34B7D54-0C23-40A1-AF9B-D5BD8B363E92}"/>
    <cellStyle name="_CPFL-SobrasExposiçãoSubmercados_IRT_Planilha Básica_out2009_Balanço 2" xfId="430" xr:uid="{E7335363-81AA-41EE-80B8-3474AB078688}"/>
    <cellStyle name="_CPFL-SobrasExposiçãoSubmercados_IRT_Planilha Básica_out2009_casulo 5" xfId="57" xr:uid="{FC70735D-3CFF-4ADB-A321-F0036DBECC0E}"/>
    <cellStyle name="_CPFL-SobrasExposiçãoSubmercados_IRT_Planilha Básica_out2009_casulo 5_Balanço" xfId="58" xr:uid="{1713D032-7A43-4511-A889-E94B2BDCA40C}"/>
    <cellStyle name="_CPFL-SobrasExposiçãoSubmercados_IRT_Planilha Básica_out2009_casulo 5_IRT EEB 2010" xfId="1118" xr:uid="{D383BE9A-3422-4E4A-AAC2-56E5F21810A5}"/>
    <cellStyle name="_CPFL-SobrasExposiçãoSubmercados_IRT_Pleito" xfId="1119" xr:uid="{4BDC79FD-5778-4CA0-A8F3-B0DAA823114A}"/>
    <cellStyle name="_CPFL-SobrasExposiçãoSubmercados_IRT_Pleito_IRT-cálculo CAPA NEUTRALIDADE" xfId="1120" xr:uid="{0D34EED5-A0C8-4991-8FC0-B1E5028A56E3}"/>
    <cellStyle name="_CPFL-SobrasExposiçãoSubmercados_IRT_Revisão A-1_IRT-cálculo" xfId="1121" xr:uid="{EA3546FD-85C8-4201-AD2C-533B11D02CC4}"/>
    <cellStyle name="_CPFL-SobrasExposiçãoSubmercados_IRT_SantaCruzpós IGPM" xfId="1122" xr:uid="{FE735E5F-FE97-416C-9310-DD7D6EE3640E}"/>
    <cellStyle name="_CPFL-SobrasExposiçãoSubmercados_IRT1_IRT-cálculo" xfId="1123" xr:uid="{8A8B8328-5A1B-475D-9909-B76D450F950B}"/>
    <cellStyle name="_CPFL-SobrasExposiçãoSubmercados_IRT-2010_COPEL_SOBRECONTRATAÇÃOeCVAenergia" xfId="576" xr:uid="{EBCA64AE-58B7-4833-8168-6B4FB27B3855}"/>
    <cellStyle name="_CPFL-SobrasExposiçãoSubmercados_IRT-cálculo CAPA NEUTRALIDADE" xfId="1124" xr:uid="{146B18E2-1132-47E7-B224-56110E97CC31}"/>
    <cellStyle name="_CPFL-SobrasExposiçãoSubmercados_Pasta1 2" xfId="1125" xr:uid="{C6638AF5-BA67-4F77-9A9F-912EE3685C03}"/>
    <cellStyle name="_CPFL-SobrasExposiçãoSubmercados_Pasta1_IRT-cálculo CAPA NEUTRALIDADE" xfId="1126" xr:uid="{A4FDA6DE-FE02-45B0-91F9-898199F993EC}"/>
    <cellStyle name="_CPFL-SobrasExposiçãoSubmercados_Pasta2" xfId="59" xr:uid="{0C346BB5-7439-42D6-8C49-FF46484DD061}"/>
    <cellStyle name="_CPFL-SobrasExposiçãoSubmercados_Pasta2_02 IRT Bandeirante 2009" xfId="1127" xr:uid="{F65C6B11-DF44-4ED2-A80E-57677108EB64}"/>
    <cellStyle name="_CPFL-SobrasExposiçãoSubmercados_Pasta2_Balanço 2" xfId="431" xr:uid="{8DC84E1B-CD4F-4B97-9427-0617AC61B185}"/>
    <cellStyle name="_CPFL-SobrasExposiçãoSubmercados_Pasta2_casulo 5" xfId="60" xr:uid="{CBFFD889-4754-490D-AEA6-A638056BAF2E}"/>
    <cellStyle name="_CPFL-SobrasExposiçãoSubmercados_Pasta2_casulo 5_Balanço" xfId="61" xr:uid="{EF5FE91A-FB46-4BC9-9060-84E9D76B904A}"/>
    <cellStyle name="_CPFL-SobrasExposiçãoSubmercados_Pasta2_casulo 5_IRT EEB 2010" xfId="1128" xr:uid="{14F5A3C2-55E9-4EF5-831A-27378CE8FEAE}"/>
    <cellStyle name="_CPFL-SobrasExposiçãoSubmercados_Pasta2_IRT Piratininga 2009" xfId="62" xr:uid="{D49B65DE-38B8-4C05-90A0-E3BB36ED6AB7}"/>
    <cellStyle name="_CPFL-SobrasExposiçãoSubmercados_Pasta2_IRT Piratininga 2009_Balanço" xfId="63" xr:uid="{14C8FD32-0B75-4A46-9576-7111379E6D70}"/>
    <cellStyle name="_CPFL-SobrasExposiçãoSubmercados_Pasta2_IRT Piratininga 2009_IRT EEB 2010" xfId="1129" xr:uid="{E2BB6CC2-3481-4A6E-85D0-BE43C9D6410A}"/>
    <cellStyle name="_CPFL-SobrasExposiçãoSubmercados_Pasta2_IRT_Planilha Básica_ CETRIL" xfId="64" xr:uid="{F7716499-3028-4337-971B-F5631AA9819D}"/>
    <cellStyle name="_CPFL-SobrasExposiçãoSubmercados_Pasta2_IRT_Planilha Básica_ CETRIL_Balanço" xfId="65" xr:uid="{03EE6E2C-E401-404A-948B-C17B05216BE9}"/>
    <cellStyle name="_CPFL-SobrasExposiçãoSubmercados_Pasta2_IRT_Planilha Básica_ CETRIL_IRT EEB 2010" xfId="1130" xr:uid="{3D03A092-3DF9-43B8-9588-0854B8A16DD0}"/>
    <cellStyle name="_CPFL-SobrasExposiçãoSubmercados_Pasta2_IRT_Planilha Básica_fev2010" xfId="1131" xr:uid="{A554822D-B650-4ADA-A892-96D3E3ADEEE8}"/>
    <cellStyle name="_CPFL-SobrasExposiçãoSubmercados_Pasta2_IRT_Planilha Básica_fev2010a 2" xfId="432" xr:uid="{EAD7DDC7-AE69-49A2-898A-C43D04D0EFAF}"/>
    <cellStyle name="_CPFL-SobrasExposiçãoSubmercados_Pasta2_IRT_Planilha Básica_fev2010a_Balanço 2" xfId="433" xr:uid="{D9A7FF08-BE99-4855-88B6-78A40EB603CA}"/>
    <cellStyle name="_CPFL-SobrasExposiçãoSubmercados_Pasta2_IRT_Planilha Básica_fev2010a_casulo 5" xfId="66" xr:uid="{56F5366C-DA32-49DE-A14C-2D6EE1F20756}"/>
    <cellStyle name="_CPFL-SobrasExposiçãoSubmercados_Pasta2_IRT_Planilha Básica_fev2010a_casulo 5_Balanço" xfId="67" xr:uid="{5F461BBF-A4F7-4F12-9749-2585445F5F1C}"/>
    <cellStyle name="_CPFL-SobrasExposiçãoSubmercados_Pasta2_IRT_Planilha Básica_fev2010a_casulo 5_IRT EEB 2010" xfId="1132" xr:uid="{7B541FA9-8AE4-4DAE-8F15-4259ECDC128A}"/>
    <cellStyle name="_CPFL-SobrasExposiçãoSubmercados_Pasta2_IRT_Planilha Básica_jan2010" xfId="1133" xr:uid="{8C09B075-DDA7-4E2D-8C56-FE010B6DBA56}"/>
    <cellStyle name="_CPFL-SobrasExposiçãoSubmercados_Pasta2_IRT_Planilha Básica_mar2010d" xfId="68" xr:uid="{FAB6CF5F-09CF-4C91-9DD3-A0F1F152A771}"/>
    <cellStyle name="_CPFL-SobrasExposiçãoSubmercados_Pasta2_IRT_Planilha Básica_NOVA METODOLOGIA" xfId="1134" xr:uid="{DA4D6C6E-E90D-436E-B3EB-4304C8443EAB}"/>
    <cellStyle name="_CPFL-SobrasExposiçãoSubmercados_Pasta2_IRT-cálculo" xfId="1135" xr:uid="{8A008CA6-4FA2-4710-A319-F2B793B018C3}"/>
    <cellStyle name="_CPFL-SobrasExposiçãoSubmercados_Pasta2_Resultados_DEA_RND_QUAL_PERDAS" xfId="1136" xr:uid="{F572096D-5F6B-43D4-81C0-3F44B91826D3}"/>
    <cellStyle name="_CPFL-SobrasExposiçãoSubmercados_Pasta2_teste ampla 2" xfId="434" xr:uid="{962281CE-985A-4099-9F89-464858B89E25}"/>
    <cellStyle name="_CPFL-SobrasExposiçãoSubmercados_Pasta2_teste ampla_Balanço 2" xfId="435" xr:uid="{3B7CE19E-F2E2-426E-B5DE-0225BC385AEE}"/>
    <cellStyle name="_CPFL-SobrasExposiçãoSubmercados_Pasta2_teste ampla_casulo 5" xfId="69" xr:uid="{E11C7042-BB4A-434D-8423-F3045DACEEEA}"/>
    <cellStyle name="_CPFL-SobrasExposiçãoSubmercados_Pasta2_teste ampla_casulo 5_Balanço" xfId="70" xr:uid="{A987E3FD-EC75-4E22-A1C6-3A3762DB2616}"/>
    <cellStyle name="_CPFL-SobrasExposiçãoSubmercados_Pasta2_teste ampla_casulo 5_IRT EEB 2010" xfId="1137" xr:uid="{AB30EF8B-D46E-4103-8BDD-93CF199FCCE4}"/>
    <cellStyle name="_CPFL-SobrasExposiçãoSubmercados_Plan1" xfId="1138" xr:uid="{F1FCE290-1C51-408B-ACE6-1415CC23EFFE}"/>
    <cellStyle name="_CPFL-SobrasExposiçãoSubmercados_PROVISÃO" xfId="1139" xr:uid="{07891081-433F-485A-9E61-695684F31DF0}"/>
    <cellStyle name="_CPFL-SobrasExposiçãoSubmercados_Receita de Venda Leilão Nova Térmico_IRT-cálculo" xfId="1140" xr:uid="{3E88EEBE-0DC9-4F8A-B212-6A07434E1453}"/>
    <cellStyle name="_CPFL-SobrasExposiçãoSubmercados_Resultados_DEA_RND_QUAL_PERDAS" xfId="1141" xr:uid="{1D9B1CF0-79CE-4365-823F-BC5EFCD68C6E}"/>
    <cellStyle name="_CPFL-SobrasExposiçãoSubmercados_Sheet2" xfId="1142" xr:uid="{53CDBC43-5D13-4094-9DED-E0E2759B6455}"/>
    <cellStyle name="_CPFL-SobrasExposiçãoSubmercados_Simulação AES SUL 03_04_07 2" xfId="436" xr:uid="{271C1E0A-BC93-4B18-ADCD-6AA737AD1B0B}"/>
    <cellStyle name="_CPFL-SobrasExposiçãoSubmercados_Simulação AES SUL 03_04_07_casulo 15" xfId="71" xr:uid="{5937F1A0-014D-4F6F-BC65-00AF956837A1}"/>
    <cellStyle name="_CPFL-SobrasExposiçãoSubmercados_Simulação CEPISA XX_08_07" xfId="577" xr:uid="{6F237819-2298-477C-A94D-872070ADAE20}"/>
    <cellStyle name="_CPFL-SobrasExposiçãoSubmercados_Simulador modelo" xfId="72" xr:uid="{EC3854A4-888A-477E-AE3B-FE41BC565279}"/>
    <cellStyle name="_CPFL-SobrasExposiçãoSubmercados_Simulador modelo_Balanço" xfId="73" xr:uid="{41AA3C87-79BD-451B-8628-A3085FB338EF}"/>
    <cellStyle name="_CPFL-SobrasExposiçãoSubmercados_Simulador modelo_casulo 15" xfId="74" xr:uid="{59DB2A76-4AF5-44A9-8B1B-5D274F89EEBD}"/>
    <cellStyle name="_CPFL-SobrasExposiçãoSubmercados_Simulador modelo_casulo 5 2" xfId="437" xr:uid="{11E03815-289A-43F1-98F9-215387427F76}"/>
    <cellStyle name="_CPFL-SobrasExposiçãoSubmercados_Simulador modelo_casulo 5_casulo 15" xfId="75" xr:uid="{FF6BF2CA-90A1-487B-9149-4D946BA8A502}"/>
    <cellStyle name="_CPFL-SobrasExposiçãoSubmercados_Simulador modelo_IRT EEB 2010" xfId="1143" xr:uid="{BBA5773D-9F45-4CA8-B20D-25CE18352FAA}"/>
    <cellStyle name="_CPFL-SobrasExposiçãoSubmercados_Sobrecontratação AES (2) 2" xfId="438" xr:uid="{63D75FAA-CADD-4436-8902-672716325D23}"/>
    <cellStyle name="_CPFL-SobrasExposiçãoSubmercados_Sobrecontratação AES (2)_casulo 15" xfId="76" xr:uid="{FDF5F8B0-B5D3-4429-BE3E-392416A5AAD3}"/>
    <cellStyle name="_CPFL-SobrasExposiçãoSubmercados_SOBRECONTRATAÇÃO E CVA" xfId="1144" xr:uid="{9CA2BAC6-6C36-4E1C-9408-34B7BCCA3192}"/>
    <cellStyle name="_CPFL-SobrasExposiçãoSubmercados_SOBRECONTRATAÇÃO E CVA A-1_IRT-cálculo" xfId="1145" xr:uid="{0016FC06-5329-4FFE-815E-0A90625A5A94}"/>
    <cellStyle name="_CPFL-SobrasExposiçãoSubmercados_SOBRECONTRATAÇÃO E CVA Energisa Paraíba" xfId="1146" xr:uid="{06830630-B5A4-4892-8E72-EEEF1D73D2E9}"/>
    <cellStyle name="_CPFL-SobrasExposiçãoSubmercados_Subsídios para análise da SRE" xfId="77" xr:uid="{8D3E1FFA-914E-4EE4-9803-6084C589E097}"/>
    <cellStyle name="_CPFL-SobrasExposiçãoSubmercados_Subsídios para análise da SRE_02 IRT Bandeirante 2009" xfId="1147" xr:uid="{CB4DFC02-84F6-4EC1-B6AD-A532F0152243}"/>
    <cellStyle name="_CPFL-SobrasExposiçãoSubmercados_Subsídios para análise da SRE_Balanço" xfId="78" xr:uid="{DDBCE8A8-5EF7-4E9A-86B5-1ECD6E19A6B9}"/>
    <cellStyle name="_CPFL-SobrasExposiçãoSubmercados_Subsídios para análise da SRE_casulo 15" xfId="79" xr:uid="{B3C3789F-3605-4D1F-9F0A-8F368E2FE2DB}"/>
    <cellStyle name="_CPFL-SobrasExposiçãoSubmercados_Subsídios para análise da SRE_casulo 5 2" xfId="439" xr:uid="{38C0BB26-2EAD-455E-809F-7245372A7EF8}"/>
    <cellStyle name="_CPFL-SobrasExposiçãoSubmercados_Subsídios para análise da SRE_casulo 5_casulo 15" xfId="80" xr:uid="{68FE88BA-933C-4AF9-B479-15963A9E7ABE}"/>
    <cellStyle name="_CPFL-SobrasExposiçãoSubmercados_Subsídios para análise da SRE_IRT EEB 2010" xfId="1148" xr:uid="{0A35C8E6-7D70-4939-B563-89F1EFF474EE}"/>
    <cellStyle name="_CPFL-SobrasExposiçãoSubmercados_Subsídios para análise da SRE_IRT Piratininga 2009 2" xfId="440" xr:uid="{75E160C1-E61D-4ECE-A1FD-DF4ECA6704EC}"/>
    <cellStyle name="_CPFL-SobrasExposiçãoSubmercados_Subsídios para análise da SRE_IRT Piratininga 2009_casulo 15" xfId="81" xr:uid="{ECB9CA62-7D4F-461D-8848-0CADEDDAB5B1}"/>
    <cellStyle name="_CPFL-SobrasExposiçãoSubmercados_Subsídios para análise da SRE_IRT_EBB_mai2010d" xfId="1149" xr:uid="{91ADB3B9-A00A-49D0-AD66-2D2024594828}"/>
    <cellStyle name="_CPFL-SobrasExposiçãoSubmercados_Subsídios para análise da SRE_IRT_Planilha Básica_ CETRIL 2" xfId="441" xr:uid="{F5252DF6-A48D-47F4-9591-D8E07D3F43F6}"/>
    <cellStyle name="_CPFL-SobrasExposiçãoSubmercados_Subsídios para análise da SRE_IRT_Planilha Básica_ CETRIL_casulo 15" xfId="82" xr:uid="{82A27091-0DD8-493F-BF10-AAF1131398DB}"/>
    <cellStyle name="_CPFL-SobrasExposiçãoSubmercados_Subsídios para análise da SRE_IRT_Planilha Básica_DIRETORIA" xfId="1150" xr:uid="{B5B3162B-C9CE-4DCF-91B8-B2B85931C51D}"/>
    <cellStyle name="_CPFL-SobrasExposiçãoSubmercados_Subsídios para análise da SRE_IRT_Planilha Básica_fev2010a" xfId="83" xr:uid="{147B98F7-09EC-4704-8814-74323A0DEC27}"/>
    <cellStyle name="_CPFL-SobrasExposiçãoSubmercados_Subsídios para análise da SRE_IRT_Planilha Básica_fev2010a_Balanço" xfId="84" xr:uid="{EF32B8CA-EFDA-4EA8-A6A6-6F93DCD0FF71}"/>
    <cellStyle name="_CPFL-SobrasExposiçãoSubmercados_Subsídios para análise da SRE_IRT_Planilha Básica_fev2010a_casulo 15" xfId="85" xr:uid="{5C6B7EBE-027E-485A-8D3F-8D62B50A96CD}"/>
    <cellStyle name="_CPFL-SobrasExposiçãoSubmercados_Subsídios para análise da SRE_IRT_Planilha Básica_fev2010a_casulo 5 2" xfId="442" xr:uid="{F15B7360-8F82-4DAB-8EBF-9D04C98D0A2D}"/>
    <cellStyle name="_CPFL-SobrasExposiçãoSubmercados_Subsídios para análise da SRE_IRT_Planilha Básica_fev2010a_casulo 5_casulo 15" xfId="86" xr:uid="{3944BE4B-7A75-49FB-A539-1140F670E814}"/>
    <cellStyle name="_CPFL-SobrasExposiçãoSubmercados_Subsídios para análise da SRE_IRT_Planilha Básica_fev2010a_IRT EEB 2010" xfId="1151" xr:uid="{F650CDB6-3D8F-41AB-A8AB-E8F7645B33BB}"/>
    <cellStyle name="_CPFL-SobrasExposiçãoSubmercados_Subsídios para análise da SRE_IRT_Planilha Básica_mar2010b" xfId="1152" xr:uid="{D156C30E-524C-46E9-94FF-104639FDCF34}"/>
    <cellStyle name="_CPFL-SobrasExposiçãoSubmercados_Subsídios para análise da SRE_IRT_Planilha Básica_mar2010d 2" xfId="443" xr:uid="{313D8C84-A14B-43CA-8597-494545A23FE8}"/>
    <cellStyle name="_CPFL-SobrasExposiçãoSubmercados_Subsídios para análise da SRE_IRT_Santa 2010" xfId="1153" xr:uid="{712B1E42-6954-4BE2-93A1-9ADD0D71963A}"/>
    <cellStyle name="_CPFL-SobrasExposiçãoSubmercados_Subsídios para análise da SRE_IRT-cálculo CAPA NEUTRALIDADE" xfId="1154" xr:uid="{CA122800-9609-4096-BFC2-C04D7B5EC05D}"/>
    <cellStyle name="_CPFL-SobrasExposiçãoSubmercados_Subsídios para análise da SRE_teste ampla" xfId="87" xr:uid="{14597A46-50CC-4FAB-B6C9-5BD2E1FB732C}"/>
    <cellStyle name="_CPFL-SobrasExposiçãoSubmercados_Subsídios para análise da SRE_teste ampla_Balanço" xfId="88" xr:uid="{34113429-981F-44DE-8C96-6F765A040AC8}"/>
    <cellStyle name="_CPFL-SobrasExposiçãoSubmercados_Subsídios para análise da SRE_teste ampla_casulo 15" xfId="89" xr:uid="{6CEF61EB-03F2-4332-AAE8-8A68445763C3}"/>
    <cellStyle name="_CPFL-SobrasExposiçãoSubmercados_Subsídios para análise da SRE_teste ampla_casulo 5 2" xfId="444" xr:uid="{4A504AEA-7117-4EB7-996D-5AE14D56BFC8}"/>
    <cellStyle name="_CPFL-SobrasExposiçãoSubmercados_Subsídios para análise da SRE_teste ampla_casulo 5_casulo 15" xfId="90" xr:uid="{18CBFA18-3A03-4C68-A771-27F9493EA64E}"/>
    <cellStyle name="_CPFL-SobrasExposiçãoSubmercados_Subsídios para análise da SRE_teste ampla_IRT EEB 2010" xfId="1155" xr:uid="{9CBB72A4-7374-43B3-9135-C187E9885458}"/>
    <cellStyle name="_CPFL-SobrasExposiçãoSubmercados_teste ampla" xfId="91" xr:uid="{CBFC1C24-6594-423A-B112-87B761B7A9F9}"/>
    <cellStyle name="_CPFL-SobrasExposiçãoSubmercados_teste ampla_Balanço" xfId="92" xr:uid="{1178896C-001B-4028-BFDB-AFA1C7EDBA2F}"/>
    <cellStyle name="_CPFL-SobrasExposiçãoSubmercados_teste ampla_casulo 15" xfId="93" xr:uid="{296749DE-DD43-4F13-B5C0-3C06F37E5316}"/>
    <cellStyle name="_CPFL-SobrasExposiçãoSubmercados_teste ampla_casulo 5 2" xfId="445" xr:uid="{68EC768C-19F4-40A0-BFC6-019CEE007DF9}"/>
    <cellStyle name="_CPFL-SobrasExposiçãoSubmercados_teste ampla_casulo 5_casulo 15" xfId="94" xr:uid="{82543105-9261-49FB-BD6E-9F458BA6F0B5}"/>
    <cellStyle name="_CPFL-SobrasExposiçãoSubmercados_teste ampla_IRT EEB 2010" xfId="1156" xr:uid="{A7C8D752-E392-4D22-A1D3-661BEC7AE3D8}"/>
    <cellStyle name="_CVA_Celpe_final_tarifa média" xfId="578" xr:uid="{5E5888D1-21CE-4EAF-87F6-8E4656460A2C}"/>
    <cellStyle name="_CVA_SFF_CELPA_AGO2006" xfId="579" xr:uid="{F57BD3D6-3549-49FF-9EB7-F023F2F20CC1}"/>
    <cellStyle name="_CVA_SFF_CELPA_AGO2006_COELCE - RTO 2011 - PLPT_PLANILHA_CÁLCULO_DÉFICIT" xfId="1157" xr:uid="{FCE2D948-332F-49E8-B7E5-02AFD06B779F}"/>
    <cellStyle name="_CVAacompensar_ESCELSA_ago-07_jul-08_IRT-cálculo" xfId="1158" xr:uid="{54D5F06D-27AA-405A-85ED-9117ACE350E8}"/>
    <cellStyle name="_Dados 2 ciclo Revisão Tarifaria Santa Cruz Base de Dados" xfId="1159" xr:uid="{EC1B05DF-9FC7-4786-8925-549B9B40C521}"/>
    <cellStyle name="_Dados_Rede_Basica_Compra_ESC_IRT_2008_IRT-cálculo" xfId="1160" xr:uid="{51426D33-8BF2-4847-BB7C-F2732716CF01}"/>
    <cellStyle name="_Desverticalização EDEVP" xfId="1161" xr:uid="{99FB6489-76F7-4399-ACF6-56BCBD9533BE}"/>
    <cellStyle name="_Desverticalização EDEVP_2009.04.09 EEB IRT2009 Conexao CEMIG C Financeiro" xfId="1162" xr:uid="{5B2E743A-5E2A-4F6D-A7EB-4DD5D3B0DC6A}"/>
    <cellStyle name="_Desverticalização EDEVP_IF - Autoprodutores 2" xfId="1163" xr:uid="{D928919D-97C9-4D25-9FAE-0FC17ED1158E}"/>
    <cellStyle name="_Desverticalização EDEVP_IF_Consumidores livres e geradoras_2010" xfId="1164" xr:uid="{42B857FC-79F2-49A9-A047-D5DBF919028C}"/>
    <cellStyle name="_Desverticalização EDEVP_Sheet1" xfId="1165" xr:uid="{7B3D9707-21C0-462F-BC38-E6CB6C5BB10D}"/>
    <cellStyle name="_EBO 2009 Subsídio Irrigantes - Final" xfId="1166" xr:uid="{C805759D-8FE7-4F9A-8DDE-B0FDACA7AD0C}"/>
    <cellStyle name="_EBOSubsídio Fontes Alternativas Cons Livre - final" xfId="1167" xr:uid="{C000FF3A-5C3D-4CE8-A396-D53314DB60DD}"/>
    <cellStyle name="_EDVP-SobrasExposiçãoSubmercados" xfId="1168" xr:uid="{11C402FC-DC3A-43BB-A741-D7E2380B584D}"/>
    <cellStyle name="_EDVP-SobrasExposiçãoSubmercados_2009.04.09 EEB IRT2009 Conexao CEMIG C Financeiro" xfId="1169" xr:uid="{F7D5F36F-06A0-4935-801B-363BC444A165}"/>
    <cellStyle name="_EDVP-SobrasExposiçãoSubmercados_IF - Autoprodutores 2" xfId="1170" xr:uid="{63E6B7C8-1905-4AC8-93D8-42AC96528A50}"/>
    <cellStyle name="_EDVP-SobrasExposiçãoSubmercados_IF_Consumidores livres e geradoras_2010" xfId="1171" xr:uid="{1B8FD7BF-7EE5-408D-96D3-28F5B023A512}"/>
    <cellStyle name="_EDVP-SobrasExposiçãoSubmercados_Sheet1" xfId="1172" xr:uid="{77EE6CAA-3D2A-49C6-A1CB-507B29F51206}"/>
    <cellStyle name="_EEVP_Repasse-Sobrecontratação" xfId="1173" xr:uid="{747BCC3D-2D0D-4FAB-BD66-D4AADB049F80}"/>
    <cellStyle name="_EEVP_Repasse-Sobrecontratação_IF - Autoprodutores 2" xfId="1174" xr:uid="{B7C974A4-0315-41E2-B9E6-DA0E8E887E04}"/>
    <cellStyle name="_EEVP_Repasse-Sobrecontratação_IF_Consumidores livres e geradoras_2010" xfId="1175" xr:uid="{6E1FCC10-87BE-48BF-9D9F-C4809715A57D}"/>
    <cellStyle name="_EEVP_Repasse-Sobrecontratação_Sheet1" xfId="1176" xr:uid="{6B00352F-897A-4B01-89E3-B2DE420F8CF4}"/>
    <cellStyle name="_ELEKTRO - Dados Repasse sobrecontratação" xfId="95" xr:uid="{EFD84108-5686-43BF-9C2F-88C29360A802}"/>
    <cellStyle name="_ELEKTRO - Dados Repasse sobrecontratação 2" xfId="446" xr:uid="{55CDE7E6-57F8-4B24-97E5-9B72C7E6B815}"/>
    <cellStyle name="_ELEKTRO - Dados Repasse sobrecontratação 3" xfId="1177" xr:uid="{6128CD3A-362B-4AF4-BE54-B000B8A5B613}"/>
    <cellStyle name="_ELEKTRO - Dados Repasse sobrecontratação_Exposição_Agosto 2" xfId="1178" xr:uid="{0BA344FF-F41F-445E-BAE9-878607D8A15C}"/>
    <cellStyle name="_ELEKTRO - Dados Repasse sobrecontratação_IRT_Revisão A-2" xfId="1179" xr:uid="{B92CE5FE-BAD3-4164-B9E1-DB561B00B671}"/>
    <cellStyle name="_ELEKTRO_Repasse-sobrecontratação" xfId="96" xr:uid="{22091F90-A4E3-40E1-8CF6-AD1ABED71E91}"/>
    <cellStyle name="_ELEKTRO_Repasse-sobrecontratação 2" xfId="447" xr:uid="{39B62270-1314-4E00-B67A-B20E34F69612}"/>
    <cellStyle name="_ELEKTRO_Repasse-sobrecontratação 3" xfId="1180" xr:uid="{A1CCECEE-6F1A-433D-892F-124E61815E97}"/>
    <cellStyle name="_ELEKTRO_Repasse-sobrecontratação_Exposição_Agosto 2" xfId="1181" xr:uid="{25A84EBE-0DA6-4CE4-A954-F33262E77B73}"/>
    <cellStyle name="_ELEKTRO_Repasse-sobrecontratação_IRT_Revisão A-2" xfId="1182" xr:uid="{8A268FF5-7510-48C6-BED8-40416AE51E3A}"/>
    <cellStyle name="_ELEKTRO-tarifa media - para CVA" xfId="97" xr:uid="{EFEFEB24-DFB1-4D58-84C4-5747D0ADA498}"/>
    <cellStyle name="_ELEKTRO-tarifa media - para CVA 2" xfId="448" xr:uid="{5E6FAB1E-4C64-4357-9FE6-E0F5B7F7CE69}"/>
    <cellStyle name="_ELEKTRO-tarifa media - para CVA_Calculo_Subsidio_ELFSM_26_06_08_Modelo_ANEEL" xfId="1183" xr:uid="{E8C199B7-D6BD-4144-8374-264D9D036A85}"/>
    <cellStyle name="_ELEKTRO-tarifa media - para CVA_Calculo_Subsidio_ELFSM_26_06_08_Modelo_ANEEL_IRT-cálculo" xfId="1184" xr:uid="{4B60BA3A-BDE9-4E09-8D89-AE192461ADEC}"/>
    <cellStyle name="_ELEKTRO-tarifa media - para CVA_Calculo_Subsidio_ELFSM_26_06_08_Modelo_ANEEL_IRT-cálculo CAPA NEUTRALIDADE" xfId="1185" xr:uid="{CE4CC7B8-F722-4361-95C1-AD17029840C2}"/>
    <cellStyle name="_ELEKTRO-tarifa media - para CVA_CVA_Projetada até dez-2008_Setembro" xfId="1186" xr:uid="{574B67C0-B240-4DB1-8440-915E1BD222A9}"/>
    <cellStyle name="_ELEKTRO-tarifa media - para CVA_CVA_Projetada até dez-2008_Setembro_CVA Outros Componentes PROVISÃO" xfId="1187" xr:uid="{30CB851F-F17A-4745-B05D-8B406F62495E}"/>
    <cellStyle name="_ELEKTRO-tarifa media - para CVA_CVA_Projetada até dez-2008_Setembro_PROVISÃO" xfId="1188" xr:uid="{1D8338E0-047C-4E88-809F-8644014FB2DF}"/>
    <cellStyle name="_ELEKTRO-tarifa media - para CVA_Energia Comprada" xfId="1189" xr:uid="{BE0AD1E5-20D2-4A06-AAB9-214442B8991B}"/>
    <cellStyle name="_ELEKTRO-tarifa media - para CVA_Energia Comprada_IRT-cálculo" xfId="1190" xr:uid="{33345BF8-A124-4EA0-A6D5-2D30F59A571A}"/>
    <cellStyle name="_ELEKTRO-tarifa media - para CVA_Energia Comprada_IRT-cálculo CAPA NEUTRALIDADE" xfId="1191" xr:uid="{737A2DB1-DEB1-44F2-8BEF-2A695EBEE380}"/>
    <cellStyle name="_ELEKTRO-tarifa media - para CVA_Fator X" xfId="580" xr:uid="{860D9325-81C4-4E14-A926-C95C046A046C}"/>
    <cellStyle name="_ELEKTRO-tarifa media - para CVA_Fator X_IRT-cálculo" xfId="1192" xr:uid="{B6F7444A-84F1-4F50-8014-BD56B11B66B6}"/>
    <cellStyle name="_ELEKTRO-tarifa media - para CVA_Fator X_IRT-cálculo CAPA NEUTRALIDADE" xfId="1193" xr:uid="{030039DD-D68D-40F4-BEBD-99A94353496A}"/>
    <cellStyle name="_ELEKTRO-tarifa media - para CVA_Fator X_SOBRECONTRATAÇÃO E CVA" xfId="1194" xr:uid="{4B531A84-3302-48B3-8656-2F4D091D4454}"/>
    <cellStyle name="_ELEKTRO-tarifa media - para CVA_IRT (2)" xfId="581" xr:uid="{76A23EB0-C084-4EC9-BAA9-8EF76B2256C2}"/>
    <cellStyle name="_ELEKTRO-tarifa media - para CVA_IRT (2) 2" xfId="1195" xr:uid="{58F0A1D0-C79B-497C-87F4-9CB853CBDFBA}"/>
    <cellStyle name="_ELEKTRO-tarifa media - para CVA_IRT_1_IRT-cálculo" xfId="1196" xr:uid="{7F2867CD-EC0D-41D7-9E1E-D671EC710B84}"/>
    <cellStyle name="_ELEKTRO-tarifa media - para CVA_IRT_1_SOBRECONTRATAÇÃO E CVA" xfId="1197" xr:uid="{5FECA9A1-D599-44D3-9ABD-8C6E09CD6D65}"/>
    <cellStyle name="_ELEKTRO-tarifa media - para CVA_IRT_Pleito" xfId="1198" xr:uid="{F3C569B0-786F-4AB2-812D-A8A402AB2D9A}"/>
    <cellStyle name="_ELEKTRO-tarifa media - para CVA_IRT_Pleito_IRT-cálculo CAPA NEUTRALIDADE" xfId="1199" xr:uid="{4F44C9C7-772A-4071-B8C0-37F77E575361}"/>
    <cellStyle name="_ELEKTRO-tarifa media - para CVA_IRT-cálculo CAPA NEUTRALIDADE" xfId="1200" xr:uid="{A2F9C19F-6F8A-49D5-9DE9-5AEE9404951B}"/>
    <cellStyle name="_ELEKTRO-tarifa media - para CVA_Pasta1_IRT-cálculo" xfId="1201" xr:uid="{3410C6C1-A4E0-4789-8BAD-9E573CC4E9C2}"/>
    <cellStyle name="_ELEKTRO-tarifa media - para CVA_Pasta1_SOBRECONTRATAÇÃO E CVA" xfId="1202" xr:uid="{90860709-E86A-410E-87CE-0071C6E2B0EF}"/>
    <cellStyle name="_ELEKTRO-tarifa media - para CVA_SOBRECONTRATAÇÃO E CVA A-1" xfId="1203" xr:uid="{AD49237A-D88F-4940-9599-14D795B19491}"/>
    <cellStyle name="_ELEKTRO-tarifa media - para CVA_SOBRECONTRATAÇÃO E CVA A-1_IRT-cálculo CAPA NEUTRALIDADE" xfId="1204" xr:uid="{9521EF38-8878-4043-B055-1CA40C7B37FE}"/>
    <cellStyle name="_ELETROPAULO - IRT_julho2006_PÓS IGPM_COELCE - RTO 2011 - PLPT_PLANILHA_CÁLCULO_DÉFICIT" xfId="1205" xr:uid="{F1673C0F-E185-470C-B68B-97F5722134B4}"/>
    <cellStyle name="_ELETROPAULO 2007 - Repasse sobrecontratação 2" xfId="449" xr:uid="{4DC43F0A-D0E2-4702-BCA7-E584A162F319}"/>
    <cellStyle name="_ELETROPAULO 2007 - Repasse sobrecontratação_Exposição_Agosto 2" xfId="1206" xr:uid="{4F6A8AAF-7D36-4EA9-8468-911F0F3DA442}"/>
    <cellStyle name="_ENERGIA-RESUMO" xfId="1207" xr:uid="{48ED76F3-BE06-4401-8876-997EEF9C9FEA}"/>
    <cellStyle name="_ENERGIA-RESUMO_IF_Consumidores livres e geradoras_2010" xfId="1208" xr:uid="{AC52C9D3-32A3-4290-9563-26A3EADD87DF}"/>
    <cellStyle name="_ENERGIPE_Análise 1ª Proposta ANEEL_13 fev 2008" xfId="1209" xr:uid="{99707B5A-182B-4323-A970-529C5783215B}"/>
    <cellStyle name="_Energipe-SobrasExposiçãoSubmercados 2" xfId="450" xr:uid="{916DD508-DB3A-49B7-91A0-75968A5CC6BD}"/>
    <cellStyle name="_Energipe-SobrasExposiçãoSubmercados_Balanço" xfId="98" xr:uid="{5D0D25FB-8828-4989-9D6E-C613E26E5803}"/>
    <cellStyle name="_Energipe-SobrasExposiçãoSubmercados_CELPA CVA 2007 corrigida" xfId="582" xr:uid="{BD03C01B-72F0-46BC-8397-0D51FFB07B28}"/>
    <cellStyle name="_Energipe-SobrasExposiçãoSubmercados_CELPA CVA 2007 corrigida_COELCE - RTO 2011 - PLPT_PLANILHA_CÁLCULO_DÉFICIT" xfId="1210" xr:uid="{160BD0EE-52A9-4B61-8F7D-BF89972ECC52}"/>
    <cellStyle name="_Energipe-SobrasExposiçãoSubmercados_IRT EEB 2010" xfId="1211" xr:uid="{D212C5E5-B35D-48C0-8B14-7F4F77D9163D}"/>
    <cellStyle name="_Energipe-SobrasExposiçãoSubmercados_Simulação AES SUL 03_04_07" xfId="99" xr:uid="{3E259B9B-3C2A-471D-B046-CD6DC4C16DA7}"/>
    <cellStyle name="_Energipe-SobrasExposiçãoSubmercados_Simulação AES SUL 03_04_07 3" xfId="1212" xr:uid="{A77EB04D-B302-49C3-AFD8-9BF225D9B783}"/>
    <cellStyle name="_Energipe-SobrasExposiçãoSubmercados_Simulação AES SUL 03_04_07_casulo 15" xfId="100" xr:uid="{05937D4E-DFBB-4176-84CE-6407CB844983}"/>
    <cellStyle name="_Energipe-SobrasExposiçãoSubmercados_Sobrecontratação AES (2)" xfId="101" xr:uid="{C506DBC8-D9EB-4917-B969-DD8E329A6F60}"/>
    <cellStyle name="_Energipe-SobrasExposiçãoSubmercados_Sobrecontratação AES (2) 3" xfId="1213" xr:uid="{319504C4-2369-4851-9999-85ADE9A0D775}"/>
    <cellStyle name="_Energipe-SobrasExposiçãoSubmercados_Sobrecontratação AES (2)_casulo 15" xfId="102" xr:uid="{3025ADF8-C144-45D0-951C-75E0473B2208}"/>
    <cellStyle name="_Enersul Impacto LPT_FINAL_22_02_07" xfId="103" xr:uid="{ED3315C3-4F31-4F2F-9BB5-F3339F5384EF}"/>
    <cellStyle name="_Enersul Impacto LPT_FINAL_22_02_07 3" xfId="1214" xr:uid="{D4A7587E-BC64-45B8-BA2F-6E4C71BCF1D6}"/>
    <cellStyle name="_Enersul Impacto LPT_FINAL_22_02_07_2009.04.09 EEB IRT2009 Conexao CEMIG C Financeiro" xfId="1215" xr:uid="{6D81ED4D-17A5-4193-8F3E-CBF8DC914976}"/>
    <cellStyle name="_Enersul Impacto LPT_FINAL_22_02_07_Balanço" xfId="104" xr:uid="{CC4BDB44-E4A6-40A9-98DE-C1CDB062AF2F}"/>
    <cellStyle name="_Enersul Impacto LPT_FINAL_22_02_07_Cálculo do Financeiro do Baixa Renda" xfId="1216" xr:uid="{5746D17E-1849-4ED8-86D8-AD82CDBD283D}"/>
    <cellStyle name="_Enersul Impacto LPT_FINAL_22_02_07_Cálculo do Financeiro do Baixa Renda_IRT-cálculo CAPA NEUTRALIDADE" xfId="1217" xr:uid="{7AB13A48-7F85-4AB3-A806-063A6B89FCFB}"/>
    <cellStyle name="_Enersul Impacto LPT_FINAL_22_02_07_Calculo_Subsidio_ELFSM_26_06_08_Modelo_ANEEL_IRT-cálculo" xfId="1218" xr:uid="{F2DB867B-FF75-4FF6-A582-3BBE95D73CF5}"/>
    <cellStyle name="_Enersul Impacto LPT_FINAL_22_02_07_casulo 15" xfId="105" xr:uid="{70D33C2A-E078-4D43-B30C-AF06B06BB607}"/>
    <cellStyle name="_Enersul Impacto LPT_FINAL_22_02_07_casulo 5 2" xfId="451" xr:uid="{EE949EA8-D897-46FF-91E4-C4BCAF7A16E9}"/>
    <cellStyle name="_Enersul Impacto LPT_FINAL_22_02_07_casulo 5_casulo 15" xfId="106" xr:uid="{BFC4F5BB-324E-47B7-896D-7E0936F4CCD1}"/>
    <cellStyle name="_Enersul Impacto LPT_FINAL_22_02_07_Custo com Avaliação de Ativos para Base de Remuneração" xfId="1219" xr:uid="{DF1F64E4-87EE-41C0-A69E-587D621A6618}"/>
    <cellStyle name="_Enersul Impacto LPT_FINAL_22_02_07_Custo com Avaliação de Ativos para Base de Remuneração_IRT-cálculo CAPA NEUTRALIDADE" xfId="1220" xr:uid="{3D1DA6E3-2E88-4A99-B817-6E9BCF4BE17D}"/>
    <cellStyle name="_Enersul Impacto LPT_FINAL_22_02_07_Descontos CCC_CDE_PROINFA Nov_07_Out_08_IRT-cálculo" xfId="1221" xr:uid="{F7E1DC2E-3B0B-4557-8233-4E551C4E6DE2}"/>
    <cellStyle name="_Enersul Impacto LPT_FINAL_22_02_07_Energia Comprada" xfId="1222" xr:uid="{47B18684-FF8B-4346-8CD6-7AB1C5F9D79C}"/>
    <cellStyle name="_Enersul Impacto LPT_FINAL_22_02_07_Energia Comprada_IRT-cálculo CAPA NEUTRALIDADE" xfId="1223" xr:uid="{2C6A9481-CAD6-4631-BC55-15FF07E61EBA}"/>
    <cellStyle name="_Enersul Impacto LPT_FINAL_22_02_07_Fator X" xfId="583" xr:uid="{5958BAE8-40A8-4A89-A956-2EC30E41F629}"/>
    <cellStyle name="_Enersul Impacto LPT_FINAL_22_02_07_Fator X_IRT-cálculo" xfId="1224" xr:uid="{FBC95A42-F9F1-4998-9728-274D1CE9BAA4}"/>
    <cellStyle name="_Enersul Impacto LPT_FINAL_22_02_07_Fator X_SOBRECONTRATAÇÃO E CVA" xfId="1225" xr:uid="{F77C2DE7-AE45-4E94-A8BC-BE3E113F2106}"/>
    <cellStyle name="_Enersul Impacto LPT_FINAL_22_02_07_IF_Consumidores livres e geradoras_2010" xfId="1226" xr:uid="{CBD9630A-8B5C-4C80-AC61-37B62CE309BC}"/>
    <cellStyle name="_Enersul Impacto LPT_FINAL_22_02_07_IRT EEB 2010" xfId="1227" xr:uid="{D40A2836-42B9-4089-ACA8-4610F4775F28}"/>
    <cellStyle name="_Enersul Impacto LPT_FINAL_22_02_07_IRT_1 2" xfId="1228" xr:uid="{348270BA-FD7A-4988-ADBC-1F827D7EA587}"/>
    <cellStyle name="_Enersul Impacto LPT_FINAL_22_02_07_IRT_1_IRT-cálculo CAPA NEUTRALIDADE" xfId="1229" xr:uid="{B5AAFFAF-E2BD-4671-8B49-858DACCF2E38}"/>
    <cellStyle name="_Enersul Impacto LPT_FINAL_22_02_07_IRT_Bragantina_maio_2009" xfId="1230" xr:uid="{3606A37B-920A-41AF-B239-D1A88E127063}"/>
    <cellStyle name="_Enersul Impacto LPT_FINAL_22_02_07_IRT_Pleito_IRT-cálculo" xfId="1231" xr:uid="{FD65988A-5460-4814-B4E8-C6584FADF660}"/>
    <cellStyle name="_Enersul Impacto LPT_FINAL_22_02_07_IRT-cálculo" xfId="1232" xr:uid="{93F4A7FA-2D4C-45C3-ACD8-C572146DDDFB}"/>
    <cellStyle name="_Enersul Impacto LPT_FINAL_22_02_07_Pasta1 2" xfId="1233" xr:uid="{9532A069-6E8B-4968-B1FD-78327DCE5183}"/>
    <cellStyle name="_Enersul Impacto LPT_FINAL_22_02_07_Sheet1" xfId="1234" xr:uid="{9AB8DCB7-C701-4FB3-965C-CA272BD3C483}"/>
    <cellStyle name="_Enersul Impacto PLT v1" xfId="107" xr:uid="{76B42AC4-E667-4186-9B9A-B147493DDD8A}"/>
    <cellStyle name="_Enersul Impacto PLT v1 3" xfId="1235" xr:uid="{C03FDAFD-8F90-4BD6-BA42-3F182D15460A}"/>
    <cellStyle name="_Enersul Impacto PLT v1_2009.04.09 EEB IRT2009 Conexao CEMIG C Financeiro" xfId="1236" xr:uid="{5471042A-829F-4833-AED8-ED623B695C10}"/>
    <cellStyle name="_Enersul Impacto PLT v1_Balanço" xfId="108" xr:uid="{3C20CFAE-7A43-4270-86BF-643E0FC22BA1}"/>
    <cellStyle name="_Enersul Impacto PLT v1_Cálculo do Financeiro do Baixa Renda" xfId="1237" xr:uid="{632AA52D-9FC6-4C88-B184-8B145AD0B89A}"/>
    <cellStyle name="_Enersul Impacto PLT v1_Calculo_Subsidio_ELFSM_26_06_08_Modelo_ANEEL" xfId="1238" xr:uid="{C8EEE490-CC97-4665-8843-3C6AC182252A}"/>
    <cellStyle name="_Enersul Impacto PLT v1_casulo 5_Balanço" xfId="109" xr:uid="{1BC287E0-695E-4570-89A9-7E14A369F5F5}"/>
    <cellStyle name="_Enersul Impacto PLT v1_Custo com Avaliação de Ativos para Base de Remuneração_IRT-cálculo" xfId="1239" xr:uid="{A96528A6-34AC-414F-9FE2-39D86F173EFC}"/>
    <cellStyle name="_Enersul Impacto PLT v1_Descontos CCC_CDE_PROINFA Nov_07_Out_08_IRT-cálculo CAPA NEUTRALIDADE" xfId="1240" xr:uid="{4A027149-6502-40BA-8E36-7B9F258F39E1}"/>
    <cellStyle name="_Enersul Impacto PLT v1_Fator Novo e Antigo 4 anos" xfId="1241" xr:uid="{F2036D2A-6014-4880-A4E4-7D4423033B0C}"/>
    <cellStyle name="_Enersul Impacto PLT v1_Fator X_IRT-cálculo CAPA NEUTRALIDADE" xfId="1242" xr:uid="{8D778453-B10F-4822-AD8A-4FB5B5B35447}"/>
    <cellStyle name="_Enersul Impacto PLT v1_IRT (2)" xfId="584" xr:uid="{8C9D1F9D-2563-4DE9-81DC-16A8CE368D6A}"/>
    <cellStyle name="_Enersul Impacto PLT v1_IRT_1_IRT-cálculo" xfId="1243" xr:uid="{9DC010F8-2208-47AA-A92C-CDF863F7B852}"/>
    <cellStyle name="_Enersul Impacto PLT v1_IRT_Planilha Básica_DIRETORIA" xfId="1244" xr:uid="{15359C8D-9B76-4D15-8674-1743D428FF41}"/>
    <cellStyle name="_Enersul Impacto PLT v1_IRT_Revisão A-1" xfId="1245" xr:uid="{B3F9349C-DF7E-4848-936C-ED7E0FB27F40}"/>
    <cellStyle name="_Enersul Impacto PLT v1_IRT-cálculo CAPA NEUTRALIDADE" xfId="1246" xr:uid="{1C4CF330-8CCB-4E5D-B594-2F9445146F67}"/>
    <cellStyle name="_Enersul Impacto PLT v1_Pasta1_IRT-cálculo CAPA NEUTRALIDADE" xfId="1247" xr:uid="{00BEF0E9-19C2-4DF9-B490-D621937F3E6F}"/>
    <cellStyle name="_Enersul Impacto PLT v1_SOBRECONTRATAÇÃO E CVA" xfId="1248" xr:uid="{554F0FF3-BA69-4E80-8283-90320B607F48}"/>
    <cellStyle name="_ESCELSA_RESPOSTA_OFÍCIO_325_DEFINITIVO" xfId="110" xr:uid="{BC9E3E21-5B56-4769-B630-52396F916133}"/>
    <cellStyle name="_ESCELSA_RESPOSTA_OFÍCIO_325_DEFINITIVO_2009.04.09 EEB IRT2009 Conexao CEMIG C Financeiro" xfId="1249" xr:uid="{55393FFC-A191-46E9-AA84-E142FF735BD4}"/>
    <cellStyle name="_ESCELSA_RESPOSTA_OFÍCIO_325_DEFINITIVO_Cálculo do Financeiro do Baixa Renda" xfId="1250" xr:uid="{84FC57B6-CF6C-4DD3-B077-57F43B29BF25}"/>
    <cellStyle name="_ESCELSA_RESPOSTA_OFÍCIO_325_DEFINITIVO_Calculo_Subsidio_ELFSM_26_06_08_Modelo_ANEEL_IRT-cálculo" xfId="1251" xr:uid="{02086DE6-9D6C-4A86-A745-329809A58FF3}"/>
    <cellStyle name="_ESCELSA_RESPOSTA_OFÍCIO_325_DEFINITIVO_casulo 5 2" xfId="452" xr:uid="{ACE0EB9C-3CE9-4A81-A8FA-70B65DB86C35}"/>
    <cellStyle name="_ESCELSA_RESPOSTA_OFÍCIO_325_DEFINITIVO_Custo com Avaliação de Ativos para Base de Remuneração" xfId="1252" xr:uid="{7DA21B4E-6994-4450-B417-0E96EEBD8D26}"/>
    <cellStyle name="_ESCELSA_RESPOSTA_OFÍCIO_325_DEFINITIVO_Descontos CCC_CDE_PROINFA Nov_07_Out_08_IRT-cálculo" xfId="1253" xr:uid="{AA538FD1-9E51-47B2-B3A6-CF0CDFD5233F}"/>
    <cellStyle name="_ESCELSA_RESPOSTA_OFÍCIO_325_DEFINITIVO_Energia Comprada_IRT-cálculo CAPA NEUTRALIDADE" xfId="1254" xr:uid="{4946F689-D88B-45BB-9E6E-89F405C046A7}"/>
    <cellStyle name="_ESCELSA_RESPOSTA_OFÍCIO_325_DEFINITIVO_Fator X_IRT-cálculo" xfId="1255" xr:uid="{73E42C34-2684-4742-B5DB-5B4E71196378}"/>
    <cellStyle name="_ESCELSA_RESPOSTA_OFÍCIO_325_DEFINITIVO_IF_Consumidores livres e geradoras_2010" xfId="1256" xr:uid="{E6EE463E-8C42-4B2B-8725-0378ADCA505B}"/>
    <cellStyle name="_ESCELSA_RESPOSTA_OFÍCIO_325_DEFINITIVO_IRT_1 2" xfId="1257" xr:uid="{EE58D9E5-679D-4EFC-9FDD-64D2C3AB5E10}"/>
    <cellStyle name="_ESCELSA_RESPOSTA_OFÍCIO_325_DEFINITIVO_IRT_Bragantina_maio_2009" xfId="1258" xr:uid="{1E7A7A8D-3CE4-4D31-B8A8-E79A61B252A1}"/>
    <cellStyle name="_ESCELSA_RESPOSTA_OFÍCIO_325_DEFINITIVO_IRT_Pleito_IRT-cálculo CAPA NEUTRALIDADE" xfId="1259" xr:uid="{8AF546B9-882F-4179-9766-0B2796FC3BE4}"/>
    <cellStyle name="_ESCELSA_RESPOSTA_OFÍCIO_325_DEFINITIVO_IRT-cálculo" xfId="1260" xr:uid="{5798843B-D720-4453-B599-BC54845D5B3D}"/>
    <cellStyle name="_ESCELSA_RESPOSTA_OFÍCIO_325_DEFINITIVO_Pasta1_IRT-cálculo" xfId="1261" xr:uid="{551B9DF8-81BD-4532-9A06-8E0B9B30C047}"/>
    <cellStyle name="_ESCELSA_RESPOSTA_OFÍCIO_325_DEFINITIVO_Sheet2" xfId="1262" xr:uid="{6E271CB4-35C9-4096-8B65-826BB9A3B08C}"/>
    <cellStyle name="_Fiança EMG" xfId="1263" xr:uid="{9D822F43-D0FA-4E39-BA3F-28FC9D37CA7C}"/>
    <cellStyle name="_FR CHESFxCeal, Cepisa e Saelpa-2005-protegida 2" xfId="453" xr:uid="{D62B0834-E749-4694-AFC5-5931795EAF19}"/>
    <cellStyle name="_FR CHESFxCeal, Cepisa e Saelpa-2005-protegida_Balanço" xfId="111" xr:uid="{AFFDAE9F-B0E0-44AF-9EB8-4B3F56F3C97F}"/>
    <cellStyle name="_FR CHESFxCeal, Cepisa e Saelpa-2005-protegida_Calculo_Subsidio_ELFSM_26_06_08_Modelo_ANEEL" xfId="1264" xr:uid="{CEC870AB-54C9-4413-A6C2-D741CD545AD6}"/>
    <cellStyle name="_FR CHESFxCeal, Cepisa e Saelpa-2005-protegida_Calculo_Subsidio_ELFSM_26_06_08_Modelo_ANEEL_IRT-cálculo CAPA NEUTRALIDADE" xfId="1265" xr:uid="{E0495025-CD03-4A96-9790-6AA3A91FC69A}"/>
    <cellStyle name="_FR CHESFxCeal, Cepisa e Saelpa-2005-protegida_casulo 5" xfId="112" xr:uid="{E2BFF460-C5AB-42AA-A43F-46E9F42FFC1E}"/>
    <cellStyle name="_FR CHESFxCeal, Cepisa e Saelpa-2005-protegida_casulo 5_Balanço" xfId="113" xr:uid="{B5658620-653F-4BBC-A111-D9DFBA720AF3}"/>
    <cellStyle name="_FR CHESFxCeal, Cepisa e Saelpa-2005-protegida_casulo 5_IRT EEB 2010" xfId="1266" xr:uid="{BA9253CC-36C0-4A1B-82DB-F59D6A7DB9D2}"/>
    <cellStyle name="_FR CHESFxCeal, Cepisa e Saelpa-2005-protegida_CVA e Subsídios fiscalização ESCELSA_08_07_2009 v3 SRE" xfId="1267" xr:uid="{4C68DA90-C5B3-42A7-B4A3-3381BD34506E}"/>
    <cellStyle name="_FR CHESFxCeal, Cepisa e Saelpa-2005-protegida_CVA_Projetada até dez-2008_Setembro" xfId="1268" xr:uid="{DB24B956-13B7-4C55-9744-6A4A0BCF2ED8}"/>
    <cellStyle name="_FR CHESFxCeal, Cepisa e Saelpa-2005-protegida_Energia Comprada_IRT-cálculo" xfId="1269" xr:uid="{05E529DB-1DB5-49A1-82C3-9A5E8A491A78}"/>
    <cellStyle name="_FR CHESFxCeal, Cepisa e Saelpa-2005-protegida_Fator X" xfId="585" xr:uid="{0A924FEC-1004-4831-802D-5AEABB0E4E6B}"/>
    <cellStyle name="_FR CHESFxCeal, Cepisa e Saelpa-2005-protegida_Fator X_IRT-cálculo" xfId="1270" xr:uid="{A22F3189-523F-4CAA-AA60-E4638BB5C194}"/>
    <cellStyle name="_FR CHESFxCeal, Cepisa e Saelpa-2005-protegida_Fator X_SOBRECONTRATAÇÃO E CVA" xfId="1271" xr:uid="{440592CC-61E2-47EB-9FD4-E5C84AE330C5}"/>
    <cellStyle name="_FR CHESFxCeal, Cepisa e Saelpa-2005-protegida_IF_Consumidores livres e geradoras_2010" xfId="1272" xr:uid="{A0CC4B5D-A553-40F3-84A9-EB444C07459D}"/>
    <cellStyle name="_FR CHESFxCeal, Cepisa e Saelpa-2005-protegida_IRT EEB 2010" xfId="1273" xr:uid="{43BD48B0-55A6-4D0E-A5B1-D915EC24BFB2}"/>
    <cellStyle name="_FR CHESFxCeal, Cepisa e Saelpa-2005-protegida_IRT_1 2" xfId="1274" xr:uid="{F9D46981-294C-4B9E-9050-92C17AA5C4A4}"/>
    <cellStyle name="_FR CHESFxCeal, Cepisa e Saelpa-2005-protegida_IRT_1_IRT-cálculo CAPA NEUTRALIDADE" xfId="1275" xr:uid="{E8956791-6966-42E5-9AD5-DCE527076DE7}"/>
    <cellStyle name="_FR CHESFxCeal, Cepisa e Saelpa-2005-protegida_IRT_Bragantina_maio_2009" xfId="1276" xr:uid="{E869B669-3EE2-4984-8231-530C8CB8580A}"/>
    <cellStyle name="_FR CHESFxCeal, Cepisa e Saelpa-2005-protegida_IRT_Planilha Básica_ CETRIL 2" xfId="454" xr:uid="{1E7F98B8-CF83-40C9-AEC0-8CD79E985CD8}"/>
    <cellStyle name="_FR CHESFxCeal, Cepisa e Saelpa-2005-protegida_IRT_Planilha Básica_ CETRIL_casulo 15" xfId="114" xr:uid="{707CFD30-FC2A-4CC0-B4E1-1038F3C0CF9B}"/>
    <cellStyle name="_FR CHESFxCeal, Cepisa e Saelpa-2005-protegida_IRT_Planilha Básica_DIRETORIA" xfId="1277" xr:uid="{E168C8B1-1C2C-47CB-9EF0-3D24C87E0CA5}"/>
    <cellStyle name="_FR CHESFxCeal, Cepisa e Saelpa-2005-protegida_IRT_Pleito_IRT-cálculo" xfId="1278" xr:uid="{148DB97B-6DDC-4275-AB4F-B83CE7654A04}"/>
    <cellStyle name="_FR CHESFxCeal, Cepisa e Saelpa-2005-protegida_IRT_Revisão A-1" xfId="1279" xr:uid="{D7D2FE79-BB79-4308-9C65-CC49FFBE73F0}"/>
    <cellStyle name="_FR CHESFxCeal, Cepisa e Saelpa-2005-protegida_IRT_Revisão A-1_IRT-cálculo CAPA NEUTRALIDADE" xfId="1280" xr:uid="{68FC55EE-CDA2-415C-8B6F-7A1880791976}"/>
    <cellStyle name="_FR CHESFxCeal, Cepisa e Saelpa-2005-protegida_IRT-cálculo CAPA NEUTRALIDADE" xfId="1281" xr:uid="{49ED35A1-DE5A-412A-9251-0CB3C3813EB8}"/>
    <cellStyle name="_FR CHESFxCeal, Cepisa e Saelpa-2005-protegida_Pasta1 2" xfId="1282" xr:uid="{616B3A26-9758-402D-9956-AC05C6E89566}"/>
    <cellStyle name="_FR CHESFxCeal, Cepisa e Saelpa-2005-protegida_Pasta1_IRT-cálculo CAPA NEUTRALIDADE" xfId="1283" xr:uid="{5B74586B-F7B0-4AFC-BB4C-2E4642D88DDF}"/>
    <cellStyle name="_FR CHESFxCeal, Cepisa e Saelpa-2005-protegida_PROVISÃO" xfId="1284" xr:uid="{6A2773D3-3D27-40FF-880F-A05A2F426428}"/>
    <cellStyle name="_FR CHESFxCeal, Cepisa e Saelpa-2005-protegida_SOBRECONTRATAÇÃO E CVA" xfId="1285" xr:uid="{552E75F1-4E4B-40D4-8BF6-5B5BFF049194}"/>
    <cellStyle name="_FR CHESFxCeal, Cepisa e Saelpa-2005-protegida_SOBRECONTRATAÇÃO E CVA A-1_IRT-cálculo" xfId="1286" xr:uid="{C6DAED6E-9B3C-4F4D-9601-E35B837D17BB}"/>
    <cellStyle name="_FR CHESFxCeal, Cepisa e Saelpa-2005-protegida_SOBRECONTRATAÇÃO-RES 255-2007-ap038-07-CPFL07" xfId="1287" xr:uid="{DEB51A48-31D7-4A21-8C9B-2A42710339FC}"/>
    <cellStyle name="_Garantias - ESE 2010" xfId="1288" xr:uid="{274BC017-F604-4C5D-B36A-167B54E9E025}"/>
    <cellStyle name="_Hom07-Realinhamento ELETROPAULO FINAL  com tarifa cooperativa" xfId="1289" xr:uid="{AF4B2E1D-7CB1-467F-B017-33EF4F6B93CC}"/>
    <cellStyle name="_Irrigantes_-_ESE_2010_aud" xfId="1290" xr:uid="{F9B6CD73-4880-4ADC-A26D-A9107E4CAADA}"/>
    <cellStyle name="_IRT - chesp 2005-V2 " xfId="115" xr:uid="{47A341AC-829A-4ADB-9725-287833393407}"/>
    <cellStyle name="_IRT - chesp 2005-V2 _Calculo_Subsidio_ELFSM_26_06_08_Modelo_ANEEL_IRT-cálculo" xfId="1291" xr:uid="{FDECE513-B11F-4C7C-BB59-DF306A086515}"/>
    <cellStyle name="_IRT - chesp 2005-V2 _CVA_Projetada até dez-2008_Setembro" xfId="1292" xr:uid="{6F7B4815-AAC1-42C2-B93A-F7CF757B23A6}"/>
    <cellStyle name="_IRT - chesp 2005-V2 _CVA_Projetada até dez-2008_Setembro_PROVISÃO" xfId="1293" xr:uid="{7510B156-BF06-4B75-910D-93AFF13D373F}"/>
    <cellStyle name="_IRT - chesp 2005-V2 _Energia Comprada_IRT-cálculo" xfId="1294" xr:uid="{F8238E18-4812-4963-B56A-E5A12DD3D3AD}"/>
    <cellStyle name="_IRT - chesp 2005-V2 _Fator X" xfId="586" xr:uid="{C182DD07-B499-41B8-AEB2-36202E8BE4A0}"/>
    <cellStyle name="_IRT - chesp 2005-V2 _Fator X_IRT-cálculo CAPA NEUTRALIDADE" xfId="1295" xr:uid="{1BDA0C43-BC72-4A17-84F3-7AB59998BC93}"/>
    <cellStyle name="_IRT - chesp 2005-V2 _IF - Autoprodutores 2" xfId="1296" xr:uid="{8524A646-D0FE-4537-B07C-A0E4F25AF3FD}"/>
    <cellStyle name="_IRT - chesp 2005-V2 _IRT (2)" xfId="587" xr:uid="{F5B552A8-1BF5-4959-BDFA-F230A20AE037}"/>
    <cellStyle name="_IRT - chesp 2005-V2 _IRT_1" xfId="588" xr:uid="{AE5E6C72-BF08-4FB1-814F-6ACA3403CC2E}"/>
    <cellStyle name="_IRT - chesp 2005-V2 _IRT_1_IRT-cálculo CAPA NEUTRALIDADE" xfId="1297" xr:uid="{65D39FB3-A216-4E73-BEA0-D9E3686AFB96}"/>
    <cellStyle name="_IRT - chesp 2005-V2 _IRT_Planilha Básica_ CETRIL" xfId="116" xr:uid="{0B01246A-F67D-4707-AECC-C3C150EA0588}"/>
    <cellStyle name="_IRT - chesp 2005-V2 _IRT_Pleito" xfId="1298" xr:uid="{1C1A9629-06DB-4759-9690-23D973F4974F}"/>
    <cellStyle name="_IRT - chesp 2005-V2 _IRT_Pleito_IRT-cálculo CAPA NEUTRALIDADE" xfId="1299" xr:uid="{7A6817AC-EA57-442E-B0E2-FA989B3F8820}"/>
    <cellStyle name="_IRT - chesp 2005-V2 _IRT-cálculo" xfId="1300" xr:uid="{E05A6306-BCA5-404A-944D-E76AE12E4DD7}"/>
    <cellStyle name="_IRT - chesp 2005-V2 _Pasta1" xfId="589" xr:uid="{869886EA-AF19-42EF-948C-F135B47320DC}"/>
    <cellStyle name="_IRT - chesp 2005-V2 _Pasta1_IRT-cálculo CAPA NEUTRALIDADE" xfId="1301" xr:uid="{CF7B4809-D209-4EF2-835F-361227611A09}"/>
    <cellStyle name="_IRT - chesp 2005-V2 _Sheet1" xfId="1302" xr:uid="{98F20B40-563D-48DF-B221-302D8D96146A}"/>
    <cellStyle name="_IRT - chesp 2005-V2 _SOBRECONTRATAÇÃO E CVA A-1" xfId="1303" xr:uid="{FC909BAC-3DBC-4D68-BD16-C76E5130729C}"/>
    <cellStyle name="_IRT - chesp 2005-V2 _SOBRECONTRATAÇÃO E CVA A-1_IRT-cálculo CAPA NEUTRALIDADE" xfId="1304" xr:uid="{A8684EAE-1F3C-4D54-9C41-43513A17E700}"/>
    <cellStyle name="_IRT 2005 - CELTINS-cláudia210605" xfId="117" xr:uid="{4C00443C-2107-4140-A34A-6E2207584527}"/>
    <cellStyle name="_IRT 2005 - CELTINS-cláudia210605_Calculo_Subsidio_ELFSM_26_06_08_Modelo_ANEEL_IRT-cálculo" xfId="1305" xr:uid="{294CF5DA-DB76-4F2D-AEC3-340AF246286E}"/>
    <cellStyle name="_IRT 2005 - CELTINS-cláudia210605_CVA_Projetada até dez-2008_Setembro" xfId="1306" xr:uid="{1AADE2FC-9706-4869-9158-0549871A8991}"/>
    <cellStyle name="_IRT 2005 - CELTINS-cláudia210605_CVA_Projetada até dez-2008_Setembro_PROVISÃO" xfId="1307" xr:uid="{F20AFBFE-CA8A-40C1-96CD-A5576F206924}"/>
    <cellStyle name="_IRT 2005 - CELTINS-cláudia210605_Energia Comprada_IRT-cálculo" xfId="1308" xr:uid="{3D2F52DA-60E3-46DD-A26E-04206DC3E348}"/>
    <cellStyle name="_IRT 2005 - CELTINS-cláudia210605_Fator X" xfId="590" xr:uid="{53BC7C79-82AA-4266-8AD8-A4FFE7772EC4}"/>
    <cellStyle name="_IRT 2005 - CELTINS-cláudia210605_Fator X_IRT-cálculo CAPA NEUTRALIDADE" xfId="1309" xr:uid="{E40BCCD1-46F6-42E6-8C39-EB303ADF113B}"/>
    <cellStyle name="_IRT 2005 - CELTINS-cláudia210605_IF - Autoprodutores 2" xfId="1310" xr:uid="{08980A40-2001-42D9-9C2F-DADEB0E351A4}"/>
    <cellStyle name="_IRT 2005 - CELTINS-cláudia210605_IRT (2)" xfId="591" xr:uid="{5343DA6D-50A2-43F8-AA77-22A818120356}"/>
    <cellStyle name="_IRT 2005 - CELTINS-cláudia210605_IRT_1" xfId="592" xr:uid="{28316A8A-A6F4-4167-ACEE-298D05C2C82E}"/>
    <cellStyle name="_IRT 2005 - CELTINS-cláudia210605_IRT_1_IRT-cálculo CAPA NEUTRALIDADE" xfId="1311" xr:uid="{A1C3F1CE-3CC7-4890-9582-34CFECCE9523}"/>
    <cellStyle name="_IRT 2005 - CELTINS-cláudia210605_IRT_Planilha Básica_ CETRIL" xfId="118" xr:uid="{54E57085-679E-4A31-9B3A-51754005B5CB}"/>
    <cellStyle name="_IRT 2005 - CELTINS-cláudia210605_IRT_Pleito" xfId="1312" xr:uid="{C19905EF-958B-4BED-BEE5-4158F2F81424}"/>
    <cellStyle name="_IRT 2005 - CELTINS-cláudia210605_IRT_Pleito_IRT-cálculo CAPA NEUTRALIDADE" xfId="1313" xr:uid="{2CB71AA4-BF79-41A4-B010-BE842A001DBF}"/>
    <cellStyle name="_IRT 2005 - CELTINS-cláudia210605_IRT-cálculo" xfId="1314" xr:uid="{2FD407F5-A010-4762-93BD-9134A24690B9}"/>
    <cellStyle name="_IRT 2005 - CELTINS-cláudia210605_Pasta1" xfId="593" xr:uid="{FC8430D2-93CF-4C2A-94C4-2F1385F8E7E6}"/>
    <cellStyle name="_IRT 2005 - CELTINS-cláudia210605_Pasta1_IRT-cálculo CAPA NEUTRALIDADE" xfId="1315" xr:uid="{CE1EA667-FD92-480F-BD5A-4F69E5D726FB}"/>
    <cellStyle name="_IRT 2005 - CELTINS-cláudia210605_Sheet1" xfId="1316" xr:uid="{B0BE524B-4F2E-4EC3-A6B6-76B2CEDF3B5D}"/>
    <cellStyle name="_IRT 2005 - CELTINS-cláudia210605_SOBRECONTRATAÇÃO E CVA A-1" xfId="1317" xr:uid="{B026A89C-55EA-4E0C-9CB0-4A677D771484}"/>
    <cellStyle name="_IRT 2005 - CELTINS-cláudia210605_SOBRECONTRATAÇÃO E CVA A-1_IRT-cálculo CAPA NEUTRALIDADE" xfId="1318" xr:uid="{6E691DC4-3D27-4F33-8098-75FE6F1E8635}"/>
    <cellStyle name="_IRT 2005 - CHESP-040705_Calculo_Subsidio_ELFSM_26_06_08_Modelo_ANEEL_IRT-cálculo" xfId="1319" xr:uid="{D9E6A748-C682-40E2-B050-12E815C5542B}"/>
    <cellStyle name="_IRT 2005 - CHESP-040705_CVA_Projetada até dez-2008_Setembro_PROVISÃO" xfId="1320" xr:uid="{B7B993BE-DFEA-4E3E-BDCC-9595DEDCE301}"/>
    <cellStyle name="_IRT 2005 - CHESP-040705_Energia Comprada_IRT-cálculo" xfId="1321" xr:uid="{5CA4003A-17BC-4280-ADEE-D573FE406EBC}"/>
    <cellStyle name="_IRT 2005 - CHESP-040705_Fator X" xfId="594" xr:uid="{053904BE-4609-4B7F-94EF-46F82A421D10}"/>
    <cellStyle name="_IRT 2005 - CHESP-040705_Fator X_IRT-cálculo CAPA NEUTRALIDADE" xfId="1322" xr:uid="{D16F01DC-4312-4C48-8633-75A83A6266C7}"/>
    <cellStyle name="_IRT 2005 - CHESP-040705_IF - Autoprodutores 2" xfId="1323" xr:uid="{28A34AB1-9F58-4328-AC86-F49674545CE9}"/>
    <cellStyle name="_IRT 2005 - CHESP-040705_IRT (2)" xfId="595" xr:uid="{187C9EE8-A9E1-42CF-BED9-A5F627BD3596}"/>
    <cellStyle name="_IRT 2005 - CHESP-040705_IRT_1" xfId="596" xr:uid="{371B6DEB-5EB0-486B-9FCF-46A74FA8BF6B}"/>
    <cellStyle name="_IRT 2005 - CHESP-040705_IRT_1_IRT-cálculo CAPA NEUTRALIDADE" xfId="1324" xr:uid="{AF11937C-CFD4-4335-AC57-9F2A07099A5D}"/>
    <cellStyle name="_IRT 2005 - CHESP-040705_IRT_Planilha Básica_ CETRIL" xfId="119" xr:uid="{ADA6A939-900C-44EB-9D65-FC9704461D5C}"/>
    <cellStyle name="_IRT 2005 - CHESP-040705_IRT_Pleito" xfId="1325" xr:uid="{BE051C90-414F-417B-9C81-71A15154E7C7}"/>
    <cellStyle name="_IRT 2005 - CHESP-040705_IRT_Pleito_IRT-cálculo CAPA NEUTRALIDADE" xfId="1326" xr:uid="{ED6450A6-0F2C-495A-9401-8A340FDFB492}"/>
    <cellStyle name="_IRT 2005 - CHESP-040705_IRT-cálculo" xfId="1327" xr:uid="{7605C7BF-7123-420B-BE8D-935E5394FAB8}"/>
    <cellStyle name="_IRT 2005 - CHESP-040705_Pasta1" xfId="597" xr:uid="{7EE04D2D-7326-4835-88ED-4D1999099D29}"/>
    <cellStyle name="_IRT 2005 - CHESP-040705_Pasta1_IRT-cálculo CAPA NEUTRALIDADE" xfId="1328" xr:uid="{9D017F4A-CDE5-4155-BA0B-B497068F0249}"/>
    <cellStyle name="_IRT 2005 - CHESP-040705_Sheet1" xfId="1329" xr:uid="{8292E6EB-33AD-4737-9285-255BBA96F462}"/>
    <cellStyle name="_IRT 2005 - CHESP-040705_SOBRECONTRATAÇÃO E CVA A-1" xfId="1330" xr:uid="{6D85DDF4-8583-4AE7-876D-46F8D5875834}"/>
    <cellStyle name="_IRT 2005 - CHESP-040705_SOBRECONTRATAÇÃO E CVA A-1_IRT-cálculo CAPA NEUTRALIDADE" xfId="1331" xr:uid="{81195734-F32F-4729-8911-6007E939A653}"/>
    <cellStyle name="_IRT 2005 - CHESP-140705_Calculo_Subsidio_ELFSM_26_06_08_Modelo_ANEEL" xfId="1332" xr:uid="{115D26F4-3F03-4A23-BF51-125D63D9C4DB}"/>
    <cellStyle name="_IRT 2005 - CHESP-140705_Calculo_Subsidio_ELFSM_26_06_08_Modelo_ANEEL_IRT-cálculo CAPA NEUTRALIDADE" xfId="1333" xr:uid="{45D2365A-5C54-4DE3-AF1A-504C6E6707AC}"/>
    <cellStyle name="_IRT 2005 - CHESP-140705_CVA_Projetada até dez-2008_Setembro_CVA Outros Componentes PROVISÃO" xfId="1334" xr:uid="{03D948EC-89C1-4E08-8E8D-FEF1AD175244}"/>
    <cellStyle name="_IRT 2005 - CHESP-140705_Energia Comprada" xfId="1335" xr:uid="{6DB0B220-91AA-4E37-AFB0-888B5A6F1672}"/>
    <cellStyle name="_IRT 2005 - CHESP-140705_Energia Comprada_IRT-cálculo CAPA NEUTRALIDADE" xfId="1336" xr:uid="{5DCC7AAF-343A-4726-AE21-C10E8DDC7B0D}"/>
    <cellStyle name="_IRT 2005 - CHESP-140705_Fator X_IRT-cálculo" xfId="1337" xr:uid="{498BEDDC-CC08-4FE3-8F94-EF72A4C32564}"/>
    <cellStyle name="_IRT 2005 - CHESP-140705_Fator X_SOBRECONTRATAÇÃO E CVA" xfId="1338" xr:uid="{95179170-BCFF-4613-B837-1167A3D4AAA4}"/>
    <cellStyle name="_IRT 2005 - CHESP-140705_IF_Consumidores livres e geradoras_2010" xfId="1339" xr:uid="{257CBC5C-36C0-4FFF-840B-9EEB64E00552}"/>
    <cellStyle name="_IRT 2005 - CHESP-140705_IRT (2) 2" xfId="1340" xr:uid="{CEA1A8CD-CBEE-4F0D-9389-DD855AE059CF}"/>
    <cellStyle name="_IRT 2005 - CHESP-140705_IRT_1_IRT-cálculo" xfId="1341" xr:uid="{F80F5762-E263-4E38-BAD6-2C087984F1C9}"/>
    <cellStyle name="_IRT 2005 - CHESP-140705_IRT_1_SOBRECONTRATAÇÃO E CVA" xfId="1342" xr:uid="{B44EC534-76EB-469F-81C1-FC17BE36065A}"/>
    <cellStyle name="_IRT 2005 - CHESP-140705_IRT_Planilha Básica_ CETRIL 2" xfId="455" xr:uid="{7B0D3110-D2B2-456A-A6C5-B0CED118B8EB}"/>
    <cellStyle name="_IRT 2005 - CHESP-140705_IRT_Pleito_IRT-cálculo" xfId="1343" xr:uid="{EDF0367A-F80C-4C5D-AA31-CF9471FB806C}"/>
    <cellStyle name="_IRT 2005 - CHESP-140705_IRT_Revisão A-1" xfId="1344" xr:uid="{E7464D9B-3100-44E9-885C-37720F5DB7D5}"/>
    <cellStyle name="_IRT 2005 - CHESP-140705_IRT-cálculo CAPA NEUTRALIDADE" xfId="1345" xr:uid="{4078D8C7-F17A-41B6-BA6D-13E56CECB92E}"/>
    <cellStyle name="_IRT 2005 - CHESP-140705_Pasta1_IRT-cálculo CAPA NEUTRALIDADE" xfId="1346" xr:uid="{006C9F0B-6C6B-4AB3-9677-A377AE0834DF}"/>
    <cellStyle name="_IRT 2005 - CHESP-140705_Sheet1" xfId="1347" xr:uid="{648E010A-DA94-4C5B-8FDB-15F9AA5CC9F0}"/>
    <cellStyle name="_IRT 2005 - CHESP-140705_SOBRECONTRATAÇÃO E CVA A-1" xfId="1348" xr:uid="{E1ED803D-E231-483F-BD9F-C18A64F3FA4E}"/>
    <cellStyle name="_IRT 2005 - CHESP-140705_SOBRECONTRATAÇÃO E CVA A-1_IRT-cálculo CAPA NEUTRALIDADE" xfId="1349" xr:uid="{3489F52E-F537-45F3-9881-08DB181EB18D}"/>
    <cellStyle name="_IRT 2006 - CEEE_Calculo_Subsidio_ELFSM_26_06_08_Modelo_ANEEL" xfId="1350" xr:uid="{59F9398C-9783-42F6-96A9-6886A28E4CF6}"/>
    <cellStyle name="_IRT 2006 - CEEE_Calculo_Subsidio_ELFSM_26_06_08_Modelo_ANEEL_IRT-cálculo CAPA NEUTRALIDADE" xfId="1351" xr:uid="{ED4B8C27-11EA-41E6-8EAE-8D4330E6D7BF}"/>
    <cellStyle name="_IRT 2006 - CEEE_CVA_Projetada até dez-2008_Setembro_CVA Outros Componentes PROVISÃO" xfId="1352" xr:uid="{67A59DFE-F415-4A2A-9636-C63AA0C45ED9}"/>
    <cellStyle name="_IRT 2006 - CEEE_Energia Comprada" xfId="1353" xr:uid="{8AFB8773-84E8-435B-9D04-35F64A4F43BF}"/>
    <cellStyle name="_IRT 2006 - CEEE_Energia Comprada_IRT-cálculo CAPA NEUTRALIDADE" xfId="1354" xr:uid="{B67E3AD9-8434-4E89-9C4E-627F51868DB2}"/>
    <cellStyle name="_IRT 2006 - CEEE_Fator X_IRT-cálculo" xfId="1355" xr:uid="{FDE8C6CF-8D23-4C00-8DA9-9F644BE97D57}"/>
    <cellStyle name="_IRT 2006 - CEEE_Fator X_SOBRECONTRATAÇÃO E CVA" xfId="1356" xr:uid="{7F041CEF-DF0F-4655-8F63-F8896D1D347C}"/>
    <cellStyle name="_IRT 2006 - CEEE_IF_Consumidores livres e geradoras_2010" xfId="1357" xr:uid="{CDF0CFED-8DFB-45EA-9768-524C9788FA1D}"/>
    <cellStyle name="_IRT 2006 - CEEE_IRT (2) 2" xfId="1358" xr:uid="{B25CBA2A-C417-4479-9947-036E42FA7389}"/>
    <cellStyle name="_IRT 2006 - CEEE_IRT_1_IRT-cálculo" xfId="1359" xr:uid="{5449FE8C-C8B9-4842-A478-6612EC9237DC}"/>
    <cellStyle name="_IRT 2006 - CEEE_IRT_1_SOBRECONTRATAÇÃO E CVA" xfId="1360" xr:uid="{F079AAD2-D5A8-46F1-B72F-39E0936505F0}"/>
    <cellStyle name="_IRT 2006 - CEEE_IRT_Planilha Básica_ CETRIL 2" xfId="456" xr:uid="{AC7F764D-C7C0-417A-BA81-B232960E8248}"/>
    <cellStyle name="_IRT 2006 - CEEE_IRT_Pleito_IRT-cálculo" xfId="1361" xr:uid="{B13E8757-C309-4890-8717-44A0F5641849}"/>
    <cellStyle name="_IRT 2006 - CEEE_IRT_Revisão A-1" xfId="1362" xr:uid="{0EF15D63-18A8-43E2-98E3-A366404CDF56}"/>
    <cellStyle name="_IRT 2006 - CEEE_IRT-cálculo CAPA NEUTRALIDADE" xfId="1363" xr:uid="{3A0C2F08-F038-490E-A17D-33BB168B0ADD}"/>
    <cellStyle name="_IRT 2006 - CEEE_Pasta1_IRT-cálculo" xfId="1364" xr:uid="{6686EA56-861A-45D9-A35C-74189F894FCE}"/>
    <cellStyle name="_IRT 2006 - CEEE_Pasta1_SOBRECONTRATAÇÃO E CVA" xfId="1365" xr:uid="{B4DBA72E-290B-4322-96DD-22B4AC38762A}"/>
    <cellStyle name="_IRT 2006 - CEEE_SOBRECONTRATAÇÃO E CVA" xfId="1366" xr:uid="{3E1335A5-796D-4A2C-89E0-B7505AD1C28A}"/>
    <cellStyle name="_IRT 2006 - CEEE_SOBRECONTRATAÇÃO E CVA A-1_IRT-cálculo" xfId="1367" xr:uid="{051B1892-BB13-45D9-BA2A-1D56006E43B1}"/>
    <cellStyle name="_IRT 2006 Boa Vista" xfId="120" xr:uid="{19956650-1326-417E-8ED0-2465CB5FB058}"/>
    <cellStyle name="_IRT 2006 Boa Vista 3" xfId="1368" xr:uid="{0A1CD877-2B92-4185-9089-1BD983482B53}"/>
    <cellStyle name="_IRT 2006 Boa Vista_casulo 15" xfId="121" xr:uid="{7289781F-01C1-43A1-9ACB-916B5073954C}"/>
    <cellStyle name="_IRT 2006 Boa Vista_COELCE - RTO 2011 - PLPT_PLANILHA_CÁLCULO_DÉFICIT" xfId="1369" xr:uid="{257773A0-62CC-4484-AD8D-936A5D8A60F1}"/>
    <cellStyle name="_IRT 2006 Boa Vista_IRT EEB 2010" xfId="1370" xr:uid="{E8206981-5E37-4675-AD74-B8679F923419}"/>
    <cellStyle name="_IRT 2006 Boa Vista_IRT-cálculo" xfId="1371" xr:uid="{7FF6E217-D8B3-4175-B33C-0C7A66EE5027}"/>
    <cellStyle name="_IRT 2006 Boa Vista_Simulação AES SUL 03_04_07 2" xfId="457" xr:uid="{F8A42DB5-E254-47F7-A31F-9CAC7DB6ABD2}"/>
    <cellStyle name="_IRT 2006 Boa Vista_Simulação AES SUL 03_04_07_Balanço" xfId="122" xr:uid="{1560BE35-83BE-4488-AF17-7590B9B4B474}"/>
    <cellStyle name="_IRT 2006 Boa Vista_Simulação AES SUL 03_04_07_IRT EEB 2010" xfId="1372" xr:uid="{B0FBD0C9-20F2-4CB0-ACF2-4566BEE0BA38}"/>
    <cellStyle name="_IRT 2006 Boa Vista_Sobrecontratação AES (2)" xfId="123" xr:uid="{C33BD833-712F-4B99-8069-7A48A6AFE52B}"/>
    <cellStyle name="_IRT 2006 Boa Vista_Sobrecontratação AES (2) 3" xfId="1373" xr:uid="{D835B798-C99F-4EF6-8CD9-061EB7583267}"/>
    <cellStyle name="_IRT 2006 Boa Vista_Sobrecontratação AES (2)_casulo 15" xfId="124" xr:uid="{EA152962-5E54-4169-800B-1AAE8CFB3D16}"/>
    <cellStyle name="_IRT 2007 - COELBA_IF - Autoprodutores 2" xfId="1374" xr:uid="{A9DF8AC0-A641-42CD-89E1-F5753F523339}"/>
    <cellStyle name="_IRT 2007 - COELBA_Sheet1" xfId="1375" xr:uid="{6662FEE5-7480-4D30-A30D-0960F0BC6A0E}"/>
    <cellStyle name="_IRT 2007 - Enersul_Sheet1" xfId="1376" xr:uid="{877D8134-81DD-48AD-8489-DAB5F2A71DA6}"/>
    <cellStyle name="_IRT CPEE_fev07_CVA_Projetada até dez-2008_Setembro_CVA Outros Componentes PROVISÃO" xfId="1377" xr:uid="{01DC6C00-D038-4713-ABBE-F0B2E31FFC1F}"/>
    <cellStyle name="_IRT CPEE_fev07_Fator X_IRT-cálculo" xfId="1378" xr:uid="{6E95CA54-6B79-4252-8AA3-9FD0D0892CCD}"/>
    <cellStyle name="_IRT CPEE_fev07_IF_Consumidores livres e geradoras_2010" xfId="1379" xr:uid="{C42B844E-D766-4DEB-BF2B-453BCDC15859}"/>
    <cellStyle name="_IRT CPEE_fev07_IRT_1_IRT-cálculo" xfId="1380" xr:uid="{050D1427-46CD-4B6F-9D96-FC098B5FE563}"/>
    <cellStyle name="_IRT CPEE_fev07_IRT_Planilha Básica_ CETRIL 2" xfId="458" xr:uid="{23AAF349-0484-4772-B749-27DA60C0CE8E}"/>
    <cellStyle name="_IRT CPEE_fev07_IRT_Revisão A-1" xfId="1381" xr:uid="{0531CC9A-68CB-46E4-B4DF-902956BD6E90}"/>
    <cellStyle name="_IRT CPEE_fev07_Pasta1_IRT-cálculo" xfId="1382" xr:uid="{11809AE7-25DB-47B0-B377-CF742DAE006B}"/>
    <cellStyle name="_IRT CPEE_fev07_pós-IGPM_Cálculo do Financeiro do Baixa Renda" xfId="1383" xr:uid="{31B9FFE3-48B2-45BD-950A-E60EF28F9FC9}"/>
    <cellStyle name="_IRT CPEE_fev07_pós-IGPM_Custo com Avaliação de Ativos para Base de Remuneração_IRT-cálculo" xfId="1384" xr:uid="{0EF309F5-49A9-4FA4-A744-67F93849177D}"/>
    <cellStyle name="_IRT CPEE_fev07_pós-IGPM_Energia Comprada_IRT-cálculo CAPA NEUTRALIDADE" xfId="1385" xr:uid="{33C9F9D0-803B-4DF6-A8F3-269DC5224051}"/>
    <cellStyle name="_IRT CPEE_fev07_pós-IGPM_Fator X_SOBRECONTRATAÇÃO E CVA" xfId="1386" xr:uid="{1EC8879D-8C48-41E9-8355-EBBBC37B7D0D}"/>
    <cellStyle name="_IRT CPEE_fev07_pós-IGPM_IRT (2) 2" xfId="1387" xr:uid="{B81153EE-7C08-4BA0-B880-6F2FE384EBC0}"/>
    <cellStyle name="_IRT CPEE_fev07_pós-IGPM_IRT_1_SOBRECONTRATAÇÃO E CVA" xfId="1388" xr:uid="{01D06CBB-898D-4FAE-AE2F-4D9906296BA7}"/>
    <cellStyle name="_IRT CPEE_fev07_pós-IGPM_Pasta1" xfId="598" xr:uid="{A2CE7BA9-DFC7-46A0-A39C-C497E641E1F8}"/>
    <cellStyle name="_IRT CPEE_fev07_pós-IGPM_Sheet1" xfId="1389" xr:uid="{5213BB2B-2613-4770-8098-C83F424F5D57}"/>
    <cellStyle name="_IRT CPEE_fev07_SOBRECONTRATAÇÃO E CVA" xfId="1390" xr:uid="{AE05EA61-5BDE-4E1E-8A4E-F4E21C45A70C}"/>
    <cellStyle name="_IRT Energipe 2007" xfId="1391" xr:uid="{66D0B3B1-BDD1-42B8-9413-90B24DC76ECA}"/>
    <cellStyle name="_IRT SAELPA-2006_CVA Borborema 2010 - Fiscalizada Final" xfId="1392" xr:uid="{8210BC02-91B8-43F7-8BF0-D2F47356846F}"/>
    <cellStyle name="_IRT_2006_Sulgipe_Final_Balanço" xfId="125" xr:uid="{B257B006-FAB4-444E-9210-4A6BB57D2A73}"/>
    <cellStyle name="_IRT_2006_Sulgipe_Final_Exposição_Agosto 2" xfId="1393" xr:uid="{06BADFB5-8717-422F-BE9F-6590EC8F9BC8}"/>
    <cellStyle name="_IRT_2006_Sulgipe_Final_Simulação AES SUL 03_04_07" xfId="126" xr:uid="{01C4DFB1-157E-4580-B64E-D5ABD57EE5F3}"/>
    <cellStyle name="_IRT_2006_Sulgipe_Final_Simulação AES SUL 03_04_07_casulo 15" xfId="127" xr:uid="{FFA13709-3FFE-4598-B282-010A84386E35}"/>
    <cellStyle name="_IRT_2006_Sulgipe_Final_Sobrecontratação AES (2) 2" xfId="459" xr:uid="{41C8FFD3-9087-4FB0-BEAA-81325B46CB0B}"/>
    <cellStyle name="_IRT_2006_Sulgipe_Final_Sobrecontratação AES (2)_IRT EEB 2010" xfId="1394" xr:uid="{F2A4A73D-2D35-4218-8506-DA031EF60906}"/>
    <cellStyle name="_IRT_CAT_LEO_CVA Borborema 2010 - Fiscalizada Final" xfId="1395" xr:uid="{F9962847-BB88-44F8-BF35-05146F4656C8}"/>
    <cellStyle name="_IRT_CELG_setembro2007_pósIPCA_Cálculo do Financeiro do Baixa Renda_IRT-cálculo" xfId="1396" xr:uid="{78FE12DF-E6AE-4CC2-BEBE-5287C89742E6}"/>
    <cellStyle name="_IRT_CELG_setembro2007_pósIPCA_Custo com Avaliação de Ativos para Base de Remuneração_IRT-cálculo CAPA NEUTRALIDADE" xfId="1397" xr:uid="{BA572971-FEA9-4423-ADE9-6D71142052C9}"/>
    <cellStyle name="_IRT_CEMAR_2007_VDef" xfId="128" xr:uid="{2350189A-77CC-4E7A-8F92-9CB0F8DA4C19}"/>
    <cellStyle name="_IRT_CEMAR_2007_VDef_Sheet1" xfId="1398" xr:uid="{97120DE2-9C71-4237-8408-CAE6F51FC640}"/>
    <cellStyle name="_IRT_COPEL-DIS_junho2007_Cálculo do Financeiro do Baixa Renda" xfId="1399" xr:uid="{475670F3-861E-4F80-BE0F-CEBC5B999451}"/>
    <cellStyle name="_IRT_COPEL-DIS_junho2007_CT_DIR_13_2008_Anexo_II_IRT_ESCELSA_Memoria_de_Calculo" xfId="1400" xr:uid="{D73DABBF-E608-48DB-883D-FEB2A4A961AF}"/>
    <cellStyle name="_IRT_COPEL-DIS_junho2007_Energia Comprada" xfId="1401" xr:uid="{0B604CF7-CB4F-4021-A1FE-F89CE88461B9}"/>
    <cellStyle name="_IRT_COPEL-DIS_junho2007_Fator X_IRT-cálculo" xfId="1402" xr:uid="{5618DC5F-64DF-49BC-BF19-FD37F7C1AAD1}"/>
    <cellStyle name="_IRT_COPEL-DIS_junho2007_IF_Consumidores livres e geradoras_2010" xfId="1403" xr:uid="{C9548086-5811-4617-A845-05B774293185}"/>
    <cellStyle name="_IRT_COPEL-DIS_junho2007_IRT_1_IRT-cálculo" xfId="1404" xr:uid="{1FD0B795-8204-485A-81E3-045C151DFDF5}"/>
    <cellStyle name="_IRT_COPEL-DIS_junho2007_IRT_Revisão A-1" xfId="1405" xr:uid="{5A8D2C26-30AC-488C-8811-7E0D2558CC15}"/>
    <cellStyle name="_IRT_COPEL-DIS_junho2007_Pasta1_IRT-cálculo" xfId="1406" xr:uid="{20F6A58B-C28E-4B0B-BE43-C2BFF6FC72FC}"/>
    <cellStyle name="_IRT_COPEL-DIS_junho2007_Sheet2" xfId="1407" xr:uid="{EC8F4C64-06FC-4A52-B3A5-F57B6A4B0BD2}"/>
    <cellStyle name="_IRT_ENF" xfId="1408" xr:uid="{6A186271-494C-461A-BA97-C80ABBF31FCC}"/>
    <cellStyle name="_IRT_LIGHT_nov2007" xfId="1409" xr:uid="{3EBA593E-1ED0-4C9F-A87F-77BE62BF5D69}"/>
    <cellStyle name="_IRT_LIGHT_nov2007_Custo com Avaliação de Ativos para Base de Remuneração" xfId="1410" xr:uid="{F502B988-AC72-4CF6-8F6C-2DA955541DAC}"/>
    <cellStyle name="_IRT_Planilha Básica_fev2010a" xfId="129" xr:uid="{76F0E4DC-C6D6-42E6-9BA9-F668A133E326}"/>
    <cellStyle name="_IRT_Planilha Básica_fev2010a_IRT EEB 2010" xfId="1411" xr:uid="{1E174C34-473D-48AE-AEA2-D79673BE63CC}"/>
    <cellStyle name="_IRT_Planilha Básica_março2009_COELCE  ICMS Não Compensado RTO 2012 281211" xfId="1412" xr:uid="{F18370FE-7D2E-4FD3-A031-7C813CD6D88F}"/>
    <cellStyle name="_IRT_Planilha Básica_março2009_IRT_Planilha Básica_ CETRIL" xfId="130" xr:uid="{DE53D247-927F-4EDD-9D8D-B26A28BD1A47}"/>
    <cellStyle name="_IRT_Planilha Básica_set2009" xfId="1413" xr:uid="{DD78DDA7-2324-4BE5-A66F-0D1BA19D1CFF}"/>
    <cellStyle name="_IRT_Revisão A-1" xfId="1414" xr:uid="{6C519A94-FD8F-43B6-99CA-FEB0242A92DA}"/>
    <cellStyle name="_IRT2006_CEB_Final" xfId="131" xr:uid="{DF3F5F1B-1648-46A4-B859-0DE2277F6CC4}"/>
    <cellStyle name="_IRT2006_CEB_Final_casulo 15" xfId="132" xr:uid="{DE778BD0-E76F-47D3-B834-9A33A96F7523}"/>
    <cellStyle name="_IRT2006_CEB_Final_Simulação AES SUL 03_04_07" xfId="133" xr:uid="{FA626724-DB94-4697-A95A-3C98EFB8D162}"/>
    <cellStyle name="_IRT2006_CEB_Final_Simulação AES SUL 03_04_07_casulo 15" xfId="134" xr:uid="{B2A1B512-8898-4CFB-814E-20C8FBF2186E}"/>
    <cellStyle name="_IRT2006_CEB_Final_Sobrecontratação AES (2) 3" xfId="1415" xr:uid="{3A89F22C-8394-4B37-BE10-31852BBE5B4F}"/>
    <cellStyle name="_IRT-2010_COPEL_PLPT_CALCULO_DEFICIT_RES_294_V4" xfId="599" xr:uid="{FC723BCB-05C6-4327-959E-20341A7D05BD}"/>
    <cellStyle name="_Modelo  Repasse sobrecontratação 2" xfId="1416" xr:uid="{15AF7325-D76D-4E11-876D-7C1F4A1610E7}"/>
    <cellStyle name="_MODELO PLANILHAS IRT-versão 2_Calculo_Subsidio_ELFSM_26_06_08_Modelo_ANEEL_IRT-cálculo CAPA NEUTRALIDADE" xfId="1417" xr:uid="{4AE1FCA6-78B5-46C6-819D-2C96B17BDC19}"/>
    <cellStyle name="_MODELO PLANILHAS IRT-versão 2_Energia Comprada" xfId="1418" xr:uid="{1077CC9C-DF71-4FF2-8DEC-766D10508AB6}"/>
    <cellStyle name="_MODELO PLANILHAS IRT-versão 2_Fator X_IRT-cálculo" xfId="1419" xr:uid="{BA4918BA-64CB-4150-AA9A-2FC8B499FE1B}"/>
    <cellStyle name="_MODELO PLANILHAS IRT-versão 2_IF_Consumidores livres e geradoras_2010" xfId="1420" xr:uid="{FCF95E87-DB3C-40E7-98CE-4048873DC55F}"/>
    <cellStyle name="_MODELO PLANILHAS IRT-versão 2_IRT_1_IRT-cálculo" xfId="1421" xr:uid="{62115F0C-BD8B-4BBF-8FAA-A14ED702C314}"/>
    <cellStyle name="_MODELO PLANILHAS IRT-versão 2_IRT_Planilha Básica_ CETRIL 2" xfId="460" xr:uid="{0DA2ABE5-345D-4590-8BD6-20DB5A335114}"/>
    <cellStyle name="_MODELO PLANILHAS IRT-versão 2_IRT_Revisão A-1" xfId="1422" xr:uid="{5190F671-C714-4B5D-9FAA-345375C52773}"/>
    <cellStyle name="_MODELO PLANILHAS IRT-versão 2_Pasta1_IRT-cálculo" xfId="1423" xr:uid="{F9B44F1F-276E-4CB8-BB42-CC0447D48DB7}"/>
    <cellStyle name="_MODELO PLANILHAS IRT-versão 2_SOBRECONTRATAÇÃO E CVA" xfId="1424" xr:uid="{B70F4405-57E9-45AD-BB17-0AE0A2AC5D55}"/>
    <cellStyle name="_MODELO SALDO CVA" xfId="135" xr:uid="{5F6D1752-43E8-4527-856F-A9360DF7EE08}"/>
    <cellStyle name="_MODELO SALDO CVA_casulo 15" xfId="136" xr:uid="{0C08B8F2-6575-4314-8714-F2B0F0ECD38A}"/>
    <cellStyle name="_MODELO SALDO CVA_Simulação AES SUL 03_04_07" xfId="137" xr:uid="{5CEC690F-C7EF-4910-A778-F25D1BF5076B}"/>
    <cellStyle name="_MODELO SALDO CVA_Simulação AES SUL 03_04_07_casulo 15" xfId="138" xr:uid="{F533133D-CA29-4C26-918B-C11ADFF708A0}"/>
    <cellStyle name="_MODELO SALDO CVA_Sobrecontratação AES (2) 3" xfId="1425" xr:uid="{F4C62787-04F0-475E-BEC1-88E0A179AF79}"/>
    <cellStyle name="_modelo_Sobrecontratacao" xfId="1426" xr:uid="{A4A639FE-C587-45F1-A29D-1C00D2CCA9BC}"/>
    <cellStyle name="_Oficio037-Planilha07 v18-04-07c_IF - Autoprodutores 2" xfId="1427" xr:uid="{72B0050A-61AD-4C05-8512-0D63C6D0C895}"/>
    <cellStyle name="_passivo PIS_COFINS" xfId="1428" xr:uid="{4727BB3B-41B9-4941-A58B-5A6140A7C2BC}"/>
    <cellStyle name="_passivo PIS_COFINS_Sheet1" xfId="1429" xr:uid="{F5E58756-EBEA-425C-B3BE-6367E7F82F00}"/>
    <cellStyle name="_Pasta1 3" xfId="1430" xr:uid="{2FA61312-97D2-431B-B861-76AA365CF52E}"/>
    <cellStyle name="_Pasta1_Energia Comprada" xfId="1431" xr:uid="{2B42CBC6-0077-40E4-B2F0-86F71B2E8EAD}"/>
    <cellStyle name="_Pasta1_Fator X 2" xfId="1432" xr:uid="{4F525C06-FF49-4E02-8A4C-40B375559989}"/>
    <cellStyle name="_Pasta1_IRT (2)" xfId="600" xr:uid="{99728C83-9933-40E6-BC51-FD640C077279}"/>
    <cellStyle name="_Pasta1_IRT_1_IRT-cálculo" xfId="1433" xr:uid="{103AC122-FB3F-4999-ABF7-6A24EC9F2A5D}"/>
    <cellStyle name="_Pasta1_IRT_Revisão A-1" xfId="1434" xr:uid="{8D61D829-96F9-4C44-B976-648828483022}"/>
    <cellStyle name="_Pasta1_Pasta1" xfId="601" xr:uid="{F2F8AD56-5B94-425B-9901-032C858267E6}"/>
    <cellStyle name="_Pasta1_Pasta1_SOBRECONTRATAÇÃO E CVA" xfId="1435" xr:uid="{D14E605D-A7DD-4419-BF22-FDCF1BCBE2DF}"/>
    <cellStyle name="_Pasta11_Energia Comprada" xfId="1436" xr:uid="{4590B473-80D0-45DE-947E-3BA442868FB9}"/>
    <cellStyle name="_Pasta11_Fator X 2" xfId="1437" xr:uid="{A4C68821-E318-4299-8BDE-A30CDF34F24B}"/>
    <cellStyle name="_Pasta11_IRT (2)" xfId="602" xr:uid="{43585485-77D3-4AC9-BBA3-2FC0FC5A60BF}"/>
    <cellStyle name="_Pasta11_IRT_1_IRT-cálculo CAPA NEUTRALIDADE" xfId="1438" xr:uid="{02B7E623-E28E-4B16-9C3E-5DDBDCB2E2A3}"/>
    <cellStyle name="_Pasta11_Pasta1" xfId="603" xr:uid="{18D88B57-DF29-444C-86A8-447AA38CCA7A}"/>
    <cellStyle name="_Pasta11_Pasta1_SOBRECONTRATAÇÃO E CVA" xfId="1439" xr:uid="{CFF98EDC-A08E-4F3E-A512-2BF6F1708BC9}"/>
    <cellStyle name="_Pasta12_Energia Comprada" xfId="1440" xr:uid="{0A7F90DE-B4AD-42B4-894F-0E05D1DE54D6}"/>
    <cellStyle name="_Pasta12_Fator X 2" xfId="1441" xr:uid="{334245B9-200D-49AE-8CAB-F9B81585E65F}"/>
    <cellStyle name="_Pasta12_IRT (2)" xfId="604" xr:uid="{6D2E200F-A44E-478B-A433-E21D7C053E04}"/>
    <cellStyle name="_Pasta12_IRT_1_IRT-cálculo CAPA NEUTRALIDADE" xfId="1442" xr:uid="{AE225C5B-BD46-488C-95D1-8E0C19A1A4E0}"/>
    <cellStyle name="_Pasta12_Pasta1" xfId="605" xr:uid="{2F73C6FE-5A8C-451F-BC9D-3E24BD654462}"/>
    <cellStyle name="_Pasta12_Pasta1_SOBRECONTRATAÇÃO E CVA" xfId="1443" xr:uid="{13A71706-CBE9-47BB-92ED-CDAFE71FABE9}"/>
    <cellStyle name="_Pasta2 3" xfId="1444" xr:uid="{7133858B-5251-406C-AA1D-CCCC501ACA41}"/>
    <cellStyle name="_Pasta2_IRT Piratininga 2009 2" xfId="461" xr:uid="{FB691B6D-9D0B-4B7D-9E0A-2B2A53738D8C}"/>
    <cellStyle name="_Pasta2_IRT-cálculo" xfId="1445" xr:uid="{018F2AA7-81F1-49D9-AD39-7C2CEAC83D8F}"/>
    <cellStyle name="_PERSONAL_PERSONAL" xfId="1446" xr:uid="{8F2C0DC4-89E3-4824-9491-1AB2FC91FF2A}"/>
    <cellStyle name="_PERSONAL_PERSONAL_2" xfId="1447" xr:uid="{EBE1438B-C694-4A2D-97CF-D7CBB50DE5A6}"/>
    <cellStyle name="_Plan1" xfId="1448" xr:uid="{92A4DC46-98C2-4F36-87AD-0A71327FE0D5}"/>
    <cellStyle name="_Plan2 2" xfId="1449" xr:uid="{E9505E00-A9A4-413C-909E-977A71155820}"/>
    <cellStyle name="_Planilha 14.Gastos O&amp;M 29062007  Vfinal M 3" xfId="1450" xr:uid="{D4CBF662-187C-4B1F-8A65-60B3029BC45E}"/>
    <cellStyle name="_Planilha 17 Dados Físicos 28062007 vfinal M 3 " xfId="1451" xr:uid="{5BC64B25-BB17-4E99-8299-797C12C1F7D1}"/>
    <cellStyle name="_Planilha 19 Informática e Telecom vfinal M 3" xfId="1452" xr:uid="{2610C82B-DC22-4156-A29F-31D3215C9C0F}"/>
    <cellStyle name="_Planilha16 CO RP 29062007 v final M 3" xfId="1453" xr:uid="{FDE91206-0A64-4E78-B66F-57F38F7CCBF0}"/>
    <cellStyle name="_Planilhas_Desc_Tusd_-Validadas SFF 2" xfId="1454" xr:uid="{EB786E56-DF4E-4621-891C-DB38DB8E8A5B}"/>
    <cellStyle name="_Planilhas_Desc_Tusd_-Validadas SFF_Energia Comprada_IRT-cálculo" xfId="1455" xr:uid="{5B48B2CB-2ED9-4700-A319-62788F1DAE66}"/>
    <cellStyle name="_Planilhas_Desc_Tusd_-Validadas SFF_Fator X" xfId="606" xr:uid="{D3B26B12-848F-4D87-985F-55FC5FFB7121}"/>
    <cellStyle name="_Planilhas_Desc_Tusd_-Validadas SFF_Fator X_IRT-cálculo" xfId="1456" xr:uid="{480A25BC-3F62-4CCF-B900-A2B27E85AB57}"/>
    <cellStyle name="_Planilhas_Desc_Tusd_-Validadas SFF_Fator X_SOBRECONTRATAÇÃO E CVA" xfId="1457" xr:uid="{73945C9A-6E45-45B3-92C6-60BEBA4583EA}"/>
    <cellStyle name="_Planilhas_Desc_Tusd_-Validadas SFF_IRT_1_IRT-cálculo" xfId="1458" xr:uid="{1A4A3B26-3A62-4B7F-B986-80DAACC92876}"/>
    <cellStyle name="_Planilhas_Desc_Tusd_-Validadas SFF_IRT-cálculo CAPA NEUTRALIDADE" xfId="1459" xr:uid="{D06022CE-861F-405A-88BF-146DA7F557A9}"/>
    <cellStyle name="_Planilhas_Desc_Tusd_-Validadas SFF_Pasta1_IRT-cálculo CAPA NEUTRALIDADE" xfId="1460" xr:uid="{17AB8F77-8F6E-415C-940D-6405461BD454}"/>
    <cellStyle name="_Pleito PLT EPB" xfId="1461" xr:uid="{59659FE2-7B19-4856-BEB8-1454BE1E5E7B}"/>
    <cellStyle name="_PLPT CEMIG 2009_PLANILHA_CÁLCULO_DÉFICIT_RESOLUÇÃO_294_2007_V3" xfId="139" xr:uid="{70140CB5-600C-4284-9C30-6BA2DF8274FB}"/>
    <cellStyle name="_PLPT CEMIG 2009_PLANILHA_CÁLCULO_DÉFICIT_RESOLUÇÃO_294_2007_V3_Ajustes REAJUSTE 2008 ELETROPAULO_IRT-cálculo CAPA NEUTRALIDADE" xfId="1462" xr:uid="{EB94C05B-6EBB-42C8-BC89-57338A42EA90}"/>
    <cellStyle name="_PLPT CEMIG 2009_PLANILHA_CÁLCULO_DÉFICIT_RESOLUÇÃO_294_2007_V3_Balanço" xfId="140" xr:uid="{8745D858-6E1E-439B-B2FD-5BD50A06F398}"/>
    <cellStyle name="_PLPT CEMIG 2009_PLANILHA_CÁLCULO_DÉFICIT_RESOLUÇÃO_294_2007_V3_casulo 5 2" xfId="462" xr:uid="{46FDF349-5081-4ED3-9F50-F4067BC6DD86}"/>
    <cellStyle name="_PLPT CEMIG 2009_PLANILHA_CÁLCULO_DÉFICIT_RESOLUÇÃO_294_2007_V3_IRT EEB 2010" xfId="1463" xr:uid="{E9B12C40-CBB0-44A2-A850-FEC0AE4BAE00}"/>
    <cellStyle name="_PLPT CEMIG 2009_PLANILHA_CÁLCULO_DÉFICIT_RESOLUÇÃO_294_2007_V3_IRT Piratininga 2009_casulo 15" xfId="141" xr:uid="{1A0331D7-6272-4FB3-869D-19290BDE7DCA}"/>
    <cellStyle name="_PLPT CEMIG 2009_PLANILHA_CÁLCULO_DÉFICIT_RESOLUÇÃO_294_2007_V3_IRT_EBB_mai2010d" xfId="1464" xr:uid="{91159ED0-4B08-4A56-B23B-CC407BC57582}"/>
    <cellStyle name="_PLPT CEMIG 2009_PLANILHA_CÁLCULO_DÉFICIT_RESOLUÇÃO_294_2007_V3_IRT_Planilha Básica_ CETRIL_casulo 15" xfId="142" xr:uid="{B38657EB-F3C6-4B39-8636-6217C635EDEE}"/>
    <cellStyle name="_PLPT CEMIG 2009_PLANILHA_CÁLCULO_DÉFICIT_RESOLUÇÃO_294_2007_V3_IRT_Planilha Básica_mar2010d" xfId="143" xr:uid="{EE91471D-77DE-4759-B861-9B933556518E}"/>
    <cellStyle name="_PLPT CEMIG 2009_PLANILHA_CÁLCULO_DÉFICIT_RESOLUÇÃO_294_2007_V3_Resultados_DEA_RND_QUAL_PERDAS" xfId="1465" xr:uid="{6666F481-E4E8-46EE-BF55-2F21EABD10E9}"/>
    <cellStyle name="_PLPT CEMIG 2009_PLANILHA_CÁLCULO_DÉFICIT_RESOLUÇÃO_294_2007_V3_Subsídios para análise da SRE_1" xfId="1466" xr:uid="{36D1B2CF-DB1B-4746-96DD-DFA93191B86B}"/>
    <cellStyle name="_PLPT CEMIG 2009_PLANILHA_CÁLCULO_DÉFICIT_RESOLUÇÃO_294_2007_V3_Subsídios para análise da SRE_casulo 5" xfId="144" xr:uid="{DD8787A7-7E79-4BB5-B43A-6F26CDD66030}"/>
    <cellStyle name="_PLPT CEMIG 2009_PLANILHA_CÁLCULO_DÉFICIT_RESOLUÇÃO_294_2007_V3_Subsídios para análise da SRE_casulo 5_IRT EEB 2010" xfId="1467" xr:uid="{A4F1ADF6-4463-4A02-8C2C-40FD8BCB4B1D}"/>
    <cellStyle name="_PLPT CEMIG 2009_PLANILHA_CÁLCULO_DÉFICIT_RESOLUÇÃO_294_2007_V3_Subsídios para análise da SRE_IRT Piratininga 2009_Balanço" xfId="145" xr:uid="{690469F8-E741-4770-8F47-C979B0DEE41D}"/>
    <cellStyle name="_PLPT CEMIG 2009_PLANILHA_CÁLCULO_DÉFICIT_RESOLUÇÃO_294_2007_V3_Subsídios para análise da SRE_IRT_Planilha Básica_ CETRIL" xfId="146" xr:uid="{E8EF8FD5-775C-4038-9948-482A1D088538}"/>
    <cellStyle name="_PLPT CEMIG 2009_PLANILHA_CÁLCULO_DÉFICIT_RESOLUÇÃO_294_2007_V3_Subsídios para análise da SRE_IRT_Planilha Básica_ CETRIL_IRT EEB 2010" xfId="1468" xr:uid="{3CDC7CFE-E4AF-4802-835D-4E2665E802C1}"/>
    <cellStyle name="_PLPT CEMIG 2009_PLANILHA_CÁLCULO_DÉFICIT_RESOLUÇÃO_294_2007_V3_Subsídios para análise da SRE_IRT_Planilha Básica_fev2010a 2" xfId="463" xr:uid="{F60E4F70-5E7B-45F9-AFFE-1224A99FC1DB}"/>
    <cellStyle name="_PLPT CEMIG 2009_PLANILHA_CÁLCULO_DÉFICIT_RESOLUÇÃO_294_2007_V3_Subsídios para análise da SRE_IRT_Planilha Básica_fev2010a_casulo 5" xfId="147" xr:uid="{80BA6B79-EBC3-457B-9D79-19DB0E144305}"/>
    <cellStyle name="_PLPT CEMIG 2009_PLANILHA_CÁLCULO_DÉFICIT_RESOLUÇÃO_294_2007_V3_Subsídios para análise da SRE_IRT_Planilha Básica_fev2010a_casulo 5_IRT EEB 2010" xfId="1469" xr:uid="{D1118647-3A9C-4CBC-B027-6772107194F9}"/>
    <cellStyle name="_PLPT CEMIG 2009_PLANILHA_CÁLCULO_DÉFICIT_RESOLUÇÃO_294_2007_V3_Subsídios para análise da SRE_IRT_Planilha Básica_mar2010d" xfId="148" xr:uid="{87F22CB4-4237-4C32-98BB-7E4B84F195A6}"/>
    <cellStyle name="_PLPT CEMIG 2009_PLANILHA_CÁLCULO_DÉFICIT_RESOLUÇÃO_294_2007_V3_Subsídios para análise da SRE_IRT-cálculo" xfId="1470" xr:uid="{D8D8B31C-74A7-4B47-B142-5B128FCBC47F}"/>
    <cellStyle name="_PLPT CEMIG 2009_PLANILHA_CÁLCULO_DÉFICIT_RESOLUÇÃO_294_2007_V3_Subsídios para análise da SRE_Resultados_DEA_RND_QUAL_PERDAS" xfId="1471" xr:uid="{8129DE37-29BE-438B-ADD9-1659FCBD6804}"/>
    <cellStyle name="_PLPT CEMIG 2009_PLANILHA_CÁLCULO_DÉFICIT_RESOLUÇÃO_294_2007_V3_Subsídios para análise da SRE_teste ampla 2" xfId="464" xr:uid="{816148DE-A975-481B-A81E-E853EC256D7D}"/>
    <cellStyle name="_PLPT CEMIG 2009_PLANILHA_CÁLCULO_DÉFICIT_RESOLUÇÃO_294_2007_V3_Subsídios para análise da SRE_teste ampla_casulo 5" xfId="149" xr:uid="{EBFA7DFF-7902-41A2-95D7-918D415E860E}"/>
    <cellStyle name="_PLPT CEMIG 2009_PLANILHA_CÁLCULO_DÉFICIT_RESOLUÇÃO_294_2007_V3_Subsídios para análise da SRE_teste ampla_casulo 5_IRT EEB 2010" xfId="1472" xr:uid="{932FBB9B-F3C9-4A0B-AA9E-978954C98272}"/>
    <cellStyle name="_PLPT EMG 2010_ANEEL" xfId="1473" xr:uid="{35506D04-D3F9-4A7D-AEB8-2264486AE038}"/>
    <cellStyle name="_PLPT MOCOCA-2009_PLANILHA_CÁLCULO_DÉFICIT_RESOLUÇÃO_294_2007_V3_Ajustes REAJUSTE 2008 ELETROPAULO" xfId="1474" xr:uid="{7E379371-046A-4A90-9C27-7A74099F656C}"/>
    <cellStyle name="_PLPT MOCOCA-2009_PLANILHA_CÁLCULO_DÉFICIT_RESOLUÇÃO_294_2007_V3_Ajustes REAJUSTE 2008 ELETROPAULO_IRT-cálculo CAPA NEUTRALIDADE" xfId="1475" xr:uid="{37CE11D3-05AE-49A0-B50C-F28C1CDA3206}"/>
    <cellStyle name="_PLPT MOCOCA-2009_PLANILHA_CÁLCULO_DÉFICIT_RESOLUÇÃO_294_2007_V3_Ajustes REVISÃO 2007 ELETROPAULO_IRT-cálculo" xfId="1476" xr:uid="{BC8342D5-F692-47A0-9206-E01AF7CD91DC}"/>
    <cellStyle name="_PLPT MOCOCA-2009_PLANILHA_CÁLCULO_DÉFICIT_RESOLUÇÃO_294_2007_V3_Balanço" xfId="150" xr:uid="{0BE4E4C1-C6B3-4658-B964-FE2F727E1AB3}"/>
    <cellStyle name="_PLPT MOCOCA-2009_PLANILHA_CÁLCULO_DÉFICIT_RESOLUÇÃO_294_2007_V3_casulo 5 2" xfId="465" xr:uid="{45645635-37F9-4255-9640-05C616367FE5}"/>
    <cellStyle name="_PLPT MOCOCA-2009_PLANILHA_CÁLCULO_DÉFICIT_RESOLUÇÃO_294_2007_V3_casulo 5_casulo 15" xfId="151" xr:uid="{C0E29E08-5DF0-4FAB-9017-EF0B6565620E}"/>
    <cellStyle name="_PLPT MOCOCA-2009_PLANILHA_CÁLCULO_DÉFICIT_RESOLUÇÃO_294_2007_V3_IRT" xfId="1477" xr:uid="{0456D7E6-B0EC-44F3-B506-6605AAA2C4DC}"/>
    <cellStyle name="_PLPT MOCOCA-2009_PLANILHA_CÁLCULO_DÉFICIT_RESOLUÇÃO_294_2007_V3_IRT Piratininga 2009" xfId="152" xr:uid="{C9C235E6-903D-4A6D-BD09-7F88768C9F1D}"/>
    <cellStyle name="_PLPT MOCOCA-2009_PLANILHA_CÁLCULO_DÉFICIT_RESOLUÇÃO_294_2007_V3_IRT Piratininga 2009_IRT EEB 2010" xfId="1478" xr:uid="{3776739F-49ED-4720-A5E6-4C6F571E830D}"/>
    <cellStyle name="_PLPT MOCOCA-2009_PLANILHA_CÁLCULO_DÉFICIT_RESOLUÇÃO_294_2007_V3_IRT_ENF" xfId="1479" xr:uid="{26342355-9C83-46EE-96F4-DC032500A2EC}"/>
    <cellStyle name="_PLPT MOCOCA-2009_PLANILHA_CÁLCULO_DÉFICIT_RESOLUÇÃO_294_2007_V3_IRT_Planilha Básica_ CETRIL_Balanço" xfId="153" xr:uid="{4A67CCC7-F127-4B77-8703-3ED6CE7FD101}"/>
    <cellStyle name="_PLPT MOCOCA-2009_PLANILHA_CÁLCULO_DÉFICIT_RESOLUÇÃO_294_2007_V3_IRT_Planilha Básica_DIRETORIA" xfId="1480" xr:uid="{BAA205EA-DCB0-42AB-A238-12DF8E290DC1}"/>
    <cellStyle name="_PLPT MOCOCA-2009_PLANILHA_CÁLCULO_DÉFICIT_RESOLUÇÃO_294_2007_V3_IRT_Planilha Básica_mar2010d 2" xfId="466" xr:uid="{A04D57A2-A341-477B-925D-0634E02F830B}"/>
    <cellStyle name="_PLPT MOCOCA-2009_PLANILHA_CÁLCULO_DÉFICIT_RESOLUÇÃO_294_2007_V3_IRT_Planilha Básica_março2009 2" xfId="467" xr:uid="{1584D390-E2DA-4257-82CC-6CEC68752906}"/>
    <cellStyle name="_PLPT MOCOCA-2009_PLANILHA_CÁLCULO_DÉFICIT_RESOLUÇÃO_294_2007_V3_IRT_Planilha Básica_março2009_Balanço" xfId="154" xr:uid="{A159B083-E465-4592-9229-802A4E962D5C}"/>
    <cellStyle name="_PLPT MOCOCA-2009_PLANILHA_CÁLCULO_DÉFICIT_RESOLUÇÃO_294_2007_V3_IRT_Planilha Básica_março2009_casulo 5 2" xfId="468" xr:uid="{10952AF2-F9F7-4435-B175-7E4C496A616F}"/>
    <cellStyle name="_PLPT MOCOCA-2009_PLANILHA_CÁLCULO_DÉFICIT_RESOLUÇÃO_294_2007_V3_IRT_Planilha Básica_março2009_casulo 5_IRT EEB 2010" xfId="1481" xr:uid="{872AF16D-7F5A-4B3F-B829-28C743A0E40B}"/>
    <cellStyle name="_PLPT MOCOCA-2009_PLANILHA_CÁLCULO_DÉFICIT_RESOLUÇÃO_294_2007_V3_IRT_Planilha Básica_março2009_COELCE - RTO 2011 - PLPT_PLANILHA_CÁLCULO_DÉFICIT" xfId="1482" xr:uid="{114C7AE5-3E23-4807-B2D4-056F69D7647C}"/>
    <cellStyle name="_PLPT MOCOCA-2009_PLANILHA_CÁLCULO_DÉFICIT_RESOLUÇÃO_294_2007_V3_IRT_Planilha Básica_março2009_IRT Piratininga 2009" xfId="155" xr:uid="{DB1F612C-808E-4FD4-829D-26EBC7A6E8A3}"/>
    <cellStyle name="_PLPT MOCOCA-2009_PLANILHA_CÁLCULO_DÉFICIT_RESOLUÇÃO_294_2007_V3_IRT_Planilha Básica_março2009_IRT Piratininga 2009_Balanço" xfId="156" xr:uid="{53A4F055-E4B8-4268-84C3-38C000A3EAA3}"/>
    <cellStyle name="_PLPT MOCOCA-2009_PLANILHA_CÁLCULO_DÉFICIT_RESOLUÇÃO_294_2007_V3_IRT_Planilha Básica_março2009_IRT Piratininga 2009_casulo 15" xfId="157" xr:uid="{26A76791-F976-4F23-910B-867575372980}"/>
    <cellStyle name="_PLPT MOCOCA-2009_PLANILHA_CÁLCULO_DÉFICIT_RESOLUÇÃO_294_2007_V3_IRT_Planilha Básica_março2009_IRT Piratininga 2009_IRT EEB 2010" xfId="1483" xr:uid="{0F8FCF32-0800-45D6-B586-5EA2E3628F49}"/>
    <cellStyle name="_PLPT MOCOCA-2009_PLANILHA_CÁLCULO_DÉFICIT_RESOLUÇÃO_294_2007_V3_IRT_Planilha Básica_março2009_IRT_EBB_mai2010d" xfId="1484" xr:uid="{27D355ED-A9E3-4238-8225-F14DF61DD050}"/>
    <cellStyle name="_PLPT MOCOCA-2009_PLANILHA_CÁLCULO_DÉFICIT_RESOLUÇÃO_294_2007_V3_IRT_Planilha Básica_março2009_IRT_Planilha Básica_ CETRIL" xfId="158" xr:uid="{6D3B1D3D-7ADF-4D38-9772-A531195670E7}"/>
    <cellStyle name="_PLPT MOCOCA-2009_PLANILHA_CÁLCULO_DÉFICIT_RESOLUÇÃO_294_2007_V3_IRT_Planilha Básica_março2009_IRT_Planilha Básica_ CETRIL 2" xfId="469" xr:uid="{543AD92E-86BB-44D8-B856-6A259A41B8CF}"/>
    <cellStyle name="_PLPT MOCOCA-2009_PLANILHA_CÁLCULO_DÉFICIT_RESOLUÇÃO_294_2007_V3_IRT_Planilha Básica_março2009_IRT_Planilha Básica_ CETRIL_Balanço" xfId="159" xr:uid="{80666F43-0D2F-41AB-9681-EEF6AC0DA4CE}"/>
    <cellStyle name="_PLPT MOCOCA-2009_PLANILHA_CÁLCULO_DÉFICIT_RESOLUÇÃO_294_2007_V3_IRT_Planilha Básica_março2009_IRT_Planilha Básica_ CETRIL_casulo 15" xfId="160" xr:uid="{623E57FA-7825-4776-B736-1F0EA9B60893}"/>
    <cellStyle name="_PLPT MOCOCA-2009_PLANILHA_CÁLCULO_DÉFICIT_RESOLUÇÃO_294_2007_V3_IRT_Planilha Básica_março2009_IRT_Planilha Básica_ CETRIL_IRT EEB 2010" xfId="1485" xr:uid="{36A3C634-7904-45EE-8D10-04B10746C42A}"/>
    <cellStyle name="_PLPT MOCOCA-2009_PLANILHA_CÁLCULO_DÉFICIT_RESOLUÇÃO_294_2007_V3_IRT_Planilha Básica_março2009_IRT_Planilha Básica_DIRETORIA" xfId="1486" xr:uid="{04F58F19-4504-490C-95B8-1CF187170E11}"/>
    <cellStyle name="_PLPT MOCOCA-2009_PLANILHA_CÁLCULO_DÉFICIT_RESOLUÇÃO_294_2007_V3_IRT_Planilha Básica_março2009_IRT_Planilha Básica_fev2010" xfId="1487" xr:uid="{B6340A71-9C9D-4F5C-B3E9-18536FB69FC4}"/>
    <cellStyle name="_PLPT MOCOCA-2009_PLANILHA_CÁLCULO_DÉFICIT_RESOLUÇÃO_294_2007_V3_IRT_Planilha Básica_março2009_IRT_Planilha Básica_fev2010a" xfId="161" xr:uid="{D5E28CE3-2CC7-470B-BD82-F496F238A972}"/>
    <cellStyle name="_PLPT MOCOCA-2009_PLANILHA_CÁLCULO_DÉFICIT_RESOLUÇÃO_294_2007_V3_IRT_Planilha Básica_março2009_IRT_Planilha Básica_fev2010a 2" xfId="470" xr:uid="{4D797004-583A-4F4F-B2F6-89719D4FB1E1}"/>
    <cellStyle name="_PLPT MOCOCA-2009_PLANILHA_CÁLCULO_DÉFICIT_RESOLUÇÃO_294_2007_V3_IRT_Planilha Básica_março2009_IRT_Planilha Básica_fev2010a_Balanço" xfId="162" xr:uid="{581E5264-450F-47D1-A909-9591EFEF303C}"/>
    <cellStyle name="_PLPT MOCOCA-2009_PLANILHA_CÁLCULO_DÉFICIT_RESOLUÇÃO_294_2007_V3_IRT_Planilha Básica_março2009_IRT_Planilha Básica_fev2010a_Balanço 2" xfId="471" xr:uid="{B3F66620-EEDD-4080-82B4-9C0FF7E5F270}"/>
    <cellStyle name="_PLPT MOCOCA-2009_PLANILHA_CÁLCULO_DÉFICIT_RESOLUÇÃO_294_2007_V3_IRT_Planilha Básica_março2009_IRT_Planilha Básica_fev2010a_casulo 15" xfId="163" xr:uid="{CE273164-7C4F-4E69-96B0-203AC57F28DC}"/>
    <cellStyle name="_PLPT MOCOCA-2009_PLANILHA_CÁLCULO_DÉFICIT_RESOLUÇÃO_294_2007_V3_IRT_Planilha Básica_março2009_IRT_Planilha Básica_fev2010a_casulo 5" xfId="164" xr:uid="{1E5D4DF1-62D2-47B3-941A-0CDA93E894A0}"/>
    <cellStyle name="_PLPT MOCOCA-2009_PLANILHA_CÁLCULO_DÉFICIT_RESOLUÇÃO_294_2007_V3_IRT_Planilha Básica_março2009_IRT_Planilha Básica_fev2010a_casulo 5 2" xfId="472" xr:uid="{9BAC834B-E083-46BF-B992-4E67F10F83C7}"/>
    <cellStyle name="_PLPT MOCOCA-2009_PLANILHA_CÁLCULO_DÉFICIT_RESOLUÇÃO_294_2007_V3_IRT_Planilha Básica_março2009_IRT_Planilha Básica_fev2010a_casulo 5_Balanço" xfId="165" xr:uid="{39C7BA04-93CD-4170-8A1B-A113176FC5DB}"/>
    <cellStyle name="_PLPT MOCOCA-2009_PLANILHA_CÁLCULO_DÉFICIT_RESOLUÇÃO_294_2007_V3_IRT_Planilha Básica_março2009_IRT_Planilha Básica_fev2010a_casulo 5_casulo 15" xfId="166" xr:uid="{2119A556-9143-4535-BFDF-7DC17C8D5DC3}"/>
    <cellStyle name="_PLPT MOCOCA-2009_PLANILHA_CÁLCULO_DÉFICIT_RESOLUÇÃO_294_2007_V3_IRT_Planilha Básica_março2009_IRT_Planilha Básica_fev2010a_casulo 5_IRT EEB 2010" xfId="1488" xr:uid="{7E969FDE-29E4-43B8-A611-B17C52475662}"/>
    <cellStyle name="_PLPT MOCOCA-2009_PLANILHA_CÁLCULO_DÉFICIT_RESOLUÇÃO_294_2007_V3_IRT_Planilha Básica_março2009_IRT_Planilha Básica_fev2010a_IRT EEB 2010" xfId="1489" xr:uid="{A8EDBD98-84B8-4B55-92D1-5D05FE1F087A}"/>
    <cellStyle name="_PLPT MOCOCA-2009_PLANILHA_CÁLCULO_DÉFICIT_RESOLUÇÃO_294_2007_V3_IRT_Planilha Básica_março2009_IRT_Planilha Básica_mar2010d" xfId="167" xr:uid="{8D3CAA34-6A41-4DFB-AEFF-08E0F923A691}"/>
    <cellStyle name="_PLPT MOCOCA-2009_PLANILHA_CÁLCULO_DÉFICIT_RESOLUÇÃO_294_2007_V3_IRT_Planilha Básica_março2009_IRT_Planilha Básica_mar2010d 2" xfId="473" xr:uid="{382DB7C5-EDF0-47E5-9B13-57BB3F57A128}"/>
    <cellStyle name="_PLPT MOCOCA-2009_PLANILHA_CÁLCULO_DÉFICIT_RESOLUÇÃO_294_2007_V3_IRT_Planilha Básica_março2009_IRT_Planilha Básica_NOVA METODOLOGIA" xfId="1490" xr:uid="{E936A612-4D0E-4295-9D23-CD352FCF3E40}"/>
    <cellStyle name="_PLPT MOCOCA-2009_PLANILHA_CÁLCULO_DÉFICIT_RESOLUÇÃO_294_2007_V3_IRT_Planilha Básica_março2009_IRT_Santa 2010" xfId="1491" xr:uid="{2892B749-0B5A-432F-B62E-31A70E27CE80}"/>
    <cellStyle name="_PLPT MOCOCA-2009_PLANILHA_CÁLCULO_DÉFICIT_RESOLUÇÃO_294_2007_V3_IRT_Planilha Básica_março2009_Simulação congelamento COELCE 2011 - Propostas 3ª Fase AP040 (20.12.2011)" xfId="1492" xr:uid="{1E7F3CD0-C0E4-49A1-9C0C-7A4AF3064A5D}"/>
    <cellStyle name="_PLPT MOCOCA-2009_PLANILHA_CÁLCULO_DÉFICIT_RESOLUÇÃO_294_2007_V3_IRT_Planilha Básica_março2009_teste ampla 2" xfId="474" xr:uid="{3F318902-4BD7-450E-95EF-E61F6ECF3ACD}"/>
    <cellStyle name="_PLPT MOCOCA-2009_PLANILHA_CÁLCULO_DÉFICIT_RESOLUÇÃO_294_2007_V3_IRT_Planilha Básica_março2009_teste ampla_Balanço 2" xfId="475" xr:uid="{44B2EBBC-6E2A-4C58-A7EE-2DA1791618A3}"/>
    <cellStyle name="_PLPT MOCOCA-2009_PLANILHA_CÁLCULO_DÉFICIT_RESOLUÇÃO_294_2007_V3_IRT_Planilha Básica_março2009_teste ampla_casulo 5" xfId="168" xr:uid="{A523761D-D5AA-4E83-9195-7853C24DBBF7}"/>
    <cellStyle name="_PLPT MOCOCA-2009_PLANILHA_CÁLCULO_DÉFICIT_RESOLUÇÃO_294_2007_V3_IRT_Planilha Básica_março2009_teste ampla_casulo 5_Balanço" xfId="169" xr:uid="{5E6EFA64-1455-44EB-971A-1FDAAB1CD392}"/>
    <cellStyle name="_PLPT MOCOCA-2009_PLANILHA_CÁLCULO_DÉFICIT_RESOLUÇÃO_294_2007_V3_IRT_Planilha Básica_março2009_teste ampla_casulo 5_IRT EEB 2010" xfId="1493" xr:uid="{687805FD-9349-4599-B534-43298A40A644}"/>
    <cellStyle name="_PLPT MOCOCA-2009_PLANILHA_CÁLCULO_DÉFICIT_RESOLUÇÃO_294_2007_V3_IRT-cálculo" xfId="1494" xr:uid="{4109C087-93AA-4579-9D8C-1CCABE4638E4}"/>
    <cellStyle name="_PLPT MOCOCA-2009_PLANILHA_CÁLCULO_DÉFICIT_RESOLUÇÃO_294_2007_V3_Resultados_DEA_RND_QUAL_PERDAS" xfId="1495" xr:uid="{9070B813-9DAB-4CC0-93A1-C3A90B38B18D}"/>
    <cellStyle name="_PLPT MOCOCA-2009_PLANILHA_CÁLCULO_DÉFICIT_RESOLUÇÃO_294_2007_V3_Subsídios para análise da SRE 2" xfId="476" xr:uid="{5D10A2D0-2C72-4543-A72A-7D803B12EF18}"/>
    <cellStyle name="_PLPT MOCOCA-2009_PLANILHA_CÁLCULO_DÉFICIT_RESOLUÇÃO_294_2007_V3_Subsídios para análise da SRE_Balanço 2" xfId="477" xr:uid="{06774E38-FD8B-4D01-B1F1-A2E820BECFCD}"/>
    <cellStyle name="_PLPT MOCOCA-2009_PLANILHA_CÁLCULO_DÉFICIT_RESOLUÇÃO_294_2007_V3_Subsídios para análise da SRE_casulo 5" xfId="170" xr:uid="{9611EE76-F8DD-4981-B84F-B785B85730F9}"/>
    <cellStyle name="_PLPT MOCOCA-2009_PLANILHA_CÁLCULO_DÉFICIT_RESOLUÇÃO_294_2007_V3_Subsídios para análise da SRE_casulo 5_Balanço" xfId="171" xr:uid="{37AEF344-32CA-4006-8749-4523F35656BD}"/>
    <cellStyle name="_PLPT MOCOCA-2009_PLANILHA_CÁLCULO_DÉFICIT_RESOLUÇÃO_294_2007_V3_Subsídios para análise da SRE_casulo 5_IRT EEB 2010" xfId="1496" xr:uid="{386D6EE9-0EA5-429C-AB99-1A10D5428220}"/>
    <cellStyle name="_PLPT MOCOCA-2009_PLANILHA_CÁLCULO_DÉFICIT_RESOLUÇÃO_294_2007_V3_Subsídios para análise da SRE_IRT Piratininga 2009" xfId="172" xr:uid="{3A6375D6-2A3C-4558-97BF-BAD5349DDE3C}"/>
    <cellStyle name="_PLPT MOCOCA-2009_PLANILHA_CÁLCULO_DÉFICIT_RESOLUÇÃO_294_2007_V3_Subsídios para análise da SRE_IRT Piratininga 2009_Balanço" xfId="173" xr:uid="{1A8DBD9C-EA61-45AD-BB9C-CAE07F0DA0A3}"/>
    <cellStyle name="_PLPT MOCOCA-2009_PLANILHA_CÁLCULO_DÉFICIT_RESOLUÇÃO_294_2007_V3_Subsídios para análise da SRE_IRT Piratininga 2009_casulo 15" xfId="174" xr:uid="{341C69B0-5DF8-426A-A60E-7B7304FD40F9}"/>
    <cellStyle name="_PLPT MOCOCA-2009_PLANILHA_CÁLCULO_DÉFICIT_RESOLUÇÃO_294_2007_V3_Subsídios para análise da SRE_IRT_EBB_mai2010d" xfId="1497" xr:uid="{5AD1CE3D-837A-4EFA-80EE-06D65822F8D4}"/>
    <cellStyle name="_PLPT MOCOCA-2009_PLANILHA_CÁLCULO_DÉFICIT_RESOLUÇÃO_294_2007_V3_Subsídios para análise da SRE_IRT_Planilha Básica_ CETRIL 2" xfId="478" xr:uid="{DE3D20F5-719F-44E5-BDC1-7560AB43D362}"/>
    <cellStyle name="_PLPT MOCOCA-2009_PLANILHA_CÁLCULO_DÉFICIT_RESOLUÇÃO_294_2007_V3_Subsídios para análise da SRE_IRT_Planilha Básica_ CETRIL_casulo 15" xfId="175" xr:uid="{845F2D9A-2E7B-4C7A-A066-3B558DB0296E}"/>
    <cellStyle name="_PLPT MOCOCA-2009_PLANILHA_CÁLCULO_DÉFICIT_RESOLUÇÃO_294_2007_V3_Subsídios para análise da SRE_IRT_Planilha Básica_DIRETORIA" xfId="1498" xr:uid="{A8A4A49D-9BB7-473D-AD62-B018A61FE17D}"/>
    <cellStyle name="_PLPT MOCOCA-2009_PLANILHA_CÁLCULO_DÉFICIT_RESOLUÇÃO_294_2007_V3_Subsídios para análise da SRE_IRT_Planilha Básica_fev2010a" xfId="176" xr:uid="{A7E1C51E-8882-4B76-88A2-A789B0A0F9A2}"/>
    <cellStyle name="_PLPT MOCOCA-2009_PLANILHA_CÁLCULO_DÉFICIT_RESOLUÇÃO_294_2007_V3_Subsídios para análise da SRE_IRT_Planilha Básica_fev2010a_Balanço" xfId="177" xr:uid="{054D2CC8-ABC6-4484-949A-1EBAF7D35E6D}"/>
    <cellStyle name="_PLPT MOCOCA-2009_PLANILHA_CÁLCULO_DÉFICIT_RESOLUÇÃO_294_2007_V3_Subsídios para análise da SRE_IRT_Planilha Básica_fev2010a_casulo 15" xfId="178" xr:uid="{15FA51E2-B5CC-4BFB-8BCE-7A308BAF64C7}"/>
    <cellStyle name="_PLPT MOCOCA-2009_PLANILHA_CÁLCULO_DÉFICIT_RESOLUÇÃO_294_2007_V3_Subsídios para análise da SRE_IRT_Planilha Básica_fev2010a_casulo 5 2" xfId="479" xr:uid="{A8791BBA-D66F-47A9-A4FA-B727A111DC36}"/>
    <cellStyle name="_PLPT MOCOCA-2009_PLANILHA_CÁLCULO_DÉFICIT_RESOLUÇÃO_294_2007_V3_Subsídios para análise da SRE_IRT_Planilha Básica_fev2010a_casulo 5_casulo 15" xfId="179" xr:uid="{84DBEAD8-59C4-44DD-A155-DE5192D506F6}"/>
    <cellStyle name="_PLPT MOCOCA-2009_PLANILHA_CÁLCULO_DÉFICIT_RESOLUÇÃO_294_2007_V3_Subsídios para análise da SRE_IRT_Planilha Básica_fev2010a_IRT EEB 2010" xfId="1499" xr:uid="{AF21B3C5-FC6C-4ED8-9467-14BA4B4E0A19}"/>
    <cellStyle name="_PLPT MOCOCA-2009_PLANILHA_CÁLCULO_DÉFICIT_RESOLUÇÃO_294_2007_V3_Subsídios para análise da SRE_IRT_Planilha Básica_mar2010b" xfId="1500" xr:uid="{9FCD7599-6817-429C-96E5-5CBD65023A2F}"/>
    <cellStyle name="_PLPT MOCOCA-2009_PLANILHA_CÁLCULO_DÉFICIT_RESOLUÇÃO_294_2007_V3_Subsídios para análise da SRE_IRT_Planilha Básica_mar2010d 2" xfId="480" xr:uid="{35C68DA2-F4F3-4D52-96C9-8CC78D87BBA9}"/>
    <cellStyle name="_PLPT MOCOCA-2009_PLANILHA_CÁLCULO_DÉFICIT_RESOLUÇÃO_294_2007_V3_Subsídios para análise da SRE_IRT_Santa 2010" xfId="1501" xr:uid="{B53343A3-4A77-4425-AFB8-EC5FA9A38D33}"/>
    <cellStyle name="_PLPT MOCOCA-2009_PLANILHA_CÁLCULO_DÉFICIT_RESOLUÇÃO_294_2007_V3_Subsídios para análise da SRE_IRT-cálculo CAPA NEUTRALIDADE" xfId="1502" xr:uid="{BF90159D-439F-41EC-8926-5971F29C7D00}"/>
    <cellStyle name="_PLPT MOCOCA-2009_PLANILHA_CÁLCULO_DÉFICIT_RESOLUÇÃO_294_2007_V3_Subsídios para análise da SRE_teste ampla" xfId="180" xr:uid="{6CCD299D-26F5-456E-B77A-6D908506B9C5}"/>
    <cellStyle name="_PLPT MOCOCA-2009_PLANILHA_CÁLCULO_DÉFICIT_RESOLUÇÃO_294_2007_V3_Subsídios para análise da SRE_teste ampla_Balanço" xfId="181" xr:uid="{F2B62629-8946-407A-A3BC-6ECA73906BC4}"/>
    <cellStyle name="_PLPT MOCOCA-2009_PLANILHA_CÁLCULO_DÉFICIT_RESOLUÇÃO_294_2007_V3_Subsídios para análise da SRE_teste ampla_casulo 15" xfId="182" xr:uid="{DB33AE7E-A64D-4CAB-A354-170DFE5B6F09}"/>
    <cellStyle name="_PLPT MOCOCA-2009_PLANILHA_CÁLCULO_DÉFICIT_RESOLUÇÃO_294_2007_V3_Subsídios para análise da SRE_teste ampla_casulo 5 2" xfId="481" xr:uid="{CCEF48D9-58AA-475B-A884-308FEB3B4EED}"/>
    <cellStyle name="_PLPT MOCOCA-2009_PLANILHA_CÁLCULO_DÉFICIT_RESOLUÇÃO_294_2007_V3_Subsídios para análise da SRE_teste ampla_casulo 5_casulo 15" xfId="183" xr:uid="{2EA78286-FCC1-41CA-A337-456866C8ADCC}"/>
    <cellStyle name="_PLPT MOCOCA-2009_PLANILHA_CÁLCULO_DÉFICIT_RESOLUÇÃO_294_2007_V3_Subsídios para análise da SRE_teste ampla_IRT EEB 2010" xfId="1503" xr:uid="{27C27653-1D4B-487E-AE06-E958B24E59E7}"/>
    <cellStyle name="_PLPT_PLANILHA_ANEEL_FINAL_12_07" xfId="1504" xr:uid="{94811AA5-7029-45E3-BDDC-56569F7242D7}"/>
    <cellStyle name="_PLPT_PLANILHA_CÁLCULO_DÉFICIT_RESOLUÇÃO_294_2007_antes Da Revisão" xfId="1505" xr:uid="{3461ACDA-27F7-4D63-B32C-046EEB81EAD6}"/>
    <cellStyle name="_PLPT_PLANILHA_CÁLCULO_DÉFICIT_RESOLUÇÃO_294_2007_COELCE_Sem_Gov_Estado_pos_Rev2007 3" xfId="1506" xr:uid="{04C690F9-ED75-40BD-9146-993BF288373B}"/>
    <cellStyle name="_PLPT_PLANILHA_CÁLCULO_DÉFICIT_RESOLUÇÃO_294_2007_COELCE_Sem_Gov_Estado_pos_Rev2007_Ajustes REAJUSTE 2008 ELETROPAULO_IRT-cálculo" xfId="1507" xr:uid="{5CA3733B-F7F0-4D84-A1BE-C236B578C6CF}"/>
    <cellStyle name="_PLPT_PLANILHA_CÁLCULO_DÉFICIT_RESOLUÇÃO_294_2007_COELCE_Sem_Gov_Estado_pos_Rev2007_Ajustes REVISÃO 2007 ELETROPAULO_IRT-cálculo CAPA NEUTRALIDADE" xfId="1508" xr:uid="{02D1AC53-C22A-4652-9B04-1DE16409D13C}"/>
    <cellStyle name="_PLPT_PLANILHA_CÁLCULO_DÉFICIT_RESOLUÇÃO_294_2007_COELCE_Sem_Gov_Estado_pos_Rev2007_Calculo_Subsidio_ELFSM_26_06_08_Modelo_ANEEL_IRT-cálculo" xfId="1509" xr:uid="{DCF2E202-4666-4D92-850D-25E1BCC95EDB}"/>
    <cellStyle name="_PLPT_PLANILHA_CÁLCULO_DÉFICIT_RESOLUÇÃO_294_2007_COELCE_Sem_Gov_Estado_pos_Rev2007_casulo 5 2" xfId="482" xr:uid="{14F3266C-F0D0-43EB-A12D-F48526A74DAB}"/>
    <cellStyle name="_PLPT_PLANILHA_CÁLCULO_DÉFICIT_RESOLUÇÃO_294_2007_COELCE_Sem_Gov_Estado_pos_Rev2007_Cópia de IRT_CPFL_LESTE_PAULISTA(CPEE)_fev2009-COM_PREVISÃO_BR_da_Diretoria_pos_IGPM" xfId="184" xr:uid="{6A28E94C-F6A0-4447-87F8-553EA744F1D9}"/>
    <cellStyle name="_PLPT_PLANILHA_CÁLCULO_DÉFICIT_RESOLUÇÃO_294_2007_COELCE_Sem_Gov_Estado_pos_Rev2007_Cópia de IRT_CPFL_LESTE_PAULISTA(CPEE)_fev2009-COM_PREVISÃO_BR_da_Diretoria_pos_IGPM_casulo 15" xfId="185" xr:uid="{9BB1B8AB-115C-4D94-8676-6EBA87C12E55}"/>
    <cellStyle name="_PLPT_PLANILHA_CÁLCULO_DÉFICIT_RESOLUÇÃO_294_2007_COELCE_Sem_Gov_Estado_pos_Rev2007_Cópia de IRT_CPFL_LESTE_PAULISTA(CPEE)_fev2009-COM_PREVISÃO_BR_da_Diretoria_pos_IGPM_casulo 5_casulo 15" xfId="186" xr:uid="{296C27C0-D948-4C60-80C3-92F95AB52967}"/>
    <cellStyle name="_PLPT_PLANILHA_CÁLCULO_DÉFICIT_RESOLUÇÃO_294_2007_COELCE_Sem_Gov_Estado_pos_Rev2007_Exposição 2008" xfId="1510" xr:uid="{D778519B-62A0-4163-A562-A9C85B3234AF}"/>
    <cellStyle name="_PLPT_PLANILHA_CÁLCULO_DÉFICIT_RESOLUÇÃO_294_2007_COELCE_Sem_Gov_Estado_pos_Rev2007_IRT Piratininga 2009" xfId="187" xr:uid="{E5B23EC6-58F5-4CD3-A746-EBF00E546CAC}"/>
    <cellStyle name="_PLPT_PLANILHA_CÁLCULO_DÉFICIT_RESOLUÇÃO_294_2007_COELCE_Sem_Gov_Estado_pos_Rev2007_IRT Piratininga 2009_IRT EEB 2010" xfId="1511" xr:uid="{F7618F61-1F3C-439F-A9D7-A373A05A1959}"/>
    <cellStyle name="_PLPT_PLANILHA_CÁLCULO_DÉFICIT_RESOLUÇÃO_294_2007_COELCE_Sem_Gov_Estado_pos_Rev2007_IRT Reloaded_Balanço 2" xfId="483" xr:uid="{AC13744B-B201-4093-92BE-4FB7D27CF3D9}"/>
    <cellStyle name="_PLPT_PLANILHA_CÁLCULO_DÉFICIT_RESOLUÇÃO_294_2007_COELCE_Sem_Gov_Estado_pos_Rev2007_IRT Reloaded_casulo 5" xfId="188" xr:uid="{FE5950FD-B7B2-4659-86F6-DA26FCF05E17}"/>
    <cellStyle name="_PLPT_PLANILHA_CÁLCULO_DÉFICIT_RESOLUÇÃO_294_2007_COELCE_Sem_Gov_Estado_pos_Rev2007_IRT Reloaded_casulo 5_Balanço" xfId="189" xr:uid="{5F2EA7DB-89F4-4BE0-8109-02DBC67C526C}"/>
    <cellStyle name="_PLPT_PLANILHA_CÁLCULO_DÉFICIT_RESOLUÇÃO_294_2007_COELCE_Sem_Gov_Estado_pos_Rev2007_IRT Reloaded_casulo 5_IRT EEB 2010" xfId="1512" xr:uid="{964C5554-128C-4100-8E0B-B772BE58F141}"/>
    <cellStyle name="_PLPT_PLANILHA_CÁLCULO_DÉFICIT_RESOLUÇÃO_294_2007_COELCE_Sem_Gov_Estado_pos_Rev2007_IRT_1" xfId="607" xr:uid="{1EBB5531-7450-41AB-B5DF-54F097EAE43F}"/>
    <cellStyle name="_PLPT_PLANILHA_CÁLCULO_DÉFICIT_RESOLUÇÃO_294_2007_COELCE_Sem_Gov_Estado_pos_Rev2007_IRT_1_SOBRECONTRATAÇÃO E CVA" xfId="1513" xr:uid="{5489F834-901D-4A85-BEC3-3E34237FDCFF}"/>
    <cellStyle name="_PLPT_PLANILHA_CÁLCULO_DÉFICIT_RESOLUÇÃO_294_2007_COELCE_Sem_Gov_Estado_pos_Rev2007_IRT_COELCE_abr2008 2" xfId="1514" xr:uid="{024BD5AD-9E7E-48A4-97F0-8536C53C07EB}"/>
    <cellStyle name="_PLPT_PLANILHA_CÁLCULO_DÉFICIT_RESOLUÇÃO_294_2007_COELCE_Sem_Gov_Estado_pos_Rev2007_IRT_Planilha Básica_ CETRIL_Balanço" xfId="190" xr:uid="{D77A3514-2798-40A6-ADF4-6C4EE0C15606}"/>
    <cellStyle name="_PLPT_PLANILHA_CÁLCULO_DÉFICIT_RESOLUÇÃO_294_2007_COELCE_Sem_Gov_Estado_pos_Rev2007_IRT_Planilha Básica_DIRETORIA" xfId="1515" xr:uid="{8E066350-0E2F-4A2D-BBB4-7A51E34F160A}"/>
    <cellStyle name="_PLPT_PLANILHA_CÁLCULO_DÉFICIT_RESOLUÇÃO_294_2007_COELCE_Sem_Gov_Estado_pos_Rev2007_IRT_Planilha Básica_fev2010a_Balanço 2" xfId="484" xr:uid="{42D0868E-D235-4569-8C4D-1481ED143A02}"/>
    <cellStyle name="_PLPT_PLANILHA_CÁLCULO_DÉFICIT_RESOLUÇÃO_294_2007_COELCE_Sem_Gov_Estado_pos_Rev2007_IRT_Planilha Básica_fev2010a_casulo 5_Balanço" xfId="191" xr:uid="{3E967E87-197D-4E8A-A56F-04C1FED795A5}"/>
    <cellStyle name="_PLPT_PLANILHA_CÁLCULO_DÉFICIT_RESOLUÇÃO_294_2007_COELCE_Sem_Gov_Estado_pos_Rev2007_IRT_Planilha Básica_fev2010a_casulo 5_IRT EEB 2010" xfId="1516" xr:uid="{29975574-A605-4FA6-8E3B-610832BDB476}"/>
    <cellStyle name="_PLPT_PLANILHA_CÁLCULO_DÉFICIT_RESOLUÇÃO_294_2007_COELCE_Sem_Gov_Estado_pos_Rev2007_IRT_Planilha Básica_jun2009" xfId="1517" xr:uid="{5C0A3350-618C-41F8-A9EC-9F5286D82659}"/>
    <cellStyle name="_PLPT_PLANILHA_CÁLCULO_DÉFICIT_RESOLUÇÃO_294_2007_COELCE_Sem_Gov_Estado_pos_Rev2007_IRT_Planilha Básica_mar2010d" xfId="192" xr:uid="{590B3B7F-7E73-4EDB-B784-7FA6713706AB}"/>
    <cellStyle name="_PLPT_PLANILHA_CÁLCULO_DÉFICIT_RESOLUÇÃO_294_2007_COELCE_Sem_Gov_Estado_pos_Rev2007_IRT_Planilha Básica_março2009" xfId="193" xr:uid="{C7AC892A-3EA8-4766-9801-F39EBF29F648}"/>
    <cellStyle name="_PLPT_PLANILHA_CÁLCULO_DÉFICIT_RESOLUÇÃO_294_2007_COELCE_Sem_Gov_Estado_pos_Rev2007_IRT_Planilha Básica_março2009_02 IRT Bandeirante 2009" xfId="1518" xr:uid="{27389B2E-A2F9-4C43-AD9C-5D490E7C64C0}"/>
    <cellStyle name="_PLPT_PLANILHA_CÁLCULO_DÉFICIT_RESOLUÇÃO_294_2007_COELCE_Sem_Gov_Estado_pos_Rev2007_IRT_Planilha Básica_março2009_Balanço 2" xfId="485" xr:uid="{F16E0AED-A0A9-48FF-ADF5-22C61B061CD1}"/>
    <cellStyle name="_PLPT_PLANILHA_CÁLCULO_DÉFICIT_RESOLUÇÃO_294_2007_COELCE_Sem_Gov_Estado_pos_Rev2007_IRT_Planilha Básica_março2009_casulo 5" xfId="194" xr:uid="{5E1C54E4-410F-4C06-8091-7056F5AD0503}"/>
    <cellStyle name="_PLPT_PLANILHA_CÁLCULO_DÉFICIT_RESOLUÇÃO_294_2007_COELCE_Sem_Gov_Estado_pos_Rev2007_IRT_Planilha Básica_março2009_casulo 5_Balanço" xfId="195" xr:uid="{7F18CA31-4F50-4384-9735-44307028B03B}"/>
    <cellStyle name="_PLPT_PLANILHA_CÁLCULO_DÉFICIT_RESOLUÇÃO_294_2007_COELCE_Sem_Gov_Estado_pos_Rev2007_IRT_Planilha Básica_março2009_casulo 5_IRT EEB 2010" xfId="1519" xr:uid="{CC518538-2D83-4E9A-89B4-23A21A1D70A6}"/>
    <cellStyle name="_PLPT_PLANILHA_CÁLCULO_DÉFICIT_RESOLUÇÃO_294_2007_COELCE_Sem_Gov_Estado_pos_Rev2007_IRT_Planilha Básica_março2009_COELCE - RTO 2011 - PLPT_PLANILHA_CÁLCULO_DÉFICIT" xfId="1520" xr:uid="{8C103965-D5A5-4147-9C50-FCB9BCAEC5CC}"/>
    <cellStyle name="_PLPT_PLANILHA_CÁLCULO_DÉFICIT_RESOLUÇÃO_294_2007_COELCE_Sem_Gov_Estado_pos_Rev2007_IRT_Planilha Básica_março2009_IRT Piratininga 2009 2" xfId="486" xr:uid="{A716B01E-416E-429A-B54E-0FC631E2F5F3}"/>
    <cellStyle name="_PLPT_PLANILHA_CÁLCULO_DÉFICIT_RESOLUÇÃO_294_2007_COELCE_Sem_Gov_Estado_pos_Rev2007_IRT_Planilha Básica_março2009_IRT_EBB_mai2010d" xfId="1521" xr:uid="{3BCBF767-5777-4C73-9E41-60EFA7651CBE}"/>
    <cellStyle name="_PLPT_PLANILHA_CÁLCULO_DÉFICIT_RESOLUÇÃO_294_2007_COELCE_Sem_Gov_Estado_pos_Rev2007_IRT_Planilha Básica_março2009_IRT_Planilha Básica_ CETRIL_casulo 15" xfId="196" xr:uid="{107D9D1E-BC8B-471D-A122-3A83664B5F03}"/>
    <cellStyle name="_PLPT_PLANILHA_CÁLCULO_DÉFICIT_RESOLUÇÃO_294_2007_COELCE_Sem_Gov_Estado_pos_Rev2007_IRT_Planilha Básica_março2009_IRT_Planilha Básica_fev2010a" xfId="197" xr:uid="{EFCBC461-130D-4964-BED5-781745199C7F}"/>
    <cellStyle name="_PLPT_PLANILHA_CÁLCULO_DÉFICIT_RESOLUÇÃO_294_2007_COELCE_Sem_Gov_Estado_pos_Rev2007_IRT_Planilha Básica_março2009_IRT_Planilha Básica_fev2010a_casulo 15" xfId="198" xr:uid="{A8570EC1-B293-48F5-AFD7-F04C5FDE4825}"/>
    <cellStyle name="_PLPT_PLANILHA_CÁLCULO_DÉFICIT_RESOLUÇÃO_294_2007_COELCE_Sem_Gov_Estado_pos_Rev2007_IRT_Planilha Básica_março2009_IRT_Planilha Básica_fev2010a_casulo 5_casulo 15" xfId="199" xr:uid="{753CF857-31FD-4E6D-AE15-DB2BAEC7B9A5}"/>
    <cellStyle name="_PLPT_PLANILHA_CÁLCULO_DÉFICIT_RESOLUÇÃO_294_2007_COELCE_Sem_Gov_Estado_pos_Rev2007_IRT_Planilha Básica_março2009_IRT_Planilha Básica_mar2010d" xfId="200" xr:uid="{4FD0D6DB-68FD-4C78-9BCA-3ED60675A293}"/>
    <cellStyle name="_PLPT_PLANILHA_CÁLCULO_DÉFICIT_RESOLUÇÃO_294_2007_COELCE_Sem_Gov_Estado_pos_Rev2007_IRT_Planilha Básica_março2009_Resultados_DEA_RND_QUAL_PERDAS" xfId="1522" xr:uid="{8E63C9C3-8759-4977-B359-54DFC14F3035}"/>
    <cellStyle name="_PLPT_PLANILHA_CÁLCULO_DÉFICIT_RESOLUÇÃO_294_2007_COELCE_Sem_Gov_Estado_pos_Rev2007_IRT_Planilha Básica_março2009_teste ampla_Balanço" xfId="201" xr:uid="{E2CA9092-B089-44FD-921B-36A2BB422FE4}"/>
    <cellStyle name="_PLPT_PLANILHA_CÁLCULO_DÉFICIT_RESOLUÇÃO_294_2007_COELCE_Sem_Gov_Estado_pos_Rev2007_IRT_Planilha Básica_março2009_teste ampla_casulo 5 2" xfId="487" xr:uid="{507C2284-61E9-4455-BC21-4EF1B526AFD2}"/>
    <cellStyle name="_PLPT_PLANILHA_CÁLCULO_DÉFICIT_RESOLUÇÃO_294_2007_COELCE_Sem_Gov_Estado_pos_Rev2007_IRT_Planilha Básica_março2009_teste ampla_IRT EEB 2010" xfId="1523" xr:uid="{7F052464-CC0F-402A-B9E5-3B1443598DD4}"/>
    <cellStyle name="_PLPT_PLANILHA_CÁLCULO_DÉFICIT_RESOLUÇÃO_294_2007_COELCE_Sem_Gov_Estado_pos_Rev2007_IRT_Planilha Básica_out2009_Balanço" xfId="202" xr:uid="{8548D766-1EB0-4135-88BE-B2B5FB1AB59B}"/>
    <cellStyle name="_PLPT_PLANILHA_CÁLCULO_DÉFICIT_RESOLUÇÃO_294_2007_COELCE_Sem_Gov_Estado_pos_Rev2007_IRT_Planilha Básica_out2009_casulo 5 2" xfId="488" xr:uid="{A97E63FB-B20D-460B-A7C6-0A3A2747A1BB}"/>
    <cellStyle name="_PLPT_PLANILHA_CÁLCULO_DÉFICIT_RESOLUÇÃO_294_2007_COELCE_Sem_Gov_Estado_pos_Rev2007_IRT_Planilha Básica_out2009_IRT EEB 2010" xfId="1524" xr:uid="{6CDAE284-B599-4329-B646-F086079BFAF5}"/>
    <cellStyle name="_PLPT_PLANILHA_CÁLCULO_DÉFICIT_RESOLUÇÃO_294_2007_COELCE_Sem_Gov_Estado_pos_Rev2007_IRT_Revisão A-1" xfId="1525" xr:uid="{152ABBE3-2E0B-4CC1-B68E-5D121F538519}"/>
    <cellStyle name="_PLPT_PLANILHA_CÁLCULO_DÉFICIT_RESOLUÇÃO_294_2007_COELCE_Sem_Gov_Estado_pos_Rev2007_IRT1" xfId="1526" xr:uid="{CE4FEC9C-BEC4-4835-AAAF-E0DC3E54272F}"/>
    <cellStyle name="_PLPT_PLANILHA_CÁLCULO_DÉFICIT_RESOLUÇÃO_294_2007_COELCE_Sem_Gov_Estado_pos_Rev2007_IRT-cálculo" xfId="1527" xr:uid="{DFDA3503-BF91-44B8-9775-4AE8AA251322}"/>
    <cellStyle name="_PLPT_PLANILHA_CÁLCULO_DÉFICIT_RESOLUÇÃO_294_2007_COELCE_Sem_Gov_Estado_pos_Rev2007_Pasta1_IRT-cálculo" xfId="1528" xr:uid="{B62F9624-E7D5-4A6E-8529-285D997CEDFD}"/>
    <cellStyle name="_PLPT_PLANILHA_CÁLCULO_DÉFICIT_RESOLUÇÃO_294_2007_COELCE_Sem_Gov_Estado_pos_Rev2007_Pasta2 2" xfId="489" xr:uid="{48C3763B-11F8-49CA-A6DA-713D214626F4}"/>
    <cellStyle name="_PLPT_PLANILHA_CÁLCULO_DÉFICIT_RESOLUÇÃO_294_2007_COELCE_Sem_Gov_Estado_pos_Rev2007_Pasta2_casulo 15" xfId="203" xr:uid="{E3839E44-1B78-4DEF-99D6-78E9D01CE49B}"/>
    <cellStyle name="_PLPT_PLANILHA_CÁLCULO_DÉFICIT_RESOLUÇÃO_294_2007_COELCE_Sem_Gov_Estado_pos_Rev2007_Pasta2_casulo 5_casulo 15" xfId="204" xr:uid="{E4759B58-D8DE-408F-B5F6-56074BA9AE28}"/>
    <cellStyle name="_PLPT_PLANILHA_CÁLCULO_DÉFICIT_RESOLUÇÃO_294_2007_COELCE_Sem_Gov_Estado_pos_Rev2007_Pasta2_IRT Piratininga 2009" xfId="205" xr:uid="{9C0E141D-015D-4E9D-B713-356D4633745D}"/>
    <cellStyle name="_PLPT_PLANILHA_CÁLCULO_DÉFICIT_RESOLUÇÃO_294_2007_COELCE_Sem_Gov_Estado_pos_Rev2007_Pasta2_IRT Piratininga 2009_Balanço" xfId="206" xr:uid="{4C215700-91D2-4800-856A-1DA40A018D59}"/>
    <cellStyle name="_PLPT_PLANILHA_CÁLCULO_DÉFICIT_RESOLUÇÃO_294_2007_COELCE_Sem_Gov_Estado_pos_Rev2007_Pasta2_IRT Piratininga 2009_IRT EEB 2010" xfId="1529" xr:uid="{CFD0F818-E41C-492A-9692-D1872D96C886}"/>
    <cellStyle name="_PLPT_PLANILHA_CÁLCULO_DÉFICIT_RESOLUÇÃO_294_2007_COELCE_Sem_Gov_Estado_pos_Rev2007_Pasta2_IRT_Planilha Básica_ CETRIL" xfId="207" xr:uid="{B9C7CEB4-754A-4841-865F-6F96D39D18BF}"/>
    <cellStyle name="_PLPT_PLANILHA_CÁLCULO_DÉFICIT_RESOLUÇÃO_294_2007_COELCE_Sem_Gov_Estado_pos_Rev2007_Pasta2_IRT_Planilha Básica_ CETRIL_Balanço" xfId="208" xr:uid="{122EB226-DB52-4AF6-BC23-10BE1DAF5D93}"/>
    <cellStyle name="_PLPT_PLANILHA_CÁLCULO_DÉFICIT_RESOLUÇÃO_294_2007_COELCE_Sem_Gov_Estado_pos_Rev2007_Pasta2_IRT_Planilha Básica_ CETRIL_IRT EEB 2010" xfId="1530" xr:uid="{E72DA740-BDF8-4A07-90D0-0DF86C37F7F3}"/>
    <cellStyle name="_PLPT_PLANILHA_CÁLCULO_DÉFICIT_RESOLUÇÃO_294_2007_COELCE_Sem_Gov_Estado_pos_Rev2007_Pasta2_IRT_Planilha Básica_fev2010" xfId="1531" xr:uid="{E589F374-4E87-4FA7-B10F-23B817F30A90}"/>
    <cellStyle name="_PLPT_PLANILHA_CÁLCULO_DÉFICIT_RESOLUÇÃO_294_2007_COELCE_Sem_Gov_Estado_pos_Rev2007_Pasta2_IRT_Planilha Básica_fev2010a 2" xfId="490" xr:uid="{38EBE0C8-F74D-454A-99F4-F32D66C259B3}"/>
    <cellStyle name="_PLPT_PLANILHA_CÁLCULO_DÉFICIT_RESOLUÇÃO_294_2007_COELCE_Sem_Gov_Estado_pos_Rev2007_Pasta2_IRT_Planilha Básica_fev2010a_Balanço 2" xfId="491" xr:uid="{D2389473-1E77-43F9-BB1C-23C665E85E14}"/>
    <cellStyle name="_PLPT_PLANILHA_CÁLCULO_DÉFICIT_RESOLUÇÃO_294_2007_COELCE_Sem_Gov_Estado_pos_Rev2007_Pasta2_IRT_Planilha Básica_fev2010a_casulo 5" xfId="209" xr:uid="{7E400813-040F-40C8-9DDA-82F923668AAB}"/>
    <cellStyle name="_PLPT_PLANILHA_CÁLCULO_DÉFICIT_RESOLUÇÃO_294_2007_COELCE_Sem_Gov_Estado_pos_Rev2007_Pasta2_IRT_Planilha Básica_fev2010a_casulo 5_Balanço" xfId="210" xr:uid="{A00366EA-15AB-442E-A78A-3086DD5D39CD}"/>
    <cellStyle name="_PLPT_PLANILHA_CÁLCULO_DÉFICIT_RESOLUÇÃO_294_2007_COELCE_Sem_Gov_Estado_pos_Rev2007_Pasta2_IRT_Planilha Básica_fev2010a_casulo 5_IRT EEB 2010" xfId="1532" xr:uid="{CE7A81EA-D077-4901-AA73-DA3DF0B4C4D8}"/>
    <cellStyle name="_PLPT_PLANILHA_CÁLCULO_DÉFICIT_RESOLUÇÃO_294_2007_COELCE_Sem_Gov_Estado_pos_Rev2007_Pasta2_IRT_Planilha Básica_jan2010" xfId="1533" xr:uid="{F6911D5F-BF8C-4266-A892-BEB0424F3BE1}"/>
    <cellStyle name="_PLPT_PLANILHA_CÁLCULO_DÉFICIT_RESOLUÇÃO_294_2007_COELCE_Sem_Gov_Estado_pos_Rev2007_Pasta2_IRT_Planilha Básica_mar2010d" xfId="211" xr:uid="{4A775662-5E47-466E-A262-DB7D41A3F003}"/>
    <cellStyle name="_PLPT_PLANILHA_CÁLCULO_DÉFICIT_RESOLUÇÃO_294_2007_COELCE_Sem_Gov_Estado_pos_Rev2007_Pasta2_IRT_Santa 2010" xfId="1534" xr:uid="{7FD521EA-2CBE-4F5F-9EAD-C8697258D2D5}"/>
    <cellStyle name="_PLPT_PLANILHA_CÁLCULO_DÉFICIT_RESOLUÇÃO_294_2007_COELCE_Sem_Gov_Estado_pos_Rev2007_Pasta2_teste ampla" xfId="212" xr:uid="{280D899B-C320-41F2-9B5E-43FB3A2123F3}"/>
    <cellStyle name="_PLPT_PLANILHA_CÁLCULO_DÉFICIT_RESOLUÇÃO_294_2007_COELCE_Sem_Gov_Estado_pos_Rev2007_Pasta2_teste ampla_casulo 15" xfId="213" xr:uid="{0378F0B9-6083-400E-B491-0C19EF119D27}"/>
    <cellStyle name="_PLPT_PLANILHA_CÁLCULO_DÉFICIT_RESOLUÇÃO_294_2007_COELCE_Sem_Gov_Estado_pos_Rev2007_Pasta2_teste ampla_casulo 5 2" xfId="492" xr:uid="{DD3F02AF-37A1-4E59-A611-AC74F7ABEB20}"/>
    <cellStyle name="_PLPT_PLANILHA_CÁLCULO_DÉFICIT_RESOLUÇÃO_294_2007_COELCE_Sem_Gov_Estado_pos_Rev2007_Pasta2_teste ampla_casulo 5_casulo 15" xfId="214" xr:uid="{2042CE00-4DE0-4AA4-80E5-512242E9F7F1}"/>
    <cellStyle name="_PLPT_PLANILHA_CÁLCULO_DÉFICIT_RESOLUÇÃO_294_2007_COELCE_Sem_Gov_Estado_pos_Rev2007_Pasta2_teste ampla_IRT EEB 2010" xfId="1535" xr:uid="{6D657181-4CE7-439A-A7E8-F5148C81EDD2}"/>
    <cellStyle name="_PLPT_PLANILHA_CÁLCULO_DÉFICIT_RESOLUÇÃO_294_2007_COELCE_Sem_Gov_Estado_pos_Rev2007_Resultados_DEA_RND_QUAL_PERDAS" xfId="1536" xr:uid="{0E98B0BD-D186-41F6-9640-73DFDBEB7394}"/>
    <cellStyle name="_PLPT_PLANILHA_CÁLCULO_DÉFICIT_RESOLUÇÃO_294_2007_COELCE_Sem_Gov_Estado_pos_Rev2007_SOBRECONTRATAÇÃO EPB 2010" xfId="1537" xr:uid="{827443C7-A9B3-47CB-9F8D-234607B4337C}"/>
    <cellStyle name="_PLPT_PLANILHA_CÁLCULO_DÉFICIT_RESOLUÇÃO_294_2007_COELCE_Sem_Gov_Estado_pos_Rev2007_Sobrecontratação-CVAenergia_COSERN_IRT-2010_nova" xfId="608" xr:uid="{84CDBF65-A5F9-4722-847F-7F22153EB705}"/>
    <cellStyle name="_PLPT_PLANILHA_CÁLCULO_DÉFICIT_RESOLUÇÃO_294_2007_COELCE_Sem_Gov_Estado_pos_Rev2007_Subsídios para análise da SRE 2" xfId="493" xr:uid="{4DE642C9-1940-4EA0-8273-D4318BECAE9B}"/>
    <cellStyle name="_PLPT_PLANILHA_CÁLCULO_DÉFICIT_RESOLUÇÃO_294_2007_COELCE_Sem_Gov_Estado_pos_Rev2007_Subsídios para análise da SRE_1" xfId="1538" xr:uid="{59B00903-0E72-4125-A369-BA43DC609A4D}"/>
    <cellStyle name="_PLPT_PLANILHA_CÁLCULO_DÉFICIT_RESOLUÇÃO_294_2007_COELCE_Sem_Gov_Estado_pos_Rev2007_Subsídios para análise da SRE_Balanço 2" xfId="494" xr:uid="{8410A0F2-FCE6-4870-94B7-C98BD40C1852}"/>
    <cellStyle name="_PLPT_PLANILHA_CÁLCULO_DÉFICIT_RESOLUÇÃO_294_2007_COELCE_Sem_Gov_Estado_pos_Rev2007_Subsídios para análise da SRE_casulo 5" xfId="215" xr:uid="{69299F13-402F-4AC1-917E-E7E8F20540BA}"/>
    <cellStyle name="_PLPT_PLANILHA_CÁLCULO_DÉFICIT_RESOLUÇÃO_294_2007_COELCE_Sem_Gov_Estado_pos_Rev2007_Subsídios para análise da SRE_casulo 5_Balanço" xfId="216" xr:uid="{5398456A-F1FC-43E4-BFBA-C139F72FCB65}"/>
    <cellStyle name="_PLPT_PLANILHA_CÁLCULO_DÉFICIT_RESOLUÇÃO_294_2007_COELCE_Sem_Gov_Estado_pos_Rev2007_Subsídios para análise da SRE_IRT EEB 2010" xfId="1539" xr:uid="{3CCA4596-A47C-40A1-B815-77B92BB299DC}"/>
    <cellStyle name="_PLPT_PLANILHA_CÁLCULO_DÉFICIT_RESOLUÇÃO_294_2007_COELCE_Sem_Gov_Estado_pos_Rev2007_Subsídios para análise da SRE_IRT Piratininga 2009 2" xfId="495" xr:uid="{E7154025-0104-4213-BB5F-708DD9C9165D}"/>
    <cellStyle name="_PLPT_PLANILHA_CÁLCULO_DÉFICIT_RESOLUÇÃO_294_2007_COELCE_Sem_Gov_Estado_pos_Rev2007_Subsídios para análise da SRE_IRT Piratininga 2009_IRT EEB 2010" xfId="1540" xr:uid="{926C622A-2624-4E5F-9E77-9DB44417958D}"/>
    <cellStyle name="_PLPT_PLANILHA_CÁLCULO_DÉFICIT_RESOLUÇÃO_294_2007_COELCE_Sem_Gov_Estado_pos_Rev2007_Subsídios para análise da SRE_IRT_Planilha Básica_ CETRIL" xfId="217" xr:uid="{5034DD4F-DDC1-4861-A248-C5B108581A1E}"/>
    <cellStyle name="_PLPT_PLANILHA_CÁLCULO_DÉFICIT_RESOLUÇÃO_294_2007_COELCE_Sem_Gov_Estado_pos_Rev2007_Subsídios para análise da SRE_IRT_Planilha Básica_ CETRIL_Balanço" xfId="218" xr:uid="{405FA5F3-E4E2-4BAA-BA03-F745CD6756C7}"/>
    <cellStyle name="_PLPT_PLANILHA_CÁLCULO_DÉFICIT_RESOLUÇÃO_294_2007_COELCE_Sem_Gov_Estado_pos_Rev2007_Subsídios para análise da SRE_IRT_Planilha Básica_ CETRIL_IRT EEB 2010" xfId="1541" xr:uid="{FC62B8D6-DC08-4FD8-B943-C6E0E02DAFD0}"/>
    <cellStyle name="_PLPT_PLANILHA_CÁLCULO_DÉFICIT_RESOLUÇÃO_294_2007_COELCE_Sem_Gov_Estado_pos_Rev2007_Subsídios para análise da SRE_IRT_Planilha Básica_fev2010" xfId="1542" xr:uid="{07AD01A6-E41E-4FF4-A628-9B63C4C42E06}"/>
    <cellStyle name="_PLPT_PLANILHA_CÁLCULO_DÉFICIT_RESOLUÇÃO_294_2007_COELCE_Sem_Gov_Estado_pos_Rev2007_Subsídios para análise da SRE_IRT_Planilha Básica_fev2010a 2" xfId="496" xr:uid="{73D1F310-BA1F-40BC-8BFF-2A6108C879E6}"/>
    <cellStyle name="_PLPT_PLANILHA_CÁLCULO_DÉFICIT_RESOLUÇÃO_294_2007_COELCE_Sem_Gov_Estado_pos_Rev2007_Subsídios para análise da SRE_IRT_Planilha Básica_fev2010a_Balanço 2" xfId="497" xr:uid="{FD64D01A-3273-4C20-9696-0A45BFDE5ACE}"/>
    <cellStyle name="_PLPT_PLANILHA_CÁLCULO_DÉFICIT_RESOLUÇÃO_294_2007_COELCE_Sem_Gov_Estado_pos_Rev2007_Subsídios para análise da SRE_IRT_Planilha Básica_fev2010a_casulo 5" xfId="219" xr:uid="{18FF68A7-9FD8-4E54-8BA2-55FF8AF2BFB7}"/>
    <cellStyle name="_PLPT_PLANILHA_CÁLCULO_DÉFICIT_RESOLUÇÃO_294_2007_COELCE_Sem_Gov_Estado_pos_Rev2007_Subsídios para análise da SRE_IRT_Planilha Básica_fev2010a_casulo 5_Balanço" xfId="220" xr:uid="{89538993-F77C-4C26-976E-2862AB9CBB09}"/>
    <cellStyle name="_PLPT_PLANILHA_CÁLCULO_DÉFICIT_RESOLUÇÃO_294_2007_COELCE_Sem_Gov_Estado_pos_Rev2007_Subsídios para análise da SRE_IRT_Planilha Básica_fev2010a_casulo 5_IRT EEB 2010" xfId="1543" xr:uid="{E03AFD46-F6F8-40C3-90D2-7BB5ED237118}"/>
    <cellStyle name="_PLPT_PLANILHA_CÁLCULO_DÉFICIT_RESOLUÇÃO_294_2007_COELCE_Sem_Gov_Estado_pos_Rev2007_Subsídios para análise da SRE_IRT_Planilha Básica_jan2010" xfId="1544" xr:uid="{CB672BB4-D2B2-4396-9094-8F795B29AD00}"/>
    <cellStyle name="_PLPT_PLANILHA_CÁLCULO_DÉFICIT_RESOLUÇÃO_294_2007_COELCE_Sem_Gov_Estado_pos_Rev2007_Subsídios para análise da SRE_IRT_Planilha Básica_mar2010d" xfId="221" xr:uid="{D952EEF7-7E79-4934-B79F-C17BFE6B3A9A}"/>
    <cellStyle name="_PLPT_PLANILHA_CÁLCULO_DÉFICIT_RESOLUÇÃO_294_2007_COELCE_Sem_Gov_Estado_pos_Rev2007_Subsídios para análise da SRE_IRT_Planilha Básica_NOVA METODOLOGIA" xfId="1545" xr:uid="{4A965263-0336-49AE-824B-8623F978546F}"/>
    <cellStyle name="_PLPT_PLANILHA_CÁLCULO_DÉFICIT_RESOLUÇÃO_294_2007_COELCE_Sem_Gov_Estado_pos_Rev2007_Subsídios para análise da SRE_IRT-cálculo" xfId="1546" xr:uid="{4C6E6A58-BC7A-4997-B94D-3F39E6DEE856}"/>
    <cellStyle name="_PLPT_PLANILHA_CÁLCULO_DÉFICIT_RESOLUÇÃO_294_2007_COELCE_Sem_Gov_Estado_pos_Rev2007_Subsídios para análise da SRE_Resultados_DEA_RND_QUAL_PERDAS" xfId="1547" xr:uid="{A9E46C7B-B82C-41FA-8151-B7D826713ACB}"/>
    <cellStyle name="_PLPT_PLANILHA_CÁLCULO_DÉFICIT_RESOLUÇÃO_294_2007_COELCE_Sem_Gov_Estado_pos_Rev2007_Subsídios para análise da SRE_teste ampla 2" xfId="498" xr:uid="{8CDBFFC9-9874-4DD8-A925-9495318A8E5F}"/>
    <cellStyle name="_PLPT_PLANILHA_CÁLCULO_DÉFICIT_RESOLUÇÃO_294_2007_COELCE_Sem_Gov_Estado_pos_Rev2007_Subsídios para análise da SRE_teste ampla_Balanço 2" xfId="499" xr:uid="{D1CC7733-4BC5-4D7C-BA28-75A12A0EBC1C}"/>
    <cellStyle name="_PLPT_PLANILHA_CÁLCULO_DÉFICIT_RESOLUÇÃO_294_2007_COELCE_Sem_Gov_Estado_pos_Rev2007_Subsídios para análise da SRE_teste ampla_casulo 5" xfId="222" xr:uid="{71C18455-4957-413D-9996-C169E19E2AB2}"/>
    <cellStyle name="_PLPT_PLANILHA_CÁLCULO_DÉFICIT_RESOLUÇÃO_294_2007_COELCE_Sem_Gov_Estado_pos_Rev2007_Subsídios para análise da SRE_teste ampla_casulo 5_Balanço" xfId="223" xr:uid="{ABD7B7FD-E465-4793-A80B-527A3EEED4EA}"/>
    <cellStyle name="_PLPT_PLANILHA_CÁLCULO_DÉFICIT_RESOLUÇÃO_294_2007_COELCE_Sem_Gov_Estado_pos_Rev2007_Subsídios para análise da SRE_teste ampla_casulo 5_IRT EEB 2010" xfId="1548" xr:uid="{84E6EF75-83E4-4B6D-867A-205FB11DACCB}"/>
    <cellStyle name="_PLPT_PLANILHA_CÁLCULO_DÉFICIT_RESOLUÇÃO_294_2007_COELCE_Sem_Gov_Estado_pos_Rev2007_SubsídiosAnáliseSRE_COSERN_IRT-2010" xfId="609" xr:uid="{B175DFC8-222D-4733-A7C6-D3656963CB42}"/>
    <cellStyle name="_PLPT_PLANILHA_CÁLCULO_DÉFICIT_RESOLUÇÃO_294_2007_COELCE_Sem_Gov_Estado_pos_Rev2007_teste ampla 2" xfId="500" xr:uid="{5672D541-92C8-4019-802A-2CA901E29A72}"/>
    <cellStyle name="_PLPT_PLANILHA_CÁLCULO_DÉFICIT_RESOLUÇÃO_294_2007_COELCE_Sem_Gov_Estado_pos_Rev2007_teste ampla_Balanço 2" xfId="501" xr:uid="{4F8EECDE-CFBF-4EB0-817A-5FCAA146FBAC}"/>
    <cellStyle name="_PLPT_PLANILHA_CÁLCULO_DÉFICIT_RESOLUÇÃO_294_2007_COELCE_Sem_Gov_Estado_pos_Rev2007_teste ampla_casulo 5" xfId="224" xr:uid="{BE3EC817-D96F-456A-8661-3D3FEF24455B}"/>
    <cellStyle name="_PLPT_PLANILHA_CÁLCULO_DÉFICIT_RESOLUÇÃO_294_2007_COELCE_Sem_Gov_Estado_pos_Rev2007_teste ampla_casulo 5_Balanço" xfId="225" xr:uid="{EF94AE9E-D7BF-42C0-896D-A8CBDAF697B9}"/>
    <cellStyle name="_PLPT_PLANILHA_CÁLCULO_DÉFICIT_RESOLUÇÃO_294_2007_COELCE_Sem_Gov_Estado_pos_Rev2007_teste ampla_casulo 5_IRT EEB 2010" xfId="1549" xr:uid="{A0369623-C0F7-4E4B-9778-DC42E932E874}"/>
    <cellStyle name="_PLPT_PLANILHA_CÁLCULO_DÉFICIT_RESOLUÇÃO_294_2007_COELCE_Sem_Gov_Estado-Ate_Rev2007" xfId="226" xr:uid="{D744466C-0294-4BE0-9527-56AE1FF80C9A}"/>
    <cellStyle name="_PLPT_PLANILHA_CÁLCULO_DÉFICIT_RESOLUÇÃO_294_2007_COELCE_Sem_Gov_Estado-Ate_Rev2007_02 IRT COSERN 2009" xfId="610" xr:uid="{19196232-76DB-4070-859B-8F9D860D1995}"/>
    <cellStyle name="_PLPT_PLANILHA_CÁLCULO_DÉFICIT_RESOLUÇÃO_294_2007_COELCE_Sem_Gov_Estado-Ate_Rev2007_Ajustes REAJUSTE 2008 ELETROPAULO_IRT-cálculo" xfId="1550" xr:uid="{65F07EE9-51A3-4FA3-AD3C-9620F811E4CA}"/>
    <cellStyle name="_PLPT_PLANILHA_CÁLCULO_DÉFICIT_RESOLUÇÃO_294_2007_COELCE_Sem_Gov_Estado-Ate_Rev2007_Ajustes REVISÃO 2007 ELETROPAULO_IRT-cálculo CAPA NEUTRALIDADE" xfId="1551" xr:uid="{2A3534DA-CF57-40A3-A442-C9B779025ECD}"/>
    <cellStyle name="_PLPT_PLANILHA_CÁLCULO_DÉFICIT_RESOLUÇÃO_294_2007_COELCE_Sem_Gov_Estado-Ate_Rev2007_Calculo_Subsidio_ELFSM_26_06_08_Modelo_ANEEL_IRT-cálculo" xfId="1552" xr:uid="{40AB80C6-3E0C-4140-9ED5-038E4B4EE83E}"/>
    <cellStyle name="_PLPT_PLANILHA_CÁLCULO_DÉFICIT_RESOLUÇÃO_294_2007_COELCE_Sem_Gov_Estado-Ate_Rev2007_casulo 5 2" xfId="502" xr:uid="{7345EE65-FDAD-4CCB-ABA5-AD9307B5086F}"/>
    <cellStyle name="_PLPT_PLANILHA_CÁLCULO_DÉFICIT_RESOLUÇÃO_294_2007_COELCE_Sem_Gov_Estado-Ate_Rev2007_Cópia de IRT_CPFL_LESTE_PAULISTA(CPEE)_fev2009-COM_PREVISÃO_BR_da_Diretoria_pos_IGPM" xfId="227" xr:uid="{EA065EB8-D50B-45C5-AA1C-478B79CD4573}"/>
    <cellStyle name="_PLPT_PLANILHA_CÁLCULO_DÉFICIT_RESOLUÇÃO_294_2007_COELCE_Sem_Gov_Estado-Ate_Rev2007_Cópia de IRT_CPFL_LESTE_PAULISTA(CPEE)_fev2009-COM_PREVISÃO_BR_da_Diretoria_pos_IGPM_casulo 15" xfId="228" xr:uid="{244E1B1D-F7D9-4ADA-80CA-1759BFF3695C}"/>
    <cellStyle name="_PLPT_PLANILHA_CÁLCULO_DÉFICIT_RESOLUÇÃO_294_2007_COELCE_Sem_Gov_Estado-Ate_Rev2007_Cópia de IRT_CPFL_LESTE_PAULISTA(CPEE)_fev2009-COM_PREVISÃO_BR_da_Diretoria_pos_IGPM_casulo 5_IRT EEB 2010" xfId="1553" xr:uid="{6C4C2EF6-528A-4811-BAE1-73928FF2879E}"/>
    <cellStyle name="_PLPT_PLANILHA_CÁLCULO_DÉFICIT_RESOLUÇÃO_294_2007_COELCE_Sem_Gov_Estado-Ate_Rev2007_Exposição 2008" xfId="1554" xr:uid="{4B4BBBE5-1580-4670-A768-C1AAE9C223D0}"/>
    <cellStyle name="_PLPT_PLANILHA_CÁLCULO_DÉFICIT_RESOLUÇÃO_294_2007_COELCE_Sem_Gov_Estado-Ate_Rev2007_IRT" xfId="1555" xr:uid="{37235D3A-23EF-4326-BBBD-187996B73E19}"/>
    <cellStyle name="_PLPT_PLANILHA_CÁLCULO_DÉFICIT_RESOLUÇÃO_294_2007_COELCE_Sem_Gov_Estado-Ate_Rev2007_IRT Piratininga 2009" xfId="229" xr:uid="{0CAC0045-BD12-4913-8B67-70D892103D4B}"/>
    <cellStyle name="_PLPT_PLANILHA_CÁLCULO_DÉFICIT_RESOLUÇÃO_294_2007_COELCE_Sem_Gov_Estado-Ate_Rev2007_IRT Piratininga 2009_Balanço" xfId="230" xr:uid="{3277DE14-4D28-4A0A-90C3-D515F802157C}"/>
    <cellStyle name="_PLPT_PLANILHA_CÁLCULO_DÉFICIT_RESOLUÇÃO_294_2007_COELCE_Sem_Gov_Estado-Ate_Rev2007_IRT Piratininga 2009_IRT EEB 2010" xfId="1556" xr:uid="{F491C6F2-F7C6-43C2-8330-4FFC261A4269}"/>
    <cellStyle name="_PLPT_PLANILHA_CÁLCULO_DÉFICIT_RESOLUÇÃO_294_2007_COELCE_Sem_Gov_Estado-Ate_Rev2007_IRT Reloaded 2" xfId="503" xr:uid="{E17EA808-1500-499E-B2AD-E6585B9B8888}"/>
    <cellStyle name="_PLPT_PLANILHA_CÁLCULO_DÉFICIT_RESOLUÇÃO_294_2007_COELCE_Sem_Gov_Estado-Ate_Rev2007_IRT Reloaded_Balanço 2" xfId="504" xr:uid="{1E4D88E1-5FB4-42A8-A7F9-12E045F4F497}"/>
    <cellStyle name="_PLPT_PLANILHA_CÁLCULO_DÉFICIT_RESOLUÇÃO_294_2007_COELCE_Sem_Gov_Estado-Ate_Rev2007_IRT Reloaded_casulo 5" xfId="231" xr:uid="{9B6B2840-441C-48EB-BD85-C70D08C11C06}"/>
    <cellStyle name="_PLPT_PLANILHA_CÁLCULO_DÉFICIT_RESOLUÇÃO_294_2007_COELCE_Sem_Gov_Estado-Ate_Rev2007_IRT Reloaded_casulo 5_Balanço" xfId="232" xr:uid="{C0D87839-C4DF-49BF-A053-2FE88882F3F2}"/>
    <cellStyle name="_PLPT_PLANILHA_CÁLCULO_DÉFICIT_RESOLUÇÃO_294_2007_COELCE_Sem_Gov_Estado-Ate_Rev2007_IRT Reloaded_casulo 5_IRT EEB 2010" xfId="1557" xr:uid="{3307AADF-FD65-4159-A4C4-FD3B6773AC84}"/>
    <cellStyle name="_PLPT_PLANILHA_CÁLCULO_DÉFICIT_RESOLUÇÃO_294_2007_COELCE_Sem_Gov_Estado-Ate_Rev2007_IRT_1" xfId="611" xr:uid="{A83AE6EF-1C5B-4454-BE6B-DB0B399C1309}"/>
    <cellStyle name="_PLPT_PLANILHA_CÁLCULO_DÉFICIT_RESOLUÇÃO_294_2007_COELCE_Sem_Gov_Estado-Ate_Rev2007_IRT_1_IRT-cálculo" xfId="1558" xr:uid="{512EA598-4A01-49DC-A88A-16812364FE33}"/>
    <cellStyle name="_PLPT_PLANILHA_CÁLCULO_DÉFICIT_RESOLUÇÃO_294_2007_COELCE_Sem_Gov_Estado-Ate_Rev2007_IRT_1_SOBRECONTRATAÇÃO E CVA" xfId="1559" xr:uid="{934D7FEC-29C9-4AA4-98B4-A6E7BBEC8658}"/>
    <cellStyle name="_PLPT_PLANILHA_CÁLCULO_DÉFICIT_RESOLUÇÃO_294_2007_COELCE_Sem_Gov_Estado-Ate_Rev2007_IRT_CEMAT_2009" xfId="1560" xr:uid="{74AA5D97-F2FC-479F-B774-D6AC82FACDCD}"/>
    <cellStyle name="_PLPT_PLANILHA_CÁLCULO_DÉFICIT_RESOLUÇÃO_294_2007_COELCE_Sem_Gov_Estado-Ate_Rev2007_IRT_COELCE_abr2008 2" xfId="1561" xr:uid="{D21EE6DB-7F60-44E0-AB5F-0F962BE2E1AE}"/>
    <cellStyle name="_PLPT_PLANILHA_CÁLCULO_DÉFICIT_RESOLUÇÃO_294_2007_COELCE_Sem_Gov_Estado-Ate_Rev2007_IRT_EBB_mai2010d" xfId="1562" xr:uid="{36E346B1-3018-4049-ADE4-80D2AF8C9DFF}"/>
    <cellStyle name="_PLPT_PLANILHA_CÁLCULO_DÉFICIT_RESOLUÇÃO_294_2007_COELCE_Sem_Gov_Estado-Ate_Rev2007_IRT_ENF" xfId="1563" xr:uid="{28A51F29-6121-4F38-9660-33E955296D86}"/>
    <cellStyle name="_PLPT_PLANILHA_CÁLCULO_DÉFICIT_RESOLUÇÃO_294_2007_COELCE_Sem_Gov_Estado-Ate_Rev2007_IRT_Planilha Básica_ CETRIL" xfId="233" xr:uid="{ED073C80-D4EE-42C8-9B45-358FAF1EDDFA}"/>
    <cellStyle name="_PLPT_PLANILHA_CÁLCULO_DÉFICIT_RESOLUÇÃO_294_2007_COELCE_Sem_Gov_Estado-Ate_Rev2007_IRT_Planilha Básica_ CETRIL_casulo 15" xfId="234" xr:uid="{C2B5FD86-664B-4119-A397-AC5597D80BD8}"/>
    <cellStyle name="_PLPT_PLANILHA_CÁLCULO_DÉFICIT_RESOLUÇÃO_294_2007_COELCE_Sem_Gov_Estado-Ate_Rev2007_IRT_Planilha Básica_30jun2009" xfId="1564" xr:uid="{3FF53EFC-8191-4871-B5F6-F5FA61DE2AA7}"/>
    <cellStyle name="_PLPT_PLANILHA_CÁLCULO_DÉFICIT_RESOLUÇÃO_294_2007_COELCE_Sem_Gov_Estado-Ate_Rev2007_IRT_Planilha Básica_fev2010" xfId="1565" xr:uid="{95A02F1B-D51B-4296-8BAF-E2FA01833A4B}"/>
    <cellStyle name="_PLPT_PLANILHA_CÁLCULO_DÉFICIT_RESOLUÇÃO_294_2007_COELCE_Sem_Gov_Estado-Ate_Rev2007_IRT_Planilha Básica_fev2010a 2" xfId="505" xr:uid="{59744BE7-DD8B-4FED-AE6F-AC8593966720}"/>
    <cellStyle name="_PLPT_PLANILHA_CÁLCULO_DÉFICIT_RESOLUÇÃO_294_2007_COELCE_Sem_Gov_Estado-Ate_Rev2007_IRT_Planilha Básica_fev2010a_Balanço 2" xfId="506" xr:uid="{09BFD3CA-6D00-4A06-AE01-BDDB906121F0}"/>
    <cellStyle name="_PLPT_PLANILHA_CÁLCULO_DÉFICIT_RESOLUÇÃO_294_2007_COELCE_Sem_Gov_Estado-Ate_Rev2007_IRT_Planilha Básica_fev2010a_casulo 5" xfId="235" xr:uid="{156E16F7-D147-451A-BEC6-62AB573979AC}"/>
    <cellStyle name="_PLPT_PLANILHA_CÁLCULO_DÉFICIT_RESOLUÇÃO_294_2007_COELCE_Sem_Gov_Estado-Ate_Rev2007_IRT_Planilha Básica_fev2010a_casulo 5_Balanço" xfId="236" xr:uid="{FEA88DA2-838A-4BD8-9F98-DCE01053D86D}"/>
    <cellStyle name="_PLPT_PLANILHA_CÁLCULO_DÉFICIT_RESOLUÇÃO_294_2007_COELCE_Sem_Gov_Estado-Ate_Rev2007_IRT_Planilha Básica_fev2010a_casulo 5_IRT EEB 2010" xfId="1566" xr:uid="{A0C762B1-4D00-4DEA-BE3D-89FA63619AC2}"/>
    <cellStyle name="_PLPT_PLANILHA_CÁLCULO_DÉFICIT_RESOLUÇÃO_294_2007_COELCE_Sem_Gov_Estado-Ate_Rev2007_IRT_Planilha Básica_jun2009" xfId="1567" xr:uid="{BA5A3BCA-B332-44A9-A890-780EAD710183}"/>
    <cellStyle name="_PLPT_PLANILHA_CÁLCULO_DÉFICIT_RESOLUÇÃO_294_2007_COELCE_Sem_Gov_Estado-Ate_Rev2007_IRT_Planilha Básica_mar2010b" xfId="1568" xr:uid="{AD13CD30-35D1-44DC-924F-A2E78370F8FF}"/>
    <cellStyle name="_PLPT_PLANILHA_CÁLCULO_DÉFICIT_RESOLUÇÃO_294_2007_COELCE_Sem_Gov_Estado-Ate_Rev2007_IRT_Planilha Básica_mar2010d" xfId="237" xr:uid="{D3880121-DAF7-4CC1-88E5-4432069699E7}"/>
    <cellStyle name="_PLPT_PLANILHA_CÁLCULO_DÉFICIT_RESOLUÇÃO_294_2007_COELCE_Sem_Gov_Estado-Ate_Rev2007_IRT_Planilha Básica_mar2010d 2" xfId="507" xr:uid="{F1FCE68C-D891-400E-9C84-961E122B1DCA}"/>
    <cellStyle name="_PLPT_PLANILHA_CÁLCULO_DÉFICIT_RESOLUÇÃO_294_2007_COELCE_Sem_Gov_Estado-Ate_Rev2007_IRT_Planilha Básica_março2009 2" xfId="508" xr:uid="{7A68D9B3-83D1-4936-BF2A-8BC8D3EC07CF}"/>
    <cellStyle name="_PLPT_PLANILHA_CÁLCULO_DÉFICIT_RESOLUÇÃO_294_2007_COELCE_Sem_Gov_Estado-Ate_Rev2007_IRT_Planilha Básica_março2009_Balanço" xfId="238" xr:uid="{73B87FAE-1ECB-45DE-A76E-E3E08F8F3B86}"/>
    <cellStyle name="_PLPT_PLANILHA_CÁLCULO_DÉFICIT_RESOLUÇÃO_294_2007_COELCE_Sem_Gov_Estado-Ate_Rev2007_IRT_Planilha Básica_março2009_casulo 15" xfId="239" xr:uid="{44C11E8F-AF8A-49A0-AD5A-DA9682A65A25}"/>
    <cellStyle name="_PLPT_PLANILHA_CÁLCULO_DÉFICIT_RESOLUÇÃO_294_2007_COELCE_Sem_Gov_Estado-Ate_Rev2007_IRT_Planilha Básica_março2009_casulo 5 2" xfId="509" xr:uid="{D4624C7C-A6F2-4F66-967C-6734C59669D0}"/>
    <cellStyle name="_PLPT_PLANILHA_CÁLCULO_DÉFICIT_RESOLUÇÃO_294_2007_COELCE_Sem_Gov_Estado-Ate_Rev2007_IRT_Planilha Básica_março2009_casulo 5_casulo 15" xfId="240" xr:uid="{54B22DC7-9EA6-438C-B9D8-BEC07715D736}"/>
    <cellStyle name="_PLPT_PLANILHA_CÁLCULO_DÉFICIT_RESOLUÇÃO_294_2007_COELCE_Sem_Gov_Estado-Ate_Rev2007_IRT_Planilha Básica_março2009_COELCE  ICMS Não Compensado RTO 2012 281211" xfId="1569" xr:uid="{284352EE-AFAC-45C0-9BFD-1956F0A209F2}"/>
    <cellStyle name="_PLPT_PLANILHA_CÁLCULO_DÉFICIT_RESOLUÇÃO_294_2007_COELCE_Sem_Gov_Estado-Ate_Rev2007_IRT_Planilha Básica_março2009_IRT EEB 2010" xfId="1570" xr:uid="{C3750F80-9366-403C-8800-1AF33F2A3D02}"/>
    <cellStyle name="_PLPT_PLANILHA_CÁLCULO_DÉFICIT_RESOLUÇÃO_294_2007_COELCE_Sem_Gov_Estado-Ate_Rev2007_IRT_Planilha Básica_março2009_IRT Piratininga 2009 2" xfId="510" xr:uid="{8DDCCFF9-E2F9-4EC3-87A3-BB9EB14FAF92}"/>
    <cellStyle name="_PLPT_PLANILHA_CÁLCULO_DÉFICIT_RESOLUÇÃO_294_2007_COELCE_Sem_Gov_Estado-Ate_Rev2007_IRT_Planilha Básica_março2009_IRT Piratininga 2009_casulo 15" xfId="241" xr:uid="{F9BDC2E0-4C96-4FC8-A6C9-B59160C1BBF4}"/>
    <cellStyle name="_PLPT_PLANILHA_CÁLCULO_DÉFICIT_RESOLUÇÃO_294_2007_COELCE_Sem_Gov_Estado-Ate_Rev2007_IRT_Planilha Básica_março2009_IRT_EBB_mai2010d" xfId="1571" xr:uid="{63545DD4-583F-4ACD-AE3C-1B10D6A3086E}"/>
    <cellStyle name="_PLPT_PLANILHA_CÁLCULO_DÉFICIT_RESOLUÇÃO_294_2007_COELCE_Sem_Gov_Estado-Ate_Rev2007_IRT_Planilha Básica_março2009_IRT_Planilha Básica_ CETRIL 2" xfId="511" xr:uid="{08A681B4-825B-473E-A763-00759C2CBDB6}"/>
    <cellStyle name="_PLPT_PLANILHA_CÁLCULO_DÉFICIT_RESOLUÇÃO_294_2007_COELCE_Sem_Gov_Estado-Ate_Rev2007_IRT_Planilha Básica_março2009_IRT_Planilha Básica_ CETRIL_casulo 15" xfId="242" xr:uid="{8EB180A5-0916-4A24-97AE-303EE76598D8}"/>
    <cellStyle name="_PLPT_PLANILHA_CÁLCULO_DÉFICIT_RESOLUÇÃO_294_2007_COELCE_Sem_Gov_Estado-Ate_Rev2007_IRT_Planilha Básica_março2009_IRT_Planilha Básica_DIRETORIA" xfId="1572" xr:uid="{410E794E-CF77-49A5-9E49-EE433F183FF3}"/>
    <cellStyle name="_PLPT_PLANILHA_CÁLCULO_DÉFICIT_RESOLUÇÃO_294_2007_COELCE_Sem_Gov_Estado-Ate_Rev2007_IRT_Planilha Básica_março2009_IRT_Planilha Básica_fev2010a" xfId="243" xr:uid="{FB2090CE-8CA6-4DD6-B198-0F3E893E7CF0}"/>
    <cellStyle name="_PLPT_PLANILHA_CÁLCULO_DÉFICIT_RESOLUÇÃO_294_2007_COELCE_Sem_Gov_Estado-Ate_Rev2007_IRT_Planilha Básica_março2009_IRT_Planilha Básica_fev2010a_Balanço" xfId="244" xr:uid="{A05281FD-6EA8-42A4-92F2-E6ADF9356AE1}"/>
    <cellStyle name="_PLPT_PLANILHA_CÁLCULO_DÉFICIT_RESOLUÇÃO_294_2007_COELCE_Sem_Gov_Estado-Ate_Rev2007_IRT_Planilha Básica_março2009_IRT_Planilha Básica_fev2010a_casulo 15" xfId="245" xr:uid="{FD05AEB7-5FD9-4839-9AB6-0988DE12DA4C}"/>
    <cellStyle name="_PLPT_PLANILHA_CÁLCULO_DÉFICIT_RESOLUÇÃO_294_2007_COELCE_Sem_Gov_Estado-Ate_Rev2007_IRT_Planilha Básica_março2009_IRT_Planilha Básica_fev2010a_casulo 5 2" xfId="512" xr:uid="{C058676C-77A7-4466-AE7F-7E1502CD9A03}"/>
    <cellStyle name="_PLPT_PLANILHA_CÁLCULO_DÉFICIT_RESOLUÇÃO_294_2007_COELCE_Sem_Gov_Estado-Ate_Rev2007_IRT_Planilha Básica_março2009_IRT_Planilha Básica_fev2010a_casulo 5_casulo 15" xfId="246" xr:uid="{603EC3CF-4AE6-43D0-93E0-6F586CE23E01}"/>
    <cellStyle name="_PLPT_PLANILHA_CÁLCULO_DÉFICIT_RESOLUÇÃO_294_2007_COELCE_Sem_Gov_Estado-Ate_Rev2007_IRT_Planilha Básica_março2009_IRT_Planilha Básica_fev2010a_IRT EEB 2010" xfId="1573" xr:uid="{0DD3786C-16A8-4BE9-80DF-E1CF306096DC}"/>
    <cellStyle name="_PLPT_PLANILHA_CÁLCULO_DÉFICIT_RESOLUÇÃO_294_2007_COELCE_Sem_Gov_Estado-Ate_Rev2007_IRT_Planilha Básica_março2009_IRT_Planilha Básica_mar2010d" xfId="247" xr:uid="{1CF7F448-4406-4F36-ABC5-F578E2D4EB0B}"/>
    <cellStyle name="_PLPT_PLANILHA_CÁLCULO_DÉFICIT_RESOLUÇÃO_294_2007_COELCE_Sem_Gov_Estado-Ate_Rev2007_IRT_Planilha Básica_março2009_IRT_Planilha Básica_NOVA METODOLOGIA" xfId="1574" xr:uid="{756EEBF9-31E9-4E2B-9C86-9563FB4E6225}"/>
    <cellStyle name="_PLPT_PLANILHA_CÁLCULO_DÉFICIT_RESOLUÇÃO_294_2007_COELCE_Sem_Gov_Estado-Ate_Rev2007_IRT_Planilha Básica_março2009_Resultados_DEA_RND_QUAL_PERDAS" xfId="1575" xr:uid="{93157ED4-7BDA-46D4-93B4-4DCD8BEFC4A0}"/>
    <cellStyle name="_PLPT_PLANILHA_CÁLCULO_DÉFICIT_RESOLUÇÃO_294_2007_COELCE_Sem_Gov_Estado-Ate_Rev2007_IRT_Planilha Básica_março2009_teste ampla" xfId="248" xr:uid="{D194B4EE-FDE9-47A4-AD83-EA214A1A57E1}"/>
    <cellStyle name="_PLPT_PLANILHA_CÁLCULO_DÉFICIT_RESOLUÇÃO_294_2007_COELCE_Sem_Gov_Estado-Ate_Rev2007_IRT_Planilha Básica_março2009_teste ampla_Balanço" xfId="249" xr:uid="{51A5B009-3BD8-4416-A076-DFC9774D92AA}"/>
    <cellStyle name="_PLPT_PLANILHA_CÁLCULO_DÉFICIT_RESOLUÇÃO_294_2007_COELCE_Sem_Gov_Estado-Ate_Rev2007_IRT_Planilha Básica_março2009_teste ampla_casulo 15" xfId="250" xr:uid="{B249B44A-CA5F-4987-A632-E2AF1620E2D0}"/>
    <cellStyle name="_PLPT_PLANILHA_CÁLCULO_DÉFICIT_RESOLUÇÃO_294_2007_COELCE_Sem_Gov_Estado-Ate_Rev2007_IRT_Planilha Básica_março2009_teste ampla_casulo 5 2" xfId="513" xr:uid="{94F0048C-15CA-4BAE-A24A-B24B2AD6F2C9}"/>
    <cellStyle name="_PLPT_PLANILHA_CÁLCULO_DÉFICIT_RESOLUÇÃO_294_2007_COELCE_Sem_Gov_Estado-Ate_Rev2007_IRT_Planilha Básica_março2009_teste ampla_casulo 5_casulo 15" xfId="251" xr:uid="{4D68BA4A-B3B8-421C-8E29-486DBC4243A5}"/>
    <cellStyle name="_PLPT_PLANILHA_CÁLCULO_DÉFICIT_RESOLUÇÃO_294_2007_COELCE_Sem_Gov_Estado-Ate_Rev2007_IRT_Planilha Básica_março2009_teste ampla_IRT EEB 2010" xfId="1576" xr:uid="{53FA7DF4-1745-4739-B135-6BE3BCED29FF}"/>
    <cellStyle name="_PLPT_PLANILHA_CÁLCULO_DÉFICIT_RESOLUÇÃO_294_2007_COELCE_Sem_Gov_Estado-Ate_Rev2007_IRT_Planilha Básica_out2009" xfId="252" xr:uid="{A1DF6E9A-8A52-429B-8885-F62CCC85548B}"/>
    <cellStyle name="_PLPT_PLANILHA_CÁLCULO_DÉFICIT_RESOLUÇÃO_294_2007_COELCE_Sem_Gov_Estado-Ate_Rev2007_IRT_Planilha Básica_out2009_Balanço" xfId="253" xr:uid="{F7F63611-2480-40A1-A62E-D6AC3DED1711}"/>
    <cellStyle name="_PLPT_PLANILHA_CÁLCULO_DÉFICIT_RESOLUÇÃO_294_2007_COELCE_Sem_Gov_Estado-Ate_Rev2007_IRT_Planilha Básica_out2009_casulo 15" xfId="254" xr:uid="{5CFB5828-AA59-407E-A71A-127623D01585}"/>
    <cellStyle name="_PLPT_PLANILHA_CÁLCULO_DÉFICIT_RESOLUÇÃO_294_2007_COELCE_Sem_Gov_Estado-Ate_Rev2007_IRT_Planilha Básica_out2009_casulo 5 2" xfId="514" xr:uid="{B1FC29A9-9AB9-43E6-ACF5-61D13EA93D55}"/>
    <cellStyle name="_PLPT_PLANILHA_CÁLCULO_DÉFICIT_RESOLUÇÃO_294_2007_COELCE_Sem_Gov_Estado-Ate_Rev2007_IRT_Planilha Básica_out2009_casulo 5_casulo 15" xfId="255" xr:uid="{FEE3F900-C2F8-4BAF-9D1E-35A420F112A4}"/>
    <cellStyle name="_PLPT_PLANILHA_CÁLCULO_DÉFICIT_RESOLUÇÃO_294_2007_COELCE_Sem_Gov_Estado-Ate_Rev2007_IRT_Planilha Básica_out2009_IRT EEB 2010" xfId="1577" xr:uid="{1E58E34E-8A85-49DF-8221-E3D7F9D00A09}"/>
    <cellStyle name="_PLPT_PLANILHA_CÁLCULO_DÉFICIT_RESOLUÇÃO_294_2007_COELCE_Sem_Gov_Estado-Ate_Rev2007_IRT_Pleito_IRT-cálculo" xfId="1578" xr:uid="{20CB8176-D2D2-4B71-B741-F7FBAF8CA5F3}"/>
    <cellStyle name="_PLPT_PLANILHA_CÁLCULO_DÉFICIT_RESOLUÇÃO_294_2007_COELCE_Sem_Gov_Estado-Ate_Rev2007_IRT_Revisão A-1" xfId="1579" xr:uid="{4C6B8BCB-B490-493B-92EC-02866F836A75}"/>
    <cellStyle name="_PLPT_PLANILHA_CÁLCULO_DÉFICIT_RESOLUÇÃO_294_2007_COELCE_Sem_Gov_Estado-Ate_Rev2007_IRT_Revisão A-1_IRT-cálculo CAPA NEUTRALIDADE" xfId="1580" xr:uid="{DE0FF875-FA75-4087-977B-B76836856B8E}"/>
    <cellStyle name="_PLPT_PLANILHA_CÁLCULO_DÉFICIT_RESOLUÇÃO_294_2007_COELCE_Sem_Gov_Estado-Ate_Rev2007_IRT1" xfId="1581" xr:uid="{106ABEDB-4A28-4034-B116-F7510FF564A5}"/>
    <cellStyle name="_PLPT_PLANILHA_CÁLCULO_DÉFICIT_RESOLUÇÃO_294_2007_COELCE_Sem_Gov_Estado-Ate_Rev2007_IRT1_IRT-cálculo CAPA NEUTRALIDADE" xfId="1582" xr:uid="{10315A0C-073B-4C70-AC6D-4D54294351ED}"/>
    <cellStyle name="_PLPT_PLANILHA_CÁLCULO_DÉFICIT_RESOLUÇÃO_294_2007_COELCE_Sem_Gov_Estado-Ate_Rev2007_IRT-cálculo" xfId="1583" xr:uid="{C9483D21-5577-46EF-A262-7A6B8CF9A385}"/>
    <cellStyle name="_PLPT_PLANILHA_CÁLCULO_DÉFICIT_RESOLUÇÃO_294_2007_COELCE_Sem_Gov_Estado-Ate_Rev2007_Pasta1" xfId="612" xr:uid="{0D54A504-9C3F-496C-86B4-803C2A5832D2}"/>
    <cellStyle name="_PLPT_PLANILHA_CÁLCULO_DÉFICIT_RESOLUÇÃO_294_2007_COELCE_Sem_Gov_Estado-Ate_Rev2007_Pasta1_IRT-cálculo" xfId="1584" xr:uid="{0AA1B393-D1CD-43CA-A8DE-A68F53E74018}"/>
    <cellStyle name="_PLPT_PLANILHA_CÁLCULO_DÉFICIT_RESOLUÇÃO_294_2007_COELCE_Sem_Gov_Estado-Ate_Rev2007_Pasta1_SOBRECONTRATAÇÃO E CVA" xfId="1585" xr:uid="{505EEBA8-8292-4C8D-B89A-13984FAF8F90}"/>
    <cellStyle name="_PLPT_PLANILHA_CÁLCULO_DÉFICIT_RESOLUÇÃO_294_2007_COELCE_Sem_Gov_Estado-Ate_Rev2007_Pasta2 2" xfId="515" xr:uid="{3E4858F6-8886-4BE3-ACBC-71DAABFA0C0C}"/>
    <cellStyle name="_PLPT_PLANILHA_CÁLCULO_DÉFICIT_RESOLUÇÃO_294_2007_COELCE_Sem_Gov_Estado-Ate_Rev2007_Pasta2_Balanço" xfId="256" xr:uid="{823B583C-43E0-4C67-ACDA-92DAB3E3E480}"/>
    <cellStyle name="_PLPT_PLANILHA_CÁLCULO_DÉFICIT_RESOLUÇÃO_294_2007_COELCE_Sem_Gov_Estado-Ate_Rev2007_Pasta2_casulo 15" xfId="257" xr:uid="{9FC294DF-1525-4910-8A31-1711D1B38866}"/>
    <cellStyle name="_PLPT_PLANILHA_CÁLCULO_DÉFICIT_RESOLUÇÃO_294_2007_COELCE_Sem_Gov_Estado-Ate_Rev2007_Pasta2_casulo 5 2" xfId="516" xr:uid="{89BC657D-E053-4603-84AD-DDFDE6241DAF}"/>
    <cellStyle name="_PLPT_PLANILHA_CÁLCULO_DÉFICIT_RESOLUÇÃO_294_2007_COELCE_Sem_Gov_Estado-Ate_Rev2007_Pasta2_casulo 5_casulo 15" xfId="258" xr:uid="{30E78A4B-9403-45F7-8A66-324D6E729F5F}"/>
    <cellStyle name="_PLPT_PLANILHA_CÁLCULO_DÉFICIT_RESOLUÇÃO_294_2007_COELCE_Sem_Gov_Estado-Ate_Rev2007_Pasta2_IRT EEB 2010" xfId="1586" xr:uid="{85F262B6-CD69-44EB-99D5-376A353EF046}"/>
    <cellStyle name="_PLPT_PLANILHA_CÁLCULO_DÉFICIT_RESOLUÇÃO_294_2007_COELCE_Sem_Gov_Estado-Ate_Rev2007_Pasta2_IRT Piratininga 2009 2" xfId="517" xr:uid="{9CC332FC-F9F9-43D2-8BB8-F3040F248F4B}"/>
    <cellStyle name="_PLPT_PLANILHA_CÁLCULO_DÉFICIT_RESOLUÇÃO_294_2007_COELCE_Sem_Gov_Estado-Ate_Rev2007_Pasta2_IRT Piratininga 2009_casulo 15" xfId="259" xr:uid="{BFC41438-4ECD-4948-8443-82CF3BEBE204}"/>
    <cellStyle name="_PLPT_PLANILHA_CÁLCULO_DÉFICIT_RESOLUÇÃO_294_2007_COELCE_Sem_Gov_Estado-Ate_Rev2007_Pasta2_IRT_EBB_mai2010d" xfId="1587" xr:uid="{D2BC1F89-039A-438D-973F-F94753D55FD8}"/>
    <cellStyle name="_PLPT_PLANILHA_CÁLCULO_DÉFICIT_RESOLUÇÃO_294_2007_COELCE_Sem_Gov_Estado-Ate_Rev2007_Pasta2_IRT_Planilha Básica_ CETRIL 2" xfId="518" xr:uid="{C10DEB36-1954-4A7B-9CA1-2F03D98AF6B8}"/>
    <cellStyle name="_PLPT_PLANILHA_CÁLCULO_DÉFICIT_RESOLUÇÃO_294_2007_COELCE_Sem_Gov_Estado-Ate_Rev2007_Pasta2_IRT_Planilha Básica_ CETRIL_casulo 15" xfId="260" xr:uid="{514FCAD0-8C5A-4033-A3DC-4D437733D298}"/>
    <cellStyle name="_PLPT_PLANILHA_CÁLCULO_DÉFICIT_RESOLUÇÃO_294_2007_COELCE_Sem_Gov_Estado-Ate_Rev2007_Pasta2_IRT_Planilha Básica_DIRETORIA" xfId="1588" xr:uid="{0272A4AB-78BA-4D29-BBD9-950396860AB7}"/>
    <cellStyle name="_PLPT_PLANILHA_CÁLCULO_DÉFICIT_RESOLUÇÃO_294_2007_COELCE_Sem_Gov_Estado-Ate_Rev2007_Pasta2_IRT_Planilha Básica_fev2010a" xfId="261" xr:uid="{02B0D40E-7B05-4095-ABF6-35229E6AC5C0}"/>
    <cellStyle name="_PLPT_PLANILHA_CÁLCULO_DÉFICIT_RESOLUÇÃO_294_2007_COELCE_Sem_Gov_Estado-Ate_Rev2007_Pasta2_IRT_Planilha Básica_fev2010a_Balanço" xfId="262" xr:uid="{E37180A8-2528-4C7D-8B64-6CEE15B7ADEE}"/>
    <cellStyle name="_PLPT_PLANILHA_CÁLCULO_DÉFICIT_RESOLUÇÃO_294_2007_COELCE_Sem_Gov_Estado-Ate_Rev2007_Pasta2_IRT_Planilha Básica_fev2010a_casulo 15" xfId="263" xr:uid="{E00071DD-0D07-43E8-898D-604F5FCA6B60}"/>
    <cellStyle name="_PLPT_PLANILHA_CÁLCULO_DÉFICIT_RESOLUÇÃO_294_2007_COELCE_Sem_Gov_Estado-Ate_Rev2007_Pasta2_IRT_Planilha Básica_fev2010a_casulo 5 2" xfId="519" xr:uid="{060120F0-E924-4E0A-8BD3-EA0816A67A5C}"/>
    <cellStyle name="_PLPT_PLANILHA_CÁLCULO_DÉFICIT_RESOLUÇÃO_294_2007_COELCE_Sem_Gov_Estado-Ate_Rev2007_Pasta2_IRT_Planilha Básica_fev2010a_casulo 5_casulo 15" xfId="264" xr:uid="{CA2C8B47-BD0F-41C6-9EC1-8E38A415E82C}"/>
    <cellStyle name="_PLPT_PLANILHA_CÁLCULO_DÉFICIT_RESOLUÇÃO_294_2007_COELCE_Sem_Gov_Estado-Ate_Rev2007_Pasta2_IRT_Planilha Básica_fev2010a_IRT EEB 2010" xfId="1589" xr:uid="{05E09C03-06E9-426E-A00A-67F15A1D713C}"/>
    <cellStyle name="_PLPT_PLANILHA_CÁLCULO_DÉFICIT_RESOLUÇÃO_294_2007_COELCE_Sem_Gov_Estado-Ate_Rev2007_Pasta2_IRT_Planilha Básica_mar2010b" xfId="1590" xr:uid="{D6CF7003-B083-466D-81D9-DC2689DC8A4B}"/>
    <cellStyle name="_PLPT_PLANILHA_CÁLCULO_DÉFICIT_RESOLUÇÃO_294_2007_COELCE_Sem_Gov_Estado-Ate_Rev2007_Pasta2_IRT_Planilha Básica_mar2010d" xfId="265" xr:uid="{F864DDCF-9FDF-4CB8-B262-610F6FC3F9B2}"/>
    <cellStyle name="_PLPT_PLANILHA_CÁLCULO_DÉFICIT_RESOLUÇÃO_294_2007_COELCE_Sem_Gov_Estado-Ate_Rev2007_Pasta2_IRT_Planilha Básica_NOVA METODOLOGIA" xfId="1591" xr:uid="{200E2666-4737-4402-B372-FC49EA4FD2AB}"/>
    <cellStyle name="_PLPT_PLANILHA_CÁLCULO_DÉFICIT_RESOLUÇÃO_294_2007_COELCE_Sem_Gov_Estado-Ate_Rev2007_Pasta2_IRT-cálculo" xfId="1592" xr:uid="{174E0B82-63AB-472C-A624-4D7282654948}"/>
    <cellStyle name="_PLPT_PLANILHA_CÁLCULO_DÉFICIT_RESOLUÇÃO_294_2007_COELCE_Sem_Gov_Estado-Ate_Rev2007_Pasta2_Resultados_DEA_RND_QUAL_PERDAS" xfId="1593" xr:uid="{F8D6484B-86D4-48FE-96EB-0567873B11C6}"/>
    <cellStyle name="_PLPT_PLANILHA_CÁLCULO_DÉFICIT_RESOLUÇÃO_294_2007_COELCE_Sem_Gov_Estado-Ate_Rev2007_Pasta2_teste ampla 2" xfId="520" xr:uid="{A805DB69-D4C2-4310-A9E4-9E322A5A7C2B}"/>
    <cellStyle name="_PLPT_PLANILHA_CÁLCULO_DÉFICIT_RESOLUÇÃO_294_2007_COELCE_Sem_Gov_Estado-Ate_Rev2007_Pasta2_teste ampla_Balanço 2" xfId="521" xr:uid="{81DBF0D1-1319-4910-B438-B19B8BFA0F2A}"/>
    <cellStyle name="_PLPT_PLANILHA_CÁLCULO_DÉFICIT_RESOLUÇÃO_294_2007_COELCE_Sem_Gov_Estado-Ate_Rev2007_Pasta2_teste ampla_casulo 5" xfId="266" xr:uid="{47DEDD7E-C49C-4A31-B9F1-818C4002DC12}"/>
    <cellStyle name="_PLPT_PLANILHA_CÁLCULO_DÉFICIT_RESOLUÇÃO_294_2007_COELCE_Sem_Gov_Estado-Ate_Rev2007_Pasta2_teste ampla_casulo 5_Balanço" xfId="267" xr:uid="{DB050BC1-CF92-4A15-9442-4383471DE1ED}"/>
    <cellStyle name="_PLPT_PLANILHA_CÁLCULO_DÉFICIT_RESOLUÇÃO_294_2007_COELCE_Sem_Gov_Estado-Ate_Rev2007_Pasta2_teste ampla_casulo 5_IRT EEB 2010" xfId="1594" xr:uid="{7C4DF513-470C-4969-B0DA-8DF08DC5E7AC}"/>
    <cellStyle name="_PLPT_PLANILHA_CÁLCULO_DÉFICIT_RESOLUÇÃO_294_2007_COELCE_Sem_Gov_Estado-Ate_Rev2007_Pleito_IRT_ESE_2010_Envio_ANEEL_Final_atualizado_05_04" xfId="1595" xr:uid="{DF196DEC-552B-4BF1-BE41-34726FAD1FDF}"/>
    <cellStyle name="_PLPT_PLANILHA_CÁLCULO_DÉFICIT_RESOLUÇÃO_294_2007_COELCE_Sem_Gov_Estado-Ate_Rev2007_SOBRECONTRATAÇÃO E CVA Energisa Paraíba" xfId="1596" xr:uid="{B758356D-E0B5-4DE1-8866-9FC6C20322D7}"/>
    <cellStyle name="_PLPT_PLANILHA_CÁLCULO_DÉFICIT_RESOLUÇÃO_294_2007_COELCE_Sem_Gov_Estado-Ate_Rev2007_Sobrecontratação_e_CVA_Energia" xfId="1597" xr:uid="{62534973-4F12-4659-A415-0E4577BE452B}"/>
    <cellStyle name="_PLPT_PLANILHA_CÁLCULO_DÉFICIT_RESOLUÇÃO_294_2007_COELCE_Sem_Gov_Estado-Ate_Rev2007_Subsídios para análise da SRE" xfId="268" xr:uid="{5BD93F1B-67AC-4A7A-921F-F193029E93F7}"/>
    <cellStyle name="_PLPT_PLANILHA_CÁLCULO_DÉFICIT_RESOLUÇÃO_294_2007_COELCE_Sem_Gov_Estado-Ate_Rev2007_Subsídios para análise da SRE_02 IRT Bandeirante 2009" xfId="1598" xr:uid="{3A2E047A-4EB5-448E-B043-7E7748A0C0E0}"/>
    <cellStyle name="_PLPT_PLANILHA_CÁLCULO_DÉFICIT_RESOLUÇÃO_294_2007_COELCE_Sem_Gov_Estado-Ate_Rev2007_Subsídios para análise da SRE_Balanço" xfId="269" xr:uid="{B942911B-FCA1-4A48-84CB-F6EDE2DF1F54}"/>
    <cellStyle name="_PLPT_PLANILHA_CÁLCULO_DÉFICIT_RESOLUÇÃO_294_2007_COELCE_Sem_Gov_Estado-Ate_Rev2007_Subsídios para análise da SRE_casulo 15" xfId="270" xr:uid="{20B28D88-01C9-40E7-911A-A983DE219281}"/>
    <cellStyle name="_PLPT_PLANILHA_CÁLCULO_DÉFICIT_RESOLUÇÃO_294_2007_COELCE_Sem_Gov_Estado-Ate_Rev2007_Subsídios para análise da SRE_casulo 5 2" xfId="522" xr:uid="{7EC7E8B2-D4BA-4657-9228-0265D6046FD9}"/>
    <cellStyle name="_PLPT_PLANILHA_CÁLCULO_DÉFICIT_RESOLUÇÃO_294_2007_COELCE_Sem_Gov_Estado-Ate_Rev2007_Subsídios para análise da SRE_casulo 5_casulo 15" xfId="271" xr:uid="{9A930BCB-249F-4482-B3A5-BDE5566D9B5B}"/>
    <cellStyle name="_PLPT_PLANILHA_CÁLCULO_DÉFICIT_RESOLUÇÃO_294_2007_COELCE_Sem_Gov_Estado-Ate_Rev2007_Subsídios para análise da SRE_IRT EEB 2010" xfId="1599" xr:uid="{A5A1A23E-DF98-447C-B4A6-C41322D6CDB2}"/>
    <cellStyle name="_PLPT_PLANILHA_CÁLCULO_DÉFICIT_RESOLUÇÃO_294_2007_COELCE_Sem_Gov_Estado-Ate_Rev2007_Subsídios para análise da SRE_IRT Piratininga 2009 2" xfId="523" xr:uid="{395CBDAE-26F3-4496-A718-D65EC785DE85}"/>
    <cellStyle name="_PLPT_PLANILHA_CÁLCULO_DÉFICIT_RESOLUÇÃO_294_2007_COELCE_Sem_Gov_Estado-Ate_Rev2007_Subsídios para análise da SRE_IRT Piratininga 2009_casulo 15" xfId="272" xr:uid="{759FFDB3-850A-4106-99E1-378C6758A0CA}"/>
    <cellStyle name="_PLPT_PLANILHA_CÁLCULO_DÉFICIT_RESOLUÇÃO_294_2007_COELCE_Sem_Gov_Estado-Ate_Rev2007_Subsídios para análise da SRE_IRT_EBB_mai2010d" xfId="1600" xr:uid="{99513CE2-0ABA-4AB6-8862-580DD0790815}"/>
    <cellStyle name="_PLPT_PLANILHA_CÁLCULO_DÉFICIT_RESOLUÇÃO_294_2007_COELCE_Sem_Gov_Estado-Ate_Rev2007_Subsídios para análise da SRE_IRT_Planilha Básica_ CETRIL 2" xfId="524" xr:uid="{E02CF001-1D65-4554-9E64-349E5E28F601}"/>
    <cellStyle name="_PLPT_PLANILHA_CÁLCULO_DÉFICIT_RESOLUÇÃO_294_2007_COELCE_Sem_Gov_Estado-Ate_Rev2007_Subsídios para análise da SRE_IRT_Planilha Básica_ CETRIL_casulo 15" xfId="273" xr:uid="{BD97F49C-4DA1-4F22-A032-B75DD4301251}"/>
    <cellStyle name="_PLPT_PLANILHA_CÁLCULO_DÉFICIT_RESOLUÇÃO_294_2007_COELCE_Sem_Gov_Estado-Ate_Rev2007_Subsídios para análise da SRE_IRT_Planilha Básica_DIRETORIA" xfId="1601" xr:uid="{EA3D564D-F4BA-488B-BB9F-AD4782C5D646}"/>
    <cellStyle name="_PLPT_PLANILHA_CÁLCULO_DÉFICIT_RESOLUÇÃO_294_2007_COELCE_Sem_Gov_Estado-Ate_Rev2007_Subsídios para análise da SRE_IRT_Planilha Básica_fev2010a" xfId="274" xr:uid="{B2D311A2-711D-4679-9B8A-95D9504A9AF0}"/>
    <cellStyle name="_PLPT_PLANILHA_CÁLCULO_DÉFICIT_RESOLUÇÃO_294_2007_COELCE_Sem_Gov_Estado-Ate_Rev2007_Subsídios para análise da SRE_IRT_Planilha Básica_fev2010a_Balanço" xfId="275" xr:uid="{26DB4152-8753-485E-9FE3-766403E0D295}"/>
    <cellStyle name="_PLPT_PLANILHA_CÁLCULO_DÉFICIT_RESOLUÇÃO_294_2007_COELCE_Sem_Gov_Estado-Ate_Rev2007_Subsídios para análise da SRE_IRT_Planilha Básica_fev2010a_casulo 15" xfId="276" xr:uid="{07C4DFA0-B9EB-4154-8A95-3AA58ADCB0CE}"/>
    <cellStyle name="_PLPT_PLANILHA_CÁLCULO_DÉFICIT_RESOLUÇÃO_294_2007_COELCE_Sem_Gov_Estado-Ate_Rev2007_Subsídios para análise da SRE_IRT_Planilha Básica_fev2010a_casulo 5 2" xfId="525" xr:uid="{58C5F85B-9F77-4377-851F-68B9C2D4A1DC}"/>
    <cellStyle name="_PLPT_PLANILHA_CÁLCULO_DÉFICIT_RESOLUÇÃO_294_2007_COELCE_Sem_Gov_Estado-Ate_Rev2007_Subsídios para análise da SRE_IRT_Planilha Básica_fev2010a_casulo 5_casulo 15" xfId="277" xr:uid="{72E5BA6B-3DE7-4AD3-990B-F90E1CBEB4EC}"/>
    <cellStyle name="_PLPT_PLANILHA_CÁLCULO_DÉFICIT_RESOLUÇÃO_294_2007_COELCE_Sem_Gov_Estado-Ate_Rev2007_Subsídios para análise da SRE_IRT_Planilha Básica_fev2010a_IRT EEB 2010" xfId="1602" xr:uid="{68253968-0FA2-49D9-8D9A-A952433D96D8}"/>
    <cellStyle name="_PLPT_PLANILHA_CÁLCULO_DÉFICIT_RESOLUÇÃO_294_2007_COELCE_Sem_Gov_Estado-Ate_Rev2007_Subsídios para análise da SRE_IRT_Planilha Básica_mar2010b" xfId="1603" xr:uid="{D5BF4EBD-B9EE-4684-90D9-ED8230742855}"/>
    <cellStyle name="_PLPT_PLANILHA_CÁLCULO_DÉFICIT_RESOLUÇÃO_294_2007_COELCE_Sem_Gov_Estado-Ate_Rev2007_Subsídios para análise da SRE_IRT_Planilha Básica_mar2010d 2" xfId="526" xr:uid="{846FE87C-438B-4C9B-BD04-6BCB9AF16F17}"/>
    <cellStyle name="_PLPT_PLANILHA_CÁLCULO_DÉFICIT_RESOLUÇÃO_294_2007_COELCE_Sem_Gov_Estado-Ate_Rev2007_Subsídios para análise da SRE_IRT_Santa 2010" xfId="1604" xr:uid="{53CA6272-D730-4802-8B4B-217D8D3C2632}"/>
    <cellStyle name="_PLPT_PLANILHA_CÁLCULO_DÉFICIT_RESOLUÇÃO_294_2007_COELCE_Sem_Gov_Estado-Ate_Rev2007_Subsídios para análise da SRE_IRT-cálculo CAPA NEUTRALIDADE" xfId="1605" xr:uid="{EFB9EC4C-E6AC-4961-A5F2-EBEE9E0BBE3A}"/>
    <cellStyle name="_PLPT_PLANILHA_CÁLCULO_DÉFICIT_RESOLUÇÃO_294_2007_COELCE_Sem_Gov_Estado-Ate_Rev2007_Subsídios para análise da SRE_teste ampla" xfId="278" xr:uid="{18866CD0-2B8D-4AF6-9958-23D0932618F4}"/>
    <cellStyle name="_PLPT_PLANILHA_CÁLCULO_DÉFICIT_RESOLUÇÃO_294_2007_COELCE_Sem_Gov_Estado-Ate_Rev2007_Subsídios para análise da SRE_teste ampla_Balanço" xfId="279" xr:uid="{F0661E81-4BC6-4CE5-8316-5433E776C5D4}"/>
    <cellStyle name="_PLPT_PLANILHA_CÁLCULO_DÉFICIT_RESOLUÇÃO_294_2007_COELCE_Sem_Gov_Estado-Ate_Rev2007_Subsídios para análise da SRE_teste ampla_casulo 15" xfId="280" xr:uid="{0D0BC3E5-6BE8-4625-97DB-2D2FEB3FF234}"/>
    <cellStyle name="_PLPT_PLANILHA_CÁLCULO_DÉFICIT_RESOLUÇÃO_294_2007_COELCE_Sem_Gov_Estado-Ate_Rev2007_Subsídios para análise da SRE_teste ampla_casulo 5 2" xfId="527" xr:uid="{3B864275-0883-4704-A582-303FD644577D}"/>
    <cellStyle name="_PLPT_PLANILHA_CÁLCULO_DÉFICIT_RESOLUÇÃO_294_2007_COELCE_Sem_Gov_Estado-Ate_Rev2007_Subsídios para análise da SRE_teste ampla_casulo 5_casulo 15" xfId="281" xr:uid="{AAA399F2-0E67-4308-9B98-344372FB7789}"/>
    <cellStyle name="_PLPT_PLANILHA_CÁLCULO_DÉFICIT_RESOLUÇÃO_294_2007_COELCE_Sem_Gov_Estado-Ate_Rev2007_Subsídios para análise da SRE_teste ampla_IRT EEB 2010" xfId="1606" xr:uid="{AB62D1CB-71DD-45F5-B58E-97DD7E371978}"/>
    <cellStyle name="_PLPT_PLANILHA_CÁLCULO_DÉFICIT_RESOLUÇÃO_294_2007_COELCE_Sem_Gov_Estado-Ate_Rev2007_teste ampla" xfId="282" xr:uid="{495FAF5D-931E-464B-A897-74BF5E825456}"/>
    <cellStyle name="_PLPT_PLANILHA_CÁLCULO_DÉFICIT_RESOLUÇÃO_294_2007_COELCE_Sem_Gov_Estado-Ate_Rev2007_teste ampla_Balanço" xfId="283" xr:uid="{B32800CB-E14D-4D57-8D1C-803E15828320}"/>
    <cellStyle name="_PLPT_PLANILHA_CÁLCULO_DÉFICIT_RESOLUÇÃO_294_2007_COELCE_Sem_Gov_Estado-Ate_Rev2007_teste ampla_casulo 15" xfId="284" xr:uid="{B089128E-E5B4-4623-B198-B2B91F923181}"/>
    <cellStyle name="_PLPT_PLANILHA_CÁLCULO_DÉFICIT_RESOLUÇÃO_294_2007_COELCE_Sem_Gov_Estado-Ate_Rev2007_teste ampla_casulo 5 2" xfId="528" xr:uid="{0709522F-FF17-4A3C-A6AC-848D7A73437E}"/>
    <cellStyle name="_PLPT_PLANILHA_CÁLCULO_DÉFICIT_RESOLUÇÃO_294_2007_COELCE_Sem_Gov_Estado-Ate_Rev2007_teste ampla_casulo 5_casulo 15" xfId="285" xr:uid="{73792B53-5BE2-45EA-8A09-8B29055E9F85}"/>
    <cellStyle name="_PLPT_PLANILHA_CÁLCULO_DÉFICIT_RESOLUÇÃO_294_2007_COELCE_Sem_Gov_Estado-Ate_Rev2007_teste ampla_IRT EEB 2010" xfId="1607" xr:uid="{53912B15-2712-4436-A314-90F8503399DB}"/>
    <cellStyle name="_PLPT_PLANILHA_CÁLCULO_DÉFICIT_RESOLUÇÃO_294_2007_V3" xfId="1608" xr:uid="{04B26125-C016-4C77-AB85-50347EF14C6C}"/>
    <cellStyle name="_PLPT_Res294_v3_COSERN_IRT-2010" xfId="613" xr:uid="{CA1F1F33-22BE-4186-9DFC-104CE7C83076}"/>
    <cellStyle name="_Projeção Refrescos Guararapes" xfId="1609" xr:uid="{F190844B-32C7-47A6-BFBC-226D591AA313}"/>
    <cellStyle name="_PRTP_Santa Cruz-AP2" xfId="1610" xr:uid="{1AE77D40-3533-4AD1-9736-DEEC2FC2F416}"/>
    <cellStyle name="_PRTP_v5-COELCE-HOM" xfId="1611" xr:uid="{0A2060A1-1279-413D-BC3B-49B313CC20D7}"/>
    <cellStyle name="_PRTP_v5-COELCE-HOM_Cópia de Cópia de SIMULAÇÃO ESTRUTURAv103 - REAJUSTE - teste ELETROPAULO 2008-C51" xfId="1612" xr:uid="{465DEF8F-B377-459A-AFC4-978318799DF4}"/>
    <cellStyle name="_PRTP_v5-COELCE-HOM_IRT-cálculo CAPA NEUTRALIDADE" xfId="1613" xr:uid="{141AB350-A46D-4E67-ADB5-83D6EDD6C350}"/>
    <cellStyle name="_PRTP_v5-COELCE-HOM_NOVA PLANIILHA - REVISÃO 3" xfId="1614" xr:uid="{58CB3294-4AFD-4233-A306-30457E669074}"/>
    <cellStyle name="_PRTP_v5-COELCE-HOM_NOVA PLANILHA REVISÃO 1" xfId="1615" xr:uid="{513F3A09-92FE-49E3-8A6C-A0192753BDF0}"/>
    <cellStyle name="_PRTP_v6-xxxxx" xfId="1616" xr:uid="{2CEAE994-704B-495B-8DFF-1262DD4079EE}"/>
    <cellStyle name="_QUADRO I -Desconto irrigantes 2007" xfId="1617" xr:uid="{C9077C86-D9BC-4EC4-8187-3D18573871F4}"/>
    <cellStyle name="_QUADRO I -Desconto irrigantes 2007_IF_Consumidores livres e geradoras_2010" xfId="1618" xr:uid="{F21683F4-135B-4AF5-AA02-0DF9AAEF12BD}"/>
    <cellStyle name="_QUADRO II - CUSD's concatenação_elektro" xfId="1619" xr:uid="{7422B7A6-FE1A-4255-A150-03CB3F9A1F5A}"/>
    <cellStyle name="_QUADRO II - CUSD's concatenação_elektro_IF_Consumidores livres e geradoras_2010" xfId="1620" xr:uid="{2ACCEE64-9848-498F-A757-CF552EB9E749}"/>
    <cellStyle name="_QUADRO X - Baixa Renda" xfId="1621" xr:uid="{58CDC800-4A5E-4F19-A59C-F8B78B9963A4}"/>
    <cellStyle name="_QUADRO X - Baixa Renda_IF_Consumidores livres e geradoras_2010" xfId="1622" xr:uid="{B962D32E-2479-4CF4-8DAC-DFBCC0C1C01A}"/>
    <cellStyle name="_REDE BÁSICA" xfId="1623" xr:uid="{159C03FA-316C-4191-85C6-C4EB41BEF3E9}"/>
    <cellStyle name="_RGE - Repasse sobrecontratação" xfId="286" xr:uid="{B8252A5B-6742-44D0-A222-30EE24A1A8BE}"/>
    <cellStyle name="_RGE - Repasse sobrecontratação 3" xfId="1624" xr:uid="{4E745913-DA56-4296-90A6-C371446C0DAB}"/>
    <cellStyle name="_RGE - Repasse sobrecontratação_IRT_Revisão A-2" xfId="1625" xr:uid="{68CF1666-4A41-46BE-A478-07ED405B7CAC}"/>
    <cellStyle name="_RTP_EMG" xfId="1626" xr:uid="{F73C0874-3E2D-4DBD-ABA4-985E6D88F31F}"/>
    <cellStyle name="_RTP_ESCELSA_Subsidio_077_fiscalizada_sff_Cálculo do Financeiro do Baixa Renda" xfId="1627" xr:uid="{483D56D2-7B6C-4523-AB10-A6FE2B6FD6DB}"/>
    <cellStyle name="_RTP_ESCELSA_Subsidio_077_fiscalizada_sff_Cálculo do Financeiro do Baixa Renda_IRT-cálculo" xfId="1628" xr:uid="{9D9676A6-3962-4C3D-89BB-9AD1E57923BB}"/>
    <cellStyle name="_RTP_ESCELSA_Subsidio_077_fiscalizada_sff_Cálculo do Financeiro do Baixa Renda_IRT-cálculo CAPA NEUTRALIDADE" xfId="1629" xr:uid="{3BF3D724-8CE0-42D2-BA97-7795D87A3B6D}"/>
    <cellStyle name="_RTP_ESCELSA_Subsidio_077_fiscalizada_sff_Calculo_Subsidio_ELFSM_26_06_08_Modelo_ANEEL" xfId="1630" xr:uid="{5101FE64-904F-459C-8C01-F02BB4F91124}"/>
    <cellStyle name="_RTP_ESCELSA_Subsidio_077_fiscalizada_sff_Calculo_Subsidio_ELFSM_26_06_08_Modelo_ANEEL_IRT-cálculo" xfId="1631" xr:uid="{21C2C2FF-5398-4AF1-AE22-659E394C23B4}"/>
    <cellStyle name="_RTP_ESCELSA_Subsidio_077_fiscalizada_sff_Calculo_Subsidio_ELFSM_26_06_08_Modelo_ANEEL_IRT-cálculo CAPA NEUTRALIDADE" xfId="1632" xr:uid="{BFDA23AB-03F4-4CE1-BA11-47C4508EBA9E}"/>
    <cellStyle name="_RTP_ESCELSA_Subsidio_077_fiscalizada_sff_Custo com Avaliação de Ativos para Base de Remuneração" xfId="1633" xr:uid="{55D7FF69-7F19-49F4-AB0D-81E1650EE0AF}"/>
    <cellStyle name="_RTP_ESCELSA_Subsidio_077_fiscalizada_sff_Custo com Avaliação de Ativos para Base de Remuneração_IRT-cálculo" xfId="1634" xr:uid="{AC5933F6-A8EE-4841-81C5-6D7313F1F9D1}"/>
    <cellStyle name="_RTP_ESCELSA_Subsidio_077_fiscalizada_sff_Custo com Avaliação de Ativos para Base de Remuneração_IRT-cálculo CAPA NEUTRALIDADE" xfId="1635" xr:uid="{7138F4A5-C33B-4DD2-B23A-8548A553F3C3}"/>
    <cellStyle name="_RTP_ESCELSA_Subsidio_077_fiscalizada_sff_Energia Comprada" xfId="1636" xr:uid="{43CB2AB8-2B60-462D-822D-D42267677AE8}"/>
    <cellStyle name="_RTP_ESCELSA_Subsidio_077_fiscalizada_sff_Energia Comprada_IRT-cálculo" xfId="1637" xr:uid="{665428D6-6729-4044-8A96-ECE083C6F662}"/>
    <cellStyle name="_RTP_ESCELSA_Subsidio_077_fiscalizada_sff_Energia Comprada_IRT-cálculo CAPA NEUTRALIDADE" xfId="1638" xr:uid="{5DF13F1C-C191-4C8C-9C8C-9811109D9523}"/>
    <cellStyle name="_RTP_ESCELSA_Subsidio_077_fiscalizada_sff_Fator X" xfId="614" xr:uid="{0DD9384B-52E7-44B4-84F4-EABA73B29586}"/>
    <cellStyle name="_RTP_ESCELSA_Subsidio_077_fiscalizada_sff_Fator X_IRT-cálculo" xfId="1639" xr:uid="{794F7F22-F375-4F49-B9C0-04DD75A37D82}"/>
    <cellStyle name="_RTP_ESCELSA_Subsidio_077_fiscalizada_sff_Fator X_IRT-cálculo CAPA NEUTRALIDADE" xfId="1640" xr:uid="{9D9379DD-9778-45D5-80ED-9E12CC175951}"/>
    <cellStyle name="_RTP_ESCELSA_Subsidio_077_fiscalizada_sff_Fator X_SOBRECONTRATAÇÃO E CVA" xfId="1641" xr:uid="{CBD3B9FC-3AF3-4AED-B35F-F9011CE8F180}"/>
    <cellStyle name="_RTP_ESCELSA_Subsidio_077_fiscalizada_sff_IF - Autoprodutores 2" xfId="1642" xr:uid="{13C129C1-B6DC-4316-A919-9644AD6F1B00}"/>
    <cellStyle name="_RTP_ESCELSA_Subsidio_077_fiscalizada_sff_IF_Consumidores livres e geradoras_2010" xfId="1643" xr:uid="{5F82936A-C284-4425-91D2-4F60FE04D5C4}"/>
    <cellStyle name="_RTP_ESCELSA_Subsidio_077_fiscalizada_sff_IRT (2)" xfId="615" xr:uid="{CEFB5EE0-58A2-46C2-8D7E-F32F13399572}"/>
    <cellStyle name="_RTP_ESCELSA_Subsidio_077_fiscalizada_sff_IRT (2) 2" xfId="1644" xr:uid="{8562CEB7-1FEB-42B6-88D2-D86ED0EF9902}"/>
    <cellStyle name="_RTP_ESCELSA_Subsidio_077_fiscalizada_sff_IRT_1" xfId="616" xr:uid="{E43C2F10-8376-42D4-9DD7-32E7B160744B}"/>
    <cellStyle name="_RTP_ESCELSA_Subsidio_077_fiscalizada_sff_IRT_1_IRT-cálculo" xfId="1645" xr:uid="{25CEE6BD-57D2-4141-ACD4-9C9C0184FAFB}"/>
    <cellStyle name="_RTP_ESCELSA_Subsidio_077_fiscalizada_sff_IRT_1_IRT-cálculo CAPA NEUTRALIDADE" xfId="1646" xr:uid="{EDCA595B-7567-4F5C-A541-E5EF6F7A21DA}"/>
    <cellStyle name="_RTP_ESCELSA_Subsidio_077_fiscalizada_sff_IRT_1_SOBRECONTRATAÇÃO E CVA" xfId="1647" xr:uid="{8D0FE01E-B386-4EC1-8887-6E3C491113E7}"/>
    <cellStyle name="_RTP_ESCELSA_Subsidio_077_fiscalizada_sff_IRT_Pleito" xfId="1648" xr:uid="{E8756C24-BF22-4BA9-8FA3-DD0664EE2BD9}"/>
    <cellStyle name="_RTP_ESCELSA_Subsidio_077_fiscalizada_sff_IRT_Pleito_IRT-cálculo" xfId="1649" xr:uid="{32D18878-6F7F-4576-ADA6-A2DC9A6FCBAC}"/>
    <cellStyle name="_RTP_ESCELSA_Subsidio_077_fiscalizada_sff_IRT_Pleito_IRT-cálculo CAPA NEUTRALIDADE" xfId="1650" xr:uid="{FDC5D664-450F-4F40-A96B-11D1A195323C}"/>
    <cellStyle name="_RTP_ESCELSA_Subsidio_077_fiscalizada_sff_IRT_Revisão A-1" xfId="1651" xr:uid="{E2AF5A7C-6A1C-4FB1-B44C-59C7D423C33B}"/>
    <cellStyle name="_RTP_ESCELSA_Subsidio_077_fiscalizada_sff_IRT-cálculo" xfId="1652" xr:uid="{CB6708D7-B0F4-4142-89E5-4205872A7BC8}"/>
    <cellStyle name="_RTP_ESCELSA_Subsidio_077_fiscalizada_sff_IRT-cálculo CAPA NEUTRALIDADE" xfId="1653" xr:uid="{9E8AE0EB-1702-4193-B31E-13F2F8369E59}"/>
    <cellStyle name="_RTP_ESCELSA_Subsidio_077_fiscalizada_sff_Pasta1" xfId="617" xr:uid="{8149A3F6-CB8B-4679-9CE9-23C2215A9952}"/>
    <cellStyle name="_RTP_ESCELSA_Subsidio_077_fiscalizada_sff_Pasta1_IRT-cálculo" xfId="1654" xr:uid="{F305F921-10AD-4A23-9E9A-DDF6F443DF67}"/>
    <cellStyle name="_RTP_ESCELSA_Subsidio_077_fiscalizada_sff_Pasta1_IRT-cálculo CAPA NEUTRALIDADE" xfId="1655" xr:uid="{F0CE93FA-FE1C-426B-BD53-B1B06E3673DC}"/>
    <cellStyle name="_RTP_ESCELSA_Subsidio_077_fiscalizada_sff_Pasta1_SOBRECONTRATAÇÃO E CVA" xfId="1656" xr:uid="{A8EA6BA4-451D-4496-88F6-9FFA0E427D42}"/>
    <cellStyle name="_RTP_ESCELSA_Subsidio_077_fiscalizada_sff_Sheet1" xfId="1657" xr:uid="{DD45397A-ADE5-43BB-8B2D-B26AE3835CA8}"/>
    <cellStyle name="_RTP_ESCELSA_Subsidio_077_fiscalizada_sff_Sheet2" xfId="1658" xr:uid="{2BBD6028-1955-4960-9115-841E639CC185}"/>
    <cellStyle name="_RTP_ESCELSA_Subsidio_077_fiscalizada_sff_SOBRECONTRATAÇÃO E CVA" xfId="1659" xr:uid="{C93EC4B9-68FD-4E35-B4D6-274194DFFE43}"/>
    <cellStyle name="_Santa Cruz Cliente por área 27062007" xfId="1660" xr:uid="{8ACDF365-8C91-48E4-B57E-5D004F590FF1}"/>
    <cellStyle name="_SANTA CRUZ_2_CICLO_DADOS_INICIAIS" xfId="1661" xr:uid="{D531D2B1-0C44-4211-9918-887B8B813C96}"/>
    <cellStyle name="_SANTA CRUZ_2_CICLO_DADOS_INICIAIS (v 26-06)" xfId="1662" xr:uid="{5116A24B-1769-4554-9974-3DCFB5A6103A}"/>
    <cellStyle name="_SANTA CRUZ_2_CICLO_DADOS_INICIAIS (Vx)" xfId="1663" xr:uid="{F6A07518-C8B3-4074-B9D3-702B6702A03F}"/>
    <cellStyle name="_SANTA CRUZ_2_CICLO_DADOS_INICIAIS(v4)" xfId="1664" xr:uid="{F767C51E-1FFC-4C6E-9DD4-A3ADB5E1A00D}"/>
    <cellStyle name="_SANTA CRUZ_2_CICLO_DADOS_INICIAIS_E3" xfId="1665" xr:uid="{DC297F15-013D-4EE6-9DE3-BA87E24470CF}"/>
    <cellStyle name="_SANTA CRUZ_2_CICLO_DADOS_INICIAIS-28jun - EV" xfId="1666" xr:uid="{6CADD3FE-01ED-496B-98FF-4DF8DBDF6F92}"/>
    <cellStyle name="_SANTA CRUZ_2_CICLO_DADOS_MERCADO_E1 (14jun)" xfId="1667" xr:uid="{F9D1577D-6C23-4960-8CE3-FBA3A4588D3F}"/>
    <cellStyle name="_SANTA CRUZ_2_CICLO_DADOS_MERCADO_E1 (15jun)" xfId="1668" xr:uid="{5AC8DDB2-F85F-43D5-914C-A40D866765F6}"/>
    <cellStyle name="_Santa Maria - Cons por municipio" xfId="1669" xr:uid="{7008E4B2-759C-452E-80C0-A6B301CDF185}"/>
    <cellStyle name="_Simulação AES SUL 03_04_07" xfId="287" xr:uid="{CD92D875-FC12-4D60-9346-6AF4432D0D8F}"/>
    <cellStyle name="_Simulação AES SUL 03_04_07 2" xfId="529" xr:uid="{FDC9A470-8D8D-42DA-AE95-0762E42D67D5}"/>
    <cellStyle name="_Simulação AES SUL 03_04_07_Balanço" xfId="288" xr:uid="{6B223D4F-5376-465E-BEB2-51888214AC7B}"/>
    <cellStyle name="_Simulação AES SUL 03_04_07_casulo 15" xfId="289" xr:uid="{E63D6F53-6B43-488F-B496-5FA4CB3B5E3F}"/>
    <cellStyle name="_Simulação AES SUL 03_04_07_IRT EEB 2010" xfId="1670" xr:uid="{2ACD11BB-AFB5-4EB1-BF52-45542FABFB7B}"/>
    <cellStyle name="_Simulação CAIUA - ANEEL" xfId="1671" xr:uid="{4ADE7713-77AF-40B2-9D1B-F0FE654AC8AB}"/>
    <cellStyle name="_Simulação CAIUA - ANEEL_2009.04.09 EEB IRT2009 Conexao CEMIG C Financeiro" xfId="1672" xr:uid="{87E6428F-E002-4F3B-945A-DE702C674345}"/>
    <cellStyle name="_Simulação CAIUA - ANEEL_CVA Borborema 2010 - Fiscalizada Final" xfId="1673" xr:uid="{CE77FBBD-C06D-442B-868A-588CDA9326E1}"/>
    <cellStyle name="_Simulação CAIUA - ANEEL_IF - Autoprodutores 2" xfId="1674" xr:uid="{26BD8597-128B-4024-AB40-08293564A64C}"/>
    <cellStyle name="_Simulação CAIUA - ANEEL_IF_Consumidores livres e geradoras_2010" xfId="1675" xr:uid="{B6F61500-7A42-435E-9F36-6FA031CDA966}"/>
    <cellStyle name="_Simulação CAIUA - ANEEL_Sheet1" xfId="1676" xr:uid="{110F6886-48DB-4FD9-99CC-5E3237DECD2F}"/>
    <cellStyle name="_Simulação CENF - ANEEL sobrecontratação" xfId="1677" xr:uid="{853093A4-F075-4D46-A6D2-7E5637763079}"/>
    <cellStyle name="_Simulação CENF - ANEEL sobrecontratação_CVA Borborema 2010 - Fiscalizada Final" xfId="1678" xr:uid="{3BB217A9-DD3F-4488-9A9D-6287CBB2CF6B}"/>
    <cellStyle name="_Simulação congelamento COELCE 2011 - Propostas 3ª Fase AP040 (20.12.2011)" xfId="1679" xr:uid="{8A0E0541-D19C-4173-BF98-F61DE7B7849B}"/>
    <cellStyle name="_Simulação Nova Carga Coteminas RT EBO" xfId="1680" xr:uid="{71F36EB7-A376-4B61-A11F-CC5C63B24DFA}"/>
    <cellStyle name="_Simulacao_4ª_RTP_ESCELSA_1" xfId="290" xr:uid="{BAD86FC5-628F-4ABA-A120-D0DB290AC19B}"/>
    <cellStyle name="_Simulacao_4ª_RTP_ESCELSA_1_IF - Autoprodutores 2" xfId="1681" xr:uid="{489C0516-9EDB-4807-912D-4896DDE099A3}"/>
    <cellStyle name="_Simulacao_4ª_RTP_ESCELSA_1_IF_Consumidores livres e geradoras_2010" xfId="1682" xr:uid="{DFD339BE-8505-4FF8-8301-A3F0BEC3DF9F}"/>
    <cellStyle name="_Simulacao_4ª_RTP_ESCELSA_1_IRT-cálculo" xfId="1683" xr:uid="{5530817F-ABA7-4A2C-9B53-60D76207CEB6}"/>
    <cellStyle name="_Simulacao_4ª_RTP_ESCELSA_1_Sheet1" xfId="1684" xr:uid="{F9E12DAB-4203-40FD-BD0D-459DE1698BC0}"/>
    <cellStyle name="_Simulador Ampla - Proposta Preliminar" xfId="1685" xr:uid="{16696890-A164-4B04-BB0E-59590272EB13}"/>
    <cellStyle name="_Simulador Ampla_AP" xfId="1686" xr:uid="{69E730B3-0B2F-430D-B6DF-F30260D5C54D}"/>
    <cellStyle name="_Simulador COSERN-final" xfId="1687" xr:uid="{E144FDD4-E3ED-496D-8081-3FF822D778BC}"/>
    <cellStyle name="_Simulador COSERN-final_IF - Autoprodutores 2" xfId="1688" xr:uid="{4FBA34B3-7771-453B-B992-CE0769F58515}"/>
    <cellStyle name="_Simulador COSERN-final_IF_Consumidores livres e geradoras_2010" xfId="1689" xr:uid="{166D45A9-1021-46ED-87E2-094CBA1FC191}"/>
    <cellStyle name="_Simulador COSERN-final_Sheet1" xfId="1690" xr:uid="{E48B1A0B-5F33-4ABE-BB69-37013D112783}"/>
    <cellStyle name="_Simulador modelo" xfId="1691" xr:uid="{46D3C8F8-CDAD-4F6A-B753-7D13565C2813}"/>
    <cellStyle name="_Síntese Capex EBO encaminhado para Aneel" xfId="1692" xr:uid="{1A2D672F-05C6-4434-9106-1B0E6CF6D27D}"/>
    <cellStyle name="_Síntese Executiva" xfId="1693" xr:uid="{02367C5E-E014-4DBF-BEB7-72F160E89DF0}"/>
    <cellStyle name="_Sobrecontr - Plan Cabral_CEAL" xfId="1694" xr:uid="{1F52EB86-280E-40EE-A463-7B72BAEEC20F}"/>
    <cellStyle name="_Sobrecontr - Plan Cabral_CEAL (!)" xfId="1695" xr:uid="{85F07432-612C-49AB-81CE-8EB374D1F21D}"/>
    <cellStyle name="_Sobrecontr_CELPA - Plan.Cabral" xfId="1696" xr:uid="{25E696DF-C407-4B82-AFC6-81E697E9C99C}"/>
    <cellStyle name="_Sobrecontr_ELEKTRO - Plan Cabral_2007" xfId="1697" xr:uid="{45CF3860-AD6E-4E96-9B13-29C89F6F8444}"/>
    <cellStyle name="_Sobrecontratação - Dados - Estimativa - Celpa CCEE" xfId="618" xr:uid="{5666665C-EE3E-4778-9371-33CD0A6F9DEB}"/>
    <cellStyle name="_Sobrecontratação - Dados - Estimativa - Celpa CCEE 2" xfId="1698" xr:uid="{F6981C6E-636F-4EC0-99E9-28351BF5F136}"/>
    <cellStyle name="_Sobrecontratação - Dados - Estimativa - Celpa CCEE_COELCE - RTO 2011 - PLPT_PLANILHA_CÁLCULO_DÉFICIT" xfId="1699" xr:uid="{FA5FD18E-1FB8-4001-AE46-F156C3BFAE75}"/>
    <cellStyle name="_SOBRECONTRATAÇÃO - RES  255-2007 AES (2)" xfId="291" xr:uid="{41E65436-0518-445D-8349-6C7B80A41050}"/>
    <cellStyle name="_SOBRECONTRATAÇÃO - RES  255-2007 AES (2) 2" xfId="530" xr:uid="{C85C6A71-C398-4614-8973-6937F64FFE85}"/>
    <cellStyle name="_SOBRECONTRATAÇÃO - RES  255-2007 AES (2)_Balanço" xfId="292" xr:uid="{13213BBE-6FC2-4DE9-83D4-19D6434D71E1}"/>
    <cellStyle name="_SOBRECONTRATAÇÃO - RES  255-2007 AES (2)_casulo 15" xfId="293" xr:uid="{3C71EE46-2B1F-4A47-8339-465FCFAA10D2}"/>
    <cellStyle name="_SOBRECONTRATAÇÃO - RES  255-2007 AES (2)_IRT EEB 2010" xfId="1700" xr:uid="{E35C9A93-17ED-4B2D-810D-F191D39236D5}"/>
    <cellStyle name="_SOBRECONTRATAÇÃO - RES  255-2007 AES (3)" xfId="294" xr:uid="{75E044ED-BB79-4729-B601-9DA5E6EB1B96}"/>
    <cellStyle name="_SOBRECONTRATAÇÃO - RES  255-2007 AES (3) 2" xfId="531" xr:uid="{57B24C82-6E8B-40AD-B09C-EEFB2CF0EE22}"/>
    <cellStyle name="_SOBRECONTRATAÇÃO - RES  255-2007 AES (3)_Balanço" xfId="295" xr:uid="{D7B380B3-809E-4489-9296-2B696BCBD0FE}"/>
    <cellStyle name="_SOBRECONTRATAÇÃO - RES  255-2007 AES (3)_casulo 15" xfId="296" xr:uid="{9C0665C9-A85A-441F-87D8-407EDD09EFFC}"/>
    <cellStyle name="_SOBRECONTRATAÇÃO - RES  255-2007 AES (3)_IRT EEB 2010" xfId="1701" xr:uid="{D513113F-9FC2-4D7C-8E10-29080D4DC7DE}"/>
    <cellStyle name="_SOBRECONTRATAÇÃO - RES  255-2007-ELEKTRO-Rec.PROINFA" xfId="1702" xr:uid="{8FA551AF-B8DE-48B6-A197-13527EA7DB60}"/>
    <cellStyle name="_SOBRECONTRATAÇÃO - RES. 255-2007, AES" xfId="297" xr:uid="{0C2DA426-DEFE-408B-8DF7-C7D652F84C2D}"/>
    <cellStyle name="_SOBRECONTRATAÇÃO - RES. 255-2007, AES 2" xfId="532" xr:uid="{04EB5EAB-471C-4821-BD48-9E04CE3AA30B}"/>
    <cellStyle name="_SOBRECONTRATAÇÃO - RES. 255-2007, AES_Balanço" xfId="298" xr:uid="{39A8481F-8FA8-420F-8D49-9A90CD5D916C}"/>
    <cellStyle name="_SOBRECONTRATAÇÃO - RES. 255-2007, AES_casulo 15" xfId="299" xr:uid="{891DCFCF-EACC-4CAF-8D7C-FF69C8D42417}"/>
    <cellStyle name="_SOBRECONTRATAÇÃO - RES. 255-2007, AES_IRT EEB 2010" xfId="1703" xr:uid="{6BEB8712-3B92-42AA-A79E-2E3A0ADDF0E1}"/>
    <cellStyle name="_SOBRECONTRATAÇÃO - SAELPA 2007" xfId="1704" xr:uid="{AE4A8079-A9CC-46D3-8286-030C9F2FBCBA}"/>
    <cellStyle name="_Sobrecontratação AES (2)" xfId="300" xr:uid="{E39C86F1-9312-4C2A-9CF2-847B09EE948A}"/>
    <cellStyle name="_Sobrecontratação AES (2) 2" xfId="533" xr:uid="{7A973AB7-BAF8-4D65-9D8F-1E47464B6214}"/>
    <cellStyle name="_Sobrecontratação AES (2)_Balanço" xfId="301" xr:uid="{02500CEC-2AAB-4F50-8462-C05453D5C798}"/>
    <cellStyle name="_Sobrecontratação AES (2)_casulo 15" xfId="302" xr:uid="{3E10032F-0CC5-4FA0-94EB-75A01A4EC4F7}"/>
    <cellStyle name="_Sobrecontratação AES (2)_IRT EEB 2010" xfId="1705" xr:uid="{01A2A48F-0F04-440A-B3B6-947F69D54CD7}"/>
    <cellStyle name="_SOBRECONTRATAÇÃO ANO CIVIL 2005 - CVA - APROVADO" xfId="1706" xr:uid="{95C4745B-7C53-415A-9106-3E247800D40E}"/>
    <cellStyle name="_SOBRECONTRATAÇÃO E CVA" xfId="1707" xr:uid="{1118BA7B-BAB5-462E-8E6D-6C427280DE18}"/>
    <cellStyle name="_SOBRECONTRATAÇÃO E CVA A-1" xfId="1708" xr:uid="{C29EDF50-CEB9-4720-AB05-18352EF78AAA}"/>
    <cellStyle name="_SOBRECONTRATAÇÃO E CVA A-1_IRT-cálculo" xfId="1709" xr:uid="{0DCDDFC0-2B84-4481-99A5-E28F97FF782F}"/>
    <cellStyle name="_SOBRECONTRATAÇÃO E CVA A-1_IRT-cálculo CAPA NEUTRALIDADE" xfId="1710" xr:uid="{E4F1FCE4-D84A-4107-967C-BE8B19EB2F18}"/>
    <cellStyle name="_SOBRECONTRATAÇÃO E CVA Energisa Paraíba" xfId="1711" xr:uid="{200DC95D-F802-4AAA-A93C-A60FAAECAE6A}"/>
    <cellStyle name="_SOBRECONTRATAÇÃO E CVAlinhas_EMG_08" xfId="1712" xr:uid="{929024FC-DBB2-4079-8090-B96D296EAD8A}"/>
    <cellStyle name="_Sobrecontratação e exposição_CCEE_SRE" xfId="619" xr:uid="{0AB6EB0C-0077-4F12-8B39-E11B25AC4875}"/>
    <cellStyle name="_Sobrecontratação e exposição_CCEE_SRE 2" xfId="1713" xr:uid="{5CE38514-2474-42B2-803F-10A86D2A937B}"/>
    <cellStyle name="_Sobrecontratação e exposição_CCEE_SRE_Energia Comprada" xfId="1714" xr:uid="{179BC09E-2DA1-4809-B1CA-4B4034FA3E60}"/>
    <cellStyle name="_Sobrecontratação e exposição_CCEE_SRE_Energia Comprada_IRT-cálculo" xfId="1715" xr:uid="{69214651-6434-43E2-842B-BF9C6E4DF349}"/>
    <cellStyle name="_Sobrecontratação e exposição_CCEE_SRE_Energia Comprada_IRT-cálculo CAPA NEUTRALIDADE" xfId="1716" xr:uid="{B2DBD938-8CC5-4390-8E82-404B4CCF958F}"/>
    <cellStyle name="_Sobrecontratação e exposição_CCEE_SRE_Fator X" xfId="620" xr:uid="{105ACC64-1953-439C-8B47-114434DA4346}"/>
    <cellStyle name="_Sobrecontratação e exposição_CCEE_SRE_Fator X 2" xfId="1717" xr:uid="{EFC7016A-1838-4DA1-B8BA-5A35EE422178}"/>
    <cellStyle name="_Sobrecontratação e exposição_CCEE_SRE_Fator X_IRT-cálculo" xfId="1718" xr:uid="{C83ACAB1-4295-4B4D-B2B7-BDE9A80617C7}"/>
    <cellStyle name="_Sobrecontratação e exposição_CCEE_SRE_Fator X_IRT-cálculo CAPA NEUTRALIDADE" xfId="1719" xr:uid="{9042F62B-90AD-461D-8E4C-10C8776F6957}"/>
    <cellStyle name="_Sobrecontratação e exposição_CCEE_SRE_Fator X_SOBRECONTRATAÇÃO E CVA" xfId="1720" xr:uid="{A7E31202-0A20-47FC-A548-11082CE9E93D}"/>
    <cellStyle name="_Sobrecontratação e exposição_CCEE_SRE_IRT (2)" xfId="621" xr:uid="{AFC26914-3EE5-4D55-A608-2BAEDE58CE8E}"/>
    <cellStyle name="_Sobrecontratação e exposição_CCEE_SRE_IRT_1" xfId="622" xr:uid="{EC7B1225-7C7B-4DF5-97CC-B25233B342E8}"/>
    <cellStyle name="_Sobrecontratação e exposição_CCEE_SRE_IRT_1 2" xfId="1721" xr:uid="{F6E22651-6483-461D-901E-E82A9D44127B}"/>
    <cellStyle name="_Sobrecontratação e exposição_CCEE_SRE_IRT_1_IRT-cálculo" xfId="1722" xr:uid="{D1D33A4C-1E8F-492E-831C-382E88DC59AE}"/>
    <cellStyle name="_Sobrecontratação e exposição_CCEE_SRE_IRT_1_IRT-cálculo CAPA NEUTRALIDADE" xfId="1723" xr:uid="{9C637383-4F27-42CE-8645-41A4AED4B8E1}"/>
    <cellStyle name="_Sobrecontratação e exposição_CCEE_SRE_IRT_1_SOBRECONTRATAÇÃO E CVA" xfId="1724" xr:uid="{D50BF839-20EC-4F30-A97B-E75E8DA42FDF}"/>
    <cellStyle name="_Sobrecontratação e exposição_CCEE_SRE_IRT-cálculo" xfId="1725" xr:uid="{5C925864-81E5-4E94-9AAE-8568A7B71A8D}"/>
    <cellStyle name="_Sobrecontratação e exposição_CCEE_SRE_IRT-cálculo CAPA NEUTRALIDADE" xfId="1726" xr:uid="{5FCFFA4E-6F54-4D02-A332-C3176692D418}"/>
    <cellStyle name="_Sobrecontratação e exposição_CCEE_SRE_Pasta1" xfId="623" xr:uid="{D84D5433-1C54-4528-9D57-896761CD804A}"/>
    <cellStyle name="_Sobrecontratação e exposição_CCEE_SRE_Pasta1 2" xfId="1727" xr:uid="{9E6B253B-A4B5-44AE-A789-E6C3D8DF99D4}"/>
    <cellStyle name="_Sobrecontratação e exposição_CCEE_SRE_Pasta1_IRT-cálculo" xfId="1728" xr:uid="{899089E5-0335-4EC8-A160-78B269E2D784}"/>
    <cellStyle name="_Sobrecontratação e exposição_CCEE_SRE_Pasta1_IRT-cálculo CAPA NEUTRALIDADE" xfId="1729" xr:uid="{3899518D-C53A-4DF5-A52F-B57E119F41A6}"/>
    <cellStyle name="_Sobrecontratação e exposição_CCEE_SRE_Pasta1_SOBRECONTRATAÇÃO E CVA" xfId="1730" xr:uid="{63CC3B38-D428-4015-BB8D-B69020621A1A}"/>
    <cellStyle name="_Sobrecontratação e exposição_CCEE_SRE_SOBRECONTRATAÇÃO E CVA" xfId="1731" xr:uid="{87EDAEDE-0041-4AC6-B528-CFBC5E152D06}"/>
    <cellStyle name="_SOBRECONTRATAÇÃO EPB 2010" xfId="1732" xr:uid="{B2F36DCE-33F8-4CC2-BAA9-D9287F4582D4}"/>
    <cellStyle name="_Sobrecontratação_e_CVA_Energia" xfId="1733" xr:uid="{D1BF7D92-617D-469B-9572-EA66DA9879E6}"/>
    <cellStyle name="_Sobrecontratacao_ESE_IRT_2009" xfId="1734" xr:uid="{7D7F3236-62A9-475F-B5E6-1E66E6494137}"/>
    <cellStyle name="_SOBRECONTRATAÇÃO-2008" xfId="1735" xr:uid="{7B29B526-3191-4221-9291-4C30E1ACC782}"/>
    <cellStyle name="_Subsídios para análise da SRE" xfId="303" xr:uid="{DC959ED0-4F88-4F92-BE13-558B6DE6F0C8}"/>
    <cellStyle name="_Subsídios para análise da SRE_IRT Piratininga 2009" xfId="304" xr:uid="{6EE682DE-FA2A-4FC6-85B2-85CEE9EAFE2C}"/>
    <cellStyle name="_Subsídios para análise da SRE_IRT Piratininga 2009 2" xfId="534" xr:uid="{1D9E28CA-F24B-4E26-B51C-1F3522FAE9FA}"/>
    <cellStyle name="_Subsídios para análise da SRE_IRT_Planilha Básica_ CETRIL" xfId="305" xr:uid="{541089AF-9A84-4336-A631-7B64D403C7FC}"/>
    <cellStyle name="_Subsídios para análise da SRE_IRT_Planilha Básica_ CETRIL 2" xfId="535" xr:uid="{D9DC3D96-BFF8-494D-BC28-95CF10010827}"/>
    <cellStyle name="_Subsídios para análise da SRE_IRT_Planilha Básica_mar2010b" xfId="1736" xr:uid="{0B42C3DB-FC02-4570-A05F-3BF2F049ADC5}"/>
    <cellStyle name="_Subsídios para análise da SRE_IRT-cálculo" xfId="1737" xr:uid="{5B4C9EF2-2C32-4B39-9E6E-EFA63A9D2486}"/>
    <cellStyle name="_SubsídiosAnáliseSRE_COSERN_IRT-2010" xfId="624" xr:uid="{34160F51-83AD-4B1D-AEEF-5952BC071556}"/>
    <cellStyle name="_TARIFAS 2008 modelo" xfId="1738" xr:uid="{D9FA07DF-E233-4B2E-8F85-DD3F3D3AFCAD}"/>
    <cellStyle name="_Tarifas de Suprimento_Final" xfId="306" xr:uid="{C33183FD-E9C7-41AC-BF99-9B8F50A29734}"/>
    <cellStyle name="_Tarifas de Suprimento_Final 2" xfId="536" xr:uid="{218BBCD2-5959-4E42-9C48-3C5DB693A784}"/>
    <cellStyle name="_Tarifas de Suprimento_Final 3" xfId="1739" xr:uid="{4775DA06-C21F-44AF-909B-BD305FCEE86C}"/>
    <cellStyle name="_Tarifas de Suprimento_Final_COELCE  ICMS Não Compensado RTO 2012 281211" xfId="1740" xr:uid="{3BB85DC7-13BC-405C-A094-BC42A4FF726D}"/>
    <cellStyle name="_Tarifas de Suprimento_Final_COELCE - RTO 2011 - PLPT_PLANILHA_CÁLCULO_DÉFICIT" xfId="1741" xr:uid="{E98420F8-EB09-47ED-8D7A-9F929FF6A9AF}"/>
    <cellStyle name="_Tarifas de Suprimento_Final_Exposição_Agosto 2" xfId="1742" xr:uid="{9403C2F3-F886-43C3-BC6F-7D4A15B73E0E}"/>
    <cellStyle name="_Tarifas de Suprimento_Final_IRT_Revisão A-2" xfId="1743" xr:uid="{428CDFA0-4452-41F4-B01A-FC3B0A0303F4}"/>
    <cellStyle name="_Tarifas de Suprimento_Final_IRT-cálculo" xfId="1744" xr:uid="{2890D3B0-F18F-47E6-9EDE-EFBB33548560}"/>
    <cellStyle name="_Tarifas de Suprimento_Final_Simulação AES SUL 03_04_07" xfId="307" xr:uid="{6D60D53B-66A5-405F-AF9B-7039205D1B3E}"/>
    <cellStyle name="_Tarifas de Suprimento_Final_Simulação AES SUL 03_04_07 2" xfId="537" xr:uid="{7E9A0D43-543C-4779-99AF-1BA35A3C0D8D}"/>
    <cellStyle name="_Tarifas de Suprimento_Final_Simulação AES SUL 03_04_07 3" xfId="1745" xr:uid="{58322C5D-B366-48CB-A246-89614F87C2DD}"/>
    <cellStyle name="_Tarifas de Suprimento_Final_Simulação congelamento COELCE 2011 - Propostas 3ª Fase AP040 (20.12.2011)" xfId="1746" xr:uid="{D19DDE10-76A1-433D-B4D3-EEA7A01BFAD5}"/>
    <cellStyle name="_Tarifas de Suprimento_Final_Sobrecontratação AES (2)" xfId="308" xr:uid="{59938DE2-307F-43B0-9555-76DCD543982F}"/>
    <cellStyle name="_Tarifas de Suprimento_Final_Sobrecontratação AES (2) 2" xfId="538" xr:uid="{D6859994-2E88-4FAD-B2FC-FF96A61FC104}"/>
    <cellStyle name="_Tarifas de Suprimento_Final_Sobrecontratação AES (2) 3" xfId="1747" xr:uid="{9221179A-9A32-41ED-A72F-0C0ACD8A3237}"/>
    <cellStyle name="_Tarifas de Suprimento_Final_SOBRECONTRATAÇÃO E CVA" xfId="1748" xr:uid="{ECD452EE-16A8-4EC2-A5DE-E5FF41D0E0E1}"/>
    <cellStyle name="_Tarifas suprimento_TUSD DMEPC" xfId="309" xr:uid="{3ADB7C26-72AF-4DA8-B6C4-092E80D4E6C7}"/>
    <cellStyle name="_Tarifas suprimento_TUSD DMEPC_IRT Piratininga 2009" xfId="310" xr:uid="{C50C9C66-72D0-40D7-9855-9E0894994DAF}"/>
    <cellStyle name="_Tarifas suprimento_TUSD DMEPC_IRT Piratininga 2009 2" xfId="539" xr:uid="{842C0B4A-1D58-466C-8474-2A4F74FDEBEB}"/>
    <cellStyle name="_Tarifas suprimento_TUSD DMEPC_IRT_Planilha Básica_ CETRIL" xfId="311" xr:uid="{4C85362A-DE7E-4540-8BFA-BF49C63CC305}"/>
    <cellStyle name="_Tarifas suprimento_TUSD DMEPC_IRT_Planilha Básica_ CETRIL 2" xfId="540" xr:uid="{DA9E2A36-F2E9-4FED-A986-FB6A8B0C5D9A}"/>
    <cellStyle name="_Tarifas suprimento_TUSD DMEPC_IRT_Planilha Básica_mar2010b" xfId="1749" xr:uid="{6EA9A03A-CF18-492D-A2F7-E295DB12A6ED}"/>
    <cellStyle name="_Tarifas suprimento_TUSD DMEPC_IRT-cálculo" xfId="1750" xr:uid="{0CD01A14-7EBF-4914-8F63-8FF3272FF714}"/>
    <cellStyle name="_teste ampla" xfId="312" xr:uid="{0F719043-DF97-41B8-BCA2-70E3FDC2F1EB}"/>
    <cellStyle name="_teste ampla 2" xfId="541" xr:uid="{CC8FC0FB-1D8D-4F4B-BE75-7ED43D2490D3}"/>
    <cellStyle name="_teste ampla_Balanço" xfId="313" xr:uid="{046B5254-46C0-4A44-9F04-90457DACE77F}"/>
    <cellStyle name="_teste ampla_casulo 15" xfId="314" xr:uid="{7484BB24-390A-40EE-A0D9-38177F542E73}"/>
    <cellStyle name="_teste ampla_IRT EEB 2010" xfId="1751" xr:uid="{A83D8519-F1AE-4DB5-8899-29FBE94D236D}"/>
    <cellStyle name="_Tracking Account Coteminas EBO - FINAL" xfId="1752" xr:uid="{C7B0F69B-3C1F-47D1-BC54-95C04B2AC6B3}"/>
    <cellStyle name="_Tracking Account Coteminas EBO - FINAL 2010" xfId="1753" xr:uid="{1E20B442-E8D8-4509-B48D-E788D1E2F3E2}"/>
    <cellStyle name="_TUSD AP PIE - ESE 2010" xfId="1754" xr:uid="{ECE5678C-8B12-4E78-84A8-AA4299EC10F3}"/>
    <cellStyle name="_TUSD FIO-B - ESE 2010" xfId="1755" xr:uid="{A848A6BF-BE13-4532-B43B-38DBF782C9F9}"/>
    <cellStyle name="_TUSD G - ESE 2010" xfId="1756" xr:uid="{91608E75-B51D-4EAD-ABE0-CBFDCF482F81}"/>
    <cellStyle name="_VERSAO 800" xfId="1757" xr:uid="{BB94F7ED-3AB3-4238-A378-7B7B035C02ED}"/>
    <cellStyle name="£ BP" xfId="1758" xr:uid="{56310D24-EAC7-427C-AA15-59D5245552B7}"/>
    <cellStyle name="¥ JY" xfId="1759" xr:uid="{B0577797-3712-488E-BD16-9AA60E503A1E}"/>
    <cellStyle name="=C:\WINDOWS\SYSTEM32\COMMAND.COM" xfId="1760" xr:uid="{10FF7025-51F1-4EA8-82CA-9C4C9A5D24D9}"/>
    <cellStyle name="=C:\WINDOWS\SYSTEM32\COMMAND.COM 2" xfId="1761" xr:uid="{B8529F13-112A-4BBA-9E55-5B529CCEDFAF}"/>
    <cellStyle name="=C:\WINDOWS\SYSTEM32\COMMAND.COM 3" xfId="1762" xr:uid="{9D9ED66F-435D-46A0-8134-B94D91D4FA49}"/>
    <cellStyle name="=C:\WINDOWS\SYSTEM32\COMMAND.COM_IF - Autoprodutores" xfId="1763" xr:uid="{B04F62BB-FEA5-4F24-B23B-0963E7D3374D}"/>
    <cellStyle name="=C:\WINNT\SYSTEM32\COMMAND.COM" xfId="662" xr:uid="{2B1CE237-7559-4D2F-A9BA-2320C0E6189D}"/>
    <cellStyle name="‡" xfId="1764" xr:uid="{978B62D2-22FC-459F-8761-5120234B60C5}"/>
    <cellStyle name="‡_IRT-cálculo" xfId="1765" xr:uid="{B2C27ADA-A3CE-4B63-A071-0E39EC360FFA}"/>
    <cellStyle name="‡_IRT-cálculo CAPA NEUTRALIDADE" xfId="1766" xr:uid="{C73F892C-7FB1-4BB7-B77B-771B22162027}"/>
    <cellStyle name="•W_laroux" xfId="1767" xr:uid="{C894C7F2-FA08-446F-BDD3-3E46B89C5461}"/>
    <cellStyle name="0%" xfId="625" xr:uid="{393DF890-2F8D-44FA-B82E-311545080A89}"/>
    <cellStyle name="0% 2" xfId="859" xr:uid="{A848D621-D07D-4F69-A3E9-F4ACB98979A4}"/>
    <cellStyle name="0,0%" xfId="626" xr:uid="{00FEC33A-A70F-4A8A-85E7-F27865059CB8}"/>
    <cellStyle name="0,0% 2 2" xfId="752" xr:uid="{281B78AA-897C-435B-AC67-B0D5B6E08DBF}"/>
    <cellStyle name="0,0% 2 2 3" xfId="798" xr:uid="{7B2628B8-77C0-42A5-8C45-09ABB92D59FA}"/>
    <cellStyle name="0,0% 2 4" xfId="795" xr:uid="{A7006275-0F69-4D39-8FC3-4198DEA44CEF}"/>
    <cellStyle name="0,0% 3" xfId="712" xr:uid="{045C5A08-DE5A-4FA0-B461-89024478FD77}"/>
    <cellStyle name="0,0% 3 3" xfId="905" xr:uid="{3E7FE425-7F96-4ECE-92DC-7405E55A1936}"/>
    <cellStyle name="0.0%" xfId="627" xr:uid="{2B315E88-B75E-4CF3-9FE3-F63EDF25227F}"/>
    <cellStyle name="0000 2" xfId="1768" xr:uid="{87B0D6A7-66F8-4D6D-9613-E5712E5F30AA}"/>
    <cellStyle name="1o.nível" xfId="315" xr:uid="{23C97DB0-3109-45B3-A800-10A8A13DADBC}"/>
    <cellStyle name="20% - Accent1 2" xfId="1769" xr:uid="{5633752E-4D9C-451B-A93A-8AFE5C8A086B}"/>
    <cellStyle name="20% - Accent3 2" xfId="1770" xr:uid="{D90583E1-351B-43C6-8A51-3310D79A191C}"/>
    <cellStyle name="20% - Accent4 2" xfId="1771" xr:uid="{519C034B-42E7-4CBC-88BA-9DA1DDD37AD5}"/>
    <cellStyle name="20% - Accent5 2" xfId="1772" xr:uid="{B988F932-C181-4E64-B22A-D591D877E430}"/>
    <cellStyle name="20% - Accent6 2" xfId="1773" xr:uid="{040561FE-4C36-4E94-BB1F-0240EF8F036C}"/>
    <cellStyle name="20% - Ênfase1 11" xfId="316" xr:uid="{096A3AC1-1CCD-4A05-93C6-50CF5E8F7AB6}"/>
    <cellStyle name="20% - Ênfase1 2 2" xfId="1774" xr:uid="{8AE9EA14-9A23-4DA1-ACE2-6FA62B05D6C9}"/>
    <cellStyle name="20% - Ênfase1 3 2" xfId="1775" xr:uid="{24107E25-B8AE-4E92-8A97-7D97695E7A77}"/>
    <cellStyle name="20% - Ênfase1 5" xfId="1776" xr:uid="{135FA2C3-BB64-4593-8532-314C66DD981F}"/>
    <cellStyle name="20% - Ênfase1 7" xfId="1777" xr:uid="{62EAC815-01C9-4894-B073-049852C93E65}"/>
    <cellStyle name="20% - Ênfase1 9" xfId="1778" xr:uid="{F39784D9-2F7B-429A-8048-FAA7981F7FD9}"/>
    <cellStyle name="20% - Ênfase2 2" xfId="361" xr:uid="{B0CE9EFB-E12D-47D2-81A5-C1015DCAEB64}"/>
    <cellStyle name="20% - Ênfase2 3" xfId="647" xr:uid="{757CAFCC-E743-471F-9984-B8AE03527C91}"/>
    <cellStyle name="20% - Ênfase3 4" xfId="1779" xr:uid="{24779E65-2D54-4B0D-A863-5E7A9B6802AA}"/>
    <cellStyle name="20% - Ênfase3 8" xfId="1780" xr:uid="{D0FFD2D3-BB43-4178-A2F6-C12C5D96B48A}"/>
    <cellStyle name="20% - Ênfase4 5" xfId="1781" xr:uid="{370C6BC5-FD3F-45EC-AB87-6F7FBBAD818E}"/>
    <cellStyle name="20% - Ênfase4 8" xfId="1782" xr:uid="{FEBA9409-F6B6-4EF3-ABBD-45F3F06DB991}"/>
    <cellStyle name="20% - Ênfase5 4 2" xfId="1783" xr:uid="{5D37D24D-9103-46CA-8DAA-D2789D0B3B72}"/>
    <cellStyle name="20% - Ênfase5 5" xfId="1784" xr:uid="{DF8D828C-840B-4DD8-A9FF-B2037592A903}"/>
    <cellStyle name="20% - Ênfase5 7" xfId="1785" xr:uid="{7F782669-68C8-460A-914A-19D6BAEEC7D3}"/>
    <cellStyle name="20% - Ênfase5 8" xfId="1786" xr:uid="{4889B93D-0108-4C6B-BA04-070919B3355A}"/>
    <cellStyle name="20% - Ênfase6 10" xfId="1787" xr:uid="{7E7DA708-C543-4859-83B1-5B2D34BA51D3}"/>
    <cellStyle name="20% - Ênfase6 11" xfId="317" xr:uid="{75D35465-2D08-4582-A1FA-5F63A90F6715}"/>
    <cellStyle name="20% - Ênfase6 2" xfId="362" xr:uid="{41D41685-9C1E-45C2-95C8-E9BD831EEC78}"/>
    <cellStyle name="20% - Ênfase6 2 2" xfId="1788" xr:uid="{28A3DAD8-5795-4A3E-867E-B42C3F60C7E1}"/>
    <cellStyle name="20% - Ênfase6 3" xfId="648" xr:uid="{C9FD3238-8AA1-4C22-8E9F-34D18DC2217D}"/>
    <cellStyle name="20% - Ênfase6 3 2" xfId="1789" xr:uid="{6F7160DA-F93B-4B72-8662-E1B451560CDE}"/>
    <cellStyle name="20% - Ênfase6 4" xfId="1790" xr:uid="{1F5B43B1-E25F-4046-98B8-51B172E7F58B}"/>
    <cellStyle name="20% - Ênfase6 4 2" xfId="1791" xr:uid="{A05B90C0-836C-4ED8-A5DD-E3963BFF75B2}"/>
    <cellStyle name="20% - Ênfase6 5" xfId="1792" xr:uid="{0CA76856-7E64-4C70-A51D-A84E05F43FC3}"/>
    <cellStyle name="20% - Ênfase6 6" xfId="1793" xr:uid="{99EA46C7-9BBC-48A0-A1D5-CDE26F755745}"/>
    <cellStyle name="20% - Ênfase6 7" xfId="1794" xr:uid="{93EB54BD-E99E-4909-982B-3048FFA67B6E}"/>
    <cellStyle name="20% - Ênfase6 8" xfId="1795" xr:uid="{EA01510E-FF8D-41E6-BDAB-30CC1C76B5EA}"/>
    <cellStyle name="20% - Ênfase6 9" xfId="1796" xr:uid="{97BF7B18-1C54-460B-9142-3A4D7203B412}"/>
    <cellStyle name="20% - Énfasis1" xfId="363" xr:uid="{0168BBFD-3E02-4817-B8F0-9E1804353BFD}"/>
    <cellStyle name="20% - Énfasis1 10" xfId="1797" xr:uid="{B229DDFA-EA35-47E6-8370-0A83342743C9}"/>
    <cellStyle name="20% - Énfasis1 11" xfId="1798" xr:uid="{72DAB672-5435-40AE-9E87-BA8031CB9142}"/>
    <cellStyle name="20% - Énfasis1 12" xfId="1799" xr:uid="{F55CDF9E-7AAA-4751-BEBB-5055562239D9}"/>
    <cellStyle name="20% - Énfasis1 13" xfId="1800" xr:uid="{30C27670-0356-424E-B40E-3DCDD0A4E162}"/>
    <cellStyle name="20% - Énfasis1 14" xfId="1801" xr:uid="{3331C351-F0B2-4C39-A3A2-2CA6AC05B6E3}"/>
    <cellStyle name="20% - Énfasis1 16" xfId="1802" xr:uid="{321E2E4B-B64E-469E-BB32-0A0A48A4842E}"/>
    <cellStyle name="20% - Énfasis1 17" xfId="1803" xr:uid="{80A942B5-D841-4883-87CD-FB5DD1E3B21B}"/>
    <cellStyle name="20% - Énfasis1 19" xfId="1804" xr:uid="{7F5218F9-2C0E-460E-8C03-801634E9D9A9}"/>
    <cellStyle name="20% - Énfasis1 2 2" xfId="1805" xr:uid="{FE7A84B6-E047-4E00-9B6D-C7485B2B59B5}"/>
    <cellStyle name="20% - Énfasis1 21" xfId="1806" xr:uid="{AF24FFFF-0CF0-46D2-A594-AD20E7BE119A}"/>
    <cellStyle name="20% - Énfasis1 23" xfId="1807" xr:uid="{CF4ED503-8426-4136-A13C-FE5CFFA49CC2}"/>
    <cellStyle name="20% - Énfasis1 25" xfId="1808" xr:uid="{1D9D085B-45F9-4CCB-AC0D-D78625C33461}"/>
    <cellStyle name="20% - Énfasis1 3" xfId="1809" xr:uid="{AC753BE0-CDB4-4B91-96B8-7024EEC11C3D}"/>
    <cellStyle name="20% - Énfasis1 3 2" xfId="1810" xr:uid="{3D0AF028-AA90-42FA-BCD5-9BF73FE4DAEC}"/>
    <cellStyle name="20% - Énfasis1 5" xfId="1811" xr:uid="{CC5A84D8-D064-4AB1-8BA9-08B3621D963C}"/>
    <cellStyle name="20% - Énfasis1 6" xfId="1812" xr:uid="{EDF55840-55D8-4D0B-BA08-700843293035}"/>
    <cellStyle name="20% - Énfasis1 7" xfId="1813" xr:uid="{33CE9585-836F-4149-B735-CC3417250F3C}"/>
    <cellStyle name="20% - Énfasis1 8" xfId="1814" xr:uid="{B0457B61-8997-4BCC-822C-B370E44E9275}"/>
    <cellStyle name="20% - Énfasis1 9" xfId="1815" xr:uid="{EE3D361C-75DA-4B40-948E-78D6C3727119}"/>
    <cellStyle name="20% - Énfasis2" xfId="364" xr:uid="{A8F6E5F0-30B6-4076-956D-133192FED879}"/>
    <cellStyle name="20% - Énfasis3 18" xfId="1816" xr:uid="{5A521779-6250-4E77-8BBC-44AC847A1D6B}"/>
    <cellStyle name="20% - Énfasis4 15" xfId="1817" xr:uid="{F7AFE1E1-8105-4BA3-B6AF-C84F8382C6AF}"/>
    <cellStyle name="20% - Énfasis4 17" xfId="1818" xr:uid="{0F3F0E5A-4EF8-4102-9B9F-3F0BB0CB1753}"/>
    <cellStyle name="20% - Énfasis4 19" xfId="1819" xr:uid="{242348C2-DCC5-4DCC-B61E-88CB9FC11598}"/>
    <cellStyle name="20% - Énfasis4 2" xfId="1820" xr:uid="{AC1C266E-D4ED-4ACC-A18C-CE3ACE379403}"/>
    <cellStyle name="20% - Énfasis4 20" xfId="1821" xr:uid="{8BE5D365-0346-4897-B5A3-4D1D175B1789}"/>
    <cellStyle name="20% - Énfasis4 22" xfId="1822" xr:uid="{1581CF05-6818-4629-893E-80001FF1E948}"/>
    <cellStyle name="20% - Énfasis4 24" xfId="1823" xr:uid="{2B50E83E-85A1-42F4-8118-B97AE7EF1589}"/>
    <cellStyle name="20% - Énfasis4 25" xfId="1824" xr:uid="{975DC43F-2C15-4B64-B486-5FF05DC0E6F7}"/>
    <cellStyle name="20% - Énfasis4 3" xfId="1825" xr:uid="{19F0F099-2E7C-4D1A-937F-68D41C14FBEE}"/>
    <cellStyle name="20% - Énfasis4 3 2" xfId="1826" xr:uid="{5C56E310-EF24-4C17-A8A1-FB19B0360D9F}"/>
    <cellStyle name="20% - Énfasis4 4" xfId="1827" xr:uid="{959B9E2C-A35C-4AEA-A709-CDEDC9478280}"/>
    <cellStyle name="20% - Énfasis4 5" xfId="1828" xr:uid="{C70D1621-E533-4C28-828A-F23A643C1A32}"/>
    <cellStyle name="20% - Énfasis4 6" xfId="1829" xr:uid="{801E0E24-6E48-48FF-99E3-37A2CD370185}"/>
    <cellStyle name="20% - Énfasis4 7" xfId="1830" xr:uid="{CCE33AE1-B960-4E69-9A04-B29D5C6FFD23}"/>
    <cellStyle name="20% - Énfasis4 8" xfId="1831" xr:uid="{6C87A6AB-EFBB-463B-827C-3E0A27718B6D}"/>
    <cellStyle name="20% - Énfasis4 9" xfId="1832" xr:uid="{7927DF60-3DF8-46B7-8319-C3155641F871}"/>
    <cellStyle name="20% - Énfasis5 13" xfId="1833" xr:uid="{AFF8D0C8-0C3A-42B3-A162-CE0878A8D44D}"/>
    <cellStyle name="20% - Énfasis5 14" xfId="1834" xr:uid="{8D0BF902-E753-4CE7-BB30-CA9B4A94EB4D}"/>
    <cellStyle name="20% - Énfasis5 15" xfId="1835" xr:uid="{3BFAD66E-FD3D-4678-9F6D-3BABE3374300}"/>
    <cellStyle name="20% - Énfasis5 16" xfId="1836" xr:uid="{7A2C74BD-0E49-4ACA-AFD4-6BBD749BCF13}"/>
    <cellStyle name="20% - Énfasis5 17" xfId="1837" xr:uid="{DDF8C57B-2B63-40F3-9AC1-4244DADA967D}"/>
    <cellStyle name="20% - Énfasis5 19" xfId="1838" xr:uid="{EF7D63A9-DFC5-48B1-B187-67F14E332266}"/>
    <cellStyle name="20% - Énfasis5 2" xfId="1839" xr:uid="{2574D564-9C89-4127-ADBD-0B1620E29C2D}"/>
    <cellStyle name="20% - Énfasis5 2 2" xfId="1840" xr:uid="{6299FBF9-BFDD-4F68-A1C6-97BEF48679B8}"/>
    <cellStyle name="20% - Énfasis5 21" xfId="1841" xr:uid="{54858BDA-C581-4FF0-A081-35AD63AA4FE3}"/>
    <cellStyle name="20% - Énfasis5 22" xfId="1842" xr:uid="{37FE3675-EF75-41E6-9D7C-5154F695E2AA}"/>
    <cellStyle name="20% - Énfasis5 23" xfId="1843" xr:uid="{FB50784A-75F1-4C97-AB27-03A151CA3F88}"/>
    <cellStyle name="20% - Énfasis5 24" xfId="1844" xr:uid="{14C8EEE6-A694-4D78-AC8F-1A46BA59D1AE}"/>
    <cellStyle name="20% - Énfasis5 25" xfId="1845" xr:uid="{BB5C4646-2658-42B5-85E3-CEF3FC81B849}"/>
    <cellStyle name="20% - Énfasis5 3 2" xfId="1846" xr:uid="{4CDF02C4-0926-4F86-B3CE-07ACA84E56EF}"/>
    <cellStyle name="20% - Énfasis5 4" xfId="1847" xr:uid="{1D9D5F58-158F-4A0A-B4BB-434F78466D8C}"/>
    <cellStyle name="20% - Énfasis5 5" xfId="1848" xr:uid="{E09FDB70-BCF7-41F8-8AC4-F973B83DDA06}"/>
    <cellStyle name="20% - Énfasis5 6" xfId="1849" xr:uid="{E0AA48D0-F75E-410C-8283-B8DEC35597EB}"/>
    <cellStyle name="20% - Énfasis5 7" xfId="1850" xr:uid="{234758BC-D37D-46B5-A7E7-5E5AE091FC38}"/>
    <cellStyle name="20% - Énfasis5 8" xfId="1851" xr:uid="{96C591A2-81EE-4003-9C29-F7FAE0FD149F}"/>
    <cellStyle name="20% - Énfasis5 9" xfId="1852" xr:uid="{D5546A5C-575C-462A-B52A-4BB4D6BA06D4}"/>
    <cellStyle name="20% - Énfasis6" xfId="365" xr:uid="{0049FE17-5679-4706-ACC4-5569049C4949}"/>
    <cellStyle name="20% - Énfasis6 10" xfId="1853" xr:uid="{E2EA1993-15E1-444A-B3EA-070FC35ABA46}"/>
    <cellStyle name="20% - Énfasis6 11" xfId="1854" xr:uid="{DAB028A4-99C5-4F50-87F8-361683273D15}"/>
    <cellStyle name="20% - Énfasis6 12" xfId="1855" xr:uid="{BD95CE5A-7AAE-4081-8F75-E936009E38BF}"/>
    <cellStyle name="20% - Énfasis6 13" xfId="1856" xr:uid="{692570EE-0A57-4D16-B798-36724C8731C0}"/>
    <cellStyle name="20% - Énfasis6 14" xfId="1857" xr:uid="{84B7ACD1-0047-40D2-833D-D5C064561BF1}"/>
    <cellStyle name="20% - Énfasis6 15" xfId="1858" xr:uid="{9E866AC3-B674-4D51-8BFB-F99DDDDEFC12}"/>
    <cellStyle name="20% - Énfasis6 17" xfId="1859" xr:uid="{3D0A5FE7-1B9C-4A35-A13B-ED9FDA1E378C}"/>
    <cellStyle name="20% - Énfasis6 19" xfId="1860" xr:uid="{5252DBB2-918D-4816-A1C8-5DD6256728C4}"/>
    <cellStyle name="20% - Énfasis6 21" xfId="1861" xr:uid="{8F23CB50-6551-4EB9-BCB0-55E69F0E40AA}"/>
    <cellStyle name="20% - Énfasis6 25" xfId="1862" xr:uid="{4E3882C3-E624-4958-B92D-5B533E2BF761}"/>
    <cellStyle name="20% - Énfasis6 5" xfId="1863" xr:uid="{421F52CD-D450-4CDC-BA3C-6B8051E28505}"/>
    <cellStyle name="20% - Énfasis6 9" xfId="1864" xr:uid="{069DBB48-7147-4115-B7FF-C71905890D1A}"/>
    <cellStyle name="40% - Accent1 2" xfId="1865" xr:uid="{F6216424-8B21-4A88-83A4-11F427FAECF5}"/>
    <cellStyle name="40% - Accent3" xfId="318" xr:uid="{76FE0EBA-5359-4083-8761-AC3B30295AA4}"/>
    <cellStyle name="40% - Accent5" xfId="319" xr:uid="{C0F3A3C2-5879-4977-8440-A4BEA7A3063F}"/>
    <cellStyle name="40% - Ênfase1 2" xfId="366" xr:uid="{A7D26594-8AEB-45F0-8ED1-12669DA3C73A}"/>
    <cellStyle name="40% - Ênfase2 3 2" xfId="1866" xr:uid="{4D80814F-0AB4-419C-A534-38A48664E77F}"/>
    <cellStyle name="40% - Ênfase2 6" xfId="1867" xr:uid="{A675EAC9-47A4-48A6-AA6D-B5F1347DFBA7}"/>
    <cellStyle name="40% - Ênfase2 9" xfId="1868" xr:uid="{B47D199F-66D0-424A-8586-8505E7DCCD99}"/>
    <cellStyle name="40% - Ênfase3 2" xfId="367" xr:uid="{A251E17B-CD4F-4E1E-AC94-3D1C065F9052}"/>
    <cellStyle name="40% - Ênfase3 3" xfId="649" xr:uid="{F870A7B5-18E1-4410-9AC0-3599B38E1167}"/>
    <cellStyle name="40% - Ênfase3 4 2" xfId="1869" xr:uid="{CA036334-1C4A-4321-A709-031893A422FD}"/>
    <cellStyle name="40% - Ênfase3 6" xfId="1870" xr:uid="{074FA34A-84BE-4898-BC2D-5F770FA73F03}"/>
    <cellStyle name="40% - Ênfase3 8" xfId="1871" xr:uid="{65EE2E6F-B09E-4553-9768-3AD0DAFE86A3}"/>
    <cellStyle name="40% - Ênfase4 11" xfId="320" xr:uid="{538986B3-6D6B-430E-915A-D85C31776A1A}"/>
    <cellStyle name="40% - Ênfase4 2 2" xfId="1872" xr:uid="{2D06882A-B8DB-447B-87F1-2BDB166957F4}"/>
    <cellStyle name="40% - Ênfase4 3 2" xfId="1873" xr:uid="{4AF0AA44-6421-4A62-8E8B-5FFE004FEC70}"/>
    <cellStyle name="40% - Ênfase4 6" xfId="1874" xr:uid="{26605ADF-8C7E-4EB6-9BAD-F730408CCA42}"/>
    <cellStyle name="40% - Ênfase5 3" xfId="650" xr:uid="{56E148AA-C957-4765-BA7C-D19BBC3B5725}"/>
    <cellStyle name="40% - Ênfase5 6" xfId="1875" xr:uid="{DF349035-9B74-441B-BEBD-64F062814E53}"/>
    <cellStyle name="40% - Ênfase6 4 2" xfId="1876" xr:uid="{0CE8C03C-AE79-43CC-8DA7-4DDCA547FE38}"/>
    <cellStyle name="40% - Ênfase6 8" xfId="1877" xr:uid="{90153965-1A8D-4E57-9E6C-886AD07C20BD}"/>
    <cellStyle name="40% - Ênfase6 9" xfId="1878" xr:uid="{96D54C02-B6A9-41F5-B778-25BB3A737F34}"/>
    <cellStyle name="40% - Énfasis1 10" xfId="1879" xr:uid="{F4C74800-8B78-4629-B92D-623F30DD4790}"/>
    <cellStyle name="40% - Énfasis1 11" xfId="1880" xr:uid="{4AC19E2C-66D8-44CF-A84E-04AFE847F651}"/>
    <cellStyle name="40% - Énfasis1 14" xfId="1881" xr:uid="{2E678080-BE9C-493E-8F28-F34E22C78ADE}"/>
    <cellStyle name="40% - Énfasis1 18" xfId="1882" xr:uid="{399B9032-4F18-486B-A363-6913E63692B0}"/>
    <cellStyle name="40% - Énfasis1 9" xfId="1883" xr:uid="{945FA314-1147-48A4-A8D3-CA74B1338428}"/>
    <cellStyle name="40% - Énfasis2 19" xfId="1884" xr:uid="{EF250470-99BE-4289-92A3-13123017C724}"/>
    <cellStyle name="40% - Énfasis2 24" xfId="1885" xr:uid="{D0BF4408-9F14-460A-9B94-576C5D10EC70}"/>
    <cellStyle name="40% - Énfasis2 3 2" xfId="1886" xr:uid="{0B6EB0A2-38F3-4FEC-90E5-9EA3DF4C9164}"/>
    <cellStyle name="40% - Énfasis2 9" xfId="1887" xr:uid="{2775D04A-0CD2-496C-975E-C7D48786AB64}"/>
    <cellStyle name="40% - Énfasis3 12" xfId="1888" xr:uid="{C70CCAA0-4D09-4FEA-92AD-683FFC285255}"/>
    <cellStyle name="40% - Énfasis3 15" xfId="1889" xr:uid="{1ECC91C6-6EA5-4C70-BF4A-D9E20AFEA914}"/>
    <cellStyle name="40% - Énfasis3 16" xfId="1890" xr:uid="{25386179-D144-4D1D-BDBE-A516834E023A}"/>
    <cellStyle name="40% - Énfasis3 17" xfId="1891" xr:uid="{F9762D98-20A7-4D38-9B79-39170DD8A224}"/>
    <cellStyle name="40% - Énfasis3 18" xfId="1892" xr:uid="{852D5BC2-A437-4CF8-8A38-FB8BA6A2A2F3}"/>
    <cellStyle name="40% - Énfasis3 19" xfId="1893" xr:uid="{6DC0A8D3-2573-4A9C-9B00-6AF2EEFC79C0}"/>
    <cellStyle name="40% - Énfasis3 2 2" xfId="1894" xr:uid="{87551E94-51C2-484E-822F-F37BB2F7434D}"/>
    <cellStyle name="40% - Énfasis3 20" xfId="1895" xr:uid="{3C8DC81D-4A7D-4A7C-9EDF-1A33B06060E8}"/>
    <cellStyle name="40% - Énfasis3 21" xfId="1896" xr:uid="{B3C71D23-0363-425D-A183-84AA8C953133}"/>
    <cellStyle name="40% - Énfasis3 22" xfId="1897" xr:uid="{BD1DD82D-E7B4-4D74-99F2-8D185B813D31}"/>
    <cellStyle name="40% - Énfasis3 24" xfId="1898" xr:uid="{C40C5A98-9199-4E2F-8F95-D111296CC9DE}"/>
    <cellStyle name="40% - Énfasis3 25" xfId="1899" xr:uid="{BB06B95A-05C6-452E-8CD9-01BC35526FBA}"/>
    <cellStyle name="40% - Énfasis3 3" xfId="1900" xr:uid="{3ECA1DF3-7DF9-43F7-A105-CE981EE3600E}"/>
    <cellStyle name="40% - Énfasis3 3 2" xfId="1901" xr:uid="{ED0F6983-F63C-4BAA-A69E-C41B3972587F}"/>
    <cellStyle name="40% - Énfasis3 4" xfId="1902" xr:uid="{74708A3F-039F-4A1F-A4B1-D345FA108EC2}"/>
    <cellStyle name="40% - Énfasis3 6" xfId="1903" xr:uid="{09B52360-4A75-4A83-A828-DCA2556945D3}"/>
    <cellStyle name="40% - Énfasis3 7" xfId="1904" xr:uid="{AAA6F572-6338-4605-964E-CA62014F0BF2}"/>
    <cellStyle name="40% - Énfasis3 9" xfId="1905" xr:uid="{51C83B71-8B0D-4696-8DDF-F8EC7EC21C37}"/>
    <cellStyle name="40% - Énfasis4" xfId="368" xr:uid="{36FEC090-122C-499E-8CD2-18F2D84886CA}"/>
    <cellStyle name="40% - Énfasis4 10" xfId="1906" xr:uid="{9AE602CE-2650-40DE-84F4-EF8E9B1CC014}"/>
    <cellStyle name="40% - Énfasis4 11" xfId="1907" xr:uid="{ECCDFAD2-D6B6-414B-A32B-A5D5B320B1E6}"/>
    <cellStyle name="40% - Énfasis4 12" xfId="1908" xr:uid="{ABA21A32-E013-4F1C-9914-D8A3431F80EB}"/>
    <cellStyle name="40% - Énfasis4 13" xfId="1909" xr:uid="{857F7864-CD8C-48BC-9AF3-9323DE94FBE7}"/>
    <cellStyle name="40% - Énfasis4 14" xfId="1910" xr:uid="{20FC6A76-BABA-45FC-82FE-C644ED6504ED}"/>
    <cellStyle name="40% - Énfasis4 15" xfId="1911" xr:uid="{C48470B6-B85E-4E20-9D89-AEAF820C2345}"/>
    <cellStyle name="40% - Énfasis4 16" xfId="1912" xr:uid="{E1301515-5A49-49D1-962C-69AB9395C14A}"/>
    <cellStyle name="40% - Énfasis4 17" xfId="1913" xr:uid="{A7E49F48-D167-48EB-B3C0-86E0B5DC279D}"/>
    <cellStyle name="40% - Énfasis4 18" xfId="1914" xr:uid="{09E93856-B707-48DD-B72F-4A6CA7E01A38}"/>
    <cellStyle name="40% - Énfasis4 19" xfId="1915" xr:uid="{C9217090-F86A-42DB-8D0F-4CDA03ED8BE8}"/>
    <cellStyle name="40% - Énfasis4 2" xfId="1916" xr:uid="{68613137-067D-4D51-B499-F4360C665B86}"/>
    <cellStyle name="40% - Énfasis4 2 2" xfId="1917" xr:uid="{765EB3BD-1D31-4A19-94C5-FC24EDC3FDA6}"/>
    <cellStyle name="40% - Énfasis4 20" xfId="1918" xr:uid="{4EBD3817-A942-43B8-8578-A84E6FE2C93B}"/>
    <cellStyle name="40% - Énfasis4 21" xfId="1919" xr:uid="{F23AD51E-D55F-4544-BF5C-302548791DAD}"/>
    <cellStyle name="40% - Énfasis4 22" xfId="1920" xr:uid="{80F7B22E-0C8D-4337-ABA6-C80A96045B89}"/>
    <cellStyle name="40% - Énfasis4 23" xfId="1921" xr:uid="{6D8AB477-F71E-4746-B7FC-489EDA191B7F}"/>
    <cellStyle name="40% - Énfasis4 24" xfId="1922" xr:uid="{1513AD56-BAB6-45C3-B201-0FE9F57F4B19}"/>
    <cellStyle name="40% - Énfasis4 25" xfId="1923" xr:uid="{67DFB0DE-0886-47C0-A1FB-A9AC4A80937E}"/>
    <cellStyle name="40% - Énfasis4 3" xfId="1924" xr:uid="{63072505-8E4E-49A7-B0DC-DED5B51605D5}"/>
    <cellStyle name="40% - Énfasis4 3 2" xfId="1925" xr:uid="{BAB0E51A-08EB-488F-AA0E-5E2CC03F266A}"/>
    <cellStyle name="40% - Énfasis4 4" xfId="1926" xr:uid="{672D70FA-4D3A-4619-A815-56861C8FC537}"/>
    <cellStyle name="40% - Énfasis4 5" xfId="1927" xr:uid="{A7D11E61-E65C-4700-97C2-850D9882C71C}"/>
    <cellStyle name="40% - Énfasis4 6" xfId="1928" xr:uid="{63052186-BBDC-410B-B7F9-E3DFCC44B063}"/>
    <cellStyle name="40% - Énfasis4 8" xfId="1929" xr:uid="{CBF08E1E-0E3B-4AC1-85E6-2AAED2F56656}"/>
    <cellStyle name="40% - Énfasis5" xfId="369" xr:uid="{E7F3D6AB-94BA-4076-B642-BA6F78D121AA}"/>
    <cellStyle name="40% - Énfasis5 10" xfId="1930" xr:uid="{F094543A-D31A-46A5-B5A0-1FEB1E59D1FF}"/>
    <cellStyle name="40% - Énfasis5 11" xfId="1931" xr:uid="{A214105D-83E9-4E7F-A289-E57739F507E4}"/>
    <cellStyle name="40% - Énfasis5 13" xfId="1932" xr:uid="{7C793A71-A581-430E-BDF6-0ECFA23D1245}"/>
    <cellStyle name="40% - Énfasis5 17" xfId="1933" xr:uid="{659270E1-EEAF-4F3B-AA19-1BB14254DE8B}"/>
    <cellStyle name="40% - Énfasis5 2 2" xfId="1934" xr:uid="{2B97C39C-90C4-4C3D-A646-9C569DA39429}"/>
    <cellStyle name="40% - Énfasis5 22" xfId="1935" xr:uid="{B22D9930-FBAC-4D8F-88E6-21F2FA108658}"/>
    <cellStyle name="40% - Énfasis5 24" xfId="1936" xr:uid="{C3E97623-42A2-42B2-84D2-24520C5BC6B1}"/>
    <cellStyle name="40% - Énfasis5 9" xfId="1937" xr:uid="{6E31939E-21AD-4596-98AF-EA047A584683}"/>
    <cellStyle name="40% - Énfasis6 15" xfId="1938" xr:uid="{230B2316-77E7-46F5-98A6-723902BDED2C}"/>
    <cellStyle name="40% - Énfasis6 20" xfId="1939" xr:uid="{1CFFB53A-E8BE-44CE-B021-10976A583474}"/>
    <cellStyle name="40% - Énfasis6 23" xfId="1940" xr:uid="{B83B53F6-CD47-4E30-8AD5-4F16ABCC0DDD}"/>
    <cellStyle name="60% - Accent3 2" xfId="1941" xr:uid="{346A40BB-26A9-4EE8-BD12-5122EE1C5C58}"/>
    <cellStyle name="60% - Accent6" xfId="321" xr:uid="{DD8DA4AB-B38C-4082-AD23-ABF403E49851}"/>
    <cellStyle name="60% - Ênfase1 3" xfId="651" xr:uid="{E01D1434-0C1A-4976-B1F4-9526300B1B56}"/>
    <cellStyle name="60% - Ênfase2 9" xfId="1942" xr:uid="{B041CC6B-37F2-4E36-8732-879C858DF10A}"/>
    <cellStyle name="60% - Ênfase3 2 2" xfId="1943" xr:uid="{E5C47415-2BC2-4A04-909D-97EADE940830}"/>
    <cellStyle name="60% - Ênfase3 3 2" xfId="1944" xr:uid="{C9290845-5821-446C-BD12-5F1C880CD721}"/>
    <cellStyle name="60% - Ênfase3 4 2" xfId="1945" xr:uid="{27714CFA-2FB8-4D7F-8150-DF696EABDEBE}"/>
    <cellStyle name="60% - Ênfase3 6" xfId="1946" xr:uid="{1CD143F0-66B3-4D1E-9B9A-EF03FB1916CF}"/>
    <cellStyle name="60% - Ênfase3 8" xfId="1947" xr:uid="{46A5703A-60DD-424E-B1BC-BD973FDDEAE6}"/>
    <cellStyle name="60% - Ênfase4 10" xfId="1948" xr:uid="{24CEC8FB-5EDC-4A3F-B780-FD48542D8F2B}"/>
    <cellStyle name="60% - Ênfase5 8" xfId="1949" xr:uid="{8E90A77B-6758-492A-8B7B-CF935B03289D}"/>
    <cellStyle name="60% - Ênfase6 11" xfId="322" xr:uid="{8DCE866E-60B3-418E-B5C7-8A5C95A51360}"/>
    <cellStyle name="60% - Ênfase6 2 2" xfId="1950" xr:uid="{38875C3B-588C-4F3A-B361-11CEE3398422}"/>
    <cellStyle name="60% - Ênfase6 3 2" xfId="1951" xr:uid="{E368CF4D-7C19-4891-A918-D08D9BD8655B}"/>
    <cellStyle name="60% - Ênfase6 4 2" xfId="1952" xr:uid="{194F4B72-1BF2-4420-BC92-09A3B2F44EC7}"/>
    <cellStyle name="60% - Ênfase6 5" xfId="1953" xr:uid="{59377B1D-D8DE-4C8E-B01F-233C04C2DC02}"/>
    <cellStyle name="60% - Ênfase6 6" xfId="1954" xr:uid="{65B1CCEA-1171-48BB-B77B-2698AC15DB9C}"/>
    <cellStyle name="60% - Ênfase6 8" xfId="1955" xr:uid="{960DFBA2-6A6E-42EE-9C69-07485C4A57A6}"/>
    <cellStyle name="60% - Ênfase6 9" xfId="1956" xr:uid="{F62D1CFC-B989-4504-96E9-706EF5ADD38A}"/>
    <cellStyle name="60% - Énfasis1 2" xfId="1957" xr:uid="{80C37273-E4AF-406F-854F-81AC8659D4C4}"/>
    <cellStyle name="60% - Énfasis2 2" xfId="1958" xr:uid="{94D56D79-C059-4F68-8582-5318137F69FB}"/>
    <cellStyle name="60% - Énfasis3 2" xfId="1959" xr:uid="{1D411A06-1C39-4E9E-9E03-5CD45264EBC2}"/>
    <cellStyle name="60% - Énfasis6 2" xfId="1960" xr:uid="{32C7C7FE-03A2-4DA6-A705-972DAE5CA30C}"/>
    <cellStyle name="8_Cálculo do Financeiro do Baixa Renda" xfId="1961" xr:uid="{352DE30D-633A-498B-851B-2C7A55F5BB3F}"/>
    <cellStyle name="8_Cálculo do Financeiro do Baixa Renda_IRT-cálculo CAPA NEUTRALIDADE" xfId="1962" xr:uid="{C857990E-E1AB-46CE-A401-85A74D1D375A}"/>
    <cellStyle name="8_Calculo_Subsidio_ELFSM_26_06_08_Modelo_ANEEL_IRT-cálculo CAPA NEUTRALIDADE" xfId="1963" xr:uid="{B76D160B-4C8F-4760-8C29-F2434C2BF240}"/>
    <cellStyle name="8_Custo com Avaliação de Ativos para Base de Remuneração" xfId="1964" xr:uid="{A409BCD6-6EEF-4412-BE7B-80EF6F952CB5}"/>
    <cellStyle name="8_CVA_Projetada até dez-2008_Setembro" xfId="1965" xr:uid="{71E1DEC3-7820-42B9-8B36-F79C8D49E026}"/>
    <cellStyle name="8_CVA_Projetada até dez-2008_Setembro_PROVISÃO" xfId="1966" xr:uid="{C14A9227-77FB-491B-B387-691CE815B945}"/>
    <cellStyle name="8_Energia Comprada_IRT-cálculo" xfId="1967" xr:uid="{10461CC1-66C5-4ADF-9901-17CEFF2DE2A8}"/>
    <cellStyle name="8_Fator X" xfId="628" xr:uid="{7E94645D-E6E7-4D7D-B637-B831D7186CF3}"/>
    <cellStyle name="8_Fator X_IRT-cálculo CAPA NEUTRALIDADE" xfId="1968" xr:uid="{14BFCB4D-5AB9-485F-B4B6-862C6FE116E3}"/>
    <cellStyle name="8_IF - Autoprodutores 2" xfId="1969" xr:uid="{9A2F51D1-240F-486D-B79D-EBA62626C51E}"/>
    <cellStyle name="8_IRT (2) 2" xfId="1970" xr:uid="{17F36CA6-141C-4F66-950A-91241FC0361C}"/>
    <cellStyle name="8_IRT Piratininga 2009 2" xfId="542" xr:uid="{5F9CB944-4F7B-429F-ABEB-D086FFFAFC75}"/>
    <cellStyle name="8_IRT_1_IRT-cálculo" xfId="1971" xr:uid="{D39971B0-4452-4FAB-9CF1-6066F28992B3}"/>
    <cellStyle name="8_IRT_1_SOBRECONTRATAÇÃO E CVA" xfId="1972" xr:uid="{D17C4431-581E-4824-9F5F-809A390B7B7E}"/>
    <cellStyle name="8_IRT_LIGHT_nov2007_IRT-cálculo" xfId="1973" xr:uid="{E76A7523-FAFE-4179-8260-3A6996A536CE}"/>
    <cellStyle name="8_IRT_LIGHT_nov2007_SOBRECONTRATAÇÃO E CVA" xfId="1974" xr:uid="{E1758352-0C30-4A18-8A8A-EDCC80981885}"/>
    <cellStyle name="8_IRT_Planilha Básica_ CETRIL 2" xfId="543" xr:uid="{8809CF8D-6A12-457A-A4F3-E31BE90DBE32}"/>
    <cellStyle name="8_IRT_Pleito" xfId="1975" xr:uid="{92190AC7-BB68-4C5C-A8A5-F9E19636A01A}"/>
    <cellStyle name="8_IRT_Pleito_IRT-cálculo" xfId="1976" xr:uid="{2C0CA34A-742E-463C-8EA9-F99AA2D623D7}"/>
    <cellStyle name="8_IRT_Pleito_IRT-cálculo CAPA NEUTRALIDADE" xfId="1977" xr:uid="{CA4D69FB-0802-4478-A309-1E641D346CC1}"/>
    <cellStyle name="8_IRT1" xfId="1978" xr:uid="{4C48AA82-D90D-4274-B982-ECDEC9CE2AC8}"/>
    <cellStyle name="8_IRT1_IRT-cálculo" xfId="1979" xr:uid="{8198DF8C-7DE7-47C3-9E04-A26B273FBC8B}"/>
    <cellStyle name="8_IRT1_IRT-cálculo CAPA NEUTRALIDADE" xfId="1980" xr:uid="{4DB43941-E02E-4D7A-91C5-BDA85F897C6F}"/>
    <cellStyle name="8_IRT-cálculo" xfId="1981" xr:uid="{C79F111B-587C-4F31-A082-03EAC0C7EFC2}"/>
    <cellStyle name="8_Pasta1" xfId="629" xr:uid="{F06B3102-0DF9-4CCE-9388-ED58E7BE5614}"/>
    <cellStyle name="8_Pasta1_IRT-cálculo" xfId="1982" xr:uid="{64A33B4B-FB55-4776-A761-9A8DF77FBAA1}"/>
    <cellStyle name="8_Pasta1_IRT-cálculo CAPA NEUTRALIDADE" xfId="1983" xr:uid="{09494F04-08E9-4E32-978A-E7D6B96C3F0F}"/>
    <cellStyle name="8_Pasta1_SOBRECONTRATAÇÃO E CVA" xfId="1984" xr:uid="{46132009-41B2-400A-97E5-D14CBA94F182}"/>
    <cellStyle name="8_Receita de Venda Leilão Nova Térmico" xfId="1985" xr:uid="{208680AB-573E-45C2-BFE9-E873FC809E30}"/>
    <cellStyle name="8_Receita de Venda Leilão Nova Térmico_IRT-cálculo" xfId="1986" xr:uid="{3DE22EBD-CF9B-450F-86D4-11365A59DFAF}"/>
    <cellStyle name="8_Receita de Venda Leilão Nova Térmico_IRT-cálculo CAPA NEUTRALIDADE" xfId="1987" xr:uid="{CE8C29D8-202A-4E57-9909-6D69E6331EA1}"/>
    <cellStyle name="8_Recurso Administrativo IRT 2006 - Erro Receita Verificada" xfId="1988" xr:uid="{CDB61E99-062D-4C45-AAB5-FBDDA35D5D25}"/>
    <cellStyle name="8_Recurso Administrativo IRT 2006 - Erro Receita Verificada_IRT-cálculo" xfId="1989" xr:uid="{68BBA213-D31B-431E-8C78-F5C23CF30906}"/>
    <cellStyle name="8_Recurso Administrativo IRT 2006 - Erro Receita Verificada_IRT-cálculo CAPA NEUTRALIDADE" xfId="1990" xr:uid="{9661422F-759E-4C5C-85C8-B0F07D6459DA}"/>
    <cellStyle name="8_Sheet1" xfId="1991" xr:uid="{172865E6-3429-4117-A815-7CBC1D83340E}"/>
    <cellStyle name="8_Sheet2" xfId="1992" xr:uid="{7E9F3520-45DE-496E-BAD8-7524D277CC19}"/>
    <cellStyle name="8_Simulação CEPISA XX_08_07" xfId="630" xr:uid="{1AB4E68F-E243-4B8B-9692-0090938FD6A8}"/>
    <cellStyle name="8_Simulação CEPISA XX_08_07 2" xfId="1993" xr:uid="{9096A8E1-ADB6-4952-B59A-8098171C07E6}"/>
    <cellStyle name="8_SOBRECONTRATAÇÃO E CVA A-1" xfId="1994" xr:uid="{CFCDC5D6-068F-4D3A-A3C0-4897069807DD}"/>
    <cellStyle name="8_SOBRECONTRATAÇÃO E CVA A-1_IRT-cálculo CAPA NEUTRALIDADE" xfId="1995" xr:uid="{8EAC76CA-C8F2-4852-AE9F-3174D106F0C1}"/>
    <cellStyle name="A3 297 x 420 mm" xfId="323" xr:uid="{D51A5BCD-F3CE-4F38-9F6F-C3085CFA7B22}"/>
    <cellStyle name="ac" xfId="324" xr:uid="{6FD46587-3581-4B7F-818E-2CB395034F3F}"/>
    <cellStyle name="ac 2 2" xfId="670" xr:uid="{8D6F70D7-0889-4C9B-9696-1BDEE6597DAA}"/>
    <cellStyle name="ac 2 2 2 2" xfId="17311" xr:uid="{8F5FCE7E-B278-46B4-A23B-DEF23A9E25EA}"/>
    <cellStyle name="ac 2 2 3" xfId="17280" xr:uid="{1B9033EF-9739-4433-AA56-067295483666}"/>
    <cellStyle name="ac 2 4" xfId="17279" xr:uid="{893FBEE8-B628-434F-AA8C-BAEC00540E37}"/>
    <cellStyle name="ac 3 2" xfId="860" xr:uid="{63BEF5A0-1D8E-445F-B096-DC864703FF7D}"/>
    <cellStyle name="ac 3 3" xfId="17281" xr:uid="{064FB5C4-A712-4A4C-97A7-4378A7415615}"/>
    <cellStyle name="ac 4 2" xfId="17312" xr:uid="{3F657E25-59EF-41AF-B244-4562D0825CA7}"/>
    <cellStyle name="Accent1" xfId="325" xr:uid="{0AD89E89-9941-4096-811B-6689DB65C808}"/>
    <cellStyle name="Accent1 - 60%" xfId="1996" xr:uid="{4900E6D9-8AE3-4C61-A911-9D2ADAF0C5D4}"/>
    <cellStyle name="Accent1_Escelsa_2008_Versao regulatorio_Dyogenes" xfId="1997" xr:uid="{36A0B8AD-FBE2-4032-9311-4680E97CD6E0}"/>
    <cellStyle name="Accent2 - 20%" xfId="1998" xr:uid="{2DA6062A-FA34-4D54-B2D6-360209E13CE8}"/>
    <cellStyle name="Accent2 - 40%" xfId="1999" xr:uid="{8EA4174B-DCB1-478A-ABEF-7C848A6A31E3}"/>
    <cellStyle name="Accent2 - 60%" xfId="2000" xr:uid="{AA34DF64-4B1E-43B8-BD6C-420B750C9BB2}"/>
    <cellStyle name="Accent2 3" xfId="2001" xr:uid="{B32C1EAC-6463-4D32-AE66-FCAA4FD636B7}"/>
    <cellStyle name="Accent2_Escelsa_2008_Versao regulatorio_Dyogenes" xfId="2002" xr:uid="{45FA561F-F643-42D9-A4FA-9258ECACE382}"/>
    <cellStyle name="Accent3" xfId="326" xr:uid="{0FA7A800-0D99-4419-AF0D-8EAA630DC635}"/>
    <cellStyle name="Accent3 - 20%" xfId="2003" xr:uid="{40E2BF5D-43FD-464E-977E-C2F1004CEC4B}"/>
    <cellStyle name="Accent3 - 40%" xfId="2004" xr:uid="{C53B5B86-F8FD-405A-AE99-BF3C49FD80AF}"/>
    <cellStyle name="Accent3 2" xfId="2005" xr:uid="{A27D56DF-F044-4AAF-8A4D-045DBDBA402A}"/>
    <cellStyle name="Accent3_Escelsa_2008_Versao regulatorio_Dyogenes" xfId="2006" xr:uid="{B074458F-5DD6-4B0E-8583-DE2CD1A5E163}"/>
    <cellStyle name="Accent4 - 20%" xfId="2007" xr:uid="{16F7283C-E15A-4258-9256-513B4E12B010}"/>
    <cellStyle name="Accent4 - 60%" xfId="2008" xr:uid="{117E61EC-B0E4-4E91-8008-A1B9FE20FB14}"/>
    <cellStyle name="Accent5 - 20%" xfId="2009" xr:uid="{F2BA57A2-AA75-4FDC-8D35-D0F3F4AAAD81}"/>
    <cellStyle name="Accent6 - 60%" xfId="2010" xr:uid="{1C08C727-BAFB-4927-A628-38AEBC87B164}"/>
    <cellStyle name="Actual Date 4" xfId="370" xr:uid="{604B047C-4DDB-481E-BF4A-8BE07D67DB19}"/>
    <cellStyle name="AFE 2" xfId="359" xr:uid="{E939F662-7E4A-434F-8068-26AF68BF0DC8}"/>
    <cellStyle name="AFE 2 4" xfId="2011" xr:uid="{9D5C679A-B3D4-40CA-8E34-D8ACE4DCC849}"/>
    <cellStyle name="AFE 4" xfId="631" xr:uid="{A354860D-092A-4EDB-AAF8-5E268C5996D0}"/>
    <cellStyle name="AFE 5 2" xfId="2012" xr:uid="{A4246E47-1123-4AEF-AB1F-5C3F8D952C89}"/>
    <cellStyle name="Amarelo%" xfId="327" xr:uid="{5FE7E9A3-09BF-436F-965B-0C721B64FC71}"/>
    <cellStyle name="Amarelo% 3" xfId="2013" xr:uid="{26AD3C82-8D76-465B-9CF0-80F75BE1336A}"/>
    <cellStyle name="Amarelocot 2" xfId="2014" xr:uid="{3F3AA77D-4EC8-490F-B741-D54BBA2A5CC9}"/>
    <cellStyle name="Bom 2 2" xfId="2015" xr:uid="{4A65FBF3-E700-46D0-AA9A-83B4672A140E}"/>
    <cellStyle name="Bom 8" xfId="2016" xr:uid="{087CEC53-CBB5-4037-8588-984B9BDAAAC0}"/>
    <cellStyle name="Calc Percent (1)" xfId="328" xr:uid="{0ECC01CF-3F8C-4F21-9C1C-12D9B115AC5E}"/>
    <cellStyle name="Calc Percent (1) 3" xfId="2017" xr:uid="{BBA5956D-7E63-4075-92E3-8C5CA19D176C}"/>
    <cellStyle name="Calc Percent (2)" xfId="329" xr:uid="{62F966A6-DAFC-4D89-97D0-BD7CC9B1D08C}"/>
    <cellStyle name="Calc Percent (2) 3" xfId="2018" xr:uid="{5112F729-E0C5-475E-8E69-4A4373A79A5C}"/>
    <cellStyle name="Calc Units (0) 2" xfId="371" xr:uid="{9C3EDFCF-BF0E-482E-A4A6-B0777A12F7E0}"/>
    <cellStyle name="Calc Units (1)_IRT_Planilha Básica_ v2010_CERRP" xfId="652" xr:uid="{9FCFA4C5-001C-47EB-918D-CE04C87EB63F}"/>
    <cellStyle name="Calculation 3 5" xfId="797" xr:uid="{2500FC6F-2B70-4EFE-805A-622EDB3F9C4E}"/>
    <cellStyle name="Cálculo 2 2 3" xfId="748" xr:uid="{BFE3EA27-6B58-40CC-B35F-5FA49FFE1489}"/>
    <cellStyle name="Cálculo 3 2" xfId="722" xr:uid="{9EBB7576-1A83-4149-B15B-28F29412FE96}"/>
    <cellStyle name="Cálculo 4" xfId="689" xr:uid="{96F8A534-153A-4DFC-8C87-BE3AE198E3A8}"/>
    <cellStyle name="Cálculo 5" xfId="808" xr:uid="{D8E59CF0-EFDB-4A2E-91D6-9545B72019DA}"/>
    <cellStyle name="Cálculo 8" xfId="2019" xr:uid="{3A696C0C-E490-4AEE-B771-66B697E94B4F}"/>
    <cellStyle name="CALDAS" xfId="330" xr:uid="{F9FB4DBC-43B9-4BE1-AFE3-8E7A30ADEE75}"/>
    <cellStyle name="CALDAS 2 2 2" xfId="906" xr:uid="{77E52432-8BB6-4446-AE7B-0780568AEB22}"/>
    <cellStyle name="CALDAS 2 4" xfId="822" xr:uid="{F365F80A-4B5D-4AD6-BD55-8BC7D94D15DE}"/>
    <cellStyle name="CALDAS 3 2" xfId="830" xr:uid="{F1E30063-CB5E-4A1A-BC78-516C7CE0C778}"/>
    <cellStyle name="čárky [0]_Business Plan MCE" xfId="2020" xr:uid="{35101835-4729-4B65-A62C-1A920EC93383}"/>
    <cellStyle name="Celda de comprobación 3" xfId="861" xr:uid="{2A286B67-7F57-445D-954E-F1B5E974BCE5}"/>
    <cellStyle name="Célula de Verificação 3" xfId="653" xr:uid="{D064970E-18CA-47E6-8C02-AE12C9DEECB1}"/>
    <cellStyle name="Comma0 3" xfId="2021" xr:uid="{C49F2E4F-0CC5-4353-AFD0-7959098A00E3}"/>
    <cellStyle name="Date [mmm-yy]" xfId="632" xr:uid="{2A930DA3-5CE1-4006-8EF3-685873B79159}"/>
    <cellStyle name="Date-Time 3" xfId="2022" xr:uid="{94463431-C47F-490C-8309-D0EFFB81A049}"/>
    <cellStyle name="Design 3" xfId="2023" xr:uid="{287E12CA-AFF9-49D5-B8C1-637FB6F47C68}"/>
    <cellStyle name="Ênfase5 8" xfId="2024" xr:uid="{F2DC3C16-DBB3-4D29-9AD4-6FDB720A147B}"/>
    <cellStyle name="Ênfase6 4" xfId="2025" xr:uid="{0EC273F7-30ED-4E2B-8224-8EC821A1DCAE}"/>
    <cellStyle name="Ênfase6 7" xfId="2026" xr:uid="{ED62B2F9-9F3D-4899-99CC-1AE37C31B1DA}"/>
    <cellStyle name="Énfasis1 2" xfId="2027" xr:uid="{F8575DBF-AF15-4176-91F0-ABC1EA0B95BD}"/>
    <cellStyle name="Énfasis3 2" xfId="2028" xr:uid="{384E7575-FD8A-4AF1-9921-4538968A2D35}"/>
    <cellStyle name="Enter Units (0)" xfId="331" xr:uid="{4E4F5029-537F-4B0B-870B-BBEED8097F57}"/>
    <cellStyle name="Enter Units (1)" xfId="332" xr:uid="{16364A12-A753-4D93-9AC3-F1E3DDE8E133}"/>
    <cellStyle name="En-tête 2" xfId="2029" xr:uid="{F97194BB-FB96-4932-BA73-AB513AA1BD08}"/>
    <cellStyle name="Entrada 2 2 2" xfId="732" xr:uid="{16372322-A6DC-425F-AF03-C1230EBE0147}"/>
    <cellStyle name="Entrada 2 2 4" xfId="804" xr:uid="{148585E7-1BB9-425B-9DF7-0BCB1726CF8E}"/>
    <cellStyle name="Entrada 3" xfId="654" xr:uid="{5DB8A739-5618-45B4-8787-BFCF38DFFACC}"/>
    <cellStyle name="Entrada 3 3" xfId="746" xr:uid="{E59C45F0-C5F8-48A6-B3E6-95812A805666}"/>
    <cellStyle name="Entrada 3 5" xfId="807" xr:uid="{CB925CA2-227B-4A89-9D07-ABB9D14BC412}"/>
    <cellStyle name="Entrada 4 2" xfId="723" xr:uid="{9C4621B6-24F3-447D-94E5-D532BAD9CAE8}"/>
    <cellStyle name="Entrada 5" xfId="690" xr:uid="{F77FFE64-8971-467E-8DDE-59357B5BF3F4}"/>
    <cellStyle name="Entrada 7" xfId="2030" xr:uid="{47D87FAF-9182-460F-AC13-1649F0D3C630}"/>
    <cellStyle name="Entrada 9" xfId="2031" xr:uid="{63E833FC-6AFA-4668-AAD4-2301196912A2}"/>
    <cellStyle name="Estilo 1 2" xfId="358" xr:uid="{2CDF6FB8-7B1B-4FCD-969D-93C281C2EF2D}"/>
    <cellStyle name="Estilo 1 2 3" xfId="2032" xr:uid="{AEA83F10-098D-44AF-B5E6-38271C524B91}"/>
    <cellStyle name="Estilo 1 3 2" xfId="2033" xr:uid="{275C3817-C5C2-4547-821D-D376591D9E7D}"/>
    <cellStyle name="Estilo 1 4 2" xfId="2034" xr:uid="{0EB27513-0CA5-4191-AE80-85DDA1D11974}"/>
    <cellStyle name="Estilo 1 6" xfId="2035" xr:uid="{89500A91-5BE3-47C6-9295-DCFA791B7515}"/>
    <cellStyle name="Euro 4" xfId="2036" xr:uid="{943A828C-336F-4B34-8509-27EFEF039E21}"/>
    <cellStyle name="F6" xfId="2037" xr:uid="{3C5F2E3D-5622-4CB0-B439-0CC3C9601445}"/>
    <cellStyle name="FIELD 2" xfId="2038" xr:uid="{6205B056-2918-4224-A33F-D9EBD25E664E}"/>
    <cellStyle name="Fijo" xfId="2039" xr:uid="{AD7DC49D-8850-425B-A267-0A313F45845E}"/>
    <cellStyle name="Financiero" xfId="2040" xr:uid="{7A809AC3-5720-4BE2-8331-8A88E17C4A10}"/>
    <cellStyle name="Fixed 2" xfId="372" xr:uid="{40C434C1-9A53-48EC-A5A3-C2E4DE9005A3}"/>
    <cellStyle name="Fixed 4" xfId="373" xr:uid="{91146854-BA5A-4EA7-AF62-68E960835FDF}"/>
    <cellStyle name="Fixed_IF - Autoprodutores 2" xfId="2041" xr:uid="{0E06E9BB-777F-41CB-B1D6-FB0828FC24FB}"/>
    <cellStyle name="Fixo 3" xfId="2042" xr:uid="{2545A7B9-CD08-4B59-B50D-50B01C5FD919}"/>
    <cellStyle name="Footnote" xfId="2043" xr:uid="{729FCBCF-CE76-459A-997C-7607F123C5FA}"/>
    <cellStyle name="FORMULAS" xfId="2044" xr:uid="{1DE8ED63-AB13-4EA8-9F24-FF2978BAC450}"/>
    <cellStyle name="fundoazul" xfId="333" xr:uid="{7DE9D0BE-D26B-4F63-85CF-6DC60EC97202}"/>
    <cellStyle name="fundodeentrada" xfId="334" xr:uid="{83E6D28D-632C-49CE-B5A7-C71652A9ADAD}"/>
    <cellStyle name="fundodeentrada 6" xfId="2045" xr:uid="{B8CA771C-0EC6-46DA-AD69-2ADA24A6C074}"/>
    <cellStyle name="Header2 4" xfId="770" xr:uid="{9830BBE6-D31E-4CD2-83A3-6F687153FCAA}"/>
    <cellStyle name="Hiperlink" xfId="1" builtinId="8"/>
    <cellStyle name="Hyperlink 4" xfId="664" xr:uid="{B65938C4-E92F-4F18-A5BC-D37B905C09B4}"/>
    <cellStyle name="Incorrecto" xfId="374" xr:uid="{1C2880C0-7649-44F1-B4DA-2EA570DEA767}"/>
    <cellStyle name="Incorreto 4" xfId="2046" xr:uid="{F13BDE52-4350-4A7D-B96A-3BC24A3C5FFC}"/>
    <cellStyle name="Input" xfId="335" xr:uid="{B400511D-4CF1-4402-AF94-C07F3E5BA93F}"/>
    <cellStyle name="Input % 2" xfId="2047" xr:uid="{CC1BB8BD-9241-4931-ADAE-DFBE38F7B854}"/>
    <cellStyle name="Input % 4" xfId="2048" xr:uid="{C5CD1316-E717-404A-A9B0-E152913D9156}"/>
    <cellStyle name="Input (%) 2" xfId="2049" xr:uid="{442EFC6D-80FC-480A-9C05-FD068D2830CB}"/>
    <cellStyle name="Input (£m)" xfId="2050" xr:uid="{5525498C-A1EE-4296-BE84-3329AC1153CD}"/>
    <cellStyle name="Input (No) 3" xfId="2051" xr:uid="{4D1FC706-E384-40A3-AC05-96C298DABCDF}"/>
    <cellStyle name="Input [yellow] 2 2" xfId="671" xr:uid="{48271784-F94C-4E4C-B8FE-21797653868A}"/>
    <cellStyle name="Input [yellow] 2 3" xfId="693" xr:uid="{E8DF0F15-C160-47A8-8E59-6E92DFA68163}"/>
    <cellStyle name="Input [yellow] 2 5" xfId="17282" xr:uid="{046901AE-C9D0-44F3-B2BD-119C989BE1DE}"/>
    <cellStyle name="Input [yellow] 3 2 2 2" xfId="907" xr:uid="{F2DC9F2A-716A-4C8F-92B2-F4AB37F793E9}"/>
    <cellStyle name="Input [yellow] 3 2 3" xfId="803" xr:uid="{9290B0A6-296A-48FE-BEF2-CF78E5B28E5B}"/>
    <cellStyle name="Input [yellow] 3 3" xfId="694" xr:uid="{EC2986CC-2C5E-423C-BA17-C79A3E9B9E34}"/>
    <cellStyle name="Input [yellow] 3 3 4" xfId="767" xr:uid="{1C38F57E-428B-480C-BF79-8380F0D03CB4}"/>
    <cellStyle name="Input [yellow] 3 5" xfId="17283" xr:uid="{E9806367-7D44-4506-BE7E-84710B2D47DA}"/>
    <cellStyle name="Input [yellow] 4 2 2" xfId="749" xr:uid="{D12C64AA-AEC4-40E0-9AC8-76BED8B4625B}"/>
    <cellStyle name="Input [yellow] 4 2 3" xfId="802" xr:uid="{C1E7374C-3683-438D-A034-DFFB22B47086}"/>
    <cellStyle name="Input [yellow] 4 3" xfId="695" xr:uid="{3FC582FC-32D7-474D-A0FB-E7068F4E9AE7}"/>
    <cellStyle name="Input [yellow] 4 4" xfId="816" xr:uid="{D1AE91D2-6D96-44BF-88FF-E44AA44ADD24}"/>
    <cellStyle name="Input [yellow] 6 2" xfId="747" xr:uid="{4D2B0AE4-70D5-426A-BCF0-75296E122F97}"/>
    <cellStyle name="Input [yellow] 7 2" xfId="832" xr:uid="{1984929B-5D3A-4A9A-9AF6-6E5E8898C4BA}"/>
    <cellStyle name="Input [yellow]_COELCE CVA SRE (4)" xfId="2052" xr:uid="{2595A80A-27EF-4ACD-A457-6F2E1B0654EE}"/>
    <cellStyle name="Input 13 2 4" xfId="801" xr:uid="{0BE3A45C-7208-4892-8DF3-6E417FFC27FE}"/>
    <cellStyle name="Input 14 2 4" xfId="904" xr:uid="{6DAE7B93-A850-4E2A-B185-D1155E498F9A}"/>
    <cellStyle name="Input 14 3" xfId="727" xr:uid="{40B908C7-CEDA-4983-B2D9-ED2D4A13770D}"/>
    <cellStyle name="Input 16" xfId="663" xr:uid="{F2DB5071-F546-41C5-B50E-64CF02419388}"/>
    <cellStyle name="Input 16 2 2" xfId="744" xr:uid="{587E89B9-515A-4118-B9CD-2F757252B048}"/>
    <cellStyle name="Input 17 2" xfId="684" xr:uid="{150006D4-7FAE-4574-911E-656E218779EE}"/>
    <cellStyle name="Input 17 2 5" xfId="813" xr:uid="{DE61B064-2A33-4C28-B107-55D4939AC66B}"/>
    <cellStyle name="Input 2" xfId="375" xr:uid="{9876E004-BF66-4649-96F1-4D3C4E4134F4}"/>
    <cellStyle name="Input 2 2 2" xfId="733" xr:uid="{C95FAB7D-B0BD-4889-A705-69C9F9C0F156}"/>
    <cellStyle name="Input 2 4" xfId="809" xr:uid="{9D1BFA8F-2D33-4DDB-AC82-AA2190E359CA}"/>
    <cellStyle name="Input 4 2" xfId="672" xr:uid="{CA2FBEB7-2305-4E24-A21C-1B838EBD534B}"/>
    <cellStyle name="Input 4 3" xfId="696" xr:uid="{35A796A6-45F0-4BC4-9AA7-A86173A76C18}"/>
    <cellStyle name="Input 5 2 2" xfId="734" xr:uid="{DD21660A-8145-42D6-8C62-E926D17018F3}"/>
    <cellStyle name="Input 5 3" xfId="697" xr:uid="{852DA5BB-41A4-425D-AE0E-ADDC3D35DA2B}"/>
    <cellStyle name="Input 6 2" xfId="673" xr:uid="{A729521F-1FAD-4398-8C68-D8CEA981C23B}"/>
    <cellStyle name="Input 6 2 3" xfId="750" xr:uid="{427E2120-4656-4CF9-9E60-7E97B0E05487}"/>
    <cellStyle name="Input 6 2 5" xfId="781" xr:uid="{60649BD7-45D3-4331-A571-076BA70F5985}"/>
    <cellStyle name="Input 7 2 2" xfId="735" xr:uid="{0C778B16-A2B2-48EB-8EA8-BC463A4F5C21}"/>
    <cellStyle name="Input 8" xfId="376" xr:uid="{CB71DD61-C036-4591-B70D-2ACFDF6202E5}"/>
    <cellStyle name="Input 8 2 4" xfId="800" xr:uid="{6FE4D6B1-829B-4940-A714-7E7E4DECA8BD}"/>
    <cellStyle name="Input 8 4" xfId="831" xr:uid="{5EBB9643-4BDE-4AB2-AA18-E636028247AA}"/>
    <cellStyle name="Input 9 2" xfId="674" xr:uid="{86C9E5D6-1E93-4712-80A8-20BB523D368C}"/>
    <cellStyle name="Input 9 2 3" xfId="751" xr:uid="{7D6D59B8-5E5C-46E7-A0CE-CE212F2BE928}"/>
    <cellStyle name="Input 9 2 5" xfId="766" xr:uid="{5E1DC4B6-B38A-4545-B7A1-63D9DA2CA191}"/>
    <cellStyle name="Input 9 4" xfId="761" xr:uid="{4D6C9C06-F3D0-4468-AC9C-DC71BEA23E83}"/>
    <cellStyle name="Kristopher's model" xfId="2053" xr:uid="{F47C2582-1E8B-49B9-BBFD-666C9A31BD00}"/>
    <cellStyle name="Link Currency (0)" xfId="336" xr:uid="{67095C98-A947-4A1B-ACE2-82BC494002E6}"/>
    <cellStyle name="Link Currency (0) 3" xfId="2054" xr:uid="{EFA45DD3-649F-47CF-9873-91BEA20C6D2B}"/>
    <cellStyle name="Link Currency (2)" xfId="337" xr:uid="{C6B5CF26-A466-4123-865F-6970E644E82F}"/>
    <cellStyle name="Link Units (0)_IRT_Planilha Básica_ v2010_CERRP" xfId="655" xr:uid="{46CB19F6-AAF5-4362-920E-C969DA59286B}"/>
    <cellStyle name="Link Units (2)" xfId="338" xr:uid="{50896D1F-C158-47B6-B33E-22542AE52AAB}"/>
    <cellStyle name="Linked Cell 2" xfId="2055" xr:uid="{A9C1D656-C2CF-488B-81A7-1B8AAB1B007B}"/>
    <cellStyle name="měny_Business Plan MCE" xfId="2056" xr:uid="{CA9EEFE1-3D03-48B3-BC9D-7FF94D71A55E}"/>
    <cellStyle name="Mike" xfId="2057" xr:uid="{EEF1C9B9-D7A8-4568-B645-DF17E27B3AD5}"/>
    <cellStyle name="Millares 2 11" xfId="2058" xr:uid="{27A7AADA-4CEF-43A5-B6CD-AD3168985B09}"/>
    <cellStyle name="Millares 2 15" xfId="2059" xr:uid="{C8D038C8-22D8-45DB-86F9-8FE19170FEB4}"/>
    <cellStyle name="Millares 2 18" xfId="2060" xr:uid="{C164BDA8-E384-4093-AB30-00B97B45D1F9}"/>
    <cellStyle name="Millares 2 22" xfId="2061" xr:uid="{1AB22C4B-7B42-49CF-909C-3C132B8E3E3C}"/>
    <cellStyle name="Millares 2 25" xfId="2062" xr:uid="{4B50A8FE-ECB3-4EA6-A7C4-AECCB6B70C79}"/>
    <cellStyle name="Millares 2 4" xfId="2063" xr:uid="{18911EE1-7DFB-4257-B169-EBB331D22659}"/>
    <cellStyle name="Millares 2 9" xfId="2064" xr:uid="{147C590B-C585-49CA-8A89-9949322047EA}"/>
    <cellStyle name="Millares 3 10" xfId="2065" xr:uid="{5DFB9F6C-8D30-4126-B930-E69EAAC1B21F}"/>
    <cellStyle name="Millares 3 13" xfId="2066" xr:uid="{57082981-6CC2-4FB2-957A-192E8E604D8F}"/>
    <cellStyle name="Millares 3 15" xfId="2067" xr:uid="{069A282E-1C6A-4536-BF5A-AA78AA9DC2BE}"/>
    <cellStyle name="Millares 3 19" xfId="2068" xr:uid="{BDDA82AB-9A6B-4B9F-A5F5-DAF0E45495D1}"/>
    <cellStyle name="Millares 3 20" xfId="2069" xr:uid="{B5EC7F6E-C1B6-441D-A044-79390CE20430}"/>
    <cellStyle name="Millares 3 22" xfId="2070" xr:uid="{BBE022DB-3053-4F10-B6CB-8282905A9B31}"/>
    <cellStyle name="Millares 3 24" xfId="2071" xr:uid="{7E9EAFA3-B7DA-4C01-A985-73EA0E154717}"/>
    <cellStyle name="Millares 3 4" xfId="2072" xr:uid="{C0ACA9EE-D83C-497B-8EAD-BB1F925A4210}"/>
    <cellStyle name="Millares 3 8" xfId="2073" xr:uid="{44CF77D2-CC4A-4A4E-96DA-D426BDCEC114}"/>
    <cellStyle name="Millares 4 10" xfId="2074" xr:uid="{8EA23829-D712-4F18-A775-4B3A41555620}"/>
    <cellStyle name="Millares 4 12" xfId="2075" xr:uid="{AAE60616-64C4-4490-B5EA-3009EF295E84}"/>
    <cellStyle name="Millares 4 16" xfId="2076" xr:uid="{E62DAACC-123A-4A04-BC5F-F95064FE9A29}"/>
    <cellStyle name="Millares 4 19" xfId="2077" xr:uid="{2C3A7D64-A909-480B-A7B7-EF910BFA75E3}"/>
    <cellStyle name="Millares 4 21" xfId="2078" xr:uid="{B160899F-179F-41FA-8F8E-FD82BE4ECCD4}"/>
    <cellStyle name="Millares 4 23" xfId="2079" xr:uid="{6E5FB23F-3AB3-4E90-A1E6-AEFECF466D76}"/>
    <cellStyle name="Millares 4 24" xfId="2080" xr:uid="{A58017EB-D1D2-474C-BEA4-0485FD54511B}"/>
    <cellStyle name="Millares 4 3" xfId="2081" xr:uid="{49A7EDBB-588A-4039-958D-A4F03B66FCE3}"/>
    <cellStyle name="Millares 4 7" xfId="2082" xr:uid="{539CBF22-A942-41E9-ABDE-71766D1B03D0}"/>
    <cellStyle name="Millares 5" xfId="377" xr:uid="{FDC7207C-ACEF-46C1-B415-173BB07015E7}"/>
    <cellStyle name="Millares 5 11" xfId="2083" xr:uid="{63DAE8B3-6C90-4BA0-B0DC-3057002A05D5}"/>
    <cellStyle name="Millares 5 13" xfId="2084" xr:uid="{904F8D34-32B6-40B7-8838-D1C2493B27CB}"/>
    <cellStyle name="Millares 5 15" xfId="2085" xr:uid="{221CBA9F-A8E6-4CAD-A1CB-7C1CEB7583E3}"/>
    <cellStyle name="Millares 5 18" xfId="2086" xr:uid="{E71963C4-67CE-4A8F-81EF-80513293C8C5}"/>
    <cellStyle name="Millares 5 2" xfId="2087" xr:uid="{600B93D5-8110-4542-BE70-AFA092B296B7}"/>
    <cellStyle name="Millares 5 22" xfId="2088" xr:uid="{7A75AB66-3A61-45BA-AC3A-B962B54234D0}"/>
    <cellStyle name="Millares 5 5" xfId="2089" xr:uid="{521D7A26-288C-49F9-A619-52EA363EA0A8}"/>
    <cellStyle name="Millares 5 7" xfId="2090" xr:uid="{AE44CBDA-B1BF-48C9-97E1-69AFB47CB1E5}"/>
    <cellStyle name="Millares_10 AVERIAS MASIVAS + ANT" xfId="2091" xr:uid="{E4CF98BD-8D5C-4391-847F-7829920EFCD9}"/>
    <cellStyle name="Moeda" xfId="6" builtinId="4"/>
    <cellStyle name="Moeda 2 4 2" xfId="2092" xr:uid="{A9B8D016-5B0E-4971-9DA9-C2E5012879F4}"/>
    <cellStyle name="Moeda 2 5 2" xfId="2093" xr:uid="{864AE30B-7A67-454E-9793-DA59B9A84B87}"/>
    <cellStyle name="Moeda 2 6" xfId="2094" xr:uid="{F7FCFBE1-213B-44CA-AFC7-F1D80265F4BD}"/>
    <cellStyle name="Moeda 2 7" xfId="2095" xr:uid="{AF937905-FAFA-4067-845E-CD2DFF46EADA}"/>
    <cellStyle name="Moeda 3" xfId="378" xr:uid="{F15CA6D1-0211-46C0-96EC-58C14A9D8884}"/>
    <cellStyle name="Moeda 4" xfId="633" xr:uid="{DBF55274-8867-4ABD-9787-76F726F57EAA}"/>
    <cellStyle name="Moeda 4 2 2 2" xfId="862" xr:uid="{047B1FFC-8573-4E37-A901-FA618471958C}"/>
    <cellStyle name="Moeda 4 2 3 2" xfId="17313" xr:uid="{A5FBC894-6CA0-444D-9F47-E7630EC1E7FD}"/>
    <cellStyle name="Moeda 4 2 5" xfId="824" xr:uid="{AAEA89D9-6C95-44F3-9A7E-6C1090EF0748}"/>
    <cellStyle name="Moeda 4 3" xfId="713" xr:uid="{C3AAA464-9C8A-44B0-9E47-4EECC1D8585A}"/>
    <cellStyle name="Moeda 4 3 3" xfId="17314" xr:uid="{E718343F-3ED5-4E44-98C7-42D5D9D28B4A}"/>
    <cellStyle name="Moeda 4 4 2" xfId="17315" xr:uid="{8E3C8ADF-2566-47E8-9E01-28D9787F24AB}"/>
    <cellStyle name="Moeda 4 6" xfId="806" xr:uid="{4F3F4F10-EC6D-4508-9817-810EE979E05E}"/>
    <cellStyle name="Moeda 5" xfId="546" xr:uid="{4B2EE6E3-7004-4E05-9987-6FE4BECA6BBD}"/>
    <cellStyle name="Moeda 6 2" xfId="680" xr:uid="{E9435674-2C52-4499-A9C1-A38255219A12}"/>
    <cellStyle name="Moeda 6 2 2 2" xfId="863" xr:uid="{C6F6DEC9-4881-4FE1-8BF4-9196733CF7E8}"/>
    <cellStyle name="Moeda 6 2 3" xfId="864" xr:uid="{266DEC2F-7C65-49CF-B62D-33B9CF3DEFEC}"/>
    <cellStyle name="Moeda 6 2 4" xfId="834" xr:uid="{B0338388-6BDC-4E87-8B9E-7B9131CCD8E9}"/>
    <cellStyle name="Moeda 6 2 6" xfId="17285" xr:uid="{513FD896-7A1A-4445-85AD-35B1F712AE4D}"/>
    <cellStyle name="Moeda 6 3 3" xfId="17316" xr:uid="{52295EA1-AEEB-4E33-8E2B-2CA3AB039096}"/>
    <cellStyle name="Moeda 6 4 2" xfId="17317" xr:uid="{7B6D4777-A195-466B-9F7F-1898BED74BED}"/>
    <cellStyle name="Moeda 6 6" xfId="833" xr:uid="{E62D3AE5-9E4A-4EC3-8020-D8090ECC19B6}"/>
    <cellStyle name="Moeda 6 8" xfId="17284" xr:uid="{F0BEEFB5-159D-440E-84E1-548D4689458B}"/>
    <cellStyle name="Moeda 8" xfId="17273" xr:uid="{4F9F3162-975B-4577-ACF2-0B725EAF74AB}"/>
    <cellStyle name="Moeda0" xfId="339" xr:uid="{A5B7A048-6177-4247-9C0C-670AC3DBB253}"/>
    <cellStyle name="Moeda0 3" xfId="2096" xr:uid="{ACF15F41-6752-478A-9DD5-DB4E2ACBF401}"/>
    <cellStyle name="Moneda_0499EJEG" xfId="2097" xr:uid="{D5B5A9AF-E04A-4C8C-9C82-B1C7275F1859}"/>
    <cellStyle name="Neutral" xfId="340" xr:uid="{6B5A948C-03EE-4252-96B1-A297F5804EB3}"/>
    <cellStyle name="no dec 3" xfId="2098" xr:uid="{E33EAAE7-90C7-4520-A0BE-F8C19AEE69CC}"/>
    <cellStyle name="Normal" xfId="0" builtinId="0"/>
    <cellStyle name="Normal (£m) 3" xfId="2099" xr:uid="{88557233-C964-451C-ADF6-CF2C54139167}"/>
    <cellStyle name="Normal 10 10 13" xfId="2100" xr:uid="{051133F8-773F-4401-BE77-D68AA553A043}"/>
    <cellStyle name="Normal 10 10 3 6" xfId="2101" xr:uid="{4073EE3C-DDC5-4E3C-B50C-77873320846A}"/>
    <cellStyle name="Normal 10 10 5" xfId="2102" xr:uid="{7CD0EB40-6AE7-488D-B49D-F4F8258329B4}"/>
    <cellStyle name="Normal 10 10 6 5" xfId="2103" xr:uid="{308D01E0-DAA1-42BD-8435-EA8056270847}"/>
    <cellStyle name="Normal 10 10 8 5" xfId="2104" xr:uid="{F05F2B61-AB13-4A5A-AB8D-05EB8D3A27EA}"/>
    <cellStyle name="Normal 10 11 13" xfId="2105" xr:uid="{16938123-677E-4283-9CF0-6CCC117A69BB}"/>
    <cellStyle name="Normal 10 11 2 2" xfId="2106" xr:uid="{35CA144A-4110-458B-A305-A54CBF61F694}"/>
    <cellStyle name="Normal 10 11 2 4" xfId="2107" xr:uid="{DDCA7B1C-37D1-4914-B038-C0CE7F346FAD}"/>
    <cellStyle name="Normal 10 11 2 6" xfId="2108" xr:uid="{C3FCC58D-31DD-4AE8-AAC1-8D47ABEAF1F9}"/>
    <cellStyle name="Normal 10 11 3 2" xfId="2109" xr:uid="{A6497CF1-4749-4CB2-84E2-915DAB058F97}"/>
    <cellStyle name="Normal 10 11 3 4" xfId="2110" xr:uid="{D70BAFC0-BA05-439A-8425-B814453C7F6A}"/>
    <cellStyle name="Normal 10 11 3 6" xfId="2111" xr:uid="{C1EF63EB-58CE-4D2F-9D50-1AAFF951B53A}"/>
    <cellStyle name="Normal 10 11 4 3" xfId="2112" xr:uid="{6051F60B-4835-4025-B3AA-CF57F1297E9C}"/>
    <cellStyle name="Normal 10 11 4 5" xfId="2113" xr:uid="{E46F9323-2B22-42A2-9C84-D12970A4D215}"/>
    <cellStyle name="Normal 10 11 5 2" xfId="2114" xr:uid="{27B25172-580D-4F58-A7E8-8B5D832054EE}"/>
    <cellStyle name="Normal 10 11 5 4" xfId="2115" xr:uid="{3A8FC01A-4A57-425E-990D-FDA50F25A699}"/>
    <cellStyle name="Normal 10 11 6" xfId="2116" xr:uid="{F718D4C4-CC3B-40A7-AF3D-6ACBC664FB0B}"/>
    <cellStyle name="Normal 10 11 6 3" xfId="2117" xr:uid="{CE05BB0C-3C4F-4E85-9B92-E40987065248}"/>
    <cellStyle name="Normal 10 11 6 5" xfId="2118" xr:uid="{1DD02928-5E43-429C-8BBE-64148B2781AE}"/>
    <cellStyle name="Normal 10 11 7" xfId="2119" xr:uid="{E02FAC42-F71B-4694-A72A-C5381D5BF91A}"/>
    <cellStyle name="Normal 10 11 7 3" xfId="2120" xr:uid="{98803D1C-711D-4411-BE2A-CB049555612D}"/>
    <cellStyle name="Normal 10 11 7 6" xfId="2121" xr:uid="{533A3F16-68BF-49F8-B321-76AB7DD07E94}"/>
    <cellStyle name="Normal 10 11 8 2" xfId="2122" xr:uid="{98971CED-AEB2-4CEB-80AA-C4EF53C97339}"/>
    <cellStyle name="Normal 10 11 8 5" xfId="2123" xr:uid="{2A3E2FA8-070C-4E05-B257-061FDD3132D0}"/>
    <cellStyle name="Normal 10 11 9" xfId="2124" xr:uid="{07F2D9DC-F8BD-4DC6-849F-0281120C50B7}"/>
    <cellStyle name="Normal 10 12 11" xfId="2125" xr:uid="{87AA0648-A182-4F49-8B19-495D91EA7A2D}"/>
    <cellStyle name="Normal 10 12 2 2" xfId="2126" xr:uid="{D8843185-0377-488A-9813-66A19DDFCA13}"/>
    <cellStyle name="Normal 10 12 3" xfId="2127" xr:uid="{F656C8D7-C154-4CF8-835E-9BC84F11CCA1}"/>
    <cellStyle name="Normal 10 12 3 6" xfId="2128" xr:uid="{D716068B-9E40-4F7B-8A8F-8C96337F5D30}"/>
    <cellStyle name="Normal 10 12 4 4" xfId="2129" xr:uid="{DD80A85B-0D85-473F-B686-E08279B77684}"/>
    <cellStyle name="Normal 10 12 4 6" xfId="2130" xr:uid="{46AA9A07-7BA2-443D-BC3B-3D91F10009B1}"/>
    <cellStyle name="Normal 10 12 5 3" xfId="2131" xr:uid="{E0B2E7C5-9017-4A22-B514-6678DAE519CF}"/>
    <cellStyle name="Normal 10 12 5 6" xfId="2132" xr:uid="{80C67CBC-C3C8-43F8-A4F2-DE2DEA508487}"/>
    <cellStyle name="Normal 10 12 6 4" xfId="2133" xr:uid="{2468A8BE-92B7-4EB5-81C1-1571B248D406}"/>
    <cellStyle name="Normal 10 12 7" xfId="2134" xr:uid="{5F66F481-2A96-4D3C-A98E-23C608164243}"/>
    <cellStyle name="Normal 10 12 7 3" xfId="2135" xr:uid="{C25D541F-F240-42F2-8D32-3EA00313D935}"/>
    <cellStyle name="Normal 10 12 7 6" xfId="2136" xr:uid="{17E96252-29B9-43C4-A4EF-0570E6605A0F}"/>
    <cellStyle name="Normal 10 12 8 3" xfId="2137" xr:uid="{3C2DA3FA-0339-450E-9C3B-CABB6BB04042}"/>
    <cellStyle name="Normal 10 12 8 5" xfId="2138" xr:uid="{4338F658-AFB9-4A32-8A93-E2974AEB827E}"/>
    <cellStyle name="Normal 10 12 9" xfId="2139" xr:uid="{E84D936C-66C6-43A1-A763-D3C9CA2FBFB5}"/>
    <cellStyle name="Normal 10 13 10" xfId="2140" xr:uid="{77DF1FB1-2C7B-4A89-A734-3759333C9DDE}"/>
    <cellStyle name="Normal 10 13 12" xfId="2141" xr:uid="{3C1D1263-4974-4C95-B0E5-C8BB97B501ED}"/>
    <cellStyle name="Normal 10 13 2" xfId="2142" xr:uid="{23C606C1-D004-41AD-AD26-5963DA8DCBB4}"/>
    <cellStyle name="Normal 10 13 2 3" xfId="2143" xr:uid="{A4D2EBFC-0F69-47B6-999D-6C49BA402D25}"/>
    <cellStyle name="Normal 10 13 2 5" xfId="2144" xr:uid="{2B68CB3D-8F2C-4EDA-8F04-E116FBA9F533}"/>
    <cellStyle name="Normal 10 13 3" xfId="2145" xr:uid="{CCFCB39E-A318-4205-878F-EC5C03839D04}"/>
    <cellStyle name="Normal 10 13 3 3" xfId="2146" xr:uid="{11643386-9268-47DA-B0C8-90ABD8B55BCE}"/>
    <cellStyle name="Normal 10 13 4" xfId="2147" xr:uid="{0052FF56-DE2A-4EA2-B7CD-1AD1E9307649}"/>
    <cellStyle name="Normal 10 13 4 4" xfId="2148" xr:uid="{38A53E57-4A48-40D0-BFFA-61EEEACD2C8F}"/>
    <cellStyle name="Normal 10 13 5" xfId="2149" xr:uid="{F1C77826-2032-41CF-AC7A-E3ECB0432ED6}"/>
    <cellStyle name="Normal 10 13 5 3" xfId="2150" xr:uid="{4E067DCD-6148-4C46-A038-85C9C210F52A}"/>
    <cellStyle name="Normal 10 13 5 5" xfId="2151" xr:uid="{FC930259-3F24-498C-B579-D3610E6B8DA6}"/>
    <cellStyle name="Normal 10 13 7" xfId="2152" xr:uid="{F41CB94F-5A8B-46AA-8220-CBD59C028B9C}"/>
    <cellStyle name="Normal 10 13 8 2" xfId="2153" xr:uid="{EB279CA5-F911-4AA6-9651-FB2E9427EE97}"/>
    <cellStyle name="Normal 10 14 2" xfId="2154" xr:uid="{F733A494-1E44-42B2-A42E-6DA45221704F}"/>
    <cellStyle name="Normal 10 14 3" xfId="2155" xr:uid="{764CF48A-5A0A-4A00-A73F-55E3EB680012}"/>
    <cellStyle name="Normal 10 14 3 5" xfId="2156" xr:uid="{48A83EF8-8515-4300-962E-9F5E4CC241DB}"/>
    <cellStyle name="Normal 10 14 4" xfId="2157" xr:uid="{0303AE73-63FC-42F5-AD8F-1C9E30307BBF}"/>
    <cellStyle name="Normal 10 14 4 3" xfId="2158" xr:uid="{EBF9C61B-D70D-441D-8336-DF591756525D}"/>
    <cellStyle name="Normal 10 14 4 5" xfId="2159" xr:uid="{BC9C8229-5D19-4A30-839D-A4FB701751D2}"/>
    <cellStyle name="Normal 10 14 5" xfId="2160" xr:uid="{78E4AF16-E4C0-417E-AD08-69F1DA516654}"/>
    <cellStyle name="Normal 10 14 5 3" xfId="2161" xr:uid="{9AD322FC-169C-4D49-95F4-60EF4269351F}"/>
    <cellStyle name="Normal 10 14 5 5" xfId="2162" xr:uid="{C23ACA13-EE74-43FC-AC44-B0E3525568C2}"/>
    <cellStyle name="Normal 10 14 6" xfId="2163" xr:uid="{1DF50202-FD3D-4FF4-8CCC-5F14EE8DC556}"/>
    <cellStyle name="Normal 10 14 6 4" xfId="2164" xr:uid="{D326265A-6ADD-46F3-A408-5BC4C940616F}"/>
    <cellStyle name="Normal 10 14 7 2" xfId="2165" xr:uid="{BF8F0D29-7B12-474D-9B88-28A765C81143}"/>
    <cellStyle name="Normal 10 14 7 6" xfId="2166" xr:uid="{8A9FA339-5438-474D-AC85-BB02F059281D}"/>
    <cellStyle name="Normal 10 14 8 4" xfId="2167" xr:uid="{E8E33FF2-7309-4390-B081-1CD2C1276A49}"/>
    <cellStyle name="Normal 10 15" xfId="2168" xr:uid="{49A5DB7F-E121-4B0E-92A8-14E239830B7F}"/>
    <cellStyle name="Normal 10 15 13" xfId="2169" xr:uid="{F8F63A63-8678-4A4A-8094-2436584D45B8}"/>
    <cellStyle name="Normal 10 15 2 4" xfId="2170" xr:uid="{18038406-1B2F-4CFE-AB17-E159F098D33C}"/>
    <cellStyle name="Normal 10 15 3 2" xfId="2171" xr:uid="{4DC188B7-BA75-43C6-AEA0-E2C39E2F239C}"/>
    <cellStyle name="Normal 10 15 3 5" xfId="2172" xr:uid="{8E710177-33E5-4AA0-AA54-98120874D7F0}"/>
    <cellStyle name="Normal 10 15 4 2" xfId="2173" xr:uid="{A8664072-E4DC-493E-842F-5CB2B16AE0A1}"/>
    <cellStyle name="Normal 10 15 4 6" xfId="2174" xr:uid="{F2B2C8A1-7FDE-449D-94B8-E871BB3B8862}"/>
    <cellStyle name="Normal 10 15 5 4" xfId="2175" xr:uid="{2F4C962C-EEC3-4378-A7F5-E9ABE299989E}"/>
    <cellStyle name="Normal 10 15 6 2" xfId="2176" xr:uid="{0C29A558-601D-4BC4-B30A-AF00326F4EB6}"/>
    <cellStyle name="Normal 10 15 6 6" xfId="2177" xr:uid="{08884B1C-0785-4C34-826C-F8DEF681D8EF}"/>
    <cellStyle name="Normal 10 15 7 4" xfId="2178" xr:uid="{83ACA15C-1EC6-49F4-9AC0-D901C569E481}"/>
    <cellStyle name="Normal 10 15 8 2" xfId="2179" xr:uid="{2A990F43-AAB2-4BAD-837A-0243A8B29769}"/>
    <cellStyle name="Normal 10 15 8 6" xfId="2180" xr:uid="{C10AEBB9-DED8-43E0-923B-54564E8D8022}"/>
    <cellStyle name="Normal 10 16 11" xfId="2181" xr:uid="{294680B2-037D-43FF-AB51-EEE638C2CB67}"/>
    <cellStyle name="Normal 10 16 2 2" xfId="2182" xr:uid="{8486E388-D4A1-449D-BEE7-490F3886769D}"/>
    <cellStyle name="Normal 10 16 2 4" xfId="2183" xr:uid="{6B48EB4F-A94E-4728-9600-B57D35007397}"/>
    <cellStyle name="Normal 10 16 2 6" xfId="2184" xr:uid="{0487407F-38D4-433B-AFDD-B35B1C9A58FD}"/>
    <cellStyle name="Normal 10 16 3 2" xfId="2185" xr:uid="{72FE906C-9B5A-46C8-83A2-8C51055965D7}"/>
    <cellStyle name="Normal 10 16 3 4" xfId="2186" xr:uid="{14C5C5B7-C6E2-4C90-A68A-B05898BA4634}"/>
    <cellStyle name="Normal 10 16 3 6" xfId="2187" xr:uid="{656E7DC8-4DAE-4926-ACC8-C1C089885E98}"/>
    <cellStyle name="Normal 10 16 4 3" xfId="2188" xr:uid="{11AE3539-AAC9-427C-97AF-9AB14D6A408F}"/>
    <cellStyle name="Normal 10 16 5" xfId="2189" xr:uid="{4C4DBD8E-63AD-4A73-9211-A09A8B95B9AE}"/>
    <cellStyle name="Normal 10 16 5 5" xfId="2190" xr:uid="{A0498945-0812-4FF1-BF16-700CAFF704A1}"/>
    <cellStyle name="Normal 10 16 6 3" xfId="2191" xr:uid="{01FFE14B-0B75-4801-906F-EF92BB50A95F}"/>
    <cellStyle name="Normal 10 16 7 2" xfId="2192" xr:uid="{9FFE1A5C-D622-40F7-A035-68729F0A84FA}"/>
    <cellStyle name="Normal 10 16 7 6" xfId="2193" xr:uid="{CF8F1416-559F-4F5B-8F3A-32556F1F4057}"/>
    <cellStyle name="Normal 10 16 8 4" xfId="2194" xr:uid="{64B03AED-D4FA-436B-B408-C2439B6FF7D2}"/>
    <cellStyle name="Normal 10 16 9" xfId="2195" xr:uid="{F2B7DEFC-5CF1-4485-AB8E-3F79956090BB}"/>
    <cellStyle name="Normal 10 17 12" xfId="2196" xr:uid="{FE2089A3-9601-4D33-9300-4FD4E85AE16F}"/>
    <cellStyle name="Normal 10 17 2 3" xfId="2197" xr:uid="{56508D7E-DB44-428A-87FF-572CDED1EF89}"/>
    <cellStyle name="Normal 10 17 3" xfId="2198" xr:uid="{CD454CDE-7CD0-4786-A91E-64387777554A}"/>
    <cellStyle name="Normal 10 17 3 5" xfId="2199" xr:uid="{05183532-C057-41C3-B6ED-FF223033CEF2}"/>
    <cellStyle name="Normal 10 17 4 3" xfId="2200" xr:uid="{51EE3B0B-6D7D-4FCF-912A-C502DE03E417}"/>
    <cellStyle name="Normal 10 17 4 6" xfId="2201" xr:uid="{BBF53708-57FA-4292-BA32-200F74499D20}"/>
    <cellStyle name="Normal 10 17 5 2" xfId="2202" xr:uid="{D036CCF2-25C4-4D9A-8A46-8C29CF5943FD}"/>
    <cellStyle name="Normal 10 17 5 5" xfId="2203" xr:uid="{755B5BD6-F96C-4F44-B251-62F53DB085D6}"/>
    <cellStyle name="Normal 10 17 6" xfId="2204" xr:uid="{2D0531E3-53FD-4C42-A199-24A317B93978}"/>
    <cellStyle name="Normal 10 17 6 3" xfId="2205" xr:uid="{84161E26-E2D7-4AFB-834A-495B07289741}"/>
    <cellStyle name="Normal 10 17 6 6" xfId="2206" xr:uid="{52B03246-3943-4949-8953-1968FE21E9CE}"/>
    <cellStyle name="Normal 10 17 7 2" xfId="2207" xr:uid="{337F4E52-F498-4268-AB1F-5C2BAD710221}"/>
    <cellStyle name="Normal 10 17 7 4" xfId="2208" xr:uid="{8F2CF1F1-D123-4FB6-8ABD-CF6C56C75AA9}"/>
    <cellStyle name="Normal 10 17 7 6" xfId="2209" xr:uid="{E917A846-D250-43FC-BFE2-AE21DADD1A17}"/>
    <cellStyle name="Normal 10 17 8 2" xfId="2210" xr:uid="{8989074E-C60B-4189-ACA4-31249CF298E8}"/>
    <cellStyle name="Normal 10 17 8 5" xfId="2211" xr:uid="{91780AE3-3D03-4521-9B0D-018D775C672E}"/>
    <cellStyle name="Normal 10 18" xfId="2212" xr:uid="{D65A2DD4-3FB6-4678-A95F-0AB0EF0FA548}"/>
    <cellStyle name="Normal 10 18 11" xfId="2213" xr:uid="{30ADA089-22D4-4E64-8D16-2AAB6F02A09A}"/>
    <cellStyle name="Normal 10 18 13" xfId="2214" xr:uid="{6E7D84F1-49B0-491B-BBA4-2C8363B55471}"/>
    <cellStyle name="Normal 10 18 2 4" xfId="2215" xr:uid="{2EC10C00-6D49-4728-BD0C-12E9109ACBD2}"/>
    <cellStyle name="Normal 10 18 3" xfId="2216" xr:uid="{4E383587-E39C-41AA-A565-7665EACE5BF9}"/>
    <cellStyle name="Normal 10 18 3 5" xfId="2217" xr:uid="{F7C93D4A-7B6F-4BF4-AD3F-9C5887D5AE1F}"/>
    <cellStyle name="Normal 10 18 4 2" xfId="2218" xr:uid="{CDDB7731-9A23-4B12-94D4-421B47492DA8}"/>
    <cellStyle name="Normal 10 18 4 6" xfId="2219" xr:uid="{349FDF36-98F8-4F92-A76B-9F4DBC487583}"/>
    <cellStyle name="Normal 10 18 5 4" xfId="2220" xr:uid="{65C5B50C-ED96-436C-BE8E-D609B0186006}"/>
    <cellStyle name="Normal 10 18 6" xfId="2221" xr:uid="{9832E4B1-9970-4B26-B9DF-568F99FDDB05}"/>
    <cellStyle name="Normal 10 18 6 5" xfId="2222" xr:uid="{AF94C6E9-DB48-4538-9BE1-CAE74DA63410}"/>
    <cellStyle name="Normal 10 18 7 5" xfId="2223" xr:uid="{29F42244-95BF-4685-8E5D-60D339813D8E}"/>
    <cellStyle name="Normal 10 18 8 3" xfId="2224" xr:uid="{A4C6D97F-115A-4B5D-8EB7-1BEE1A30A229}"/>
    <cellStyle name="Normal 10 18 9" xfId="2225" xr:uid="{8FA0926B-6BB3-4D82-BDE2-B02700ECC93E}"/>
    <cellStyle name="Normal 10 19 12" xfId="2226" xr:uid="{37D4BF4A-A9C7-4788-B160-D8A811B98786}"/>
    <cellStyle name="Normal 10 19 2 3" xfId="2227" xr:uid="{C5048EB5-003A-4D3D-B398-68F5C5F26680}"/>
    <cellStyle name="Normal 10 19 2 6" xfId="2228" xr:uid="{CFFC7BB8-F945-4AC5-B397-11D28E7935AB}"/>
    <cellStyle name="Normal 10 19 3 6" xfId="2229" xr:uid="{98018BF6-9169-45AD-AB09-26D88940B9DD}"/>
    <cellStyle name="Normal 10 19 4 5" xfId="2230" xr:uid="{EB4E7459-DEA6-4918-A09C-BA58E214E3C4}"/>
    <cellStyle name="Normal 10 19 5 5" xfId="2231" xr:uid="{D0ADDC4A-157F-46CC-A739-F046F0D5AE20}"/>
    <cellStyle name="Normal 10 19 6" xfId="2232" xr:uid="{EBDF1380-1EF0-4D34-9B94-A878B3AC226B}"/>
    <cellStyle name="Normal 10 19 6 4" xfId="2233" xr:uid="{EA6754ED-E939-4425-AE7A-CE7D353D8A13}"/>
    <cellStyle name="Normal 10 19 7" xfId="2234" xr:uid="{7AE0D846-8325-4709-9BE7-B91BC1D86C36}"/>
    <cellStyle name="Normal 10 19 7 5" xfId="2235" xr:uid="{3F25F797-BC89-480E-BFA6-47981C5935A6}"/>
    <cellStyle name="Normal 10 19 8 3" xfId="2236" xr:uid="{5D718614-7EDD-4485-892F-597EDDC43263}"/>
    <cellStyle name="Normal 10 19 8 6" xfId="2237" xr:uid="{983B3413-59B2-48FC-8A9E-162E73FA5248}"/>
    <cellStyle name="Normal 10 2 10 2" xfId="2238" xr:uid="{B1AE93F3-9AE7-40BF-8E2D-51EF9AA5D6F3}"/>
    <cellStyle name="Normal 10 2 10 2 4" xfId="2239" xr:uid="{B2737AF4-BA2D-4BCA-9539-BF87463AE71D}"/>
    <cellStyle name="Normal 10 2 10 5" xfId="2240" xr:uid="{E755EF57-946D-42B7-9ACF-A1AD1A6D08B0}"/>
    <cellStyle name="Normal 10 2 11 2 4" xfId="2241" xr:uid="{F2578353-EE80-4297-A124-23ED74C7F8E4}"/>
    <cellStyle name="Normal 10 2 11 5" xfId="2242" xr:uid="{5A32A6B6-E8FD-4112-A392-58BA16AE452F}"/>
    <cellStyle name="Normal 10 2 12 2 2" xfId="2243" xr:uid="{2C09E170-4B5A-4442-9087-23064A745260}"/>
    <cellStyle name="Normal 10 2 12 3 4" xfId="2244" xr:uid="{C65C0E63-AC10-48A1-88FA-278C8E17D7CD}"/>
    <cellStyle name="Normal 10 2 13" xfId="2245" xr:uid="{710D3C15-4EF7-44FA-A655-6FA3F0528CD5}"/>
    <cellStyle name="Normal 10 2 13 2 3" xfId="2246" xr:uid="{753C3F98-FA46-47FD-987D-481B2A1C6046}"/>
    <cellStyle name="Normal 10 2 13 3 3" xfId="2247" xr:uid="{420B1ACA-0DE0-4D0A-9DC9-F26B701E37E9}"/>
    <cellStyle name="Normal 10 2 13 6" xfId="2248" xr:uid="{C752E55D-442E-4387-91F7-230A66E7AE97}"/>
    <cellStyle name="Normal 10 2 14 2 2" xfId="2249" xr:uid="{D8B463EC-5513-460C-9CB8-6F452347775A}"/>
    <cellStyle name="Normal 10 2 14 3" xfId="2250" xr:uid="{91933AEF-A032-4959-9FB7-3F06A3121043}"/>
    <cellStyle name="Normal 10 2 14 3 4" xfId="2251" xr:uid="{57BC4393-B133-463D-A012-9C999597ACD7}"/>
    <cellStyle name="Normal 10 2 14 5" xfId="2252" xr:uid="{FEF23249-36A1-40C8-85E8-5013D247BA48}"/>
    <cellStyle name="Normal 10 2 15 2" xfId="2253" xr:uid="{E473C833-1D15-4F69-87DA-53DCB7810C3F}"/>
    <cellStyle name="Normal 10 2 15 2 4" xfId="2254" xr:uid="{87DDAA00-5666-4102-BFF7-FA671D0FA43F}"/>
    <cellStyle name="Normal 10 2 15 3 4" xfId="2255" xr:uid="{0BE21FE9-BA24-4A49-AA6B-8A662F395536}"/>
    <cellStyle name="Normal 10 2 16" xfId="2256" xr:uid="{333C5B27-1A5E-4ABD-9F74-16C7BA87B8CC}"/>
    <cellStyle name="Normal 10 2 16 3" xfId="2257" xr:uid="{C6E735B0-0B27-419D-A55A-DBD0F7BB9624}"/>
    <cellStyle name="Normal 10 2 16 4" xfId="2258" xr:uid="{1CF2A0C1-F6EC-44AD-8BA4-339D30CD5063}"/>
    <cellStyle name="Normal 10 2 17 2" xfId="2259" xr:uid="{EF81830B-7620-4ECB-89EE-1111DF4D9162}"/>
    <cellStyle name="Normal 10 2 17 3 2" xfId="2260" xr:uid="{AEF81796-7E2F-43B5-8CC7-204BA84DE0A6}"/>
    <cellStyle name="Normal 10 2 17 5" xfId="2261" xr:uid="{5D3728EB-DE33-488C-9F55-82D4F0D6CFD9}"/>
    <cellStyle name="Normal 10 2 18 3" xfId="2262" xr:uid="{594E53F7-0CED-4FB2-A682-231314D30866}"/>
    <cellStyle name="Normal 10 2 19 3" xfId="2263" xr:uid="{1A0B479F-9F2D-4990-A62F-1AC706DC5CD8}"/>
    <cellStyle name="Normal 10 2 2 2 2" xfId="2264" xr:uid="{20941430-9D12-4A99-8023-B6A316ACA8C9}"/>
    <cellStyle name="Normal 10 2 2 3 2" xfId="2265" xr:uid="{EFC1E987-7E67-45E6-843A-C91E67369DC6}"/>
    <cellStyle name="Normal 10 2 2 5" xfId="2266" xr:uid="{69F5A8B2-A9A8-45C1-8465-1F56A30B9E87}"/>
    <cellStyle name="Normal 10 2 20 3" xfId="2267" xr:uid="{C4D73676-1F53-4AE5-9EB6-AFFBEBB37BA8}"/>
    <cellStyle name="Normal 10 2 23" xfId="2268" xr:uid="{DB0BAF69-7B8E-4884-9B43-5D63C0EBEC10}"/>
    <cellStyle name="Normal 10 2 3 2" xfId="2269" xr:uid="{48C6B2E0-4BBD-4DB8-B769-1EB51D8C30A6}"/>
    <cellStyle name="Normal 10 2 3 3" xfId="2270" xr:uid="{8A94FBB1-A283-447B-A174-248951BC0C3D}"/>
    <cellStyle name="Normal 10 2 3 3 4" xfId="2271" xr:uid="{F953E760-9FB6-4A6D-8BD2-ACA7316C0197}"/>
    <cellStyle name="Normal 10 2 3 5" xfId="2272" xr:uid="{2FCBA5D3-CC03-4403-BE19-E39CE4FF1E18}"/>
    <cellStyle name="Normal 10 2 4 2 3" xfId="2273" xr:uid="{BB786FB7-9E71-4AB2-9C35-00E131C7EA00}"/>
    <cellStyle name="Normal 10 2 4 3" xfId="2274" xr:uid="{EF2F4121-B389-479C-A7EB-6898156B340C}"/>
    <cellStyle name="Normal 10 2 4 3 3" xfId="2275" xr:uid="{0BB64A96-70CB-43CE-9FB7-FFC02446982B}"/>
    <cellStyle name="Normal 10 2 4 6" xfId="2276" xr:uid="{1E738CF5-DA04-4C7C-8153-A59BF218C201}"/>
    <cellStyle name="Normal 10 2 5 2 4" xfId="2277" xr:uid="{F135DCD1-FAAC-4EFC-97E6-85CDBD21D13A}"/>
    <cellStyle name="Normal 10 2 5 3 4" xfId="2278" xr:uid="{BF1C74FC-7A53-4996-85BA-12A9AD4D35B1}"/>
    <cellStyle name="Normal 10 2 5 6" xfId="2279" xr:uid="{AEB12BCE-420A-4512-8599-4EEC79A27DA4}"/>
    <cellStyle name="Normal 10 2 6 2 3" xfId="2280" xr:uid="{6AB4F86E-A410-4318-8E5C-B2F6B931B49A}"/>
    <cellStyle name="Normal 10 2 6 3 3" xfId="2281" xr:uid="{0ADA8298-92BC-4D1B-830A-50F3D7468336}"/>
    <cellStyle name="Normal 10 2 6 5" xfId="2282" xr:uid="{6863B054-A812-43D4-B6AF-232CDEF1FCBC}"/>
    <cellStyle name="Normal 10 2 7 2 2" xfId="2283" xr:uid="{72A964CD-4F42-4F84-83C1-CD1AC17FFB06}"/>
    <cellStyle name="Normal 10 2 7 3 2" xfId="2284" xr:uid="{F22E77C4-0790-4CB8-99B0-CB72262639ED}"/>
    <cellStyle name="Normal 10 2 7 5" xfId="2285" xr:uid="{E05A845E-FADE-4A0F-B5B2-7882A48C2B27}"/>
    <cellStyle name="Normal 10 2 8 2 2" xfId="2286" xr:uid="{0B59B278-F600-41F3-A0F2-0679498891C5}"/>
    <cellStyle name="Normal 10 2 8 3 2" xfId="2287" xr:uid="{ECCCF957-CABA-48D7-A02A-2A10EEED8C19}"/>
    <cellStyle name="Normal 10 2 8 5" xfId="2288" xr:uid="{C2707652-AC55-4CA3-9D4A-7671FBE9B274}"/>
    <cellStyle name="Normal 10 2 9 2 2" xfId="2289" xr:uid="{2E3F6C79-2EE4-4728-9940-31E38C32EDBD}"/>
    <cellStyle name="Normal 10 2 9 3 2" xfId="2290" xr:uid="{1CB30867-72EC-4A30-B254-BC4AFAA72BDE}"/>
    <cellStyle name="Normal 10 2 9 5" xfId="2291" xr:uid="{6BEBCFB9-4CB5-4448-9031-6E2E36C57167}"/>
    <cellStyle name="Normal 10 20 10" xfId="2292" xr:uid="{D7CF111C-F172-464D-84F4-4E623D835E24}"/>
    <cellStyle name="Normal 10 20 2" xfId="2293" xr:uid="{DCAB1DE3-C894-4239-819F-8D4BD076638A}"/>
    <cellStyle name="Normal 10 20 2 4" xfId="2294" xr:uid="{A7ECD9EA-D2C1-4E8F-8927-F4FC07FEDE03}"/>
    <cellStyle name="Normal 10 20 2 6" xfId="2295" xr:uid="{92020A29-1EC8-4F09-BFCC-E7A80E80739B}"/>
    <cellStyle name="Normal 10 20 3 3" xfId="2296" xr:uid="{64E61CBC-E295-4931-A5C8-C16854868E1D}"/>
    <cellStyle name="Normal 10 20 3 6" xfId="2297" xr:uid="{37FB35C6-E254-421C-B8B5-DEB8006B2C1F}"/>
    <cellStyle name="Normal 10 20 4 2" xfId="2298" xr:uid="{4F24BB11-D190-4834-AE14-E59DA074C8EA}"/>
    <cellStyle name="Normal 10 20 4 5" xfId="2299" xr:uid="{9E95E403-63C6-4216-8E28-FDE445563BCA}"/>
    <cellStyle name="Normal 10 20 5 4" xfId="2300" xr:uid="{49E7DEAF-A5B0-4657-8ACF-F0DB8DE0BB29}"/>
    <cellStyle name="Normal 10 20 6 2" xfId="2301" xr:uid="{6D7BE878-AC4B-4D4B-8B2D-86E560BEDB35}"/>
    <cellStyle name="Normal 10 20 7" xfId="2302" xr:uid="{6C92B668-7455-4DC4-8829-FC5740A58C17}"/>
    <cellStyle name="Normal 10 20 8" xfId="2303" xr:uid="{7A0F2AE8-2813-464D-BA84-7B4BF47BA039}"/>
    <cellStyle name="Normal 10 21" xfId="2304" xr:uid="{72D5673B-1D35-4E41-AD7D-5A56B066CB28}"/>
    <cellStyle name="Normal 10 21 2 4" xfId="2305" xr:uid="{35B3BBE6-32EB-4056-B9D6-0C7D7EBFCD59}"/>
    <cellStyle name="Normal 10 21 3 2" xfId="2306" xr:uid="{DD842E90-85CE-436D-8387-6BD2FFA34C32}"/>
    <cellStyle name="Normal 10 21 4 2" xfId="2307" xr:uid="{DF28FCE5-F179-4E37-B4B4-59FE4F54B4C4}"/>
    <cellStyle name="Normal 10 21 5 2" xfId="2308" xr:uid="{00174336-DC96-4291-86C3-F8EB4BD6B462}"/>
    <cellStyle name="Normal 10 21 5 6" xfId="2309" xr:uid="{2E0A21E2-C376-4870-B234-AA2A5535B093}"/>
    <cellStyle name="Normal 10 21 6 4" xfId="2310" xr:uid="{3C0E465F-8EBF-412F-A35E-AC1D24552C0B}"/>
    <cellStyle name="Normal 10 21 7" xfId="2311" xr:uid="{C1764032-9E41-466F-A699-824DD28B705B}"/>
    <cellStyle name="Normal 10 21 7 5" xfId="2312" xr:uid="{566DBE01-21C0-404B-B3C8-F8D7C3FFED29}"/>
    <cellStyle name="Normal 10 21 8 3" xfId="2313" xr:uid="{BFA2BE7A-44FC-472E-B9AF-1F37433D1E83}"/>
    <cellStyle name="Normal 10 21 8 5" xfId="2314" xr:uid="{68F092E7-FB3D-4978-91D6-D3D70D55784C}"/>
    <cellStyle name="Normal 10 21 9" xfId="2315" xr:uid="{1CCDC6A9-9BA6-4D08-AE73-4CFABEEDCC60}"/>
    <cellStyle name="Normal 10 22 12" xfId="2316" xr:uid="{F3F444BA-E88B-46B1-8C39-00F3DD4C846E}"/>
    <cellStyle name="Normal 10 22 2" xfId="2317" xr:uid="{8269EB04-927B-41CB-8D5D-59E3327138EC}"/>
    <cellStyle name="Normal 10 22 2 3" xfId="2318" xr:uid="{17188D9F-BA67-4F1F-97CD-8AEA26F6C954}"/>
    <cellStyle name="Normal 10 22 3 2" xfId="2319" xr:uid="{BEA5A644-2483-4724-ACF2-0339BFF14FB7}"/>
    <cellStyle name="Normal 10 22 3 5" xfId="2320" xr:uid="{031FE850-F454-436D-8D93-F66E7F24EC21}"/>
    <cellStyle name="Normal 10 22 4 3" xfId="2321" xr:uid="{B16B413C-A5D9-4477-9E35-0E24A1B6DCF8}"/>
    <cellStyle name="Normal 10 22 5" xfId="2322" xr:uid="{FFE7DE3F-98E0-4775-9144-BAD52127E1F4}"/>
    <cellStyle name="Normal 10 22 5 4" xfId="2323" xr:uid="{E0DBBABF-9B99-46CB-BC8C-C2212B7C903D}"/>
    <cellStyle name="Normal 10 22 6 2" xfId="2324" xr:uid="{569C224D-5A78-442F-A48C-6BCCAC92E1E2}"/>
    <cellStyle name="Normal 10 22 6 6" xfId="2325" xr:uid="{D967C37B-6758-49BD-84A6-8632B3F74183}"/>
    <cellStyle name="Normal 10 22 8" xfId="2326" xr:uid="{69042DF1-FB4A-49B8-8CD9-ED341E8557E6}"/>
    <cellStyle name="Normal 10 22 8 5" xfId="2327" xr:uid="{1D9EA63E-5720-43FA-9225-A757C5AE7FBC}"/>
    <cellStyle name="Normal 10 23 10" xfId="2328" xr:uid="{9479F1C8-EEAC-4BED-8438-4DBDBCED586F}"/>
    <cellStyle name="Normal 10 23 2 3" xfId="2329" xr:uid="{1944ACB6-6270-4ACC-9367-E6DF77E7B675}"/>
    <cellStyle name="Normal 10 23 3" xfId="2330" xr:uid="{4864085A-C675-4166-B090-F970E430F928}"/>
    <cellStyle name="Normal 10 23 4" xfId="2331" xr:uid="{119D040F-9E7D-4E51-8E4B-97C504839988}"/>
    <cellStyle name="Normal 10 23 5 2" xfId="2332" xr:uid="{72CE7A87-40B5-4B8D-B67B-C04CB91ABDCE}"/>
    <cellStyle name="Normal 10 23 6 4" xfId="2333" xr:uid="{8A564486-55ED-4420-9F86-7F18CB4E73E5}"/>
    <cellStyle name="Normal 10 23 7 2" xfId="2334" xr:uid="{05238923-EF0B-4F04-99CE-C314C86FB4AC}"/>
    <cellStyle name="Normal 10 23 8 3" xfId="2335" xr:uid="{5B20A57B-3EEC-4AFE-A27D-BA4E32FF9913}"/>
    <cellStyle name="Normal 10 24 10" xfId="2336" xr:uid="{6728489A-BB21-4F1E-8E80-B8783EABF300}"/>
    <cellStyle name="Normal 10 24 3" xfId="2337" xr:uid="{502B72AB-3572-4E1E-9361-CCF103415F18}"/>
    <cellStyle name="Normal 10 24 3 4" xfId="2338" xr:uid="{5FA4DD83-C816-4A4B-8B9E-AEA8DF74C962}"/>
    <cellStyle name="Normal 10 24 4 6" xfId="2339" xr:uid="{5842112A-6444-42B8-98A5-A9C13F5E8C2A}"/>
    <cellStyle name="Normal 10 24 6 3" xfId="2340" xr:uid="{C338F7BF-94D5-4E2C-87CF-C26991AB41DF}"/>
    <cellStyle name="Normal 10 24 8 4" xfId="2341" xr:uid="{E424F771-8978-46A3-AAEC-97E950D06507}"/>
    <cellStyle name="Normal 10 25 2 2" xfId="2342" xr:uid="{5712E4A2-B431-437D-BFCE-E7D2C204D9F7}"/>
    <cellStyle name="Normal 10 25 3 4" xfId="2343" xr:uid="{613A2B9F-211B-491B-90D5-7DEBC8DF8479}"/>
    <cellStyle name="Normal 10 25 4 5" xfId="2344" xr:uid="{BC5DE0D5-5601-4190-B9A9-CCA4EC010E2D}"/>
    <cellStyle name="Normal 10 25 5 5" xfId="2345" xr:uid="{AD77E7E7-F569-468E-8DE0-452E5D1372F6}"/>
    <cellStyle name="Normal 10 25 6 6" xfId="2346" xr:uid="{24D4D917-D85F-449A-B56B-82A26145AFD7}"/>
    <cellStyle name="Normal 10 25 7 5" xfId="2347" xr:uid="{71083919-2FF5-4036-A760-B37E3A7279E4}"/>
    <cellStyle name="Normal 10 25 8 6" xfId="2348" xr:uid="{3713497B-F245-4CCF-B566-7512C9B162D7}"/>
    <cellStyle name="Normal 10 26 2" xfId="2349" xr:uid="{F4B1A9D1-C8B5-49EC-9072-885D8D5E1C64}"/>
    <cellStyle name="Normal 10 26 3" xfId="2350" xr:uid="{1BF3158C-3C81-4D08-8DC2-4438AB6FC05B}"/>
    <cellStyle name="Normal 10 26 3 6" xfId="2351" xr:uid="{F81CDF5E-D14B-472C-AAC5-E1A95D592CD8}"/>
    <cellStyle name="Normal 10 26 4 4" xfId="2352" xr:uid="{7ABB423E-8BA1-4B5B-8027-90C2E66C5D99}"/>
    <cellStyle name="Normal 10 26 5 2" xfId="2353" xr:uid="{9993C4CA-8B1B-430B-A41D-6A983AB5182C}"/>
    <cellStyle name="Normal 10 26 6 2" xfId="2354" xr:uid="{650F090A-499C-4510-85C9-B9483FE84690}"/>
    <cellStyle name="Normal 10 26 7 6" xfId="2355" xr:uid="{BD4AF589-733A-47DB-90D0-0821E3B78C47}"/>
    <cellStyle name="Normal 10 27" xfId="2356" xr:uid="{FABFAAB3-1301-428C-BF97-1A8FB6793B25}"/>
    <cellStyle name="Normal 10 27 2" xfId="2357" xr:uid="{0D960799-4F3C-4A30-A1EF-D5D9E9B71925}"/>
    <cellStyle name="Normal 10 27 2 5" xfId="2358" xr:uid="{4B93F0CB-C29A-40A0-9A8A-DBE7215D90FC}"/>
    <cellStyle name="Normal 10 27 3 3" xfId="2359" xr:uid="{D792801E-1DA4-458F-9EB8-93193EE09182}"/>
    <cellStyle name="Normal 10 27 3 5" xfId="2360" xr:uid="{C9E9DD92-A8CE-40B9-A6DC-AC984CBFB7CE}"/>
    <cellStyle name="Normal 10 27 4" xfId="2361" xr:uid="{9DAE991F-D98F-4657-8A80-CAC976C62860}"/>
    <cellStyle name="Normal 10 27 4 5" xfId="2362" xr:uid="{E47AAFD1-5479-49C1-B617-D05B7FECC8EF}"/>
    <cellStyle name="Normal 10 27 5" xfId="2363" xr:uid="{82E2F48D-08AB-4C86-9F80-76343693D5B2}"/>
    <cellStyle name="Normal 10 27 5 3" xfId="2364" xr:uid="{27ABD86B-A333-4228-8858-6DC31988CE59}"/>
    <cellStyle name="Normal 10 27 6" xfId="2365" xr:uid="{74F10C28-FC78-4BE4-B27C-9813B059B1AC}"/>
    <cellStyle name="Normal 10 27 6 4" xfId="2366" xr:uid="{0E1AA3CA-BD72-4315-87B5-F8001BA7F005}"/>
    <cellStyle name="Normal 10 27 7 2" xfId="2367" xr:uid="{0C843022-F9A2-47F1-A310-11673FFF18AF}"/>
    <cellStyle name="Normal 10 27 7 6" xfId="2368" xr:uid="{408C2CB3-579C-4211-BF9A-2FB2997C51C7}"/>
    <cellStyle name="Normal 10 27 8 5" xfId="2369" xr:uid="{51511F3B-8364-473E-A0CA-4ED52A7FEE3B}"/>
    <cellStyle name="Normal 10 28 10" xfId="2370" xr:uid="{4E8D64E6-3707-4949-BB5A-A12876E603EA}"/>
    <cellStyle name="Normal 10 28 13" xfId="2371" xr:uid="{04F57EA3-27F1-471D-A4EB-1A05A2BF414D}"/>
    <cellStyle name="Normal 10 28 2 4" xfId="2372" xr:uid="{5D4E066C-E72F-43AD-8ACC-4B3316684372}"/>
    <cellStyle name="Normal 10 28 3 2" xfId="2373" xr:uid="{52F8F0B1-F3CE-4C3A-893F-30AECB6964D7}"/>
    <cellStyle name="Normal 10 28 3 6" xfId="2374" xr:uid="{CC291D8E-02F4-4E16-BD02-5D69E27409F4}"/>
    <cellStyle name="Normal 10 28 4 4" xfId="2375" xr:uid="{F717FBC6-D2D2-450D-9CBA-3B5955F2EC60}"/>
    <cellStyle name="Normal 10 28 5 2" xfId="2376" xr:uid="{805DA883-B9F0-4C2D-99BD-90DF62420E84}"/>
    <cellStyle name="Normal 10 28 5 6" xfId="2377" xr:uid="{3FE9FDE3-FDE4-4445-AEF3-88495F454713}"/>
    <cellStyle name="Normal 10 28 6 4" xfId="2378" xr:uid="{4B340512-CB28-49DB-B83A-664CBCE34A73}"/>
    <cellStyle name="Normal 10 28 8" xfId="2379" xr:uid="{C64F11FB-6CAD-47C2-B2F2-8EF15092C254}"/>
    <cellStyle name="Normal 10 29 13" xfId="2380" xr:uid="{92D3ACD4-9F2A-403F-ADB4-D601AA9967D5}"/>
    <cellStyle name="Normal 10 29 3" xfId="2381" xr:uid="{2BF8B309-2CA0-4A3D-8F8D-31DD25770FB0}"/>
    <cellStyle name="Normal 10 29 3 4" xfId="2382" xr:uid="{32F7533B-9F72-49E4-B8DC-EC30BC2CBC1F}"/>
    <cellStyle name="Normal 10 29 4 3" xfId="2383" xr:uid="{6664F36E-5087-4A39-BF4D-482389DD6EEE}"/>
    <cellStyle name="Normal 10 29 5 6" xfId="2384" xr:uid="{60ECF913-34D5-4BDF-9889-22E6561E3867}"/>
    <cellStyle name="Normal 10 29 7" xfId="2385" xr:uid="{53AB74A7-FFE6-4706-813C-2E5710EDAF30}"/>
    <cellStyle name="Normal 10 29 8 3" xfId="2386" xr:uid="{5780E70C-EA81-4CEA-848A-0D21A0C96814}"/>
    <cellStyle name="Normal 10 3 10 2" xfId="2387" xr:uid="{6B737701-C927-4DBC-96C4-780524285B32}"/>
    <cellStyle name="Normal 10 3 10 4" xfId="2388" xr:uid="{595E28DA-F0D0-4ADC-9E42-33BAD4EA35DF}"/>
    <cellStyle name="Normal 10 3 11 3" xfId="2389" xr:uid="{C32D42D3-B8C9-4C04-8369-FF0334AFFB18}"/>
    <cellStyle name="Normal 10 3 12 2" xfId="2390" xr:uid="{E8B1BCBB-4D51-48E4-86D6-4BEE0DFAC1DA}"/>
    <cellStyle name="Normal 10 3 12 3 4" xfId="2391" xr:uid="{6291798D-4891-481C-84B5-21865E6CAEDC}"/>
    <cellStyle name="Normal 10 3 13" xfId="2392" xr:uid="{FFD7E5B8-EB01-4A30-B660-32784F55AA09}"/>
    <cellStyle name="Normal 10 3 13 2 4" xfId="2393" xr:uid="{FB558430-F172-47CD-8861-38A72077BCF0}"/>
    <cellStyle name="Normal 10 3 13 3 2" xfId="2394" xr:uid="{E7395480-5B3C-4F51-A391-6C8D5CCB9895}"/>
    <cellStyle name="Normal 10 3 13 3 4" xfId="2395" xr:uid="{0406407B-1D3C-4C7C-B1F8-419CE6A204A6}"/>
    <cellStyle name="Normal 10 3 14" xfId="2396" xr:uid="{57DF7A7C-5370-4C14-B196-4A9E557AE2AF}"/>
    <cellStyle name="Normal 10 3 14 2 4" xfId="2397" xr:uid="{DDDC2149-AD9F-4934-893A-8BD91337BAE3}"/>
    <cellStyle name="Normal 10 3 14 3 4" xfId="2398" xr:uid="{F6AFCC15-D117-42FF-8208-9DB3747112DC}"/>
    <cellStyle name="Normal 10 3 15" xfId="2399" xr:uid="{0B4D3293-EF82-44F7-888B-94B1AC0C9B34}"/>
    <cellStyle name="Normal 10 3 15 2 4" xfId="2400" xr:uid="{46173E5D-BA37-482A-B2E3-12C076C08CE6}"/>
    <cellStyle name="Normal 10 3 15 3 4" xfId="2401" xr:uid="{7D992AAA-954A-42D9-9BB2-9457956D522B}"/>
    <cellStyle name="Normal 10 3 16" xfId="2402" xr:uid="{273C49D9-B25F-4C73-9255-4A08850A4A10}"/>
    <cellStyle name="Normal 10 3 16 2 4" xfId="2403" xr:uid="{23D584C9-6554-42CF-AF46-1A91AEEBC1D9}"/>
    <cellStyle name="Normal 10 3 16 3 4" xfId="2404" xr:uid="{3289843F-7232-4AF0-8A17-58D3CDE810E0}"/>
    <cellStyle name="Normal 10 3 17" xfId="2405" xr:uid="{B02BB209-D32E-4422-8565-4454A0927856}"/>
    <cellStyle name="Normal 10 3 17 3 2" xfId="2406" xr:uid="{CEF18953-4DCD-4B7F-8D6E-2A1F500EBE10}"/>
    <cellStyle name="Normal 10 3 17 5" xfId="2407" xr:uid="{7AE5DCE3-FA01-4ECE-8066-41F95D69B03C}"/>
    <cellStyle name="Normal 10 3 18 3" xfId="2408" xr:uid="{6469ECA1-A4B0-443D-9186-08326A45FB2F}"/>
    <cellStyle name="Normal 10 3 19 3" xfId="2409" xr:uid="{32569F5B-832C-4FF7-ACBB-19E3B6372283}"/>
    <cellStyle name="Normal 10 3 2 2 2" xfId="2410" xr:uid="{B632ABCF-A0FD-40EC-A3C7-4EE514B8B1D3}"/>
    <cellStyle name="Normal 10 3 2 3 2" xfId="2411" xr:uid="{70C49D9B-C55C-482C-BBA0-A8C4D62E3B63}"/>
    <cellStyle name="Normal 10 3 2 5" xfId="2412" xr:uid="{0DE080CF-53A7-44E5-83B0-453A8192B7E9}"/>
    <cellStyle name="Normal 10 3 20 3" xfId="2413" xr:uid="{27031440-2A76-468F-9971-8EE5F47AF413}"/>
    <cellStyle name="Normal 10 3 23" xfId="2414" xr:uid="{3C5DF794-519D-476F-BBE8-F6FDC901EEA8}"/>
    <cellStyle name="Normal 10 3 3 2 3" xfId="2415" xr:uid="{B9E9B595-B699-4A16-9864-D08BB0A4BF07}"/>
    <cellStyle name="Normal 10 3 3 4" xfId="2416" xr:uid="{53664600-22E9-4AD9-9E80-455507ABD421}"/>
    <cellStyle name="Normal 10 3 4 2" xfId="2417" xr:uid="{E4267099-CFF0-49DA-A06D-FB384F8B9920}"/>
    <cellStyle name="Normal 10 3 4 2 3" xfId="2418" xr:uid="{272C0D51-C0FE-4A16-B61B-6A1583196322}"/>
    <cellStyle name="Normal 10 3 4 3" xfId="2419" xr:uid="{D14B05D5-981E-4961-A4B3-CAEF71393997}"/>
    <cellStyle name="Normal 10 3 4 3 3" xfId="2420" xr:uid="{BBB42AE3-6109-4FD2-9E45-E34CBFA1B010}"/>
    <cellStyle name="Normal 10 3 4 4" xfId="2421" xr:uid="{0A7638B1-5301-4EBD-93A2-DC5153152EAC}"/>
    <cellStyle name="Normal 10 3 4 6" xfId="2422" xr:uid="{82E3A34C-1BA6-4A4F-9E49-B232F2CF7015}"/>
    <cellStyle name="Normal 10 3 5 2" xfId="2423" xr:uid="{1D890676-F4C4-4BAC-8329-D7DFC755DEE9}"/>
    <cellStyle name="Normal 10 3 5 2 3" xfId="2424" xr:uid="{D457E9BD-5159-4F89-9BB1-24DA1BE22A0E}"/>
    <cellStyle name="Normal 10 3 5 3 2" xfId="2425" xr:uid="{0BD9A503-519C-4B34-9BD2-64A39763BF99}"/>
    <cellStyle name="Normal 10 3 5 3 4" xfId="2426" xr:uid="{94408456-854B-477B-AD47-97D49911A5FE}"/>
    <cellStyle name="Normal 10 3 5 6" xfId="2427" xr:uid="{D0BE7B64-43F2-4AF9-B3DF-EA885378EEAD}"/>
    <cellStyle name="Normal 10 3 6 2" xfId="2428" xr:uid="{7E4547F5-5079-4578-896E-32C7C9A76E7E}"/>
    <cellStyle name="Normal 10 3 6 2 4" xfId="2429" xr:uid="{D69D41BA-AB47-49CC-BD66-F320840C8F97}"/>
    <cellStyle name="Normal 10 3 6 3 2" xfId="2430" xr:uid="{47A8FE8B-2E76-4FD0-8B25-73FE60EC7DAE}"/>
    <cellStyle name="Normal 10 3 6 3 4" xfId="2431" xr:uid="{CB6B382C-E4C4-408D-BAC0-E218B7DA5847}"/>
    <cellStyle name="Normal 10 3 6 5" xfId="2432" xr:uid="{2F919483-B860-4BBE-8FA3-4C8EC66FE883}"/>
    <cellStyle name="Normal 10 3 7" xfId="2433" xr:uid="{47B87E81-5ED1-4775-AAE3-F8133E47C8BE}"/>
    <cellStyle name="Normal 10 3 7 2 2" xfId="2434" xr:uid="{5EC921AC-7EAD-4131-AA27-EA4505949DF8}"/>
    <cellStyle name="Normal 10 3 7 2 4" xfId="2435" xr:uid="{EF3FE672-38B1-4CEA-83AA-38315E66E048}"/>
    <cellStyle name="Normal 10 3 7 3 2" xfId="2436" xr:uid="{EC8BAF66-B86A-49B4-8A5F-1EF2FEF998B4}"/>
    <cellStyle name="Normal 10 3 7 3 4" xfId="2437" xr:uid="{0A5D22E6-B740-46E4-813B-45A3EAC1FDB1}"/>
    <cellStyle name="Normal 10 3 7 5" xfId="2438" xr:uid="{BB0885A4-94FC-48B8-959E-EBFDE61B2DDD}"/>
    <cellStyle name="Normal 10 3 8" xfId="2439" xr:uid="{20C618F7-9E5F-4D12-BBD0-A4632D6EA64F}"/>
    <cellStyle name="Normal 10 3 8 2 2" xfId="2440" xr:uid="{5DE5C9C9-DF06-436C-BFA7-17E5E57233F2}"/>
    <cellStyle name="Normal 10 3 8 2 4" xfId="2441" xr:uid="{FC31690E-8341-4EF6-A77A-5B7FE0C40FA8}"/>
    <cellStyle name="Normal 10 3 8 3 2" xfId="2442" xr:uid="{185051F6-3CD9-4980-9E18-C5BEF5C5ADEA}"/>
    <cellStyle name="Normal 10 3 8 3 4" xfId="2443" xr:uid="{2C284DBE-E025-46BD-9D06-94680B33936B}"/>
    <cellStyle name="Normal 10 3 8 5" xfId="2444" xr:uid="{A004953E-97C8-43EE-8B9B-3ABECB3F9847}"/>
    <cellStyle name="Normal 10 3 9" xfId="2445" xr:uid="{F6801795-58D8-49D2-AE33-CCA25ED20D7C}"/>
    <cellStyle name="Normal 10 3 9 2 2" xfId="2446" xr:uid="{ADC5EEB2-7A4A-4D76-AADC-E56670F58B17}"/>
    <cellStyle name="Normal 10 3 9 2 4" xfId="2447" xr:uid="{EAF2DB2F-8B63-4C45-B830-065B79637D65}"/>
    <cellStyle name="Normal 10 3 9 3 2" xfId="2448" xr:uid="{06752296-CD47-4491-8117-D2647B4EAA28}"/>
    <cellStyle name="Normal 10 3 9 3 4" xfId="2449" xr:uid="{ECEDDD61-ABFC-4919-A2A4-D6069A8088DE}"/>
    <cellStyle name="Normal 10 3 9 5" xfId="2450" xr:uid="{E924C585-2268-4761-8673-473532F48ECF}"/>
    <cellStyle name="Normal 10 30" xfId="2451" xr:uid="{878311B5-4DDD-40F8-8967-4D5A99A4B1D9}"/>
    <cellStyle name="Normal 10 30 11" xfId="2452" xr:uid="{5C1A6F75-3115-4A9D-96DB-80700A0263E5}"/>
    <cellStyle name="Normal 10 30 13" xfId="2453" xr:uid="{14AAD7A6-E1F6-45A5-B6DB-ECEFED387FF9}"/>
    <cellStyle name="Normal 10 30 2 2" xfId="2454" xr:uid="{DEC63C14-5FCB-4DEF-A6B0-0087531C0248}"/>
    <cellStyle name="Normal 10 30 2 4" xfId="2455" xr:uid="{898A0558-692C-4ECC-BC85-EBF15DBFE12C}"/>
    <cellStyle name="Normal 10 30 2 6" xfId="2456" xr:uid="{2F905F87-CB3B-438C-82AF-F8D2DED4774E}"/>
    <cellStyle name="Normal 10 30 3 2" xfId="2457" xr:uid="{F0E16F04-1232-494E-8B17-B8370B373152}"/>
    <cellStyle name="Normal 10 30 3 4" xfId="2458" xr:uid="{86FDA62C-D1E2-4854-82F3-B2FB27B56892}"/>
    <cellStyle name="Normal 10 30 3 6" xfId="2459" xr:uid="{BC1480CF-315A-4012-BE7A-B775CA70846C}"/>
    <cellStyle name="Normal 10 30 4 2" xfId="2460" xr:uid="{68552F7C-F39F-41DB-A74B-5AB12D168161}"/>
    <cellStyle name="Normal 10 30 4 4" xfId="2461" xr:uid="{2E914B79-E154-45D7-8C8A-328BA30A3639}"/>
    <cellStyle name="Normal 10 30 4 6" xfId="2462" xr:uid="{76DFF000-75BA-45D0-BF38-FCFA18495AFD}"/>
    <cellStyle name="Normal 10 30 5 2" xfId="2463" xr:uid="{22EC35D4-1662-46D1-AB12-BD953866CB55}"/>
    <cellStyle name="Normal 10 30 5 4" xfId="2464" xr:uid="{AB48364B-7564-4388-AC96-525610E26418}"/>
    <cellStyle name="Normal 10 30 5 6" xfId="2465" xr:uid="{3F03A1FB-0828-4325-A4F7-F4D0476917FC}"/>
    <cellStyle name="Normal 10 30 6 2" xfId="2466" xr:uid="{3377BB9E-78E6-494B-9ABA-AF52FF4DE636}"/>
    <cellStyle name="Normal 10 30 6 6" xfId="2467" xr:uid="{1EF0B7F0-8C95-497F-BDF9-6042683A9C6B}"/>
    <cellStyle name="Normal 10 30 8 2" xfId="2468" xr:uid="{50D4F967-6373-44EE-BD32-87A10CBA4FC7}"/>
    <cellStyle name="Normal 10 31 10" xfId="2469" xr:uid="{F334D4E4-D514-4E5D-81B7-DD66A5CA9BC1}"/>
    <cellStyle name="Normal 10 31 2 4" xfId="2470" xr:uid="{448FD5A6-A4FB-43F2-A15A-99854DFF99E8}"/>
    <cellStyle name="Normal 10 31 3 6" xfId="2471" xr:uid="{92B13A59-A03C-45EC-B652-D29EE8D1092C}"/>
    <cellStyle name="Normal 10 31 5" xfId="2472" xr:uid="{FA7000F8-561E-45F8-96B5-AA061211265E}"/>
    <cellStyle name="Normal 10 31 6 3" xfId="2473" xr:uid="{BFFFD65D-DDD3-407E-A533-8505C595FC04}"/>
    <cellStyle name="Normal 10 31 7 5" xfId="2474" xr:uid="{B15D96A8-4DE9-4F26-992A-3BB42ABFD280}"/>
    <cellStyle name="Normal 10 31 9" xfId="2475" xr:uid="{D20691FD-322A-446C-A4DB-DB51E7B6FE2C}"/>
    <cellStyle name="Normal 10 32 2 3" xfId="2476" xr:uid="{35835626-64C6-4616-8103-D3749DD51307}"/>
    <cellStyle name="Normal 10 32 3 5" xfId="2477" xr:uid="{5F9E6669-2B41-409D-9A7C-C9FB68932738}"/>
    <cellStyle name="Normal 10 32 5" xfId="2478" xr:uid="{85466DE3-7FF6-443C-AF64-59CD5438B22E}"/>
    <cellStyle name="Normal 10 32 6 2" xfId="2479" xr:uid="{8EC72200-65A4-4841-AB76-C017A8542D40}"/>
    <cellStyle name="Normal 10 32 7 4" xfId="2480" xr:uid="{841D185B-7682-4527-8708-968E45B39E74}"/>
    <cellStyle name="Normal 10 32 8 5" xfId="2481" xr:uid="{24262288-9D90-4DDB-9A07-708190482E50}"/>
    <cellStyle name="Normal 10 33 13" xfId="2482" xr:uid="{3C7AF4F1-2302-4481-BA10-9C61D8B4B964}"/>
    <cellStyle name="Normal 10 33 3 2" xfId="2483" xr:uid="{B1CF4924-EB0F-44ED-9157-3E3012C8833C}"/>
    <cellStyle name="Normal 10 33 4 3" xfId="2484" xr:uid="{BD25E451-1BE9-4C27-BCEA-6C92A2B4CB7B}"/>
    <cellStyle name="Normal 10 33 5 5" xfId="2485" xr:uid="{2744E3AD-65AA-46FC-8369-0E635122F336}"/>
    <cellStyle name="Normal 10 33 7" xfId="2486" xr:uid="{C7721917-96A7-43A6-9EBA-B9A729042715}"/>
    <cellStyle name="Normal 10 33 7 5" xfId="2487" xr:uid="{AA08D45E-0096-4089-935D-161E350B32FB}"/>
    <cellStyle name="Normal 10 33 9" xfId="2488" xr:uid="{8A4709BA-B6EF-48CC-BF7A-01BEAAD69989}"/>
    <cellStyle name="Normal 10 35 2" xfId="2489" xr:uid="{D01844A5-3EB2-430D-8E0F-CD5276F8EFE8}"/>
    <cellStyle name="Normal 10 36 4" xfId="2490" xr:uid="{E5DA19D2-1522-4493-A2C5-E821DC4908E3}"/>
    <cellStyle name="Normal 10 37 6" xfId="2491" xr:uid="{83A46A28-CD87-4355-86B6-DB0938E495E2}"/>
    <cellStyle name="Normal 10 39" xfId="2492" xr:uid="{1543C46F-338B-4163-87DA-8C8779DC1CF7}"/>
    <cellStyle name="Normal 10 4 10" xfId="2493" xr:uid="{826419E9-9478-46B3-AD48-3121567B9FAE}"/>
    <cellStyle name="Normal 10 4 2 5" xfId="2494" xr:uid="{F0A11970-F0FD-49DD-8E5F-2B55B8D04F30}"/>
    <cellStyle name="Normal 10 4 4 4" xfId="2495" xr:uid="{BC154B15-1657-459E-9D49-0ED652152807}"/>
    <cellStyle name="Normal 10 4 5 5" xfId="2496" xr:uid="{F8377DCA-2614-435B-8B4B-852B18FE752E}"/>
    <cellStyle name="Normal 10 4 7" xfId="2497" xr:uid="{49C74F39-915E-4017-94C0-F41C510A1A7F}"/>
    <cellStyle name="Normal 10 4 8 3" xfId="2498" xr:uid="{22C145E6-3650-4AEF-AD2A-7C0A6B60BD61}"/>
    <cellStyle name="Normal 10 40 4" xfId="2499" xr:uid="{0EE59806-CAAE-4499-ACBC-CDC4F2CBDF6C}"/>
    <cellStyle name="Normal 10 46" xfId="2500" xr:uid="{13CBDD5E-D689-476D-86DF-72C2CB578694}"/>
    <cellStyle name="Normal 10 5 2 3" xfId="2501" xr:uid="{B2F61658-0671-40B2-A669-04ECB9665484}"/>
    <cellStyle name="Normal 10 5 3 5" xfId="2502" xr:uid="{4244B25D-DB96-4DF9-B2C0-F4CCE8FA4FDD}"/>
    <cellStyle name="Normal 10 5 5" xfId="2503" xr:uid="{7997A046-9A5C-40EB-84FB-635696F70579}"/>
    <cellStyle name="Normal 10 5 6 2" xfId="2504" xr:uid="{64A5F01E-AB88-4BB5-AEDD-5B1595EFC270}"/>
    <cellStyle name="Normal 10 5 7 4" xfId="2505" xr:uid="{4DF28CBC-5856-47E2-AA5E-4A3DEC7FBC43}"/>
    <cellStyle name="Normal 10 5 8 6" xfId="2506" xr:uid="{D49ACDB3-F611-4DC6-A85B-1287E1298BAE}"/>
    <cellStyle name="Normal 10 6 2 2" xfId="2507" xr:uid="{C5809767-8076-409A-9324-09AF2D73737A}"/>
    <cellStyle name="Normal 10 6 3 4" xfId="2508" xr:uid="{9EEC2AD1-A961-417D-811E-801997DACDD8}"/>
    <cellStyle name="Normal 10 6 4 6" xfId="2509" xr:uid="{5A87AC66-561A-498F-BFD2-FFD90D75D4D1}"/>
    <cellStyle name="Normal 10 6 5 6" xfId="2510" xr:uid="{72843BC9-8331-4591-9ED4-D99C4BAF6D1E}"/>
    <cellStyle name="Normal 10 6 6 4" xfId="2511" xr:uid="{A82C772D-0639-4279-BD36-8B5066715DDF}"/>
    <cellStyle name="Normal 10 6 7 2" xfId="2512" xr:uid="{E27B410C-CBC0-4733-AAE7-4A0CBB6DB17C}"/>
    <cellStyle name="Normal 10 6 7 6" xfId="2513" xr:uid="{72ACC988-114B-4093-BB8E-2DAD1D10E70C}"/>
    <cellStyle name="Normal 10 6 8 4" xfId="2514" xr:uid="{B6779E6D-A034-45FE-BBE5-A6CDEEB50DA8}"/>
    <cellStyle name="Normal 10 7" xfId="2515" xr:uid="{0DDD5BFE-4858-4953-9F39-276512A2B181}"/>
    <cellStyle name="Normal 10 7 13" xfId="2516" xr:uid="{F46548FB-BE4D-40C2-A84E-678210FA858B}"/>
    <cellStyle name="Normal 10 7 2 4" xfId="2517" xr:uid="{1AD9BB6E-4290-4036-BFC2-A54AA9DA1D6B}"/>
    <cellStyle name="Normal 10 7 3 2" xfId="2518" xr:uid="{0D566A35-33FE-4D59-B27E-7024DCDE2BC9}"/>
    <cellStyle name="Normal 10 7 3 6" xfId="2519" xr:uid="{2B6D3AB7-1DF9-4501-8508-0FE890F68BF5}"/>
    <cellStyle name="Normal 10 7 4 4" xfId="2520" xr:uid="{E4B50DD7-90F6-4B25-93AE-4CC982384112}"/>
    <cellStyle name="Normal 10 7 5 2" xfId="2521" xr:uid="{AFBEC7BE-5ABC-468A-9B29-F247FEBC4F4F}"/>
    <cellStyle name="Normal 10 7 6 3" xfId="2522" xr:uid="{FA1D3AE3-53E2-4EA0-990B-6395C641885A}"/>
    <cellStyle name="Normal 10 7 7 3" xfId="2523" xr:uid="{C41B0211-2588-4DBF-97A6-8BA5CB53C730}"/>
    <cellStyle name="Normal 10 7 8" xfId="2524" xr:uid="{226F2567-932D-458D-BB9E-50E21AF6CB02}"/>
    <cellStyle name="Normal 10 7 8 5" xfId="2525" xr:uid="{9984D9F7-67CE-4AC9-B881-C06EE204FF49}"/>
    <cellStyle name="Normal 10 8 10" xfId="2526" xr:uid="{954FF886-0B07-4BAD-B5E1-1B2B8B916DC8}"/>
    <cellStyle name="Normal 10 8 2" xfId="2527" xr:uid="{A6A637A4-3AB9-48DA-B090-F49808BE9950}"/>
    <cellStyle name="Normal 10 8 2 5" xfId="2528" xr:uid="{DCEC14C4-7E55-499F-87DE-855EF724AEB6}"/>
    <cellStyle name="Normal 10 8 3 3" xfId="2529" xr:uid="{4FAE4E74-4D95-4FD8-A864-421A1C0848BA}"/>
    <cellStyle name="Normal 10 8 4" xfId="2530" xr:uid="{145E7F26-1340-4732-9FBD-110A28FEDB5D}"/>
    <cellStyle name="Normal 10 8 4 5" xfId="2531" xr:uid="{F5DCC408-9E19-45AD-B738-BAE08FD635D8}"/>
    <cellStyle name="Normal 10 8 5 3" xfId="2532" xr:uid="{63E92275-F1A9-4D3B-AC06-69F1559F7507}"/>
    <cellStyle name="Normal 10 8 6" xfId="2533" xr:uid="{05061AC2-B184-422F-A345-32FA4DED21D0}"/>
    <cellStyle name="Normal 10 8 6 5" xfId="2534" xr:uid="{DEE264D9-DE85-40B6-BE4F-FBB7C7DC92BB}"/>
    <cellStyle name="Normal 10 8 7 3" xfId="2535" xr:uid="{3410E7F4-582E-4D5E-9349-2D1F1217C37B}"/>
    <cellStyle name="Normal 10 8 8" xfId="2536" xr:uid="{396C35A1-BA4C-4011-9F91-A93A8E9CFA67}"/>
    <cellStyle name="Normal 10 8 8 5" xfId="2537" xr:uid="{2B666A33-D63E-4DD5-9564-10ADF4E9EE29}"/>
    <cellStyle name="Normal 10 9 10" xfId="2538" xr:uid="{CBD4933E-CCF5-463A-8220-67F69C1BC055}"/>
    <cellStyle name="Normal 10 9 2" xfId="2539" xr:uid="{A4E6DEAE-4A90-445F-917B-4A914163D87E}"/>
    <cellStyle name="Normal 10 9 2 5" xfId="2540" xr:uid="{958D935B-1D6A-4DEA-A440-C66D2A30A5EF}"/>
    <cellStyle name="Normal 10 9 3 3" xfId="2541" xr:uid="{CC6D9835-A69F-4262-9FB9-4DECFC74340A}"/>
    <cellStyle name="Normal 10 9 4" xfId="2542" xr:uid="{E539FF3B-5BC1-4EDE-8095-39175F5902B8}"/>
    <cellStyle name="Normal 10 9 4 5" xfId="2543" xr:uid="{789489EF-67FC-4E8B-A6BE-F55B4FB769EB}"/>
    <cellStyle name="Normal 10 9 5 2" xfId="2544" xr:uid="{CAD342EE-B193-4EFB-AFD7-38FF401AF1BC}"/>
    <cellStyle name="Normal 10 9 5 6" xfId="2545" xr:uid="{902ABA64-391F-4DF8-B77E-8D6EB58F6EDF}"/>
    <cellStyle name="Normal 10 9 6 4" xfId="2546" xr:uid="{F1E08953-E6B9-4458-B334-EBC5A6EC7270}"/>
    <cellStyle name="Normal 10 9 7 2" xfId="2547" xr:uid="{2E7C7E64-8150-4E89-9F98-595B88CFE331}"/>
    <cellStyle name="Normal 10 9 7 6" xfId="2548" xr:uid="{5FD6A786-0128-4345-96E1-F71687F174A4}"/>
    <cellStyle name="Normal 10 9 8 4" xfId="2549" xr:uid="{056500C8-68D0-4EF5-A3DC-96F9518B926A}"/>
    <cellStyle name="Normal 100" xfId="2550" xr:uid="{E55ED8E8-EAFB-4AE5-8A16-ECA3C1F43566}"/>
    <cellStyle name="Normal 104" xfId="2551" xr:uid="{5750F015-8819-4963-B732-6C83E794E367}"/>
    <cellStyle name="Normal 108" xfId="2552" xr:uid="{A7F186AF-8939-476C-8D8D-0F87A21657DF}"/>
    <cellStyle name="Normal 11 10 10" xfId="2553" xr:uid="{98EF6E81-CE79-484F-A8AF-CFAD9F4EA2E2}"/>
    <cellStyle name="Normal 11 10 14" xfId="2554" xr:uid="{48A69DF8-675A-4D7F-89A7-73B7C2F6D5FE}"/>
    <cellStyle name="Normal 11 10 18" xfId="2555" xr:uid="{DCC10263-0DE0-477B-859E-A89662A4F27D}"/>
    <cellStyle name="Normal 11 10 2 3" xfId="2556" xr:uid="{1E04726F-6321-4D6D-8D57-601B93847523}"/>
    <cellStyle name="Normal 11 10 22" xfId="2557" xr:uid="{E3F9544C-D3E4-44F5-935A-57444497A0B6}"/>
    <cellStyle name="Normal 11 10 26" xfId="2558" xr:uid="{2E4EBF17-DCA6-495E-880E-94D30008B87D}"/>
    <cellStyle name="Normal 11 10 3" xfId="2559" xr:uid="{911B1FB6-58D4-420E-A7DD-A51F5912DE88}"/>
    <cellStyle name="Normal 11 10 30" xfId="2560" xr:uid="{0F6734F7-624D-4273-B124-AA527A486E91}"/>
    <cellStyle name="Normal 11 10 34" xfId="2561" xr:uid="{A5863632-5D25-4255-B007-BE45475A64BA}"/>
    <cellStyle name="Normal 11 10 38" xfId="2562" xr:uid="{FC43ADA9-9BD6-4F35-B709-71C14BA1982F}"/>
    <cellStyle name="Normal 11 10 41" xfId="2563" xr:uid="{77EAC4E1-28C1-470F-9E18-39686AF361DC}"/>
    <cellStyle name="Normal 11 10 45" xfId="2564" xr:uid="{D9930B88-3DA3-4481-9307-0A716A9E35EB}"/>
    <cellStyle name="Normal 11 10 49" xfId="2565" xr:uid="{00DE81FF-5EB5-48BF-AAF7-7CBE879B9249}"/>
    <cellStyle name="Normal 11 10 52" xfId="2566" xr:uid="{47690970-843D-4361-9DEF-10EA8C7116EA}"/>
    <cellStyle name="Normal 11 10 9" xfId="2567" xr:uid="{B9581C3E-A02B-49F6-82A7-47154C0871D3}"/>
    <cellStyle name="Normal 11 11 12" xfId="2568" xr:uid="{BE5F8904-1005-4385-B23B-EB663C1A3BB8}"/>
    <cellStyle name="Normal 11 11 16" xfId="2569" xr:uid="{1A50E04D-C821-44B4-8B7C-34CDA7DD5D8C}"/>
    <cellStyle name="Normal 11 11 2" xfId="2570" xr:uid="{6566D0B4-A2A2-4B45-8783-85471155FBE4}"/>
    <cellStyle name="Normal 11 11 20" xfId="2571" xr:uid="{9D1A36AF-DEA2-414A-9B3C-D294B8194AFA}"/>
    <cellStyle name="Normal 11 11 24" xfId="2572" xr:uid="{856BEA84-7DFF-40AE-A44B-4E7196C03071}"/>
    <cellStyle name="Normal 11 11 3" xfId="2573" xr:uid="{8D3D724F-2EDC-4637-8DDC-A9C17212BEB4}"/>
    <cellStyle name="Normal 11 11 32" xfId="2574" xr:uid="{E88ABC0D-031A-455C-9DA9-AE80CBD00AF9}"/>
    <cellStyle name="Normal 11 11 36" xfId="2575" xr:uid="{643C9013-11F7-41A8-A4BF-2CFC110CDDCB}"/>
    <cellStyle name="Normal 11 11 4" xfId="2576" xr:uid="{B778C172-CABE-489B-B221-8335C5E37123}"/>
    <cellStyle name="Normal 11 11 43" xfId="2577" xr:uid="{E279F7AB-A1AA-4E63-A076-DFA556DA3AB2}"/>
    <cellStyle name="Normal 11 11 6" xfId="2578" xr:uid="{8B71F1DC-F553-4665-A368-FC47DA297198}"/>
    <cellStyle name="Normal 11 12" xfId="2579" xr:uid="{6BFFD2C7-DA19-4E4E-B211-9642C26DBA45}"/>
    <cellStyle name="Normal 11 12 13" xfId="2580" xr:uid="{0F5EBAE1-107D-4627-B36D-550172F5E3B6}"/>
    <cellStyle name="Normal 11 12 17" xfId="2581" xr:uid="{CDE88706-C8CD-40CE-B24E-2FC818D98E0B}"/>
    <cellStyle name="Normal 11 12 2 2" xfId="2582" xr:uid="{705E2740-43AE-4BB8-B5D1-623396726384}"/>
    <cellStyle name="Normal 11 12 21" xfId="2583" xr:uid="{48B68612-F349-42DC-A744-C2984D0DF07D}"/>
    <cellStyle name="Normal 11 12 25" xfId="2584" xr:uid="{E9CC69FE-9159-4015-ABDA-E7C5F815C8D2}"/>
    <cellStyle name="Normal 11 12 29" xfId="2585" xr:uid="{D351D7BB-B345-4843-969E-91FCBD760449}"/>
    <cellStyle name="Normal 11 12 31" xfId="2586" xr:uid="{F2223411-70CC-4C31-9821-00E397D51679}"/>
    <cellStyle name="Normal 11 12 35" xfId="2587" xr:uid="{B0B4F356-FAD8-452A-B9E3-356DE59954AE}"/>
    <cellStyle name="Normal 11 12 39" xfId="2588" xr:uid="{05F06267-390D-450B-BC6A-F6E0DF93F4EE}"/>
    <cellStyle name="Normal 11 12 44" xfId="2589" xr:uid="{D7521D49-CCB6-4024-AD3E-CA8FC509D22F}"/>
    <cellStyle name="Normal 11 12 9" xfId="2590" xr:uid="{933FF1A2-4A33-4E23-8967-CCF63DBA979F}"/>
    <cellStyle name="Normal 11 13 12" xfId="2591" xr:uid="{AFA77EAE-F245-4D3C-9719-0B2B725A0903}"/>
    <cellStyle name="Normal 11 13 18" xfId="2592" xr:uid="{4E5E020E-8DA2-4EF4-8F50-EED4A5F5932F}"/>
    <cellStyle name="Normal 11 13 2 3" xfId="2593" xr:uid="{7FC2918B-6DB7-41AD-AFDC-97E3526E6FD1}"/>
    <cellStyle name="Normal 11 13 22" xfId="2594" xr:uid="{5C71EE78-97E6-479A-8612-7128EE4450C3}"/>
    <cellStyle name="Normal 11 13 26" xfId="2595" xr:uid="{1E168559-7A08-4655-B51A-F5142B7595AB}"/>
    <cellStyle name="Normal 11 13 3" xfId="2596" xr:uid="{9A3CA1C6-2672-4C6F-A735-0FF4C65F7062}"/>
    <cellStyle name="Normal 11 13 30" xfId="2597" xr:uid="{452A90D2-E2D8-4BAC-9699-2D33440BC041}"/>
    <cellStyle name="Normal 11 13 34" xfId="2598" xr:uid="{0659128C-3F5F-4F61-8DD3-20CB18CD904B}"/>
    <cellStyle name="Normal 11 13 4" xfId="2599" xr:uid="{53E621D8-0318-41BC-9CD9-0C5B85F852FE}"/>
    <cellStyle name="Normal 11 13 43" xfId="2600" xr:uid="{3638C258-B65D-458C-BD0D-DD4B2554EDEB}"/>
    <cellStyle name="Normal 11 13 6" xfId="2601" xr:uid="{B03EE9DB-8B2E-40B0-A2AF-AB816ECAC777}"/>
    <cellStyle name="Normal 11 14" xfId="2602" xr:uid="{CB8F5AA8-0936-4FDF-AB75-F4D6BACFBEF9}"/>
    <cellStyle name="Normal 11 14 13" xfId="2603" xr:uid="{267FC4DD-D5FF-4FC3-962C-BEE92605C2CB}"/>
    <cellStyle name="Normal 11 14 17" xfId="2604" xr:uid="{FD61E6B4-2DC2-474C-B1C5-84CC289E3B43}"/>
    <cellStyle name="Normal 11 14 2 2" xfId="2605" xr:uid="{26C3B875-833A-499B-8338-AB5892F63420}"/>
    <cellStyle name="Normal 11 14 21" xfId="2606" xr:uid="{878E5FDD-0FA8-46B9-8793-422A9219C3B8}"/>
    <cellStyle name="Normal 11 14 25" xfId="2607" xr:uid="{6116B522-765C-4763-8676-C80094DD1A3D}"/>
    <cellStyle name="Normal 11 14 29" xfId="2608" xr:uid="{DE05BFCE-45C9-4524-A88A-20AA9C65F912}"/>
    <cellStyle name="Normal 11 14 3 4" xfId="2609" xr:uid="{DC24A0C4-61C1-47BD-B9A0-FC1D6AB0D3A5}"/>
    <cellStyle name="Normal 11 14 33" xfId="2610" xr:uid="{C38EF265-EAA1-41CA-B110-1F839217693C}"/>
    <cellStyle name="Normal 11 14 37" xfId="2611" xr:uid="{66D60C20-D5D1-4873-99FF-F126513E79D5}"/>
    <cellStyle name="Normal 11 14 40" xfId="2612" xr:uid="{F6B3DE23-0A48-41B3-B75F-416E49ACFF15}"/>
    <cellStyle name="Normal 11 14 5" xfId="2613" xr:uid="{62154757-C396-45BB-AAAF-5090A4F35ED4}"/>
    <cellStyle name="Normal 11 14 9" xfId="2614" xr:uid="{A5276841-015B-4811-B8CC-766E7D3E9936}"/>
    <cellStyle name="Normal 11 15 12" xfId="2615" xr:uid="{F7DDD8C1-1DC1-415D-86F8-D5AC0415DBAC}"/>
    <cellStyle name="Normal 11 15 16" xfId="2616" xr:uid="{20684B90-6B05-48F6-B1C0-889F89DDFD2A}"/>
    <cellStyle name="Normal 11 15 2" xfId="2617" xr:uid="{3750B382-2B69-4599-AC1A-182EB7955452}"/>
    <cellStyle name="Normal 11 15 20" xfId="2618" xr:uid="{4B336BF6-F681-4E49-8B6E-6F6EBE22C6E5}"/>
    <cellStyle name="Normal 11 15 24" xfId="2619" xr:uid="{32E9AC33-8202-41E3-B623-06EB614DA3DE}"/>
    <cellStyle name="Normal 11 15 28" xfId="2620" xr:uid="{17E06BC0-9558-484C-A55A-6AB781E7836E}"/>
    <cellStyle name="Normal 11 15 3 3" xfId="2621" xr:uid="{2FC050AD-4C47-4069-A54B-530C54C413FE}"/>
    <cellStyle name="Normal 11 15 32" xfId="2622" xr:uid="{83F82062-3E05-422F-8F4D-B13B6D202D8C}"/>
    <cellStyle name="Normal 11 15 36" xfId="2623" xr:uid="{AB1AAF8C-C4F7-40DA-A280-9BBBA2B879D3}"/>
    <cellStyle name="Normal 11 15 4" xfId="2624" xr:uid="{B531EA79-4889-43AC-BF2B-84212D5B8AD9}"/>
    <cellStyle name="Normal 11 15 43" xfId="2625" xr:uid="{4B42F95A-058B-4731-9B8B-2FCCFC960394}"/>
    <cellStyle name="Normal 11 15 6" xfId="2626" xr:uid="{DBB807E3-4B1F-45CE-B8C7-668F8BDE11A7}"/>
    <cellStyle name="Normal 11 16" xfId="2627" xr:uid="{6EAD7524-9049-49E3-A5D7-BB409C11C7BE}"/>
    <cellStyle name="Normal 11 16 13" xfId="2628" xr:uid="{03084FEF-FB45-44C8-BE46-0CD60BCE34C5}"/>
    <cellStyle name="Normal 11 16 17" xfId="2629" xr:uid="{5C6B3D9A-7EA9-4D13-A987-F466AB881B02}"/>
    <cellStyle name="Normal 11 16 2 2" xfId="2630" xr:uid="{49385469-ADF0-4ECF-B0FD-EFE8226991CD}"/>
    <cellStyle name="Normal 11 16 21" xfId="2631" xr:uid="{96FE74F8-42C1-4F89-97B5-419EA0444899}"/>
    <cellStyle name="Normal 11 16 25" xfId="2632" xr:uid="{CAC4C49B-8C35-4197-AC98-C0A07AB40D82}"/>
    <cellStyle name="Normal 11 16 29" xfId="2633" xr:uid="{A849A1A4-A0A5-4E7B-B5CF-E9096708B7E8}"/>
    <cellStyle name="Normal 11 16 3 4" xfId="2634" xr:uid="{71194BBF-8750-437F-8010-A7F94B58759C}"/>
    <cellStyle name="Normal 11 16 33" xfId="2635" xr:uid="{11C50895-89C7-444D-8B90-A373D48AADC6}"/>
    <cellStyle name="Normal 11 16 37" xfId="2636" xr:uid="{5A94E38C-5963-4E14-AA88-216174D3954D}"/>
    <cellStyle name="Normal 11 16 40" xfId="2637" xr:uid="{1AE4BBF0-17A0-40C1-BDB2-8D231E964AA0}"/>
    <cellStyle name="Normal 11 16 44" xfId="2638" xr:uid="{04825A9D-5B89-48E0-B6CB-F73CC2E7087E}"/>
    <cellStyle name="Normal 11 16 7" xfId="2639" xr:uid="{30628560-F454-4902-AFC6-3B75D64BCDAD}"/>
    <cellStyle name="Normal 11 17 14" xfId="2640" xr:uid="{9613D245-D865-428D-91EC-EB4553CA91BE}"/>
    <cellStyle name="Normal 11 17 2 3" xfId="2641" xr:uid="{739CD9F4-018D-4D13-8541-839C8591A0B5}"/>
    <cellStyle name="Normal 11 17 24" xfId="2642" xr:uid="{2BF3C1BE-66B4-4FD4-B65B-7F3A6CC8139E}"/>
    <cellStyle name="Normal 11 17 3" xfId="2643" xr:uid="{FE2FC9DE-1C3B-4FBD-A522-27BA616D6F27}"/>
    <cellStyle name="Normal 11 17 34" xfId="2644" xr:uid="{93D3D924-EFC2-43BA-B154-F1120130C56E}"/>
    <cellStyle name="Normal 11 17 41" xfId="2645" xr:uid="{D76F7359-3C54-432E-A724-D95DF1BEFF05}"/>
    <cellStyle name="Normal 11 17 45" xfId="2646" xr:uid="{8DC47A00-48D7-47F9-B00F-F368BF217F31}"/>
    <cellStyle name="Normal 11 18 11" xfId="2647" xr:uid="{6535F813-308B-49CF-B29F-F7441F544AD5}"/>
    <cellStyle name="Normal 11 18 19" xfId="2648" xr:uid="{0BD88009-2266-4E5D-B31A-88112EDE1126}"/>
    <cellStyle name="Normal 11 18 22" xfId="2649" xr:uid="{49701D05-F98B-4088-8AC7-FBA119288542}"/>
    <cellStyle name="Normal 11 18 30" xfId="2650" xr:uid="{89E13680-8F71-4F99-A107-145FFB58D40D}"/>
    <cellStyle name="Normal 11 18 40" xfId="2651" xr:uid="{B932151E-69A8-4EEB-88B6-BFFF5578EBF0}"/>
    <cellStyle name="Normal 11 18 6" xfId="2652" xr:uid="{AF20C4D8-2F1D-4EEA-AF5E-CD3A58FBE0D5}"/>
    <cellStyle name="Normal 11 19 12" xfId="2653" xr:uid="{A214AC39-D5D5-41F0-BE4D-405B221D4242}"/>
    <cellStyle name="Normal 11 19 2" xfId="2654" xr:uid="{32942493-A1E6-419B-9DD3-5626B28FBABE}"/>
    <cellStyle name="Normal 11 19 24" xfId="2655" xr:uid="{2737A43C-8BDA-491E-A3A3-458E949B7AC3}"/>
    <cellStyle name="Normal 11 19 28" xfId="2656" xr:uid="{4CCC608C-AF17-4B58-8A9A-0B1DD2DCE98E}"/>
    <cellStyle name="Normal 11 19 32" xfId="2657" xr:uid="{A05080BF-2DD5-452F-981A-9ECE132A23F3}"/>
    <cellStyle name="Normal 11 19 4" xfId="2658" xr:uid="{3E067169-297D-4A5F-BE36-FCFAD9BBDAE1}"/>
    <cellStyle name="Normal 11 19 45" xfId="2659" xr:uid="{FA096000-C60F-493E-AE30-FC2B6272A0EC}"/>
    <cellStyle name="Normal 11 19 6" xfId="2660" xr:uid="{61D42D56-5790-462F-A925-A04DD8E83C38}"/>
    <cellStyle name="Normal 11 2" xfId="2661" xr:uid="{904B959D-EBCD-418E-A8A2-C89DEDDAE0EC}"/>
    <cellStyle name="Normal 11 2 10 2 3" xfId="2662" xr:uid="{3F876D72-C9F6-4CCA-8EB2-8FE2C4528B9E}"/>
    <cellStyle name="Normal 11 2 10 3 3" xfId="2663" xr:uid="{66586182-E18D-4C37-9B1B-BC4589409084}"/>
    <cellStyle name="Normal 11 2 10 6" xfId="2664" xr:uid="{63A6F40D-AC4A-47BD-BDE2-50321B7DBA2A}"/>
    <cellStyle name="Normal 11 2 11 2 3" xfId="2665" xr:uid="{0D526CCC-0DFD-4DCF-83C2-D73AA3568E74}"/>
    <cellStyle name="Normal 11 2 11 3 2" xfId="2666" xr:uid="{EB9D0573-2DF5-4A0C-89A4-4CC34A3CD7A3}"/>
    <cellStyle name="Normal 11 2 11 5" xfId="2667" xr:uid="{506B5D5E-37AB-4FAD-8774-D1E9C6067630}"/>
    <cellStyle name="Normal 11 2 12 2 2" xfId="2668" xr:uid="{B8060C28-654D-4043-8F1E-903E5C908115}"/>
    <cellStyle name="Normal 11 2 12 3" xfId="2669" xr:uid="{93B9F116-67F3-4EC6-9D4A-DAF8A397F451}"/>
    <cellStyle name="Normal 11 2 12 3 4" xfId="2670" xr:uid="{5610224C-B8C2-4BB5-B1D3-2C0C4FD5137A}"/>
    <cellStyle name="Normal 11 2 13" xfId="2671" xr:uid="{1067B1CB-AFB1-4D41-9C8C-8D2F03187B68}"/>
    <cellStyle name="Normal 11 2 13 2 3" xfId="2672" xr:uid="{C3C21AE5-B3BD-49FD-9C84-8250BCD15F00}"/>
    <cellStyle name="Normal 11 2 13 3 3" xfId="2673" xr:uid="{DBE3FE60-F6E3-4A38-9568-966939A250D8}"/>
    <cellStyle name="Normal 11 2 13 6" xfId="2674" xr:uid="{F3F18668-5941-4E33-970B-338D26018628}"/>
    <cellStyle name="Normal 11 2 14 2 3" xfId="2675" xr:uid="{F1E4791A-B802-4327-92E2-7EF72C05E053}"/>
    <cellStyle name="Normal 11 2 14 3 3" xfId="2676" xr:uid="{AD17B569-8D9E-4ABA-B5C1-25DCC012C5FD}"/>
    <cellStyle name="Normal 11 2 14 5" xfId="2677" xr:uid="{0A7FC078-B10F-49F0-96A6-2FAA6A79E48A}"/>
    <cellStyle name="Normal 11 2 15" xfId="2678" xr:uid="{318156FB-743F-4261-BD96-900A51F5355F}"/>
    <cellStyle name="Normal 11 2 15 2 3" xfId="2679" xr:uid="{F2316A33-9506-4760-875E-E5D204FC98C0}"/>
    <cellStyle name="Normal 11 2 15 3 3" xfId="2680" xr:uid="{06B886F2-C6F0-4513-ABA9-B27FB3A63D66}"/>
    <cellStyle name="Normal 11 2 15 6" xfId="2681" xr:uid="{0FA65771-4D48-4C00-8D47-A93F16167285}"/>
    <cellStyle name="Normal 11 2 16 2 3" xfId="2682" xr:uid="{940453F5-73C6-4093-82A1-89937935E60E}"/>
    <cellStyle name="Normal 11 2 16 3 3" xfId="2683" xr:uid="{204F9868-A94E-45BD-9FB9-8D9762A5437F}"/>
    <cellStyle name="Normal 11 2 16 5" xfId="2684" xr:uid="{C4713540-6302-466C-92D7-91D9C3EA9C39}"/>
    <cellStyle name="Normal 11 2 17" xfId="2685" xr:uid="{B0E93D90-CF81-4A49-AC70-115AD88FD63D}"/>
    <cellStyle name="Normal 11 2 17 2 3" xfId="2686" xr:uid="{59A848D1-399F-4155-AA72-FE4AED5072E5}"/>
    <cellStyle name="Normal 11 2 17 3 3" xfId="2687" xr:uid="{325198CE-A953-4208-8E36-972E7B0C4C04}"/>
    <cellStyle name="Normal 11 2 17 6" xfId="2688" xr:uid="{E0F889B9-5BD0-44D0-A110-9808586F4437}"/>
    <cellStyle name="Normal 11 2 18 4" xfId="2689" xr:uid="{AB7BE28E-E653-4D59-9ACA-BDA632D85C5A}"/>
    <cellStyle name="Normal 11 2 19 4" xfId="2690" xr:uid="{51E19D45-D07C-416A-9F58-C6C017D416A5}"/>
    <cellStyle name="Normal 11 2 2 2 2" xfId="2691" xr:uid="{BC71AD2B-8872-4E28-8390-B65B83B94312}"/>
    <cellStyle name="Normal 11 2 2 3 2" xfId="2692" xr:uid="{262EA5D2-7BC7-4892-8748-E4E2AF6E271C}"/>
    <cellStyle name="Normal 11 2 2 5" xfId="2693" xr:uid="{039FD241-91FC-4ED0-A41D-A3F7CB685076}"/>
    <cellStyle name="Normal 11 2 20 3" xfId="2694" xr:uid="{944233A3-4269-4B2F-AB48-8684653A42D4}"/>
    <cellStyle name="Normal 11 2 21" xfId="2695" xr:uid="{9E85187E-FA69-4B01-9890-688E715B290E}"/>
    <cellStyle name="Normal 11 2 25" xfId="2696" xr:uid="{7E87F5A2-17C0-4EA1-A730-8B917B681287}"/>
    <cellStyle name="Normal 11 2 28" xfId="2697" xr:uid="{25716178-A29A-4276-B7D2-0ACB1818ABB7}"/>
    <cellStyle name="Normal 11 2 3 2 2" xfId="2698" xr:uid="{FF74225D-C17A-412A-BD5D-A9DA2213BCB9}"/>
    <cellStyle name="Normal 11 2 3 3 2" xfId="2699" xr:uid="{6B245A35-C7F5-477D-AD6F-78287DD4B905}"/>
    <cellStyle name="Normal 11 2 3 5" xfId="2700" xr:uid="{3D110B33-39FD-4421-9334-799B8E734672}"/>
    <cellStyle name="Normal 11 2 32" xfId="2701" xr:uid="{3E50A840-E568-41C6-A35C-A8E585F2DEF3}"/>
    <cellStyle name="Normal 11 2 36" xfId="2702" xr:uid="{448745E3-D7BB-47F8-B57B-CBD2341DE5BE}"/>
    <cellStyle name="Normal 11 2 38" xfId="2703" xr:uid="{DF6BFF6E-6412-4C73-8C87-097CF353A1AB}"/>
    <cellStyle name="Normal 11 2 4" xfId="2704" xr:uid="{797A4284-5C8D-42DD-B55C-A02D20481B87}"/>
    <cellStyle name="Normal 11 2 4 2 4" xfId="2705" xr:uid="{A80CA2DD-23E3-4516-849C-B0C0CF29E014}"/>
    <cellStyle name="Normal 11 2 4 3 4" xfId="2706" xr:uid="{053BFA6C-E6FF-4329-BEFD-D97F8BE4F719}"/>
    <cellStyle name="Normal 11 2 40" xfId="2707" xr:uid="{5E41E53F-D181-441F-BB8C-67DD2EBF6D5B}"/>
    <cellStyle name="Normal 11 2 44" xfId="2708" xr:uid="{4F5C798B-C204-4991-BDFB-75F0410FBFA0}"/>
    <cellStyle name="Normal 11 2 48" xfId="2709" xr:uid="{7D2C3B0A-AC75-4E97-BB32-7968D3A0EF75}"/>
    <cellStyle name="Normal 11 2 5" xfId="2710" xr:uid="{C5277885-185C-4E48-BF1B-4F38A9437023}"/>
    <cellStyle name="Normal 11 2 5 2 2" xfId="2711" xr:uid="{40C96A36-D2F5-4D10-AAF7-65CAD6C16C7F}"/>
    <cellStyle name="Normal 11 2 5 3 2" xfId="2712" xr:uid="{691630B2-0288-46EF-93F7-B4316392B9DD}"/>
    <cellStyle name="Normal 11 2 5 5" xfId="2713" xr:uid="{A26F25F9-8A67-4BB4-95D3-BE90FFC6EAC2}"/>
    <cellStyle name="Normal 11 2 52" xfId="2714" xr:uid="{AFBFEE4E-08B3-4105-B9A0-2D5E82018723}"/>
    <cellStyle name="Normal 11 2 6 2 2" xfId="2715" xr:uid="{50D52953-9248-45B0-A0D0-DB3B940D9055}"/>
    <cellStyle name="Normal 11 2 6 3 2" xfId="2716" xr:uid="{41351972-0ABF-4D93-9D24-3CE45A08D26C}"/>
    <cellStyle name="Normal 11 2 6 4" xfId="2717" xr:uid="{DB1B38CB-D0F2-4E10-921F-E26CBD8857E8}"/>
    <cellStyle name="Normal 11 2 7 2" xfId="2718" xr:uid="{4697E4AB-6CC9-44AA-8549-799313438323}"/>
    <cellStyle name="Normal 11 2 7 3" xfId="2719" xr:uid="{022C066F-B0C8-4DBB-944A-411E21F1C946}"/>
    <cellStyle name="Normal 11 2 7 3 4" xfId="2720" xr:uid="{E87057A5-C830-4C9E-B231-A6F7DCCC18CE}"/>
    <cellStyle name="Normal 11 2 7 6" xfId="2721" xr:uid="{2AFD17B6-AB0F-44C2-AB94-700B0F460090}"/>
    <cellStyle name="Normal 11 2 8 2 3" xfId="2722" xr:uid="{B7AFEB96-E7F5-4729-A6A6-2C9E205FC58A}"/>
    <cellStyle name="Normal 11 2 8 3 2" xfId="2723" xr:uid="{A8D6535F-3B14-4316-A23F-12F0A9677172}"/>
    <cellStyle name="Normal 11 2 8 5" xfId="2724" xr:uid="{C136FCD6-A51E-403D-AD41-008D5456FDAE}"/>
    <cellStyle name="Normal 11 2 9 2 2" xfId="2725" xr:uid="{A62E45B5-81BD-4395-B37A-FF0A7DEF80F9}"/>
    <cellStyle name="Normal 11 2 9 3 2" xfId="2726" xr:uid="{7DEC78FC-7BBC-4C65-8EE1-F56EFC248A1B}"/>
    <cellStyle name="Normal 11 2 9 5" xfId="2727" xr:uid="{9F7813D9-1D95-422F-99F0-1612070623AC}"/>
    <cellStyle name="Normal 11 20 10" xfId="2728" xr:uid="{4D789B7F-4346-426E-8435-92A840892436}"/>
    <cellStyle name="Normal 11 20 12" xfId="2729" xr:uid="{85653F03-ED55-40FF-8C67-BF091A30458A}"/>
    <cellStyle name="Normal 11 20 15" xfId="2730" xr:uid="{C184A4E3-8781-4982-8CEB-6213A2BD085F}"/>
    <cellStyle name="Normal 11 20 19" xfId="2731" xr:uid="{62ABB2DC-72E1-4EB9-8BC5-64AA45A99080}"/>
    <cellStyle name="Normal 11 20 22" xfId="2732" xr:uid="{42477C19-74AE-4F4D-85CE-6379DD46CB67}"/>
    <cellStyle name="Normal 11 20 26" xfId="2733" xr:uid="{92447545-2662-467B-95B4-1BB223793AFC}"/>
    <cellStyle name="Normal 11 20 3" xfId="2734" xr:uid="{B4CB20B6-32D8-459E-84B0-B97BC9CD7954}"/>
    <cellStyle name="Normal 11 20 32" xfId="2735" xr:uid="{B40ABFC3-95C4-4C59-9FB5-5CBA84A9300C}"/>
    <cellStyle name="Normal 11 20 34" xfId="2736" xr:uid="{A2700D75-5515-4C11-8CCF-7334C5DCBA2B}"/>
    <cellStyle name="Normal 11 20 37" xfId="2737" xr:uid="{B8A9DE1E-2B33-4968-AAA3-276A8353D127}"/>
    <cellStyle name="Normal 11 20 40" xfId="2738" xr:uid="{57C2430C-8C19-4387-99C2-31B4C3F39FB4}"/>
    <cellStyle name="Normal 11 20 44" xfId="2739" xr:uid="{18D56AA9-E672-4337-B7AB-9CB54BE1B32E}"/>
    <cellStyle name="Normal 11 20 7" xfId="2740" xr:uid="{7E718033-6F6E-4422-8F4A-8D3A48569A7D}"/>
    <cellStyle name="Normal 11 21 10" xfId="2741" xr:uid="{2AF5DFD7-1E94-4F02-A8EF-126B4AC433A1}"/>
    <cellStyle name="Normal 11 21 13" xfId="2742" xr:uid="{169AD764-E5A5-4C02-8FDA-7D50AC85922C}"/>
    <cellStyle name="Normal 11 21 17" xfId="2743" xr:uid="{D41A91A4-06C3-46E1-9AFF-4D75745984B8}"/>
    <cellStyle name="Normal 11 21 20" xfId="2744" xr:uid="{C60781DD-4D5F-49BA-8CDD-421DB4320CD9}"/>
    <cellStyle name="Normal 11 21 24" xfId="2745" xr:uid="{9237E463-8156-428B-AF42-BCC8401EDCAB}"/>
    <cellStyle name="Normal 11 21 26" xfId="2746" xr:uid="{D4DD59B0-EC03-4081-8537-C73A934DF061}"/>
    <cellStyle name="Normal 11 21 3" xfId="2747" xr:uid="{328E2B90-D9F0-4612-BF73-9770365D8871}"/>
    <cellStyle name="Normal 11 21 32" xfId="2748" xr:uid="{26A396AC-E044-451B-BC27-BEA821CF163F}"/>
    <cellStyle name="Normal 11 21 36" xfId="2749" xr:uid="{E130A959-073D-4359-8607-7850FF606C85}"/>
    <cellStyle name="Normal 11 21 4" xfId="2750" xr:uid="{B2BBFE8A-9131-4751-A387-648F8675D068}"/>
    <cellStyle name="Normal 11 21 43" xfId="2751" xr:uid="{EF8E7325-5DDC-4CE1-9942-3A97F053F73C}"/>
    <cellStyle name="Normal 11 21 6" xfId="2752" xr:uid="{1CC8E811-7ED9-4A86-B491-09571BF03D0F}"/>
    <cellStyle name="Normal 11 22" xfId="2753" xr:uid="{7F1CB9E1-D613-484A-B200-ABDA81B27DFC}"/>
    <cellStyle name="Normal 11 22 11" xfId="2754" xr:uid="{8B99CCB5-C379-4B02-9BFA-C75A808F7C25}"/>
    <cellStyle name="Normal 11 22 13" xfId="2755" xr:uid="{2F27EA5A-86CC-47B6-B527-3165A39EAE38}"/>
    <cellStyle name="Normal 11 22 17" xfId="2756" xr:uid="{021B8272-B530-4EA4-8D22-A5BAB5E14820}"/>
    <cellStyle name="Normal 11 22 20" xfId="2757" xr:uid="{40D2FA6F-6B76-4F40-8C19-4AC7B1606EF2}"/>
    <cellStyle name="Normal 11 22 24" xfId="2758" xr:uid="{C72E7685-0887-4ED9-A42C-4AE26B94F3F4}"/>
    <cellStyle name="Normal 11 22 28" xfId="2759" xr:uid="{77BE8F8C-659E-4555-B154-EA300B24D0A8}"/>
    <cellStyle name="Normal 11 22 31" xfId="2760" xr:uid="{4BDD1474-437D-4435-8B99-5B297A89486E}"/>
    <cellStyle name="Normal 11 22 33" xfId="2761" xr:uid="{662A276F-4795-4451-9083-72FFC1DC5285}"/>
    <cellStyle name="Normal 11 22 35" xfId="2762" xr:uid="{C8EAC5E4-7C4E-49CF-BEE3-B5E2EAE5FE6D}"/>
    <cellStyle name="Normal 11 22 42" xfId="2763" xr:uid="{C7898698-CF47-4440-8A16-F8004A8F8CDA}"/>
    <cellStyle name="Normal 11 22 9" xfId="2764" xr:uid="{CF8222B7-EDCF-40E2-A878-5BB1D455ED2E}"/>
    <cellStyle name="Normal 11 23 15" xfId="2765" xr:uid="{2359AE09-A11B-414B-854B-B21791A95195}"/>
    <cellStyle name="Normal 11 23 22" xfId="2766" xr:uid="{995864FE-4F99-4C1C-9942-4E3B71272D5A}"/>
    <cellStyle name="Normal 11 23 28" xfId="2767" xr:uid="{B6623F03-7432-4028-8C3C-4E30B2BA4272}"/>
    <cellStyle name="Normal 11 23 34" xfId="2768" xr:uid="{63F48CA6-6B27-42DA-AF6E-0FE23427DC0A}"/>
    <cellStyle name="Normal 11 23 41" xfId="2769" xr:uid="{DF181F6A-21BD-40C0-83F1-AB73DE1ADE1D}"/>
    <cellStyle name="Normal 11 23 8" xfId="2770" xr:uid="{02548B12-1175-4EFF-BE33-20CEAB1CB3C4}"/>
    <cellStyle name="Normal 11 24 12" xfId="2771" xr:uid="{2F4A7C9E-EA5E-4A52-8C55-E5D272970C90}"/>
    <cellStyle name="Normal 11 24 19" xfId="2772" xr:uid="{8D75DDAF-2AEA-42B9-BCA6-CF12BD5EE12D}"/>
    <cellStyle name="Normal 11 24 26" xfId="2773" xr:uid="{158936C6-9D58-4E90-A04A-EB2EDA85FC44}"/>
    <cellStyle name="Normal 11 24 32" xfId="2774" xr:uid="{42FEB041-A144-45C7-9561-FF1AE649CD37}"/>
    <cellStyle name="Normal 11 24 37" xfId="2775" xr:uid="{28EA17DA-01AA-4BF1-9077-1C9ECED3464F}"/>
    <cellStyle name="Normal 11 25 14" xfId="2776" xr:uid="{FB7805C9-DE3D-4E6E-8CA6-CC6B1E09AACF}"/>
    <cellStyle name="Normal 11 25 21" xfId="2777" xr:uid="{C3F73161-1A1E-4BB8-8B63-8D3AA2808852}"/>
    <cellStyle name="Normal 11 25 28" xfId="2778" xr:uid="{71A80368-D079-4D7A-B6BC-53F55A005B1A}"/>
    <cellStyle name="Normal 11 25 35" xfId="2779" xr:uid="{66DA3FC7-358E-4F9B-930E-03119E8CCF24}"/>
    <cellStyle name="Normal 11 25 7" xfId="2780" xr:uid="{89C7F998-33F5-4AC2-BD64-9094FAB187BF}"/>
    <cellStyle name="Normal 11 26 13" xfId="2781" xr:uid="{C1E5DA93-D829-475A-AA87-B28CA2DA935E}"/>
    <cellStyle name="Normal 11 26 20" xfId="2782" xr:uid="{2C5253CE-7D8D-4151-8DED-7F13FBF94A71}"/>
    <cellStyle name="Normal 11 26 28" xfId="2783" xr:uid="{E92DF67D-0767-470D-850E-D505590A461B}"/>
    <cellStyle name="Normal 11 26 31" xfId="2784" xr:uid="{482DD18B-AA1E-4EA2-BB7F-CCBC7219B854}"/>
    <cellStyle name="Normal 11 26 5" xfId="2785" xr:uid="{6020DD4E-1A69-4343-B35D-5BD62C845C86}"/>
    <cellStyle name="Normal 11 27 12" xfId="2786" xr:uid="{A9777A81-3F85-4FB1-B817-F2047BB4035F}"/>
    <cellStyle name="Normal 11 27 18" xfId="2787" xr:uid="{432C3CF6-4876-4E97-BAD6-76ED4FF4FC4F}"/>
    <cellStyle name="Normal 11 27 23" xfId="2788" xr:uid="{DA7C3BD1-D88E-4EAA-8749-CE6713A444A3}"/>
    <cellStyle name="Normal 11 27 30" xfId="2789" xr:uid="{103B2AE4-1F2A-4494-BA9B-771CFED83EAC}"/>
    <cellStyle name="Normal 11 27 4" xfId="2790" xr:uid="{A89B536B-B70C-4BF5-A8F8-00D343C94CC8}"/>
    <cellStyle name="Normal 11 28 10" xfId="2791" xr:uid="{B1A0B59C-3031-41C1-9EE2-8CEC71845DB2}"/>
    <cellStyle name="Normal 11 28 17" xfId="2792" xr:uid="{C43093FA-351E-44A7-85B3-38366CE99EEE}"/>
    <cellStyle name="Normal 11 28 23" xfId="2793" xr:uid="{AC6E9344-2CA7-4230-A4D0-6421EE1EF105}"/>
    <cellStyle name="Normal 11 28 3" xfId="2794" xr:uid="{A87791D8-EC1B-466D-AAE0-382927C33E5F}"/>
    <cellStyle name="Normal 11 28 37" xfId="2795" xr:uid="{F9D6FDE8-1EA1-4889-B0E2-6F7EACF09EB8}"/>
    <cellStyle name="Normal 11 29" xfId="2796" xr:uid="{CF925A36-2157-4D55-851D-0ABADCEF4DDC}"/>
    <cellStyle name="Normal 11 29 14" xfId="2797" xr:uid="{CC2B303E-041A-4D23-BD91-3710C3171263}"/>
    <cellStyle name="Normal 11 29 21" xfId="2798" xr:uid="{86FA948B-86E9-4DC4-A0F1-A1827D23902F}"/>
    <cellStyle name="Normal 11 29 29" xfId="2799" xr:uid="{26B42C80-0B54-4734-96E6-8B86CC66AC9C}"/>
    <cellStyle name="Normal 11 29 33" xfId="2800" xr:uid="{74D9B13B-EDCE-407F-B7D9-E618DF25B40B}"/>
    <cellStyle name="Normal 11 29 6" xfId="2801" xr:uid="{84F3CF90-8CE7-4275-9CF2-F9B8AA5E25FA}"/>
    <cellStyle name="Normal 11 3 10 2 3" xfId="2802" xr:uid="{8AE3467E-E6B9-483C-903D-41F76C820C7E}"/>
    <cellStyle name="Normal 11 3 10 5" xfId="2803" xr:uid="{72BE3610-1DCE-4B8F-8558-B9B82C9E2699}"/>
    <cellStyle name="Normal 11 3 11 3 2" xfId="2804" xr:uid="{ACF7CA04-FF1B-4181-B37D-498D3031D791}"/>
    <cellStyle name="Normal 11 3 12 2" xfId="2805" xr:uid="{284E186E-8C4F-4638-9275-8DFCFFF4E0C9}"/>
    <cellStyle name="Normal 11 3 12 3 4" xfId="2806" xr:uid="{91423A8A-CB58-4390-B708-5DF52CA9D96A}"/>
    <cellStyle name="Normal 11 3 13 3" xfId="2807" xr:uid="{357296E7-9D14-4131-AAAD-4C4487DA1BAC}"/>
    <cellStyle name="Normal 11 3 14 2 2" xfId="2808" xr:uid="{A2D494CC-BE13-4465-8D8F-9498BBB3178E}"/>
    <cellStyle name="Normal 11 3 14 3 4" xfId="2809" xr:uid="{96374187-F2DB-45B1-8A68-435C0EFB8A6A}"/>
    <cellStyle name="Normal 11 3 15 2 3" xfId="2810" xr:uid="{9C9D1D56-499C-4CB0-BBE0-933777425A56}"/>
    <cellStyle name="Normal 11 3 15 6" xfId="2811" xr:uid="{D4D1EB7D-97BC-4411-BFD5-28C4E3037C41}"/>
    <cellStyle name="Normal 11 3 16 3 3" xfId="2812" xr:uid="{367B521C-234B-4C1E-8B5E-DD83B2E7628C}"/>
    <cellStyle name="Normal 11 3 16 6" xfId="2813" xr:uid="{3EE95245-4A33-48C1-8B24-61B0ECCE1E3D}"/>
    <cellStyle name="Normal 11 3 17 3 3" xfId="2814" xr:uid="{78D804E5-2B6E-4828-96EC-1073544F9083}"/>
    <cellStyle name="Normal 11 3 18 4" xfId="2815" xr:uid="{1223ADF4-077E-4C8E-B477-5B867ADB7E95}"/>
    <cellStyle name="Normal 11 3 2 2 2" xfId="2816" xr:uid="{0A6BB675-CE5C-4D2F-8B90-73783D2D0EA8}"/>
    <cellStyle name="Normal 11 3 2 5" xfId="2817" xr:uid="{CBA7D1A6-AA2F-48A1-A026-55B1357274CF}"/>
    <cellStyle name="Normal 11 3 21" xfId="2818" xr:uid="{A51F19BE-724F-466C-AE48-6A19A7AD3403}"/>
    <cellStyle name="Normal 11 3 27" xfId="2819" xr:uid="{9756DAB9-F90A-4B76-90DD-4BBAB7EF3A2A}"/>
    <cellStyle name="Normal 11 3 3 2" xfId="2820" xr:uid="{53F334E5-E036-4B13-8B22-D170CB3C4AFA}"/>
    <cellStyle name="Normal 11 3 3 3" xfId="2821" xr:uid="{C6D695F2-68A6-48E5-AED0-81CAF377EDFB}"/>
    <cellStyle name="Normal 11 3 3 4" xfId="2822" xr:uid="{8D019E4D-8A36-4E1F-B322-F484215C5C6A}"/>
    <cellStyle name="Normal 11 3 31" xfId="2823" xr:uid="{28609AB7-39A5-4FF8-9BC5-064C058816D3}"/>
    <cellStyle name="Normal 11 3 35" xfId="2824" xr:uid="{C8FCAD2C-71D9-4142-A8D9-53C381E99646}"/>
    <cellStyle name="Normal 11 3 39" xfId="2825" xr:uid="{AEE8B669-6536-457C-80EC-9C2CBA834E42}"/>
    <cellStyle name="Normal 11 3 4 2 3" xfId="2826" xr:uid="{644DDB8D-91ED-492F-AD8E-B7B8EDBF557A}"/>
    <cellStyle name="Normal 11 3 4 3 3" xfId="2827" xr:uid="{AE204FCC-16B8-47D4-97E4-0EEBD2DD8F4D}"/>
    <cellStyle name="Normal 11 3 4 6" xfId="2828" xr:uid="{988DECCE-CF46-464A-A96D-FBBC82D156DC}"/>
    <cellStyle name="Normal 11 3 43" xfId="2829" xr:uid="{445ACAB8-F463-4359-903B-D1A3F69079B9}"/>
    <cellStyle name="Normal 11 3 47" xfId="2830" xr:uid="{A4CFC852-92A9-4105-9332-5C07AE26007B}"/>
    <cellStyle name="Normal 11 3 5 2" xfId="2831" xr:uid="{B4DE09D7-ABA3-4FDB-BCA4-DABE95E11235}"/>
    <cellStyle name="Normal 11 3 5 3" xfId="2832" xr:uid="{9D1AC30A-6B59-43B4-B2BC-F910983728FE}"/>
    <cellStyle name="Normal 11 3 5 4" xfId="2833" xr:uid="{9473CBF8-7981-4DFF-B0B0-181D110CAD17}"/>
    <cellStyle name="Normal 11 3 51" xfId="2834" xr:uid="{D1FE6F7E-C0D9-4996-A8A3-074F764F7A32}"/>
    <cellStyle name="Normal 11 3 6 2 2" xfId="2835" xr:uid="{8B2559EF-B2A8-4101-8FB7-8D9A2BC0B8F6}"/>
    <cellStyle name="Normal 11 3 6 3 2" xfId="2836" xr:uid="{FB9F8544-4426-44F5-9A97-CF91BBC63BD6}"/>
    <cellStyle name="Normal 11 3 6 5" xfId="2837" xr:uid="{FC673A07-1B4E-439F-A56C-5C2CB14CA133}"/>
    <cellStyle name="Normal 11 3 7 2 2" xfId="2838" xr:uid="{6CFAF754-1379-41A0-9906-5B55F047FD9E}"/>
    <cellStyle name="Normal 11 3 7 3 2" xfId="2839" xr:uid="{FA92EE01-C74C-4DE2-AACC-1385D477F368}"/>
    <cellStyle name="Normal 11 3 7 5" xfId="2840" xr:uid="{7E2B9E60-5F58-4EE2-91C5-328EEAB86EA2}"/>
    <cellStyle name="Normal 11 3 8 2 2" xfId="2841" xr:uid="{D58ADDB1-EAAA-414E-B9EB-7D23584D406B}"/>
    <cellStyle name="Normal 11 3 8 3 2" xfId="2842" xr:uid="{0DB78F9C-BBF2-4F01-93F4-58A2C329F04F}"/>
    <cellStyle name="Normal 11 3 8 5" xfId="2843" xr:uid="{21ABF942-12DF-4C6C-9D59-1AD4B7E1559F}"/>
    <cellStyle name="Normal 11 3 9 2 2" xfId="2844" xr:uid="{B317E2EC-5A39-429F-9D7E-C02729BA2EBF}"/>
    <cellStyle name="Normal 11 3 9 3 2" xfId="2845" xr:uid="{C30952F6-057B-4468-BB50-21CD450D69F9}"/>
    <cellStyle name="Normal 11 3 9 5" xfId="2846" xr:uid="{47182C21-287D-40AC-B902-201930746EB5}"/>
    <cellStyle name="Normal 11 30 11" xfId="2847" xr:uid="{08988F00-1861-4BF4-949B-E7768F2325AD}"/>
    <cellStyle name="Normal 11 30 15" xfId="2848" xr:uid="{AE63B495-416D-4641-9424-B3AAD275A8A3}"/>
    <cellStyle name="Normal 11 30 19" xfId="2849" xr:uid="{005FF593-879A-4CCE-9B51-8F1A578B1718}"/>
    <cellStyle name="Normal 11 30 24" xfId="2850" xr:uid="{D7DDCF8F-46D4-4D32-BDFE-5570E77BE6F3}"/>
    <cellStyle name="Normal 11 30 31" xfId="2851" xr:uid="{BC470FD8-9185-4102-B2C3-483AAF6FECF0}"/>
    <cellStyle name="Normal 11 30 35" xfId="2852" xr:uid="{9177E700-FF4C-474C-A352-30D6722D73CF}"/>
    <cellStyle name="Normal 11 30 5" xfId="2853" xr:uid="{D0A54C41-59CD-4A17-B1E4-A78E48FA0280}"/>
    <cellStyle name="Normal 11 30 9" xfId="2854" xr:uid="{0F6BDFB8-BF43-44D7-A60C-28F9B513721D}"/>
    <cellStyle name="Normal 11 31 16" xfId="2855" xr:uid="{121E2DF6-EDE2-41F2-9C92-EEB0E662237F}"/>
    <cellStyle name="Normal 11 31 23" xfId="2856" xr:uid="{9719377D-795A-4627-83F7-88148C6F5A92}"/>
    <cellStyle name="Normal 11 31 29" xfId="2857" xr:uid="{15A9F031-7CEA-4072-BA2D-156253C668C9}"/>
    <cellStyle name="Normal 11 31 32" xfId="2858" xr:uid="{347ABE25-A3CE-41AE-931F-F32742C8CACF}"/>
    <cellStyle name="Normal 11 31 36" xfId="2859" xr:uid="{7293FA8E-6503-4292-974C-9F2FE2BCEEAB}"/>
    <cellStyle name="Normal 11 31 8" xfId="2860" xr:uid="{4ABE7997-38BE-4DD1-82CA-DB66A2A9F986}"/>
    <cellStyle name="Normal 11 32 15" xfId="2861" xr:uid="{A0293A74-A356-4F33-97A3-10315392686D}"/>
    <cellStyle name="Normal 11 32 22" xfId="2862" xr:uid="{447E96D0-1C09-4052-B802-418E53C9EEFD}"/>
    <cellStyle name="Normal 11 32 26" xfId="2863" xr:uid="{3548F714-87E0-4A77-BBD0-35AB36D8C721}"/>
    <cellStyle name="Normal 11 32 3" xfId="2864" xr:uid="{4B06258E-D10E-434D-AE1F-15E2A5B69577}"/>
    <cellStyle name="Normal 11 32 33" xfId="2865" xr:uid="{8F1EDA7E-C2EE-46F0-8FCA-911F462BF6C7}"/>
    <cellStyle name="Normal 11 32 6" xfId="2866" xr:uid="{9F16E9BF-EC51-4AC9-8373-5C6C6850F732}"/>
    <cellStyle name="Normal 11 33" xfId="2867" xr:uid="{F2EBC4A3-EE77-483F-B34E-A0762F85B511}"/>
    <cellStyle name="Normal 11 33 13" xfId="2868" xr:uid="{8E2F30DF-ECD4-4D28-8C89-4FB55C4F90B2}"/>
    <cellStyle name="Normal 11 33 17" xfId="2869" xr:uid="{65146816-9A80-4E71-A38F-5CD84AFCA4B5}"/>
    <cellStyle name="Normal 11 33 20" xfId="2870" xr:uid="{C15596E6-4BCB-48D6-A42E-7B0C24A87D5C}"/>
    <cellStyle name="Normal 11 33 24" xfId="2871" xr:uid="{D485C45D-6FF1-4855-8194-1B2268111EC0}"/>
    <cellStyle name="Normal 11 33 28" xfId="2872" xr:uid="{FC93B02F-BBD4-4246-8D44-80E05F01398A}"/>
    <cellStyle name="Normal 11 33 31" xfId="2873" xr:uid="{D1ADDB4D-F3DD-45F8-B264-2BFEEEA807E3}"/>
    <cellStyle name="Normal 11 33 35" xfId="2874" xr:uid="{72C3C445-8C71-4153-838E-F6D3FC2F38D6}"/>
    <cellStyle name="Normal 11 33 5" xfId="2875" xr:uid="{6C16A498-522E-4806-A792-EE8E4465263D}"/>
    <cellStyle name="Normal 11 33 9" xfId="2876" xr:uid="{ECC86EA2-B57F-4464-B242-E2FC6A6C6F31}"/>
    <cellStyle name="Normal 11 34 11" xfId="2877" xr:uid="{C47EDAA3-FFAE-4178-BFA5-9854B5E0452C}"/>
    <cellStyle name="Normal 11 34 15" xfId="2878" xr:uid="{12984138-69BB-485B-B8EF-0E741672571E}"/>
    <cellStyle name="Normal 11 34 19" xfId="2879" xr:uid="{F97B0751-DF8F-471F-ACA1-467C8A4ADCE3}"/>
    <cellStyle name="Normal 11 34 22" xfId="2880" xr:uid="{BE13F94F-3739-4EFB-B924-B28E2BF88580}"/>
    <cellStyle name="Normal 11 34 28" xfId="2881" xr:uid="{C90F09AF-A27E-4CDB-A3CD-1380CC6DF2A8}"/>
    <cellStyle name="Normal 11 34 7" xfId="2882" xr:uid="{60D91115-CF8B-4AD5-89E7-0D9FF3318E82}"/>
    <cellStyle name="Normal 11 35" xfId="2883" xr:uid="{824B59C1-9B6F-434A-A235-78CA1F47B28D}"/>
    <cellStyle name="Normal 11 4 10" xfId="2884" xr:uid="{404212F3-F68E-49B6-A950-EF7F70758C58}"/>
    <cellStyle name="Normal 11 4 16" xfId="2885" xr:uid="{E61F08F0-1E56-44A1-8581-FBBA3B8E4D0A}"/>
    <cellStyle name="Normal 11 4 20" xfId="2886" xr:uid="{B0B8AD96-EA06-43D0-BA0A-D0B4A0F386DE}"/>
    <cellStyle name="Normal 11 4 27" xfId="2887" xr:uid="{559A188C-558C-4570-8E53-64D475AB3EB1}"/>
    <cellStyle name="Normal 11 4 3 4" xfId="2888" xr:uid="{F8E36905-9638-4D7B-8151-C7FD159F24A4}"/>
    <cellStyle name="Normal 11 4 37" xfId="2889" xr:uid="{500989F3-028C-4BB9-A3B8-4590237A9F3F}"/>
    <cellStyle name="Normal 11 4 47" xfId="2890" xr:uid="{A8013858-2EFA-4B20-B9C0-056BC531FF59}"/>
    <cellStyle name="Normal 11 4 52" xfId="2891" xr:uid="{5AD2C004-BF87-49A2-922C-00F1D5147EBB}"/>
    <cellStyle name="Normal 11 5 10" xfId="2892" xr:uid="{C281F3BD-2DCC-4DF7-942D-7AE3CA61775E}"/>
    <cellStyle name="Normal 11 5 17" xfId="2893" xr:uid="{B388DFE8-C524-4C62-B8D3-E37F5EE92FFE}"/>
    <cellStyle name="Normal 11 5 21" xfId="2894" xr:uid="{AD8CB550-6970-4701-A145-F9B19327DB98}"/>
    <cellStyle name="Normal 11 5 29" xfId="2895" xr:uid="{B12F7F0D-B889-4331-8AC9-D93F76BE6BF7}"/>
    <cellStyle name="Normal 11 5 32" xfId="2896" xr:uid="{FCB9F11F-39A4-4A37-814D-595559E08427}"/>
    <cellStyle name="Normal 11 5 4" xfId="2897" xr:uid="{E0B9DC4C-5758-4C64-B556-45BCC1034F7F}"/>
    <cellStyle name="Normal 11 5 46" xfId="2898" xr:uid="{5FB0818E-3B9E-4081-A05E-627FDA6FE0DE}"/>
    <cellStyle name="Normal 11 5 6" xfId="2899" xr:uid="{E28F9E10-808B-4A78-A841-2B4F32A3D41F}"/>
    <cellStyle name="Normal 11 6 13" xfId="2900" xr:uid="{5BD86D4F-9E20-4233-9145-93AB2125246B}"/>
    <cellStyle name="Normal 11 6 2" xfId="2901" xr:uid="{6B9C33C5-AE53-4F29-94D3-618C3D840F26}"/>
    <cellStyle name="Normal 11 6 24" xfId="2902" xr:uid="{6A00A75B-5283-45BC-9BBC-66E1B3DBE2BE}"/>
    <cellStyle name="Normal 11 6 3 3" xfId="2903" xr:uid="{EBB7D911-4F27-44F5-9573-68D7411F9469}"/>
    <cellStyle name="Normal 11 6 35" xfId="2904" xr:uid="{B0A02320-2660-4D46-9B77-62558F11466F}"/>
    <cellStyle name="Normal 11 6 42" xfId="2905" xr:uid="{F4DB1576-55F3-4F37-AC3B-DE88C8CDE9D7}"/>
    <cellStyle name="Normal 11 6 48" xfId="2906" xr:uid="{4CCAFC17-7332-4A9A-A567-52BA5C8B8F65}"/>
    <cellStyle name="Normal 11 6 52" xfId="2907" xr:uid="{A0DCA9CF-1453-4432-A4DE-1AF581DB0DA7}"/>
    <cellStyle name="Normal 11 7 12" xfId="2908" xr:uid="{09425E9B-68DF-4657-9174-A4FC864CF553}"/>
    <cellStyle name="Normal 11 7 18" xfId="2909" xr:uid="{285C9323-3072-4013-A888-02F625BC94B6}"/>
    <cellStyle name="Normal 11 7 2 3" xfId="2910" xr:uid="{CF071E77-9472-4C28-ABB4-3EA536F86B69}"/>
    <cellStyle name="Normal 11 7 23" xfId="2911" xr:uid="{A0897713-9E5C-474E-BB93-0598DD4C9A31}"/>
    <cellStyle name="Normal 11 7 29" xfId="2912" xr:uid="{C800F6E9-8721-43AC-8D2D-87F6B95DB0B0}"/>
    <cellStyle name="Normal 11 7 3 4" xfId="2913" xr:uid="{83FC8BB6-E25C-4EF7-A43B-6618F3B53184}"/>
    <cellStyle name="Normal 11 7 35" xfId="2914" xr:uid="{6F0A64A6-EA7F-4FDC-995F-4798B2A19257}"/>
    <cellStyle name="Normal 11 7 4" xfId="2915" xr:uid="{D00DBD68-3F4F-4B64-8B15-F2C60A9EC65D}"/>
    <cellStyle name="Normal 11 7 47" xfId="2916" xr:uid="{4FDEF73F-7B8B-4ABA-AFA1-687DB3360AFC}"/>
    <cellStyle name="Normal 11 7 7" xfId="2917" xr:uid="{9ED9DF36-3C29-4B71-8F2F-879B30810817}"/>
    <cellStyle name="Normal 11 8 11" xfId="2918" xr:uid="{1FBAF7AC-FAF2-46D0-87F6-9D5DDFBF90CA}"/>
    <cellStyle name="Normal 11 8 19" xfId="2919" xr:uid="{15086A7B-8ABD-4E24-AF05-CAF3C1009ED6}"/>
    <cellStyle name="Normal 11 8 23" xfId="2920" xr:uid="{CF83DDB8-B16B-401F-B425-6ACD0BC014BC}"/>
    <cellStyle name="Normal 11 8 29" xfId="2921" xr:uid="{D5402B65-E2D6-4D24-8F0B-D0AB0E4A5BB2}"/>
    <cellStyle name="Normal 11 8 33" xfId="2922" xr:uid="{D3A544F3-6451-4209-8AD1-B6B3BBE83CA7}"/>
    <cellStyle name="Normal 11 8 40" xfId="2923" xr:uid="{046F1E3D-D758-469B-91DF-097C804E3EBE}"/>
    <cellStyle name="Normal 11 8 48" xfId="2924" xr:uid="{F5EDAECB-715F-4B2C-B47E-57E9B4E75987}"/>
    <cellStyle name="Normal 11 8 8" xfId="2925" xr:uid="{2B03474B-459E-4C95-8DF5-66A0903C157B}"/>
    <cellStyle name="Normal 11 9 15" xfId="2926" xr:uid="{7109EA39-8812-4401-AB8F-E76B80C85C71}"/>
    <cellStyle name="Normal 11 9 2 4" xfId="2927" xr:uid="{736BC5EC-D224-4E2A-A8C6-61A8044D75EB}"/>
    <cellStyle name="Normal 11 9 27" xfId="2928" xr:uid="{882C2CC2-0667-4953-8EEE-2A14D20B70BA}"/>
    <cellStyle name="Normal 11 9 31" xfId="2929" xr:uid="{852399A8-D0DC-4F19-B34C-46BD868B4E6C}"/>
    <cellStyle name="Normal 11 9 38" xfId="2930" xr:uid="{BDD3B87E-12E3-477E-AE09-81A570652448}"/>
    <cellStyle name="Normal 11 9 43" xfId="2931" xr:uid="{3F968646-75C3-45A1-98F6-6CBF399B478A}"/>
    <cellStyle name="Normal 11 9 50" xfId="2932" xr:uid="{3921A488-9F9C-40EA-9A35-F1852D5E4517}"/>
    <cellStyle name="Normal 11 9 9" xfId="2933" xr:uid="{9E8BA9FA-6771-427D-8A7F-06FE62D685D7}"/>
    <cellStyle name="Normal 112" xfId="2934" xr:uid="{74AD4592-D3D9-400D-B00C-0EC7F679BA37}"/>
    <cellStyle name="Normal 118" xfId="2935" xr:uid="{83D78E10-5682-40B3-8318-0AFBF5A60D9F}"/>
    <cellStyle name="Normal 12 10 2 3" xfId="2936" xr:uid="{8149B916-0B9C-42AE-8CDF-BBFBA4915DE2}"/>
    <cellStyle name="Normal 12 10 3" xfId="2937" xr:uid="{B9B24C12-AD06-46BF-96C1-DD7B362E8CE5}"/>
    <cellStyle name="Normal 12 11 3" xfId="2938" xr:uid="{29955045-3F4A-4F2C-87BE-1E4D04B842A2}"/>
    <cellStyle name="Normal 12 11 6" xfId="2939" xr:uid="{5BB8E7D7-268D-42BF-B1A2-EB91BE4F370B}"/>
    <cellStyle name="Normal 12 12 3 3" xfId="2940" xr:uid="{C4BA9A19-B1A1-4D2A-818A-AF89070AA99D}"/>
    <cellStyle name="Normal 12 13 2 2" xfId="2941" xr:uid="{67309EF7-936E-4DDC-B078-1949A66C39C7}"/>
    <cellStyle name="Normal 12 13 3 4" xfId="2942" xr:uid="{EA3396D8-731A-4BCB-9C9E-7585A2FDCAE2}"/>
    <cellStyle name="Normal 12 14 2 4" xfId="2943" xr:uid="{9D4C4EF0-BE12-4136-9E43-4D24CC0EE25A}"/>
    <cellStyle name="Normal 12 15" xfId="2944" xr:uid="{CE7B782F-ED4E-46F8-924B-CE8482B0AAB3}"/>
    <cellStyle name="Normal 12 15 3 2" xfId="2945" xr:uid="{60F0A39C-5779-4B37-8EA2-94BF36471B1B}"/>
    <cellStyle name="Normal 12 16 2 2" xfId="2946" xr:uid="{DFD87778-F808-4D14-8626-B04805942E21}"/>
    <cellStyle name="Normal 12 16 5" xfId="2947" xr:uid="{B9774403-45C5-462A-9AFC-0C61C8E3A525}"/>
    <cellStyle name="Normal 12 17 3 2" xfId="2948" xr:uid="{159DC67A-6491-4F09-BD70-AA0141BACBBF}"/>
    <cellStyle name="Normal 12 18 2 2" xfId="2949" xr:uid="{BC2D07CD-E165-4B23-A261-0213E5B0A766}"/>
    <cellStyle name="Normal 12 18 5" xfId="2950" xr:uid="{8F4BDAEE-1B60-450C-9BD7-CDE7B9074AA5}"/>
    <cellStyle name="Normal 12 19 3 2" xfId="2951" xr:uid="{ED271201-1A17-494A-BF1B-2D69AB8B11EF}"/>
    <cellStyle name="Normal 12 19 5" xfId="2952" xr:uid="{FB9242CB-A2A2-4CC7-81B1-470B9F08A0BF}"/>
    <cellStyle name="Normal 12 2 10 2" xfId="2953" xr:uid="{B68EA5AD-C27D-400C-9477-5632CAD664B4}"/>
    <cellStyle name="Normal 12 2 10 3" xfId="2954" xr:uid="{A1C56344-D356-423D-B097-84419FEC3EBA}"/>
    <cellStyle name="Normal 12 2 10 4" xfId="2955" xr:uid="{7B071DA7-7C68-4953-A387-4BEF1B377499}"/>
    <cellStyle name="Normal 12 2 11 2" xfId="2956" xr:uid="{79D1CF59-5313-4043-9B6B-8DDD2BB34CBB}"/>
    <cellStyle name="Normal 12 2 11 2 3" xfId="2957" xr:uid="{849EBC5B-39AA-4D36-B5D0-71D824E62592}"/>
    <cellStyle name="Normal 12 2 11 3 3" xfId="2958" xr:uid="{A04AF4AD-560D-4FD5-BA7C-C128A9F01A86}"/>
    <cellStyle name="Normal 12 2 11 6" xfId="2959" xr:uid="{7DABE95A-E25A-4E5B-8D01-9674B4352C6A}"/>
    <cellStyle name="Normal 12 2 12 2 3" xfId="2960" xr:uid="{F6D10074-966C-4950-A72B-3D1983505D3A}"/>
    <cellStyle name="Normal 12 2 12 3 3" xfId="2961" xr:uid="{4E4B3E55-814F-4209-BECF-C6CDCFA9231E}"/>
    <cellStyle name="Normal 12 2 12 4" xfId="2962" xr:uid="{66D62AA8-3254-4E0E-9F89-CA9961C360B9}"/>
    <cellStyle name="Normal 12 2 12 6" xfId="2963" xr:uid="{71585DA9-34D5-4552-B8B9-C7B3C553A711}"/>
    <cellStyle name="Normal 12 2 13 2" xfId="2964" xr:uid="{4067AF3E-AC1F-494F-A795-3F54C325DD6E}"/>
    <cellStyle name="Normal 12 2 13 2 3" xfId="2965" xr:uid="{0F006A44-2E41-46FE-A761-E60F6CB29D79}"/>
    <cellStyle name="Normal 12 2 13 3 3" xfId="2966" xr:uid="{891A6C15-ADC5-4928-9352-D3EBE0D503E6}"/>
    <cellStyle name="Normal 12 2 13 6" xfId="2967" xr:uid="{748B2D39-601A-46D5-A4D9-ED0C19950C49}"/>
    <cellStyle name="Normal 12 2 14 2" xfId="2968" xr:uid="{C9CB44B6-0FD3-4918-91A8-B322A511BB5C}"/>
    <cellStyle name="Normal 12 2 14 2 3" xfId="2969" xr:uid="{D32EC12C-CC90-497F-8429-73B8E3162935}"/>
    <cellStyle name="Normal 12 2 14 3" xfId="2970" xr:uid="{7F8FF7D8-51DD-4267-B333-60CADA54CB1D}"/>
    <cellStyle name="Normal 12 2 14 6" xfId="2971" xr:uid="{F05A34E3-B87A-402D-95F8-12D79126675E}"/>
    <cellStyle name="Normal 12 2 15 2 3" xfId="2972" xr:uid="{634045C3-F724-46B9-8423-F9870B5D6479}"/>
    <cellStyle name="Normal 12 2 15 3" xfId="2973" xr:uid="{820C3369-1D8F-4A29-970F-BAB07D2CB701}"/>
    <cellStyle name="Normal 12 2 15 4" xfId="2974" xr:uid="{0093F638-09C9-4560-A893-93A5F176F286}"/>
    <cellStyle name="Normal 12 2 16 2" xfId="2975" xr:uid="{FD0F55E9-BF52-49DA-912A-634146531DB5}"/>
    <cellStyle name="Normal 12 2 16 3" xfId="2976" xr:uid="{C849CE66-0F87-4AE7-9084-159A08CD69F3}"/>
    <cellStyle name="Normal 12 2 16 4" xfId="2977" xr:uid="{A6896B99-D63D-481B-819A-B836333F50B4}"/>
    <cellStyle name="Normal 12 2 17 2" xfId="2978" xr:uid="{5B728D96-8BD6-413D-ABC0-C4EE34304DAC}"/>
    <cellStyle name="Normal 12 2 17 2 3" xfId="2979" xr:uid="{69051746-CBB9-4AE1-8DB2-F50C87E28208}"/>
    <cellStyle name="Normal 12 2 17 3 3" xfId="2980" xr:uid="{C44F629D-879B-4C5D-ACDD-AA7EC0CBD042}"/>
    <cellStyle name="Normal 12 2 17 6" xfId="2981" xr:uid="{3EA245DC-405D-435C-827A-BD0DE750C082}"/>
    <cellStyle name="Normal 12 2 18 4" xfId="2982" xr:uid="{0CFB49D9-C7B1-4A87-AD62-FFD856700CFE}"/>
    <cellStyle name="Normal 12 2 19 4" xfId="2983" xr:uid="{E2AA110D-9BDB-4D27-8E69-057DD04F50B6}"/>
    <cellStyle name="Normal 12 2 2 2 3" xfId="2984" xr:uid="{4EA1786B-F898-4492-B2CA-182B3AF64AEC}"/>
    <cellStyle name="Normal 12 2 2 3" xfId="2985" xr:uid="{488F64F8-B346-4BBC-952E-CD2C59F21B3F}"/>
    <cellStyle name="Normal 12 2 2 4" xfId="2986" xr:uid="{EE951E9A-153C-4B97-95C8-DBCAD396D980}"/>
    <cellStyle name="Normal 12 2 20 2" xfId="2987" xr:uid="{33F08DEF-E138-47A4-9556-D7D412048820}"/>
    <cellStyle name="Normal 12 2 22" xfId="2988" xr:uid="{8D12D07E-2EB4-49AA-953D-9BDE3AC299AD}"/>
    <cellStyle name="Normal 12 2 3 2 2" xfId="2989" xr:uid="{D4894C58-9F4D-4AFF-B43E-ADABDF14FB09}"/>
    <cellStyle name="Normal 12 2 3 3 2" xfId="2990" xr:uid="{9B435F51-6C28-4C06-817E-8725BCD6DCE4}"/>
    <cellStyle name="Normal 12 2 3 5" xfId="2991" xr:uid="{0956B644-85DA-4A32-87FE-4A0BEDC704E0}"/>
    <cellStyle name="Normal 12 2 4 2 2" xfId="2992" xr:uid="{0C5AA863-A642-4B81-95C9-B65061E38AE0}"/>
    <cellStyle name="Normal 12 2 4 3 2" xfId="2993" xr:uid="{10CA3A3A-93D4-4B57-A71D-656C9F8BC360}"/>
    <cellStyle name="Normal 12 2 4 5" xfId="2994" xr:uid="{A0B4C106-2BA6-44F5-92F4-B86A1778FE59}"/>
    <cellStyle name="Normal 12 2 5 2 2" xfId="2995" xr:uid="{6172C140-FD4E-4FDA-B3B9-9DAB1E1641A7}"/>
    <cellStyle name="Normal 12 2 5 3 2" xfId="2996" xr:uid="{6C4149E8-76F9-4A0E-AEF0-28E03C6C3E1D}"/>
    <cellStyle name="Normal 12 2 5 5" xfId="2997" xr:uid="{616DB30D-1C60-432B-A1DC-D6CDC57A0A61}"/>
    <cellStyle name="Normal 12 2 6 2 2" xfId="2998" xr:uid="{5DC8964E-F265-4365-87F6-8E1E39329703}"/>
    <cellStyle name="Normal 12 2 6 3 2" xfId="2999" xr:uid="{5D66A79C-4DBF-4E0B-80A1-F8880BCB5E1D}"/>
    <cellStyle name="Normal 12 2 6 5" xfId="3000" xr:uid="{626D111B-4EA1-41CB-A5C2-0A3AEA099C6B}"/>
    <cellStyle name="Normal 12 2 7 2 2" xfId="3001" xr:uid="{B67E953D-3155-4DA9-8EBB-80F43077DA30}"/>
    <cellStyle name="Normal 12 2 7 3 2" xfId="3002" xr:uid="{62C28FA1-7ECA-454B-AC25-784C818F5715}"/>
    <cellStyle name="Normal 12 2 7 5" xfId="3003" xr:uid="{A5014693-48B1-40F1-B684-8D6CCC2D8DF7}"/>
    <cellStyle name="Normal 12 2 8" xfId="3004" xr:uid="{98F06F8C-FB02-4379-92FC-4082CE3EE966}"/>
    <cellStyle name="Normal 12 2 8 2 4" xfId="3005" xr:uid="{63C15AF3-133D-4D1E-B553-25FDD6A93303}"/>
    <cellStyle name="Normal 12 2 8 3 4" xfId="3006" xr:uid="{638B62C4-923B-4E01-8B6C-E98F6A11BEC1}"/>
    <cellStyle name="Normal 12 2 9" xfId="3007" xr:uid="{2C52E979-343C-437C-8D32-C81229B47E31}"/>
    <cellStyle name="Normal 12 2 9 2 4" xfId="3008" xr:uid="{E1BD21CA-8B50-4112-8E7E-6313F5766A48}"/>
    <cellStyle name="Normal 12 2 9 3 2" xfId="3009" xr:uid="{AECCA428-3A54-43F0-8BB3-AD54BD96BACB}"/>
    <cellStyle name="Normal 12 2 9 3 4" xfId="3010" xr:uid="{E51C60C8-B4D6-452E-B40C-C9509998E1BA}"/>
    <cellStyle name="Normal 12 20" xfId="3011" xr:uid="{08C1D6D8-E69C-42A6-A785-70BA22B51A20}"/>
    <cellStyle name="Normal 12 22" xfId="3012" xr:uid="{FD720BB8-7E85-4F69-8443-8FCEDA0EB23E}"/>
    <cellStyle name="Normal 12 23" xfId="3013" xr:uid="{2483CABE-1B4E-4105-BE18-67C8D150E2F6}"/>
    <cellStyle name="Normal 12 27" xfId="3014" xr:uid="{DE463721-1FB8-4CCE-956B-43ABD8AB7CF5}"/>
    <cellStyle name="Normal 12 3 10 2 4" xfId="3015" xr:uid="{E026E381-BF90-4858-802E-95D8612FCAF3}"/>
    <cellStyle name="Normal 12 3 10 5" xfId="3016" xr:uid="{7E11A66B-D977-4C3B-9010-A214A81208CD}"/>
    <cellStyle name="Normal 12 3 11 3 2" xfId="3017" xr:uid="{34EA5BFE-FD85-4E4A-8AF0-1AD68D27542A}"/>
    <cellStyle name="Normal 12 3 12 2 2" xfId="3018" xr:uid="{30FCCF40-F3CD-4AC1-979B-152626F20E2B}"/>
    <cellStyle name="Normal 12 3 12 2 4" xfId="3019" xr:uid="{CFA79F68-BB65-485A-BB03-0640EFF8216F}"/>
    <cellStyle name="Normal 12 3 13" xfId="3020" xr:uid="{0265EC46-C56E-43B0-B119-C113397A98D9}"/>
    <cellStyle name="Normal 12 3 13 3 4" xfId="3021" xr:uid="{F0282B12-4697-41D4-9641-B1BF9D2FC8FA}"/>
    <cellStyle name="Normal 12 3 14 2 2" xfId="3022" xr:uid="{4C051793-87CF-471B-926F-908D2F20BF76}"/>
    <cellStyle name="Normal 12 3 14 4" xfId="3023" xr:uid="{6B6BB035-DC21-4239-B1A7-D0045E0BD52B}"/>
    <cellStyle name="Normal 12 3 15 2" xfId="3024" xr:uid="{C0036559-4B76-4EC2-9C6E-0BE6FF02A6F0}"/>
    <cellStyle name="Normal 12 3 15 3" xfId="3025" xr:uid="{6A9BE7D0-A462-4B9A-8EEE-71D7A5EA20DF}"/>
    <cellStyle name="Normal 12 3 15 4" xfId="3026" xr:uid="{A9F1B2A8-A01A-421A-831A-4EC4EF55E2CC}"/>
    <cellStyle name="Normal 12 3 16 2" xfId="3027" xr:uid="{E3046D26-C828-4B8E-93CD-024029F5B71D}"/>
    <cellStyle name="Normal 12 3 16 3" xfId="3028" xr:uid="{C1A7F268-A8B5-4DCE-93E9-35C8281983CA}"/>
    <cellStyle name="Normal 12 3 16 4" xfId="3029" xr:uid="{D8AF69D4-8AF7-4D33-9D13-DFD36A9E4FAD}"/>
    <cellStyle name="Normal 12 3 17 2" xfId="3030" xr:uid="{1F09959C-B883-4DA1-9A06-B3E1BD40DC40}"/>
    <cellStyle name="Normal 12 3 17 3" xfId="3031" xr:uid="{124787CA-427B-4B0F-89E3-AB88DE578DDA}"/>
    <cellStyle name="Normal 12 3 17 3 4" xfId="3032" xr:uid="{0A0B9CFE-3CAF-4DC5-B87F-D5AE59024E00}"/>
    <cellStyle name="Normal 12 3 18" xfId="3033" xr:uid="{E8BFCFB2-EEFC-4BDC-AB8A-7F5C091974CB}"/>
    <cellStyle name="Normal 12 3 18 3" xfId="3034" xr:uid="{67AA5814-7EF8-47DC-8A67-34BEC3DCB828}"/>
    <cellStyle name="Normal 12 3 18 4" xfId="3035" xr:uid="{94F42419-041F-4865-94B1-41CDCEE43B12}"/>
    <cellStyle name="Normal 12 3 19" xfId="3036" xr:uid="{7A44F7C8-A91D-41CC-9AB9-1F79804646A8}"/>
    <cellStyle name="Normal 12 3 19 2" xfId="3037" xr:uid="{E9C2427E-C512-424A-9C15-A5B4BF31E5D1}"/>
    <cellStyle name="Normal 12 3 19 3" xfId="3038" xr:uid="{E56E5E23-C6D2-4308-A3BD-D49A9B3D6B09}"/>
    <cellStyle name="Normal 12 3 2" xfId="3039" xr:uid="{99742CFE-AEFC-487B-A8BF-6EDDDBA53280}"/>
    <cellStyle name="Normal 12 3 2 2 3" xfId="3040" xr:uid="{A5F77B13-526E-48E1-A54E-B9FEE12CF6A2}"/>
    <cellStyle name="Normal 12 3 2 3" xfId="3041" xr:uid="{EDEF6B15-ED4B-490E-99F9-374FB0BFC668}"/>
    <cellStyle name="Normal 12 3 2 3 4" xfId="3042" xr:uid="{CB91A557-C899-47CE-82AB-434D69E48506}"/>
    <cellStyle name="Normal 12 3 2 6" xfId="3043" xr:uid="{38F7A032-1C1B-44D4-9D78-C99EF3F53782}"/>
    <cellStyle name="Normal 12 3 20 4" xfId="3044" xr:uid="{EFC5FD33-635B-4788-B41A-0C2CA2EC5618}"/>
    <cellStyle name="Normal 12 3 3" xfId="3045" xr:uid="{32D05044-0D18-44E2-909C-F49027965C54}"/>
    <cellStyle name="Normal 12 3 3 2 3" xfId="3046" xr:uid="{5B66AC8B-63CC-4FE2-8A50-6EA6022073A4}"/>
    <cellStyle name="Normal 12 3 3 3 3" xfId="3047" xr:uid="{C5E91656-AF50-44EE-B339-286B3AD994F1}"/>
    <cellStyle name="Normal 12 3 3 6" xfId="3048" xr:uid="{452FCEE0-C9A9-4BB7-8A74-960CCF33A9CA}"/>
    <cellStyle name="Normal 12 3 4 2" xfId="3049" xr:uid="{5058692B-8293-46D8-BAF6-4DC2249FABB1}"/>
    <cellStyle name="Normal 12 3 4 2 2" xfId="3050" xr:uid="{A47CD3ED-EC71-4DD2-AFFF-D7FB5A88F927}"/>
    <cellStyle name="Normal 12 3 4 2 4" xfId="3051" xr:uid="{C5F1B552-9CE9-4D99-A10F-4AAB761D26D5}"/>
    <cellStyle name="Normal 12 3 4 3 2" xfId="3052" xr:uid="{0C6B450E-550B-4E37-8283-3EDF1B0485DD}"/>
    <cellStyle name="Normal 12 3 4 5" xfId="3053" xr:uid="{01316C1D-6821-4BC6-9C61-3CFB8396E9C3}"/>
    <cellStyle name="Normal 12 3 5 2 2" xfId="3054" xr:uid="{844148A6-3B52-4F93-B92C-F374312B536A}"/>
    <cellStyle name="Normal 12 3 5 3 2" xfId="3055" xr:uid="{B58F1BF7-716D-4434-B2F9-1BE47AB5FEE1}"/>
    <cellStyle name="Normal 12 3 5 5" xfId="3056" xr:uid="{DD40BEB3-3191-4697-8B6D-916FCD265F5F}"/>
    <cellStyle name="Normal 12 3 6 2 2" xfId="3057" xr:uid="{92E21B72-43AA-45C3-8BB2-AF2070F875DA}"/>
    <cellStyle name="Normal 12 3 6 3 2" xfId="3058" xr:uid="{2005F752-AE73-43F9-BD77-9593CA320B42}"/>
    <cellStyle name="Normal 12 3 6 5" xfId="3059" xr:uid="{FAB6CCBE-16CA-4402-9EB8-4F9EA7CC2979}"/>
    <cellStyle name="Normal 12 3 7 2 2" xfId="3060" xr:uid="{36DB2F0F-5C43-467A-8DB8-24545532AC68}"/>
    <cellStyle name="Normal 12 3 7 2 4" xfId="3061" xr:uid="{8AEEFDFD-7B33-41CE-BCFB-01120B7E58EB}"/>
    <cellStyle name="Normal 12 3 7 3 2" xfId="3062" xr:uid="{312501C1-E8E1-45AC-A00C-F72CC12876FC}"/>
    <cellStyle name="Normal 12 3 7 3 4" xfId="3063" xr:uid="{B14A7C91-55D2-4996-9F81-07DD004D9DCB}"/>
    <cellStyle name="Normal 12 3 7 6" xfId="3064" xr:uid="{7C7E5F98-A621-4A80-912E-D5EC37440E6D}"/>
    <cellStyle name="Normal 12 3 8 2 3" xfId="3065" xr:uid="{78DE813D-D449-4690-A3F5-E002794F6F71}"/>
    <cellStyle name="Normal 12 3 8 4" xfId="3066" xr:uid="{9DF1FAC7-FA6B-4B7A-B08E-7D3D42D42C5A}"/>
    <cellStyle name="Normal 12 3 8 6" xfId="3067" xr:uid="{B4C3A046-0BDC-4B0B-AAB6-0227230AC9F9}"/>
    <cellStyle name="Normal 12 3 9 2" xfId="3068" xr:uid="{6275EA5E-5592-4A92-8A81-743AB4A5F515}"/>
    <cellStyle name="Normal 12 3 9 2 3" xfId="3069" xr:uid="{ACE86DC0-808C-4DFE-B260-832CE127CB55}"/>
    <cellStyle name="Normal 12 3 9 3" xfId="3070" xr:uid="{7D3F4978-426A-48A8-B990-BF2294AC69E6}"/>
    <cellStyle name="Normal 12 3 9 3 3" xfId="3071" xr:uid="{FBD3BFB8-710B-4206-BFCE-EC71B4B93242}"/>
    <cellStyle name="Normal 12 31" xfId="3072" xr:uid="{846ECC03-BC43-4A7F-93D7-F5E829FB96FF}"/>
    <cellStyle name="Normal 12 39" xfId="3073" xr:uid="{8A1AEC2D-2CD1-4B06-A55A-43F8C8A2E82C}"/>
    <cellStyle name="Normal 12 4 2 3" xfId="3074" xr:uid="{58F7C10A-C89E-41BC-B066-2865174F124F}"/>
    <cellStyle name="Normal 12 4 3 3" xfId="3075" xr:uid="{0F56EA75-5116-4C34-9C15-16F55246EF29}"/>
    <cellStyle name="Normal 12 4 4" xfId="3076" xr:uid="{4BBB359C-67FB-4520-8F2F-38DCAC37029C}"/>
    <cellStyle name="Normal 12 4 6" xfId="3077" xr:uid="{4CEED212-227F-47BD-A779-248AC870A5E0}"/>
    <cellStyle name="Normal 12 41" xfId="3078" xr:uid="{9DCF47F3-10B2-43FD-AA80-D54C2207F35C}"/>
    <cellStyle name="Normal 12 46" xfId="3079" xr:uid="{C83EF9DA-A272-4EEB-9337-7957C4C85F19}"/>
    <cellStyle name="Normal 12 5 3 3" xfId="3080" xr:uid="{D1FC7589-5DA0-4FBC-B1C0-CE8B2CDF8170}"/>
    <cellStyle name="Normal 12 5 6" xfId="3081" xr:uid="{3CD3A82D-8CDE-42C4-ACED-F410B4D82DC3}"/>
    <cellStyle name="Normal 12 6 2 3" xfId="3082" xr:uid="{2D3DF747-7AAD-4B0B-86B9-4F4F6F107AFA}"/>
    <cellStyle name="Normal 12 6 3 3" xfId="3083" xr:uid="{AADC1A31-1E26-4403-99F3-13DE6A62AC93}"/>
    <cellStyle name="Normal 12 6 6" xfId="3084" xr:uid="{0FFF28DD-CDA2-47C2-A518-B7648AB831DC}"/>
    <cellStyle name="Normal 12 7 2" xfId="3085" xr:uid="{7377DC04-875E-4919-9619-4CA8C189495F}"/>
    <cellStyle name="Normal 12 7 2 4" xfId="3086" xr:uid="{6E417E06-408C-45E0-AF7E-2E7BE2719FF6}"/>
    <cellStyle name="Normal 12 7 3 2" xfId="3087" xr:uid="{5DCD68B6-D765-48FC-AE13-37535BF8F4F8}"/>
    <cellStyle name="Normal 12 7 3 4" xfId="3088" xr:uid="{E980F0EA-B401-43D1-8CE3-D40AEE6C1E44}"/>
    <cellStyle name="Normal 12 7 5" xfId="3089" xr:uid="{23E692EC-D1F6-4E4C-B03B-842B798FBB4D}"/>
    <cellStyle name="Normal 12 8 2" xfId="3090" xr:uid="{EA450AC9-D86D-4926-9673-0716C83A39C8}"/>
    <cellStyle name="Normal 12 8 3 2" xfId="3091" xr:uid="{C8C56389-2EEF-4162-9B9E-5D976495224C}"/>
    <cellStyle name="Normal 12 8 3 4" xfId="3092" xr:uid="{EA0674CE-D4C0-40B6-85E7-89DACC7C0E25}"/>
    <cellStyle name="Normal 12 8 6" xfId="3093" xr:uid="{BF01ED2D-2513-44F9-B550-6B7E0CFAA12B}"/>
    <cellStyle name="Normal 12 9 2" xfId="3094" xr:uid="{0EFC96FC-E788-4BCB-B9CC-B1E4059FA825}"/>
    <cellStyle name="Normal 12 9 2 4" xfId="3095" xr:uid="{5B00AABA-20E9-401B-9292-454CD6C798F1}"/>
    <cellStyle name="Normal 12 9 3 2" xfId="3096" xr:uid="{6949C696-3E3A-4631-8C2C-6F740AFA315B}"/>
    <cellStyle name="Normal 12 9 3 4" xfId="3097" xr:uid="{45542092-EFEB-468A-B92E-EBE1C1CEE318}"/>
    <cellStyle name="Normal 12 9 5" xfId="3098" xr:uid="{4657A812-831A-4A7E-84A0-73BA8B854C3C}"/>
    <cellStyle name="Normal 120" xfId="3099" xr:uid="{DCFD50C9-5523-4D8E-A4DD-0F0E86BA0190}"/>
    <cellStyle name="Normal 122" xfId="3100" xr:uid="{C53A71EE-14DD-4632-93C3-8EA4F40ABF07}"/>
    <cellStyle name="Normal 126" xfId="3101" xr:uid="{A2A67E17-D095-428E-B387-EC7E3C01752A}"/>
    <cellStyle name="Normal 13" xfId="379" xr:uid="{CB167449-ADE2-42D7-B853-D19F332A5CB7}"/>
    <cellStyle name="Normal 13 11" xfId="3102" xr:uid="{ABAD699B-CFC2-403D-997E-518FD05AC3BA}"/>
    <cellStyle name="Normal 13 13" xfId="3103" xr:uid="{B2F90B24-A516-48F5-9856-95BBDB3E004B}"/>
    <cellStyle name="Normal 13 15" xfId="3104" xr:uid="{DCF0A141-483A-40D3-9920-DD8162373599}"/>
    <cellStyle name="Normal 13 17" xfId="3105" xr:uid="{60E70C2E-C783-4A22-8C69-0B0CB89B607C}"/>
    <cellStyle name="Normal 13 19" xfId="3106" xr:uid="{3664098F-633A-4796-A85D-598BE48F9A7D}"/>
    <cellStyle name="Normal 13 21" xfId="3107" xr:uid="{5D88EA12-5D7D-4E8A-A986-5ABC5EC2889E}"/>
    <cellStyle name="Normal 13 25" xfId="3108" xr:uid="{12673573-8CE8-4C30-BFC7-C1D1F89C3FF4}"/>
    <cellStyle name="Normal 13 28" xfId="3109" xr:uid="{44C7FFE6-3D1E-404F-A27C-6A4E4217A3F2}"/>
    <cellStyle name="Normal 13 30" xfId="3110" xr:uid="{78FBB064-7E0C-49CF-A221-642D93054E2D}"/>
    <cellStyle name="Normal 13 32" xfId="3111" xr:uid="{20CA5758-54EF-4941-9CC8-56FCB288997F}"/>
    <cellStyle name="Normal 13 34" xfId="3112" xr:uid="{9967A81C-7598-4D39-B94E-2A17A24E3DDE}"/>
    <cellStyle name="Normal 13 38" xfId="3113" xr:uid="{35EDFCA7-C2CC-4B8B-876C-45556176F2A9}"/>
    <cellStyle name="Normal 13 4 2 2" xfId="3114" xr:uid="{B67E7CD0-1663-4C32-B034-99486C73B00E}"/>
    <cellStyle name="Normal 13 4 2 2 3" xfId="3115" xr:uid="{4BC631FE-1306-493C-8449-EA656FB5F93A}"/>
    <cellStyle name="Normal 13 4 2 2 5" xfId="3116" xr:uid="{9E59D741-8991-49AC-BE15-296697267188}"/>
    <cellStyle name="Normal 13 4 3 2 2" xfId="3117" xr:uid="{253FD2FA-1A5B-476E-9A2A-642BE54801FA}"/>
    <cellStyle name="Normal 13 4 3 2 4" xfId="3118" xr:uid="{5FD776B7-86E2-4D96-87D9-0F5C342D0049}"/>
    <cellStyle name="Normal 13 4 5" xfId="3119" xr:uid="{BB2C8F57-B488-4A1E-B776-1A30810E809B}"/>
    <cellStyle name="Normal 13 40" xfId="3120" xr:uid="{FCF51AF1-9FF2-44B0-8D01-7CFD6118A718}"/>
    <cellStyle name="Normal 13 42" xfId="3121" xr:uid="{BF255CFB-1974-478A-B4B0-B75476B547DF}"/>
    <cellStyle name="Normal 13 44" xfId="3122" xr:uid="{DF2920DE-1937-4AC3-8132-6E8B177C82DC}"/>
    <cellStyle name="Normal 13 46" xfId="3123" xr:uid="{008AAE80-87AA-41AE-AAC4-188C51C63D9F}"/>
    <cellStyle name="Normal 13 6 2" xfId="3124" xr:uid="{A983EB76-3EE7-454E-9DC7-B785311595D1}"/>
    <cellStyle name="Normal 13 7" xfId="3125" xr:uid="{56B2B1FD-3D70-4036-A6FE-267FFBC867FC}"/>
    <cellStyle name="Normal 13 8 2" xfId="3126" xr:uid="{CBA8DA06-E7BB-42F2-B160-879F8678DFB4}"/>
    <cellStyle name="Normal 13 8 4" xfId="3127" xr:uid="{851F8417-54D2-4D25-8BA5-A8B760A9FF0B}"/>
    <cellStyle name="Normal 130" xfId="3128" xr:uid="{381204DF-96DD-4288-BA55-53E58753179B}"/>
    <cellStyle name="Normal 134" xfId="3129" xr:uid="{C5B6B03F-2E31-4B9E-B705-712C6C93863D}"/>
    <cellStyle name="Normal 136" xfId="3130" xr:uid="{B3B1908C-A9D1-4953-80BC-9D1CDF14CCAA}"/>
    <cellStyle name="Normal 139" xfId="3131" xr:uid="{4D3AFE50-1AEC-4CED-A84B-220566654795}"/>
    <cellStyle name="Normal 14 10" xfId="3132" xr:uid="{7DA145F7-7212-4C1B-AD29-0F82E26A58F5}"/>
    <cellStyle name="Normal 14 10 11" xfId="3133" xr:uid="{ED401CF7-261E-4FE1-A57A-DD9D28581019}"/>
    <cellStyle name="Normal 14 10 13" xfId="3134" xr:uid="{F58F051D-0EEE-4221-8C00-54B824AE9AB5}"/>
    <cellStyle name="Normal 14 10 15" xfId="3135" xr:uid="{3DE6FC81-507C-4E4A-9E01-582DCD90E217}"/>
    <cellStyle name="Normal 14 10 17" xfId="3136" xr:uid="{F061B02A-291E-4078-8930-DD630BECB408}"/>
    <cellStyle name="Normal 14 10 19" xfId="3137" xr:uid="{D64D1017-F92F-4D58-9424-21D10C4F4FBA}"/>
    <cellStyle name="Normal 14 10 20" xfId="3138" xr:uid="{5231BD3B-9BDF-44CE-89C1-C84764F29BE7}"/>
    <cellStyle name="Normal 14 10 22" xfId="3139" xr:uid="{931090FF-68A8-4994-81C9-BAD149B9E0E1}"/>
    <cellStyle name="Normal 14 10 26" xfId="3140" xr:uid="{33CE3275-385A-42A8-AD8F-488FEF326E1B}"/>
    <cellStyle name="Normal 14 10 3" xfId="3141" xr:uid="{85771DE8-60B5-45BE-AC96-9961A55C87A0}"/>
    <cellStyle name="Normal 14 10 33" xfId="3142" xr:uid="{960763D9-447F-4D1B-877C-42C73A6FEA01}"/>
    <cellStyle name="Normal 14 10 37" xfId="3143" xr:uid="{87926563-C5A1-4F46-9CA9-80D6A589EBB2}"/>
    <cellStyle name="Normal 14 10 39" xfId="3144" xr:uid="{13605E51-FA0B-44AC-B7C3-DEF509FEEEEA}"/>
    <cellStyle name="Normal 14 10 40" xfId="3145" xr:uid="{BA4086E5-6760-4DC1-8BC1-96540237842C}"/>
    <cellStyle name="Normal 14 10 42" xfId="3146" xr:uid="{61138D4C-DEFE-4625-922A-607E6E0A0CE4}"/>
    <cellStyle name="Normal 14 10 44" xfId="3147" xr:uid="{C01B5726-AAE7-4A71-A05B-107D006883A1}"/>
    <cellStyle name="Normal 14 10 5" xfId="3148" xr:uid="{EC3B3A6D-18F4-48B2-AF13-3CE6D6683B04}"/>
    <cellStyle name="Normal 14 10 9" xfId="3149" xr:uid="{F51E842E-6D9F-4272-92D3-A385BA518081}"/>
    <cellStyle name="Normal 14 11 12" xfId="3150" xr:uid="{68FC6245-CD43-47DC-8090-CB247F065185}"/>
    <cellStyle name="Normal 14 11 14" xfId="3151" xr:uid="{7CCA61AC-F191-4AD1-B682-543EB6725D86}"/>
    <cellStyle name="Normal 14 11 18" xfId="3152" xr:uid="{8C25EAB3-9D75-491C-813C-F7D1BE773D61}"/>
    <cellStyle name="Normal 14 11 21" xfId="3153" xr:uid="{42935DBC-18DA-4AE3-9939-77D1DC38EB57}"/>
    <cellStyle name="Normal 14 11 29" xfId="3154" xr:uid="{BC90A60C-E0E8-4A19-8F7B-C5F3C677CFFC}"/>
    <cellStyle name="Normal 14 11 32" xfId="3155" xr:uid="{F215103D-F4BE-45EA-8049-090F9A62E819}"/>
    <cellStyle name="Normal 14 11 36" xfId="3156" xr:uid="{BD508841-B48C-499A-A18E-912E23B5A675}"/>
    <cellStyle name="Normal 14 11 38" xfId="3157" xr:uid="{A40FC875-A971-4DBF-970C-A5AD144AC92A}"/>
    <cellStyle name="Normal 14 11 4" xfId="3158" xr:uid="{7B611967-3B08-4989-89C1-A0440FD4568C}"/>
    <cellStyle name="Normal 14 11 41" xfId="3159" xr:uid="{EF39A9BA-BE51-47E8-925E-28A2076E674E}"/>
    <cellStyle name="Normal 14 11 8" xfId="3160" xr:uid="{3EBBFA69-C05B-4D3B-B77A-9C7E38C3317D}"/>
    <cellStyle name="Normal 14 12 17" xfId="3161" xr:uid="{66CB826B-C9EE-4229-B459-8B1530DA7B9F}"/>
    <cellStyle name="Normal 14 12 19" xfId="3162" xr:uid="{91997560-BCBB-4A64-9F2C-90DC307A6ECB}"/>
    <cellStyle name="Normal 14 12 20" xfId="3163" xr:uid="{F681C411-6662-4DB6-A9D5-02070A422458}"/>
    <cellStyle name="Normal 14 12 22" xfId="3164" xr:uid="{702C0CC1-788B-4208-914A-31ADE8CC566E}"/>
    <cellStyle name="Normal 14 12 24" xfId="3165" xr:uid="{A333848A-8A72-4091-BB88-12206D4C58E8}"/>
    <cellStyle name="Normal 14 12 28" xfId="3166" xr:uid="{382F04F0-E26E-484F-82BD-B888A313F13E}"/>
    <cellStyle name="Normal 14 12 31" xfId="3167" xr:uid="{690877B8-0AC1-425E-A384-55F4A18BF941}"/>
    <cellStyle name="Normal 14 12 33" xfId="3168" xr:uid="{E8087753-3242-4ED6-BA5E-2605E10745A6}"/>
    <cellStyle name="Normal 14 12 35" xfId="3169" xr:uid="{1738E596-24E8-4BD4-84EE-F78D83CC2AF2}"/>
    <cellStyle name="Normal 14 12 37" xfId="3170" xr:uid="{5A873FF6-FFCD-4DAA-8413-02574F5251B9}"/>
    <cellStyle name="Normal 14 12 40" xfId="3171" xr:uid="{AAE5672E-1E16-4F00-B8E0-E84E9EBC429F}"/>
    <cellStyle name="Normal 14 12 42" xfId="3172" xr:uid="{A4411356-A2F9-4C56-A2D2-2D2058D4A839}"/>
    <cellStyle name="Normal 14 12 44" xfId="3173" xr:uid="{E71B97BC-7492-41E6-8BF6-0EB65DC3CEFF}"/>
    <cellStyle name="Normal 14 12 5" xfId="3174" xr:uid="{7FA78265-B413-45CE-A519-1D0607DC71D1}"/>
    <cellStyle name="Normal 14 12 7" xfId="3175" xr:uid="{865433A8-4664-4057-ADB7-DA912BB0467D}"/>
    <cellStyle name="Normal 14 12 9" xfId="3176" xr:uid="{5B91B99B-8F67-45E0-A05B-E03B0057687C}"/>
    <cellStyle name="Normal 14 13 10" xfId="3177" xr:uid="{147E68F4-BA91-4139-B890-775809EC9372}"/>
    <cellStyle name="Normal 14 13 12" xfId="3178" xr:uid="{6E385EED-8903-46FF-B88A-AFD762DF6D1E}"/>
    <cellStyle name="Normal 14 13 14" xfId="3179" xr:uid="{CC505343-B6CA-4997-9639-AEE39C07128A}"/>
    <cellStyle name="Normal 14 13 16" xfId="3180" xr:uid="{3D1DD86D-1BA1-4BA4-95DD-22300E2192DD}"/>
    <cellStyle name="Normal 14 13 18" xfId="3181" xr:uid="{53EB6CD9-B689-4F1F-A6B1-CCA18B904BAB}"/>
    <cellStyle name="Normal 14 13 25" xfId="3182" xr:uid="{6221EE8C-D991-477F-A890-D955CFD2443C}"/>
    <cellStyle name="Normal 14 13 32" xfId="3183" xr:uid="{20AB3E09-E8C0-4FB4-B864-7BC8B908600D}"/>
    <cellStyle name="Normal 14 13 36" xfId="3184" xr:uid="{BD9C9E1C-523D-4163-9E63-B3F36A62CC22}"/>
    <cellStyle name="Normal 14 13 4" xfId="3185" xr:uid="{56B3071D-8C71-4200-8B3C-3A316C8C096E}"/>
    <cellStyle name="Normal 14 13 43" xfId="3186" xr:uid="{402A1D7C-28FE-4D90-BCC3-C62FAF89B80F}"/>
    <cellStyle name="Normal 14 13 45" xfId="3187" xr:uid="{781F96AE-65BA-4C91-BF1C-C9F0AF16A39B}"/>
    <cellStyle name="Normal 14 13 6" xfId="3188" xr:uid="{AB58ABA6-0FBA-46C4-B392-8152ECB96331}"/>
    <cellStyle name="Normal 14 13 8" xfId="3189" xr:uid="{04C5D293-1E68-42C4-8FEF-BDED343BE0C7}"/>
    <cellStyle name="Normal 14 14 13" xfId="3190" xr:uid="{2F91A992-D759-4DDD-9746-B7A0DF9646EB}"/>
    <cellStyle name="Normal 14 14 17" xfId="3191" xr:uid="{5B8B8D5F-DD0A-4A8C-A6A8-6D8E696BA7BF}"/>
    <cellStyle name="Normal 14 14 20" xfId="3192" xr:uid="{E128D520-9C68-4C42-826F-C013829507B0}"/>
    <cellStyle name="Normal 14 14 24" xfId="3193" xr:uid="{892D4A45-3FD6-4485-B4E5-A9DCBD1CBAA2}"/>
    <cellStyle name="Normal 14 14 26" xfId="3194" xr:uid="{B2B59378-77B9-43CE-B4E6-66486BFAEDDD}"/>
    <cellStyle name="Normal 14 14 3" xfId="3195" xr:uid="{99109FA3-04B0-4B4F-86AA-64E6DD905B30}"/>
    <cellStyle name="Normal 14 14 33" xfId="3196" xr:uid="{BB8A7A98-C1B2-4F56-B7FC-56065B8AD4B5}"/>
    <cellStyle name="Normal 14 14 39" xfId="3197" xr:uid="{90A29F95-E0FB-4B74-AAE9-FF1F774424CF}"/>
    <cellStyle name="Normal 14 14 40" xfId="3198" xr:uid="{1943F31E-8173-4380-AA0A-07D1A0F89F4D}"/>
    <cellStyle name="Normal 14 14 7" xfId="3199" xr:uid="{11A2058A-4624-4FCD-A268-5FB043E7714F}"/>
    <cellStyle name="Normal 14 14 9" xfId="3200" xr:uid="{A3323350-287A-45AC-B2C7-019C127E8413}"/>
    <cellStyle name="Normal 14 15 10" xfId="3201" xr:uid="{25824210-2317-485B-A0D8-A1903A64C77C}"/>
    <cellStyle name="Normal 14 15 12" xfId="3202" xr:uid="{1E48918B-1827-44B4-9F1F-DF5635159E9C}"/>
    <cellStyle name="Normal 14 15 14" xfId="3203" xr:uid="{A38948BD-646B-4933-9183-F3ECCA559B48}"/>
    <cellStyle name="Normal 14 15 25" xfId="3204" xr:uid="{D7728ECC-67E5-47CF-9EC1-FA2BD131C604}"/>
    <cellStyle name="Normal 14 15 27" xfId="3205" xr:uid="{E3ADF5CB-FB10-49B6-9D9B-08A81FD7347F}"/>
    <cellStyle name="Normal 14 15 30" xfId="3206" xr:uid="{A3AC5B07-A571-4F3E-BAEA-140BD52B912E}"/>
    <cellStyle name="Normal 14 15 36" xfId="3207" xr:uid="{20B2FDB0-DDDD-4577-A79E-02A041C08FED}"/>
    <cellStyle name="Normal 14 15 6" xfId="3208" xr:uid="{E02A868E-051A-41C5-8166-4DF61116DC86}"/>
    <cellStyle name="Normal 14 16" xfId="3209" xr:uid="{8AA16020-90B0-4FF3-B407-0F00D64CCCBE}"/>
    <cellStyle name="Normal 14 16 15" xfId="3210" xr:uid="{4EBFB792-2BC1-491A-9A18-4213DD7E783E}"/>
    <cellStyle name="Normal 14 16 19" xfId="3211" xr:uid="{5C79F02D-902D-451C-9DDD-C74D35E215A5}"/>
    <cellStyle name="Normal 14 16 22" xfId="3212" xr:uid="{69F5A24A-B473-4900-8EFB-2C64682817BC}"/>
    <cellStyle name="Normal 14 16 3" xfId="3213" xr:uid="{22F6A819-833A-405B-99D7-1D4EF223B74C}"/>
    <cellStyle name="Normal 14 16 33" xfId="3214" xr:uid="{04F7B6CB-E24B-4B1D-AE56-85445F2E2CCA}"/>
    <cellStyle name="Normal 14 16 35" xfId="3215" xr:uid="{0623817E-0D4A-482C-9257-3C78DAECB76C}"/>
    <cellStyle name="Normal 14 16 5" xfId="3216" xr:uid="{11744962-FF19-4FC1-AB09-F275FB582E21}"/>
    <cellStyle name="Normal 14 16 7" xfId="3217" xr:uid="{4C009D48-E4A4-4214-934F-FA7F3C494067}"/>
    <cellStyle name="Normal 14 16 9" xfId="3218" xr:uid="{5FAA9BAB-B368-4C98-89D3-7D0B21DC48CB}"/>
    <cellStyle name="Normal 14 17 10" xfId="3219" xr:uid="{2FE87B43-93F1-467E-9675-9E106FB940B4}"/>
    <cellStyle name="Normal 14 17 12" xfId="3220" xr:uid="{D7ABABA3-FFAE-4D62-A69F-7FDD35805ED9}"/>
    <cellStyle name="Normal 14 17 14" xfId="3221" xr:uid="{7FA0B00F-DD38-4187-9947-FAC54EAB594F}"/>
    <cellStyle name="Normal 14 17 16" xfId="3222" xr:uid="{EC597C59-E9BB-4673-8AC6-55628F96693F}"/>
    <cellStyle name="Normal 14 17 19" xfId="3223" xr:uid="{3E33C189-0D81-4092-946C-8C17BD1E94C9}"/>
    <cellStyle name="Normal 14 17 26" xfId="3224" xr:uid="{BA913807-3362-4F64-BDE8-4BF5619C22AE}"/>
    <cellStyle name="Normal 14 17 29" xfId="3225" xr:uid="{478495C5-E7C0-4D64-80E6-6588ADA51DB1}"/>
    <cellStyle name="Normal 14 17 32" xfId="3226" xr:uid="{96063623-37F1-4BB3-B34C-FFE9043F7A64}"/>
    <cellStyle name="Normal 14 17 37" xfId="3227" xr:uid="{B2116DA0-81D2-4ED6-94AB-675D5F9EFB91}"/>
    <cellStyle name="Normal 14 17 6" xfId="3228" xr:uid="{CD3E2915-D686-4A53-9C29-15D37AD896F2}"/>
    <cellStyle name="Normal 14 17 8" xfId="3229" xr:uid="{56566140-C61A-4C89-B229-E52E905DE6AF}"/>
    <cellStyle name="Normal 14 18" xfId="3230" xr:uid="{E191727E-84F6-4E01-B628-EF6BFD7215E6}"/>
    <cellStyle name="Normal 14 18 11" xfId="3231" xr:uid="{A2D8E2DC-1AA0-4530-9A89-6EE681944828}"/>
    <cellStyle name="Normal 14 18 14" xfId="3232" xr:uid="{E2ACA84E-4BA0-4148-B889-5C4BD860FC88}"/>
    <cellStyle name="Normal 14 18 15" xfId="3233" xr:uid="{26EEB429-8EB2-45D8-8510-D9912E1C2CC2}"/>
    <cellStyle name="Normal 14 18 16" xfId="3234" xr:uid="{A6444B4A-27BB-463D-8D76-C7435C351E5E}"/>
    <cellStyle name="Normal 14 18 17" xfId="3235" xr:uid="{BD56ED63-4A25-48FF-B6DE-C0BE423985CA}"/>
    <cellStyle name="Normal 14 18 19" xfId="3236" xr:uid="{4AA6B9BF-2208-4AEF-9FAE-E660031B9F7E}"/>
    <cellStyle name="Normal 14 18 22" xfId="3237" xr:uid="{A07DE4AE-2467-4762-B92A-F3F7F0CAC8A6}"/>
    <cellStyle name="Normal 14 18 26" xfId="3238" xr:uid="{6D3A5C30-F78C-42EC-8657-22E80F39D48F}"/>
    <cellStyle name="Normal 14 18 28" xfId="3239" xr:uid="{9862F29D-323D-4DE9-B635-A8EDC2C381BA}"/>
    <cellStyle name="Normal 14 18 31" xfId="3240" xr:uid="{5C447B22-0B6A-42B1-9205-E28C6559FE1A}"/>
    <cellStyle name="Normal 14 18 33" xfId="3241" xr:uid="{9F9ECAEF-045B-4DBA-9139-DEE2E611CC62}"/>
    <cellStyle name="Normal 14 18 4" xfId="3242" xr:uid="{2529D01E-2458-4D76-B853-3481EFFD02CC}"/>
    <cellStyle name="Normal 14 18 5" xfId="3243" xr:uid="{363ECFB5-DE37-4BF9-904F-7E833B9CF8E5}"/>
    <cellStyle name="Normal 14 18 7" xfId="3244" xr:uid="{895CBAC6-93C5-481F-8DE4-C34CE8C7EBAE}"/>
    <cellStyle name="Normal 14 19 10" xfId="3245" xr:uid="{4A523A27-F1CC-4632-95DA-64D2AEDCB5F9}"/>
    <cellStyle name="Normal 14 19 16" xfId="3246" xr:uid="{10F51048-249E-4081-97E6-D907152B5AC2}"/>
    <cellStyle name="Normal 14 19 18" xfId="3247" xr:uid="{017B580A-6718-4478-8069-2A54D05E5D04}"/>
    <cellStyle name="Normal 14 19 2" xfId="3248" xr:uid="{FE152020-9016-4C9B-BE56-DD973E50C612}"/>
    <cellStyle name="Normal 14 19 21" xfId="3249" xr:uid="{EC8A1027-4A2D-4C7B-86D7-F2A6FF6793DD}"/>
    <cellStyle name="Normal 14 19 23" xfId="3250" xr:uid="{88C8DB4F-ED09-4ED0-B750-6E190BB12550}"/>
    <cellStyle name="Normal 14 19 25" xfId="3251" xr:uid="{151D634F-0CEE-4891-BC98-759D80445879}"/>
    <cellStyle name="Normal 14 19 28" xfId="3252" xr:uid="{3606F19C-7967-498B-87A1-E2D744E35C28}"/>
    <cellStyle name="Normal 14 19 3" xfId="3253" xr:uid="{A5A4FC77-AE0A-4EA6-B8BC-94571B4F7994}"/>
    <cellStyle name="Normal 14 19 31" xfId="3254" xr:uid="{D0843572-42B4-4DDB-9C64-299B5C717719}"/>
    <cellStyle name="Normal 14 19 33" xfId="3255" xr:uid="{A6718798-F9DB-47E7-8B9A-C99CAFD51250}"/>
    <cellStyle name="Normal 14 19 37" xfId="3256" xr:uid="{A97D8C8F-1658-4678-BCC5-AB1ED8D841D8}"/>
    <cellStyle name="Normal 14 19 7" xfId="3257" xr:uid="{49536D9B-9D63-4E3A-8B73-79F1DAEB3BCC}"/>
    <cellStyle name="Normal 14 2 2" xfId="3258" xr:uid="{E0925DA7-EC5E-4B49-A867-50D7846405E9}"/>
    <cellStyle name="Normal 14 20 23" xfId="3259" xr:uid="{E789694A-4B39-433D-AC03-FEF56B94D08B}"/>
    <cellStyle name="Normal 14 20 26" xfId="3260" xr:uid="{B5552D33-A533-4F96-9EBB-F27D0B6A368D}"/>
    <cellStyle name="Normal 14 20 4" xfId="3261" xr:uid="{C99ECC1A-AC12-40E8-8075-060FF78764BD}"/>
    <cellStyle name="Normal 14 21" xfId="3262" xr:uid="{BF322E41-93DC-4822-B9B0-C6B98B598131}"/>
    <cellStyle name="Normal 14 21 12" xfId="3263" xr:uid="{81FFFC34-CCFC-439E-993D-CF13433FEC69}"/>
    <cellStyle name="Normal 14 21 14" xfId="3264" xr:uid="{F6D8934F-999E-48CF-9B89-D4F078D6F263}"/>
    <cellStyle name="Normal 14 21 19" xfId="3265" xr:uid="{209C0DC5-FA1D-4E8E-BECC-48340A30F802}"/>
    <cellStyle name="Normal 14 21 22" xfId="3266" xr:uid="{55A3F5B1-4CAB-45AF-8A29-0BF950E184D1}"/>
    <cellStyle name="Normal 14 21 3" xfId="3267" xr:uid="{4B96D8D7-6EAB-4D42-8D2F-EB2240077406}"/>
    <cellStyle name="Normal 14 21 35" xfId="3268" xr:uid="{C5343D70-627D-4C35-9DAB-E17DB1C5CE6D}"/>
    <cellStyle name="Normal 14 22 10" xfId="3269" xr:uid="{C8612D04-6CCB-4D1C-BADF-5E9EEA07D232}"/>
    <cellStyle name="Normal 14 22 18" xfId="3270" xr:uid="{ADB0CB5A-CDBA-4C28-B53B-C91691354EFF}"/>
    <cellStyle name="Normal 14 22 24" xfId="3271" xr:uid="{F9B1DC4C-6865-4FFA-99C1-9DA4FC02E866}"/>
    <cellStyle name="Normal 14 22 28" xfId="3272" xr:uid="{CD55805A-0E40-494C-84DB-315D99D91AA0}"/>
    <cellStyle name="Normal 14 22 31" xfId="3273" xr:uid="{96C0BABD-AAC2-447F-B3C9-4B5501A0299E}"/>
    <cellStyle name="Normal 14 22 37" xfId="3274" xr:uid="{94AD6818-22AC-4E1E-A223-C964FB941B9E}"/>
    <cellStyle name="Normal 14 22 7" xfId="3275" xr:uid="{603BC91E-D9FD-4350-8232-815031A98A65}"/>
    <cellStyle name="Normal 14 23 13" xfId="3276" xr:uid="{8C87AA3A-F004-44AF-A806-053CD21A9808}"/>
    <cellStyle name="Normal 14 23 14" xfId="3277" xr:uid="{3FA40417-93D5-47FE-9E89-BE785210AF0A}"/>
    <cellStyle name="Normal 14 23 16" xfId="3278" xr:uid="{5A0E3F26-C547-43D9-9181-8D1BF7B80753}"/>
    <cellStyle name="Normal 14 23 18" xfId="3279" xr:uid="{C4540801-9031-4DE4-9795-6FBD0EF1985B}"/>
    <cellStyle name="Normal 14 23 2" xfId="3280" xr:uid="{ED4F5560-8589-4F05-8AB0-625C25404216}"/>
    <cellStyle name="Normal 14 23 20" xfId="3281" xr:uid="{964DCBDE-D261-4726-87FB-BE38333F889F}"/>
    <cellStyle name="Normal 14 23 22" xfId="3282" xr:uid="{1AC222AD-5D0E-4368-8F0D-8D2BC5EA0C77}"/>
    <cellStyle name="Normal 14 23 24" xfId="3283" xr:uid="{B365508D-5D54-4A99-972C-21DF9766F744}"/>
    <cellStyle name="Normal 14 23 26" xfId="3284" xr:uid="{2FAE77F2-46ED-42B4-BBAF-240BF9055974}"/>
    <cellStyle name="Normal 14 23 28" xfId="3285" xr:uid="{74BFAB07-BA07-4263-89B5-748D66126D41}"/>
    <cellStyle name="Normal 14 23 3" xfId="3286" xr:uid="{5F7EBE34-DDBE-4AA3-AE56-9A1779E37CB3}"/>
    <cellStyle name="Normal 14 23 33" xfId="3287" xr:uid="{63821C23-877F-40AE-816E-398AE9CD1060}"/>
    <cellStyle name="Normal 14 23 37" xfId="3288" xr:uid="{444D377F-AB0F-4BC6-9AD2-B5268F7CCED0}"/>
    <cellStyle name="Normal 14 23 6" xfId="3289" xr:uid="{D4FD9114-1BC2-48E2-A5B6-8384198895D6}"/>
    <cellStyle name="Normal 14 23 8" xfId="3290" xr:uid="{4E6BE43C-CAFC-43BC-A02D-098C99AA4B90}"/>
    <cellStyle name="Normal 14 23 9" xfId="3291" xr:uid="{C6A33E36-DDFB-4998-BC41-FEFE017D67DF}"/>
    <cellStyle name="Normal 14 24 10" xfId="3292" xr:uid="{19D15349-485B-4D6D-862D-F31BBEFE048D}"/>
    <cellStyle name="Normal 14 24 14" xfId="3293" xr:uid="{DE4737D6-8049-467C-9D7B-4B85B500633E}"/>
    <cellStyle name="Normal 14 24 16" xfId="3294" xr:uid="{9E8E1A3E-5353-425E-BB28-35035A6EDB7E}"/>
    <cellStyle name="Normal 14 24 18" xfId="3295" xr:uid="{B1517E80-513C-4C77-9947-E53C3CC3BDD8}"/>
    <cellStyle name="Normal 14 24 21" xfId="3296" xr:uid="{EC753BD3-F641-4EEE-B897-67F74472E56F}"/>
    <cellStyle name="Normal 14 24 23" xfId="3297" xr:uid="{776742EA-2965-42EB-B51E-1D23D9E2970B}"/>
    <cellStyle name="Normal 14 24 25" xfId="3298" xr:uid="{46D10708-0E3F-4726-8D03-F203DDE07828}"/>
    <cellStyle name="Normal 14 24 28" xfId="3299" xr:uid="{A4495CF3-221E-4D1B-B55B-678A5CE13743}"/>
    <cellStyle name="Normal 14 24 29" xfId="3300" xr:uid="{D83197CF-A014-454D-AE8E-A885A50DF3FA}"/>
    <cellStyle name="Normal 14 24 30" xfId="3301" xr:uid="{A9FD9506-E731-44B1-AC7C-23712B118FCC}"/>
    <cellStyle name="Normal 14 24 32" xfId="3302" xr:uid="{27DC82B5-1C16-4917-A64B-9BEF59DA1953}"/>
    <cellStyle name="Normal 14 24 34" xfId="3303" xr:uid="{AA33D09C-3A0D-4828-BA21-0E4031AAF73F}"/>
    <cellStyle name="Normal 14 24 36" xfId="3304" xr:uid="{1C6CC7F2-8481-4D07-8777-A22265EEF9FB}"/>
    <cellStyle name="Normal 14 24 6" xfId="3305" xr:uid="{2A4658AF-7E7A-4A37-A1BA-9A36C3059314}"/>
    <cellStyle name="Normal 14 25" xfId="3306" xr:uid="{992CB677-4263-4AC2-9FA6-91EBC0B8EB1E}"/>
    <cellStyle name="Normal 14 27" xfId="3307" xr:uid="{028E7D41-0CE2-477E-8A87-D7E50CF0EBA7}"/>
    <cellStyle name="Normal 14 29" xfId="3308" xr:uid="{6F4506DF-4F4F-4425-959F-9C097772CA88}"/>
    <cellStyle name="Normal 14 30" xfId="3309" xr:uid="{61BA079D-6D70-49DB-AD65-291A7F25D208}"/>
    <cellStyle name="Normal 14 33" xfId="3310" xr:uid="{7678EA6E-D50A-4259-8E9D-AF4299EC3196}"/>
    <cellStyle name="Normal 14 35" xfId="3311" xr:uid="{0029ED42-B042-411F-AC7D-6CC29D42EACA}"/>
    <cellStyle name="Normal 14 37" xfId="3312" xr:uid="{AA34E40E-C264-4224-9C35-3130469DDDB2}"/>
    <cellStyle name="Normal 14 39" xfId="3313" xr:uid="{84533485-8595-4782-9E82-A59E12880D39}"/>
    <cellStyle name="Normal 14 42" xfId="3314" xr:uid="{F62C96D2-90BA-43C4-A4B7-7780B249F3E5}"/>
    <cellStyle name="Normal 14 44" xfId="3315" xr:uid="{44FEA66C-EEE4-43C2-B447-747B39E3B160}"/>
    <cellStyle name="Normal 14 46" xfId="3316" xr:uid="{C32B8610-A503-4671-BDD7-B088AC33CF38}"/>
    <cellStyle name="Normal 14 5" xfId="3317" xr:uid="{5C42EB26-0053-45E1-B36D-45C60FF4D115}"/>
    <cellStyle name="Normal 14 50" xfId="3318" xr:uid="{84C9AD34-873E-4198-83CC-E17BB93D3592}"/>
    <cellStyle name="Normal 14 54" xfId="3319" xr:uid="{74D4559A-E076-4A3C-A6AC-29AEF4253748}"/>
    <cellStyle name="Normal 14 57" xfId="3320" xr:uid="{24FD15DE-BBAC-428B-A1FD-D38044E4A6F6}"/>
    <cellStyle name="Normal 14 9" xfId="3321" xr:uid="{EB173270-2B9B-45FF-8E49-60C024BF4216}"/>
    <cellStyle name="Normal 14 9 14" xfId="3322" xr:uid="{ADF3D1D8-9983-4DC6-B20C-A86E906EF542}"/>
    <cellStyle name="Normal 14 9 16" xfId="3323" xr:uid="{53A8F7BC-56E9-4385-A807-13CD41C254F0}"/>
    <cellStyle name="Normal 14 9 18" xfId="3324" xr:uid="{8925C6F3-0F9B-4D34-A53B-42F7AE6A53CD}"/>
    <cellStyle name="Normal 14 9 2" xfId="3325" xr:uid="{208DFB4D-8A6E-4D05-B19B-55F37D36CADB}"/>
    <cellStyle name="Normal 14 9 21" xfId="3326" xr:uid="{6DFF047F-E033-48B8-A0B2-15927A9855F0}"/>
    <cellStyle name="Normal 14 9 23" xfId="3327" xr:uid="{0B420E9B-2DBC-4524-AFDD-4F1B3F92EF72}"/>
    <cellStyle name="Normal 14 9 27" xfId="3328" xr:uid="{2C02E52F-010E-4F7F-9B6E-9E22863DEFC8}"/>
    <cellStyle name="Normal 14 9 30" xfId="3329" xr:uid="{3B04B6A2-8897-4B6B-8F2F-9B775655ADC3}"/>
    <cellStyle name="Normal 14 9 32" xfId="3330" xr:uid="{3A23CE85-1EEE-42E3-B120-8919FD91C790}"/>
    <cellStyle name="Normal 14 9 34" xfId="3331" xr:uid="{A6AF80F8-73F2-4A6B-ADDB-F17C2EADB88B}"/>
    <cellStyle name="Normal 14 9 38" xfId="3332" xr:uid="{C02FCC92-6BB5-4476-B18D-C0F4668CAD2F}"/>
    <cellStyle name="Normal 14 9 41" xfId="3333" xr:uid="{4B151850-0876-4F87-B0B6-CF100E559D47}"/>
    <cellStyle name="Normal 14 9 43" xfId="3334" xr:uid="{FDA3F649-FCA2-478A-83FC-8F0E1D1CE6FB}"/>
    <cellStyle name="Normal 14 9 6" xfId="3335" xr:uid="{8D8F2922-933A-4BB3-82E9-1E0FAC250234}"/>
    <cellStyle name="Normal 14 9 8" xfId="3336" xr:uid="{0740F5F8-5893-4591-8F64-C044F5307368}"/>
    <cellStyle name="Normal 140" xfId="3337" xr:uid="{CC2366F8-19E6-49E0-AF70-494E856E5991}"/>
    <cellStyle name="Normal 142" xfId="3338" xr:uid="{89D64DAC-C9E7-4A42-8533-1CDEF46D72A6}"/>
    <cellStyle name="Normal 143" xfId="3339" xr:uid="{B2B0A8B8-ED37-4F82-8306-E1855359BDC8}"/>
    <cellStyle name="Normal 144" xfId="3340" xr:uid="{A58B9062-B4F8-4DC2-9339-A072FDB50173}"/>
    <cellStyle name="Normal 145" xfId="3341" xr:uid="{66B04403-5400-4611-ABCD-D23BBCD0AB45}"/>
    <cellStyle name="Normal 146" xfId="3342" xr:uid="{871978E1-5F89-4F48-AFA4-AD9CBE92406F}"/>
    <cellStyle name="Normal 15" xfId="380" xr:uid="{CB684BC9-4F26-41F8-B222-9ACF8F27A3C0}"/>
    <cellStyle name="Normal 15 10 12" xfId="3343" xr:uid="{62A4DFD7-78F7-43E9-A56B-3B00E9B495E9}"/>
    <cellStyle name="Normal 15 10 16" xfId="3344" xr:uid="{51F10D7A-5D80-4589-9304-AC04611F18D2}"/>
    <cellStyle name="Normal 15 10 2" xfId="3345" xr:uid="{73EF0AE9-A664-4588-82D4-F17BFCCFC068}"/>
    <cellStyle name="Normal 15 10 26" xfId="3346" xr:uid="{8A630DE2-4DBD-4DC9-B2D3-F57A7209EF9F}"/>
    <cellStyle name="Normal 15 10 3" xfId="3347" xr:uid="{30963EDD-5593-466B-99A5-8B63ED0073DF}"/>
    <cellStyle name="Normal 15 10 35" xfId="3348" xr:uid="{367063AF-5317-47D0-A700-124C0C9B439D}"/>
    <cellStyle name="Normal 15 10 7" xfId="3349" xr:uid="{9A3EE485-C556-4486-B81C-C87EAE411C70}"/>
    <cellStyle name="Normal 15 11" xfId="3350" xr:uid="{904D8986-7F5C-4A0C-8367-54E483BE0E6A}"/>
    <cellStyle name="Normal 15 11 13" xfId="3351" xr:uid="{3D199A99-2899-4453-A9AB-1FEA7B945B6F}"/>
    <cellStyle name="Normal 15 11 16" xfId="3352" xr:uid="{220B5B57-B9D2-4178-956F-35FC509DFC0B}"/>
    <cellStyle name="Normal 15 11 21" xfId="3353" xr:uid="{AC75E613-E226-4458-A56C-B4D72927D965}"/>
    <cellStyle name="Normal 15 11 24" xfId="3354" xr:uid="{3052E4D3-244D-4FB5-8667-0E7A62B3A26F}"/>
    <cellStyle name="Normal 15 11 31" xfId="3355" xr:uid="{9095D855-4D21-45CE-A816-AA3547353B5F}"/>
    <cellStyle name="Normal 15 11 35" xfId="3356" xr:uid="{B1BD37A0-98CC-4E29-AE65-4CEA2BD59A3D}"/>
    <cellStyle name="Normal 15 11 37" xfId="3357" xr:uid="{8DCBC3C1-BD63-4DE0-99CA-6A5C6A3D85BF}"/>
    <cellStyle name="Normal 15 11 9" xfId="3358" xr:uid="{A2C09DAE-1FCB-41ED-9B22-07ED2922C4C6}"/>
    <cellStyle name="Normal 15 12 12" xfId="3359" xr:uid="{E7E8E3BB-BD8E-41F1-8779-0BFEE20AD7A7}"/>
    <cellStyle name="Normal 15 12 23" xfId="3360" xr:uid="{8955A1F2-E16D-44F1-AE62-C61CD5680C4E}"/>
    <cellStyle name="Normal 15 12 3" xfId="3361" xr:uid="{4FCCC385-09D1-4F4F-9ADF-034CEF0DB81C}"/>
    <cellStyle name="Normal 15 12 31" xfId="3362" xr:uid="{4F56D3DA-94A3-425F-8AA6-80C75980B522}"/>
    <cellStyle name="Normal 15 12 4" xfId="3363" xr:uid="{C06AC201-8857-4D6E-B5BA-AA984F01A763}"/>
    <cellStyle name="Normal 15 12 8" xfId="3364" xr:uid="{B04FCC65-1F4A-4584-B20B-0C1BFBAF85D2}"/>
    <cellStyle name="Normal 15 13 13" xfId="3365" xr:uid="{6B286C48-F8AE-49BC-9969-47C420F65CA5}"/>
    <cellStyle name="Normal 15 13 17" xfId="3366" xr:uid="{8574A47C-A0E4-4609-89D5-CC316954DEA3}"/>
    <cellStyle name="Normal 15 13 2" xfId="3367" xr:uid="{6EB449EB-15FF-4B33-9EFA-35630D492236}"/>
    <cellStyle name="Normal 15 13 25" xfId="3368" xr:uid="{C78282E2-F636-413E-8503-3D75316B2137}"/>
    <cellStyle name="Normal 15 13 29" xfId="3369" xr:uid="{7E2F9330-C46A-4842-8B58-7DC219A1E70C}"/>
    <cellStyle name="Normal 15 13 30" xfId="3370" xr:uid="{EDC482A6-BAB1-4540-B082-94EDD9890908}"/>
    <cellStyle name="Normal 15 13 32" xfId="3371" xr:uid="{FB0144DF-0070-4C01-9DD9-9649E1350929}"/>
    <cellStyle name="Normal 15 13 34" xfId="3372" xr:uid="{D32DFDAD-5D71-43EA-9A50-FF7EAC87834E}"/>
    <cellStyle name="Normal 15 13 37" xfId="3373" xr:uid="{E24012BC-E795-441E-A891-E87D5142C917}"/>
    <cellStyle name="Normal 15 13 5" xfId="3374" xr:uid="{CE66F663-47EF-4A0B-A376-7C25B61D3CB7}"/>
    <cellStyle name="Normal 15 13 7" xfId="3375" xr:uid="{86217039-79B0-4E7E-9AF1-E7A979D2ECA9}"/>
    <cellStyle name="Normal 15 13 9" xfId="3376" xr:uid="{20476AC4-B27E-4036-B4CB-6308F6ED6C86}"/>
    <cellStyle name="Normal 15 14" xfId="3377" xr:uid="{30EB92AA-73CE-4217-BFBB-B84CAFFDF20C}"/>
    <cellStyle name="Normal 15 14 11" xfId="3378" xr:uid="{EBFC3544-0F86-45ED-8864-BAE972A09CC9}"/>
    <cellStyle name="Normal 15 14 15" xfId="3379" xr:uid="{576A2E5E-F1BB-4F25-A4ED-12023F5E4B7D}"/>
    <cellStyle name="Normal 15 14 16" xfId="3380" xr:uid="{0AF9FACD-6726-426A-BB53-A15304BDB1CD}"/>
    <cellStyle name="Normal 15 14 2" xfId="3381" xr:uid="{33FDB20A-B7B6-4002-A36E-F7A7E14EFE1E}"/>
    <cellStyle name="Normal 15 14 23" xfId="3382" xr:uid="{7C900FC6-78E9-40DA-9D0C-D5A35A295EBC}"/>
    <cellStyle name="Normal 15 14 30" xfId="3383" xr:uid="{67251C8D-EED5-49F1-9416-13BB38DBB3A9}"/>
    <cellStyle name="Normal 15 14 35" xfId="3384" xr:uid="{182BB60A-BD42-4D54-A2D0-36ABF49A6775}"/>
    <cellStyle name="Normal 15 14 37" xfId="3385" xr:uid="{11F6C4A9-6446-483B-A442-0C34E7DAC49F}"/>
    <cellStyle name="Normal 15 14 4" xfId="3386" xr:uid="{93939653-B0EB-45AF-9D2F-AC6A2BFB7589}"/>
    <cellStyle name="Normal 15 14 6" xfId="3387" xr:uid="{E63FB283-3FFD-4D73-B877-370F7854E82A}"/>
    <cellStyle name="Normal 15 14 8" xfId="3388" xr:uid="{9D79C568-6848-4812-8AF4-DC3B32E70F3B}"/>
    <cellStyle name="Normal 15 15" xfId="3389" xr:uid="{2378E2E3-D63F-4DAA-9C3D-A140BAF8E392}"/>
    <cellStyle name="Normal 15 15 11" xfId="3390" xr:uid="{C33183BA-4EE2-4ECF-A175-A7AD51AD5049}"/>
    <cellStyle name="Normal 15 15 13" xfId="3391" xr:uid="{13354D47-D61F-40D5-BD63-15270AE254D8}"/>
    <cellStyle name="Normal 15 15 15" xfId="3392" xr:uid="{0AF0B506-193B-4F21-AE33-1687B661B257}"/>
    <cellStyle name="Normal 15 15 19" xfId="3393" xr:uid="{77C7DB5E-EFC0-40AD-8CCC-9E9C01052DFE}"/>
    <cellStyle name="Normal 15 15 22" xfId="3394" xr:uid="{792B6734-F94B-4B42-A208-85BB43733216}"/>
    <cellStyle name="Normal 15 15 24" xfId="3395" xr:uid="{FAD52C8A-9FF1-44B1-A9BC-920746C800DC}"/>
    <cellStyle name="Normal 15 15 28" xfId="3396" xr:uid="{9E532436-F9AF-42C4-878A-ADDFEF5CCCBE}"/>
    <cellStyle name="Normal 15 15 3" xfId="3397" xr:uid="{780E26C8-A340-4338-B050-3ACD05BAC2DE}"/>
    <cellStyle name="Normal 15 15 31" xfId="3398" xr:uid="{7B069000-A00A-4D61-B4BE-AED8A3F43F99}"/>
    <cellStyle name="Normal 15 15 33" xfId="3399" xr:uid="{49F0AA07-553B-4A0A-A9A4-C710B576430C}"/>
    <cellStyle name="Normal 15 15 35" xfId="3400" xr:uid="{AB741198-0777-4297-861F-3095903A3AFD}"/>
    <cellStyle name="Normal 15 15 37" xfId="3401" xr:uid="{52A320CC-E39F-41A5-87F0-098F0BE8AF02}"/>
    <cellStyle name="Normal 15 15 5" xfId="3402" xr:uid="{4C8E8C06-B964-4B63-8B83-439E9AB36D0B}"/>
    <cellStyle name="Normal 15 15 7" xfId="3403" xr:uid="{DDF31197-C61C-4A31-B312-B08AA59ECC1B}"/>
    <cellStyle name="Normal 15 15 9" xfId="3404" xr:uid="{5D52EBC2-3ED2-49F9-A551-3530732A7BA6}"/>
    <cellStyle name="Normal 15 16 10" xfId="3405" xr:uid="{07D1D884-2C8B-451C-9A00-5D800CF51FF7}"/>
    <cellStyle name="Normal 15 16 13" xfId="3406" xr:uid="{BEA6BB7C-686C-47A1-887D-681D6E1A5F42}"/>
    <cellStyle name="Normal 15 16 15" xfId="3407" xr:uid="{EFB941EE-901E-4DD0-86B8-DA8AB1B9FCEA}"/>
    <cellStyle name="Normal 15 16 17" xfId="3408" xr:uid="{FE3449D1-001B-4728-9832-5DEEB4EB8C36}"/>
    <cellStyle name="Normal 15 16 19" xfId="3409" xr:uid="{CF0540D6-AD7E-4D83-8CD2-2BDC455DD423}"/>
    <cellStyle name="Normal 15 16 20" xfId="3410" xr:uid="{5D508AA3-6191-4232-A2DC-7279C91473D3}"/>
    <cellStyle name="Normal 15 16 22" xfId="3411" xr:uid="{627EBCE4-F555-40B4-962C-6974F92F16D8}"/>
    <cellStyle name="Normal 15 16 24" xfId="3412" xr:uid="{7E29E45C-B143-404B-B319-D84A07471D7D}"/>
    <cellStyle name="Normal 15 16 28" xfId="3413" xr:uid="{2A75EBEC-7A9A-44B1-A55C-5178D68A7EC0}"/>
    <cellStyle name="Normal 15 16 30" xfId="3414" xr:uid="{E5F382E2-3F5D-4600-B45E-87BC9BFC0CD7}"/>
    <cellStyle name="Normal 15 16 32" xfId="3415" xr:uid="{E07A4FF7-CEDC-4355-86CA-67A95E0A9DB0}"/>
    <cellStyle name="Normal 15 16 34" xfId="3416" xr:uid="{5D2F763D-E5A5-474E-9355-1FD1CD6BE1CE}"/>
    <cellStyle name="Normal 15 16 36" xfId="3417" xr:uid="{5E55D5DB-3510-411D-B9CF-ED0D6751B152}"/>
    <cellStyle name="Normal 15 16 5" xfId="3418" xr:uid="{FE6DAA12-55CE-4199-BF8E-16D0B4A5C13C}"/>
    <cellStyle name="Normal 15 16 9" xfId="3419" xr:uid="{9565A9D8-AA84-4108-ACDC-3C2685290BAD}"/>
    <cellStyle name="Normal 15 17 10" xfId="3420" xr:uid="{B0313244-951B-42AD-87CF-35B0C23E739E}"/>
    <cellStyle name="Normal 15 17 12" xfId="3421" xr:uid="{C9D1262D-AB6E-486C-8CC3-8776A1700180}"/>
    <cellStyle name="Normal 15 17 14" xfId="3422" xr:uid="{160DE7A5-CFFD-46C7-8F0B-C1F53EEBDA70}"/>
    <cellStyle name="Normal 15 17 16" xfId="3423" xr:uid="{B62B8D4B-1FE8-4EEB-BF30-68C9802C278C}"/>
    <cellStyle name="Normal 15 17 18" xfId="3424" xr:uid="{6C1890E8-06E5-4D22-AC4B-F994C983DDBF}"/>
    <cellStyle name="Normal 15 17 21" xfId="3425" xr:uid="{8BFC9EC4-D906-45C4-983D-759BF4EDF5DF}"/>
    <cellStyle name="Normal 15 17 23" xfId="3426" xr:uid="{2C17AAB1-FA12-49A6-80F8-173520096D15}"/>
    <cellStyle name="Normal 15 17 29" xfId="3427" xr:uid="{688AA54C-E62D-4FB6-BA42-CB156410C8DC}"/>
    <cellStyle name="Normal 15 17 30" xfId="3428" xr:uid="{78700680-D7C0-4097-927E-7207425C97EB}"/>
    <cellStyle name="Normal 15 17 32" xfId="3429" xr:uid="{049B82E8-EA31-4E96-A719-FF9E70EF2E9D}"/>
    <cellStyle name="Normal 15 17 36" xfId="3430" xr:uid="{08C4E217-60A3-484F-88C4-DA3D91FF12E3}"/>
    <cellStyle name="Normal 15 17 4" xfId="3431" xr:uid="{D2BE121D-2471-4D25-A7C0-3F65CB9EB317}"/>
    <cellStyle name="Normal 15 17 6" xfId="3432" xr:uid="{0A76F51A-033A-4BC7-997E-50A5282E4BB9}"/>
    <cellStyle name="Normal 15 17 8" xfId="3433" xr:uid="{204E4A26-E2FF-47EB-887E-64B74C36A668}"/>
    <cellStyle name="Normal 15 18" xfId="3434" xr:uid="{7CAFD6B3-CB2D-4B6B-9690-22FDFBD0A3B4}"/>
    <cellStyle name="Normal 15 2" xfId="3435" xr:uid="{6BE517BC-F5C4-42AB-80E5-E15F196B1C2F}"/>
    <cellStyle name="Normal 15 2 11" xfId="3436" xr:uid="{2F3C2CC5-8D27-418C-9CF4-B218460FE9F1}"/>
    <cellStyle name="Normal 15 2 13" xfId="3437" xr:uid="{5DF57956-2887-4E23-A5A8-F970EA26C0C1}"/>
    <cellStyle name="Normal 15 2 15" xfId="3438" xr:uid="{83EA32E6-DA71-49A3-A6D1-239EE08513D2}"/>
    <cellStyle name="Normal 15 2 17" xfId="3439" xr:uid="{A8572E60-C7F6-49F7-92D1-F3B0B1E2610D}"/>
    <cellStyle name="Normal 15 2 19" xfId="3440" xr:uid="{9FFA1756-1BC0-4D0E-B5DB-CA7FC9C2AB07}"/>
    <cellStyle name="Normal 15 2 20" xfId="3441" xr:uid="{99E32675-B021-49A8-B6BA-45DF739334C9}"/>
    <cellStyle name="Normal 15 2 22" xfId="3442" xr:uid="{4A37374D-302D-4906-B65D-CFEF3FF7E743}"/>
    <cellStyle name="Normal 15 2 24" xfId="3443" xr:uid="{84804A7D-9679-43A4-B708-B3AAED6239F6}"/>
    <cellStyle name="Normal 15 2 26" xfId="3444" xr:uid="{5649F928-1094-4B19-BAD5-32FBC4EA9771}"/>
    <cellStyle name="Normal 15 2 28" xfId="3445" xr:uid="{B2C1AD7C-4A5F-4325-8A08-145F2589E094}"/>
    <cellStyle name="Normal 15 2 3" xfId="3446" xr:uid="{BEF429CF-58EA-4B87-863F-F9E7F73AF6B5}"/>
    <cellStyle name="Normal 15 2 31" xfId="3447" xr:uid="{1EFAE6AA-0116-41AF-B0E0-C4FAA602A96E}"/>
    <cellStyle name="Normal 15 2 33" xfId="3448" xr:uid="{B12E648A-7E38-470E-BD13-D457C301F84C}"/>
    <cellStyle name="Normal 15 2 35" xfId="3449" xr:uid="{D26C8BB3-328A-4A53-B24F-5B3678670C90}"/>
    <cellStyle name="Normal 15 2 37" xfId="3450" xr:uid="{C7FED39F-DA6C-4A65-B7AD-2C32FD703884}"/>
    <cellStyle name="Normal 15 2 39" xfId="3451" xr:uid="{CDAA703F-FD18-4C71-87CF-4BEA49AD417A}"/>
    <cellStyle name="Normal 15 2 40" xfId="3452" xr:uid="{80CCA023-ABB5-4C82-81E0-D86ABF38736E}"/>
    <cellStyle name="Normal 15 2 42" xfId="3453" xr:uid="{67DD7C22-9008-4BE1-B449-3AA1EFE19FBD}"/>
    <cellStyle name="Normal 15 2 44" xfId="3454" xr:uid="{920195B2-C65B-4724-8D38-F5BE2D51A3DF}"/>
    <cellStyle name="Normal 15 2 5" xfId="3455" xr:uid="{468DC00F-DC5D-454B-8977-014839B5684D}"/>
    <cellStyle name="Normal 15 2 7" xfId="3456" xr:uid="{EA2542D5-914A-45E3-B2AD-C19B4B844CC4}"/>
    <cellStyle name="Normal 15 2 9" xfId="3457" xr:uid="{2456CFEF-B7A0-4DBA-860D-D48B0A45ABBC}"/>
    <cellStyle name="Normal 15 21" xfId="3458" xr:uid="{043E4BE3-5083-4995-8806-B3F7D49784C0}"/>
    <cellStyle name="Normal 15 23" xfId="3459" xr:uid="{A8219532-D5F3-4BD9-A3CC-8DC7F6099A81}"/>
    <cellStyle name="Normal 15 25" xfId="3460" xr:uid="{2F3F4B7E-EC1B-454E-A08F-C1BA34987A57}"/>
    <cellStyle name="Normal 15 27" xfId="3461" xr:uid="{4CC65588-ED60-4154-A82F-904EADCAE8AF}"/>
    <cellStyle name="Normal 15 29" xfId="3462" xr:uid="{04166C7D-EFF1-4E49-AAB1-93E42747E93E}"/>
    <cellStyle name="Normal 15 3 12" xfId="3463" xr:uid="{71EA9303-AFBD-43B4-93C0-C2743809A6A1}"/>
    <cellStyle name="Normal 15 3 14" xfId="3464" xr:uid="{21350949-8C8D-4D98-8FFC-71F4F980B450}"/>
    <cellStyle name="Normal 15 3 16" xfId="3465" xr:uid="{CFF40BF8-F9E6-46F5-A094-0FF68E85ACC8}"/>
    <cellStyle name="Normal 15 3 2" xfId="3466" xr:uid="{9D66B8D8-F819-46CB-99E1-C28FC05BAF47}"/>
    <cellStyle name="Normal 15 3 21" xfId="3467" xr:uid="{22A6EFE9-DF9F-4C28-99DE-09B57B9A0178}"/>
    <cellStyle name="Normal 15 3 23" xfId="3468" xr:uid="{4ADBD1E1-B377-42FD-B921-C55620925A4E}"/>
    <cellStyle name="Normal 15 3 27" xfId="3469" xr:uid="{13D87DDF-361A-4A10-90D9-AA4B38177102}"/>
    <cellStyle name="Normal 15 3 30" xfId="3470" xr:uid="{EAD7ED58-CA38-465E-AAD3-AAC98287F325}"/>
    <cellStyle name="Normal 15 3 36" xfId="3471" xr:uid="{B966DD5F-9F6F-4C4D-898A-866679F4647E}"/>
    <cellStyle name="Normal 15 3 41" xfId="3472" xr:uid="{04330BAA-78EC-4C03-A5E3-28B9CE7F0E73}"/>
    <cellStyle name="Normal 15 3 45" xfId="3473" xr:uid="{2271506B-CD5B-4BEB-882F-A0DC2A21EB18}"/>
    <cellStyle name="Normal 15 30" xfId="3474" xr:uid="{A3F54F4F-B58E-4284-8FED-6B7AF850FE0B}"/>
    <cellStyle name="Normal 15 36" xfId="3475" xr:uid="{0F9C8F76-30F9-48CB-9DCC-8D13456E3C65}"/>
    <cellStyle name="Normal 15 4" xfId="3476" xr:uid="{09221145-45AE-4742-982B-6D57449CC53C}"/>
    <cellStyle name="Normal 15 4 13" xfId="3477" xr:uid="{5E4069D8-002F-4DE3-A283-E7D5AE57D3C6}"/>
    <cellStyle name="Normal 15 4 15" xfId="3478" xr:uid="{6021CFC6-4C86-48CA-AD34-CDE8DD5C7803}"/>
    <cellStyle name="Normal 15 4 17" xfId="3479" xr:uid="{DE266B63-B17D-47F6-BF98-58FB783CA6BD}"/>
    <cellStyle name="Normal 15 4 19" xfId="3480" xr:uid="{D803FD5F-C36F-4305-91D0-5FF382021E60}"/>
    <cellStyle name="Normal 15 4 20" xfId="3481" xr:uid="{9B7D9A48-A80C-42DC-AEB0-AC8F148DB6AF}"/>
    <cellStyle name="Normal 15 4 22" xfId="3482" xr:uid="{F515B4D3-B7C2-4E81-AD03-BEA2494EAE37}"/>
    <cellStyle name="Normal 15 4 24" xfId="3483" xr:uid="{679A19DC-1B3D-444D-AA23-C04A93D64D68}"/>
    <cellStyle name="Normal 15 4 26" xfId="3484" xr:uid="{7FAF4BB8-A58C-4FB2-884B-FEBE7ABA4FF8}"/>
    <cellStyle name="Normal 15 4 3" xfId="3485" xr:uid="{761C5813-753A-4620-B290-0571D84065BC}"/>
    <cellStyle name="Normal 15 4 31" xfId="3486" xr:uid="{2AAF62A5-9BE4-434B-BE33-2D1F79AEE546}"/>
    <cellStyle name="Normal 15 4 33" xfId="3487" xr:uid="{F575F574-B7D6-43E7-89BE-5E0890BD3874}"/>
    <cellStyle name="Normal 15 4 35" xfId="3488" xr:uid="{A274BE49-5149-44D8-B3D9-5F7C180C6BE2}"/>
    <cellStyle name="Normal 15 4 39" xfId="3489" xr:uid="{068CA008-ABD4-4CA9-B914-E06D62FF09F1}"/>
    <cellStyle name="Normal 15 4 40" xfId="3490" xr:uid="{40670198-A8FF-42F8-8168-073397329069}"/>
    <cellStyle name="Normal 15 4 42" xfId="3491" xr:uid="{275F7053-C296-4D17-9FF9-F6089DDED27C}"/>
    <cellStyle name="Normal 15 4 44" xfId="3492" xr:uid="{0779D759-995C-4C02-BB7F-8C6187B76370}"/>
    <cellStyle name="Normal 15 4 5" xfId="3493" xr:uid="{DB6299A7-B5F0-48B7-9523-0AE33B96998E}"/>
    <cellStyle name="Normal 15 4 9" xfId="3494" xr:uid="{C5F51EB2-78BA-4C72-AC09-F61BAD878A74}"/>
    <cellStyle name="Normal 15 41" xfId="3495" xr:uid="{732C3C1D-E8FD-45FD-B1B0-7CA4862D8D45}"/>
    <cellStyle name="Normal 15 43" xfId="3496" xr:uid="{52A88F30-F979-401D-A11F-0E211927CA10}"/>
    <cellStyle name="Normal 15 45" xfId="3497" xr:uid="{9443E790-4ED7-4D17-BD94-2B60DF656CF0}"/>
    <cellStyle name="Normal 15 47" xfId="3498" xr:uid="{7CC5BC56-9C6F-4B2C-BCE0-4BAAFCE748BE}"/>
    <cellStyle name="Normal 15 49" xfId="3499" xr:uid="{52F7C306-9A64-4432-A2EB-F8542257D081}"/>
    <cellStyle name="Normal 15 5 12" xfId="3500" xr:uid="{89374976-AF45-41D8-805B-D58F7BFCFE5B}"/>
    <cellStyle name="Normal 15 5 14" xfId="3501" xr:uid="{93021EDB-C67F-4978-B3D5-6B665B83BB0C}"/>
    <cellStyle name="Normal 15 5 18" xfId="3502" xr:uid="{A871F026-C790-496B-9E50-29E86E7A28EF}"/>
    <cellStyle name="Normal 15 5 2" xfId="3503" xr:uid="{0488A03C-4A5B-42E9-996D-B847CFF5C226}"/>
    <cellStyle name="Normal 15 5 23" xfId="3504" xr:uid="{B43119A3-C689-461B-B871-FC1A4CD2CF96}"/>
    <cellStyle name="Normal 15 5 25" xfId="3505" xr:uid="{E01522A4-3334-4F35-AE7F-55130C3E4AF3}"/>
    <cellStyle name="Normal 15 5 27" xfId="3506" xr:uid="{8987032C-5780-494F-AD89-806AE610C555}"/>
    <cellStyle name="Normal 15 5 29" xfId="3507" xr:uid="{34BACEE4-DD5C-46A3-B190-D788FAC312B7}"/>
    <cellStyle name="Normal 15 5 30" xfId="3508" xr:uid="{DE309BEE-AF4B-46B6-A74C-B710C0BF3A5E}"/>
    <cellStyle name="Normal 15 5 32" xfId="3509" xr:uid="{06639666-41EB-4FA2-A919-8F341E7DC7C0}"/>
    <cellStyle name="Normal 15 5 33" xfId="3510" xr:uid="{EF4FD958-CFD3-4035-83D0-39C73A9DAD3D}"/>
    <cellStyle name="Normal 15 5 34" xfId="3511" xr:uid="{040BC5FE-070A-4F68-96BC-4CC39E572735}"/>
    <cellStyle name="Normal 15 5 35" xfId="3512" xr:uid="{74276D13-25F3-4A8F-AE4D-51B51B6B969D}"/>
    <cellStyle name="Normal 15 5 36" xfId="3513" xr:uid="{CD6E1D25-919E-4D53-9320-22B441F556E3}"/>
    <cellStyle name="Normal 15 5 38" xfId="3514" xr:uid="{1B83C2D3-10D3-41B9-B0D1-3D1596EF8776}"/>
    <cellStyle name="Normal 15 5 4" xfId="3515" xr:uid="{EF9440C1-0369-4368-810F-384AC17D762F}"/>
    <cellStyle name="Normal 15 5 41" xfId="3516" xr:uid="{000B1713-543B-43FB-9B52-7726B81A367A}"/>
    <cellStyle name="Normal 15 5 42" xfId="3517" xr:uid="{A6EC8693-CDCC-4687-9FFD-2880FC2CAA1C}"/>
    <cellStyle name="Normal 15 5 43" xfId="3518" xr:uid="{672DB808-63AA-4632-B13E-6B2B2638973C}"/>
    <cellStyle name="Normal 15 5 44" xfId="3519" xr:uid="{C89C1374-475E-4403-8F70-971ADA9DF6A5}"/>
    <cellStyle name="Normal 15 5 45" xfId="3520" xr:uid="{6102FCBF-4636-48C1-BC51-9B953DA9593B}"/>
    <cellStyle name="Normal 15 5 5" xfId="3521" xr:uid="{6720127C-4A50-48B6-A6C7-1901996D035D}"/>
    <cellStyle name="Normal 15 5 6" xfId="3522" xr:uid="{85EE476D-543F-4ADF-8A32-9FDC4DF0A220}"/>
    <cellStyle name="Normal 15 5 8" xfId="3523" xr:uid="{77132F51-95F6-4D3F-9B22-5699372A6161}"/>
    <cellStyle name="Normal 15 50" xfId="3524" xr:uid="{9C69F24E-E11B-4B09-A6E4-9785B06D445E}"/>
    <cellStyle name="Normal 15 6" xfId="3525" xr:uid="{79161DA0-4BB5-459E-B121-7450BEE146E5}"/>
    <cellStyle name="Normal 15 6 11" xfId="3526" xr:uid="{89848C36-A1FD-4270-B4CD-BC41BBCF7435}"/>
    <cellStyle name="Normal 15 6 13" xfId="3527" xr:uid="{C4893AC3-9581-4254-8195-73DC64927251}"/>
    <cellStyle name="Normal 15 6 15" xfId="3528" xr:uid="{561E9850-8B43-4C2B-97F8-51305BEA6238}"/>
    <cellStyle name="Normal 15 6 17" xfId="3529" xr:uid="{D3D523DF-ECE7-4507-838D-5007480BE735}"/>
    <cellStyle name="Normal 15 6 19" xfId="3530" xr:uid="{17A21305-5DEB-44C1-A557-E55D6FE08062}"/>
    <cellStyle name="Normal 15 6 20" xfId="3531" xr:uid="{067B8269-B1CD-4001-A662-B5995C2738C6}"/>
    <cellStyle name="Normal 15 6 22" xfId="3532" xr:uid="{4CBBFFC7-074A-4956-A4FC-1A2AA3AA3709}"/>
    <cellStyle name="Normal 15 6 24" xfId="3533" xr:uid="{E38F4F81-0A03-4DA3-AB03-F94C71C92D7D}"/>
    <cellStyle name="Normal 15 6 26" xfId="3534" xr:uid="{50ACB9F0-EBAD-4446-BDD1-57459E3EBDD7}"/>
    <cellStyle name="Normal 15 6 27" xfId="3535" xr:uid="{C1C8DBB3-FF2A-469D-8931-BA5DDB5E8329}"/>
    <cellStyle name="Normal 15 6 28" xfId="3536" xr:uid="{84C7DE48-F52F-4A02-8C73-1A0AE60891F8}"/>
    <cellStyle name="Normal 15 6 29" xfId="3537" xr:uid="{6F164325-AB8F-4D07-A236-26324D99E996}"/>
    <cellStyle name="Normal 15 6 3" xfId="3538" xr:uid="{ECC28022-DD83-4151-83B1-1C41804AD9AC}"/>
    <cellStyle name="Normal 15 6 30" xfId="3539" xr:uid="{DB60C610-343D-48E4-9C11-24421B04AF62}"/>
    <cellStyle name="Normal 15 6 31" xfId="3540" xr:uid="{D0B206B2-2045-4E98-BD32-52FD2A023595}"/>
    <cellStyle name="Normal 15 6 32" xfId="3541" xr:uid="{6664720C-E431-454F-9EFF-F2DA01B3601F}"/>
    <cellStyle name="Normal 15 6 33" xfId="3542" xr:uid="{FA76C042-5878-491D-882B-D5F32BCC9A8C}"/>
    <cellStyle name="Normal 15 6 34" xfId="3543" xr:uid="{37BD882F-229A-4F93-B5BC-DD57D9438947}"/>
    <cellStyle name="Normal 15 6 35" xfId="3544" xr:uid="{0F010068-99C9-4523-B54F-AF80DA49F99B}"/>
    <cellStyle name="Normal 15 6 37" xfId="3545" xr:uid="{9A782FED-9951-4FED-831F-65104E4D28DE}"/>
    <cellStyle name="Normal 15 6 39" xfId="3546" xr:uid="{7FD2AF14-5A1F-40E5-84D8-DD002C67BDB4}"/>
    <cellStyle name="Normal 15 6 40" xfId="3547" xr:uid="{43AD50B0-E5B9-4033-A974-5B6603917CF6}"/>
    <cellStyle name="Normal 15 6 42" xfId="3548" xr:uid="{CF8420D2-BE54-446E-A166-2B3E2BB80246}"/>
    <cellStyle name="Normal 15 6 44" xfId="3549" xr:uid="{B7BF2361-2510-4F41-8AD6-6BEF9479CC2D}"/>
    <cellStyle name="Normal 15 6 5" xfId="3550" xr:uid="{ADB29761-BC35-4C1A-A8F5-4A912187D43C}"/>
    <cellStyle name="Normal 15 6 7" xfId="3551" xr:uid="{CEE3D2DA-031A-4C42-9166-86D5F9FE4E80}"/>
    <cellStyle name="Normal 15 6 9" xfId="3552" xr:uid="{6CBD6CBD-38BF-4374-973C-455D929F5203}"/>
    <cellStyle name="Normal 15 7 10" xfId="3553" xr:uid="{14CFC244-EC4A-4E01-8B6B-6A9B70ADF5A4}"/>
    <cellStyle name="Normal 15 7 14" xfId="3554" xr:uid="{3F231FA0-DD68-45DD-9221-AC4AD5D4D7B0}"/>
    <cellStyle name="Normal 15 7 16" xfId="3555" xr:uid="{4899573F-6048-4004-9F25-D1E24532EE32}"/>
    <cellStyle name="Normal 15 7 17" xfId="3556" xr:uid="{8C7C9F4A-5444-4668-94F3-CBC2CDF10C7E}"/>
    <cellStyle name="Normal 15 7 18" xfId="3557" xr:uid="{FFB2A97D-9921-45E1-A68C-9546F83CC44E}"/>
    <cellStyle name="Normal 15 7 19" xfId="3558" xr:uid="{5B218404-4C8A-4D09-BAB2-15D6DE971933}"/>
    <cellStyle name="Normal 15 7 2" xfId="3559" xr:uid="{B02959CA-97E7-4C88-A314-7FFB02EE9DAD}"/>
    <cellStyle name="Normal 15 7 21" xfId="3560" xr:uid="{3CE5D1CC-8789-4A2D-A19A-C0750D718467}"/>
    <cellStyle name="Normal 15 7 22" xfId="3561" xr:uid="{A9CA0D63-72D3-4589-9E4C-33692C2AA810}"/>
    <cellStyle name="Normal 15 7 24" xfId="3562" xr:uid="{C47DA4D2-5B1E-46D4-951E-6186A20E5C3C}"/>
    <cellStyle name="Normal 15 7 27" xfId="3563" xr:uid="{A630EE56-8AEA-4ECC-B142-AE9F571581CA}"/>
    <cellStyle name="Normal 15 7 30" xfId="3564" xr:uid="{9CA6B308-A261-45C9-8843-6FC13C287F73}"/>
    <cellStyle name="Normal 15 7 34" xfId="3565" xr:uid="{C26AF284-4F4D-4956-8B2E-2C7892AF98B6}"/>
    <cellStyle name="Normal 15 7 38" xfId="3566" xr:uid="{C5290E33-6E2E-469C-929B-A757A0A1FA9B}"/>
    <cellStyle name="Normal 15 7 4" xfId="3567" xr:uid="{C8BC1D7F-31C2-4B60-8C4C-1B06AFB81BD8}"/>
    <cellStyle name="Normal 15 7 41" xfId="3568" xr:uid="{1713BBEC-7F23-457F-B615-B080626CD4CB}"/>
    <cellStyle name="Normal 15 7 43" xfId="3569" xr:uid="{D3EFCDBC-A3A1-4EC5-8199-5748C4E4DAE3}"/>
    <cellStyle name="Normal 15 7 45" xfId="3570" xr:uid="{5025E493-65D0-44A0-8F9C-A68F52447E9B}"/>
    <cellStyle name="Normal 15 7 6" xfId="3571" xr:uid="{4C8BB41F-2A97-4239-8DD9-3EB526CFE841}"/>
    <cellStyle name="Normal 15 7 7" xfId="3572" xr:uid="{52355F5E-8E6E-4122-A11B-1610A6E0CB13}"/>
    <cellStyle name="Normal 15 7 8" xfId="3573" xr:uid="{7BEB3042-860A-4A3A-859B-B30E6C301DC6}"/>
    <cellStyle name="Normal 15 7 9" xfId="3574" xr:uid="{CC478B55-9AEF-4034-AFE4-B81B2B23445C}"/>
    <cellStyle name="Normal 15 8" xfId="3575" xr:uid="{D8C280DB-879B-43F5-9C83-6EC286D75FC1}"/>
    <cellStyle name="Normal 15 8 11" xfId="3576" xr:uid="{89B2F07C-F66A-415B-A849-32145F16E00C}"/>
    <cellStyle name="Normal 15 8 13" xfId="3577" xr:uid="{F4E0C211-BF21-4F7B-9669-5D0EA13566A8}"/>
    <cellStyle name="Normal 15 8 15" xfId="3578" xr:uid="{FB013BC0-F504-406E-A1C8-36D1C78BBDB1}"/>
    <cellStyle name="Normal 15 8 17" xfId="3579" xr:uid="{AF6C9E0C-351A-4851-B636-BE7A631A8947}"/>
    <cellStyle name="Normal 15 8 19" xfId="3580" xr:uid="{FF5EFD10-0F35-48E0-82D3-03F72BC1340C}"/>
    <cellStyle name="Normal 15 8 20" xfId="3581" xr:uid="{17C1AF60-2095-4835-8E8C-EEE3E4D030C9}"/>
    <cellStyle name="Normal 15 8 27" xfId="3582" xr:uid="{5A47BC09-319B-4210-9E1B-EDCA825DF92A}"/>
    <cellStyle name="Normal 15 8 3" xfId="3583" xr:uid="{789B5D84-D7F4-42F5-A22C-3DCD623593F8}"/>
    <cellStyle name="Normal 15 8 31" xfId="3584" xr:uid="{427EF250-F8E8-407C-93DA-9F78843929C9}"/>
    <cellStyle name="Normal 15 8 33" xfId="3585" xr:uid="{5F1FBC19-792A-4A94-B718-BC36F0FDC7A9}"/>
    <cellStyle name="Normal 15 8 35" xfId="3586" xr:uid="{494D70ED-44B5-4A9E-B9C0-FC9C040E354C}"/>
    <cellStyle name="Normal 15 8 37" xfId="3587" xr:uid="{63FCAFF8-4243-4391-A8B3-CC04841D4BE9}"/>
    <cellStyle name="Normal 15 9 10" xfId="3588" xr:uid="{1AAD1DF9-A940-4E62-8A33-3289F79EC23A}"/>
    <cellStyle name="Normal 15 9 14" xfId="3589" xr:uid="{424CF349-41DB-472C-94B5-EAEB5C85156E}"/>
    <cellStyle name="Normal 15 9 18" xfId="3590" xr:uid="{40DE8475-EA89-4647-9920-2FDB12A53FA9}"/>
    <cellStyle name="Normal 15 9 21" xfId="3591" xr:uid="{83475382-E114-4303-9466-296E89F54D47}"/>
    <cellStyle name="Normal 15 9 25" xfId="3592" xr:uid="{DAC97324-B22F-4AFF-AE16-4D1CA2FE9D87}"/>
    <cellStyle name="Normal 15 9 36" xfId="3593" xr:uid="{5EE7894B-EFAE-4E67-8115-2F9FBB59DB8B}"/>
    <cellStyle name="Normal 15 9 6" xfId="3594" xr:uid="{E5992096-1881-4A35-BE18-DACEBA6D0E93}"/>
    <cellStyle name="Normal 150" xfId="3595" xr:uid="{0F9B2EBA-1EF6-4CBC-A56F-F92ED3887CE5}"/>
    <cellStyle name="Normal 154" xfId="3596" xr:uid="{937D247F-0718-49E5-9DD6-2DE5B5F65B7C}"/>
    <cellStyle name="Normal 16" xfId="381" xr:uid="{6F534C84-1D2E-44E0-92BD-161E9293BAFC}"/>
    <cellStyle name="Normal 16 13" xfId="3597" xr:uid="{BE096919-A6C6-477A-88C1-9C131B271EA0}"/>
    <cellStyle name="Normal 16 17" xfId="3598" xr:uid="{BC7D055F-1309-4E09-B14E-6F90F2F3E200}"/>
    <cellStyle name="Normal 16 2 2 3" xfId="3599" xr:uid="{7310E2E7-7D0E-401F-958A-BC1D1355CF58}"/>
    <cellStyle name="Normal 16 21" xfId="3600" xr:uid="{52DE3FBA-9538-4FD7-979C-917DC30A2823}"/>
    <cellStyle name="Normal 16 23" xfId="3601" xr:uid="{6A62DB8D-C2AC-4F8B-A915-3B0539C39F82}"/>
    <cellStyle name="Normal 16 25" xfId="3602" xr:uid="{C928C5D1-3755-4F41-AC9C-47E159276783}"/>
    <cellStyle name="Normal 16 29" xfId="3603" xr:uid="{D72CA075-57AD-4ABF-BED2-9D40812DCD21}"/>
    <cellStyle name="Normal 16 31" xfId="3604" xr:uid="{36A0D56B-59F2-4562-A7E4-20BB3E47DB3A}"/>
    <cellStyle name="Normal 16 33" xfId="3605" xr:uid="{7D35826E-538F-492E-8AD3-03B602927A17}"/>
    <cellStyle name="Normal 16 35" xfId="3606" xr:uid="{1C053C7E-B72E-4776-A2EC-5086BE751263}"/>
    <cellStyle name="Normal 16 37" xfId="3607" xr:uid="{7EAAFE98-4FD0-459C-A674-1A4B3EFD50FC}"/>
    <cellStyle name="Normal 16 39" xfId="3608" xr:uid="{CDCDD0A6-B968-4415-BAF1-F1F2FECCCA8D}"/>
    <cellStyle name="Normal 16 42" xfId="3609" xr:uid="{E16DBEA5-472A-4926-B4CC-3CC44D5313BC}"/>
    <cellStyle name="Normal 16 5" xfId="3610" xr:uid="{E0E58761-33E0-4343-817B-14BDC8019F31}"/>
    <cellStyle name="Normal 16 7" xfId="3611" xr:uid="{D8300689-063F-41D6-A7FD-8E87F6E59E92}"/>
    <cellStyle name="Normal 16 9" xfId="3612" xr:uid="{C496212C-3B82-4645-AB81-973D2D427666}"/>
    <cellStyle name="Normal 161" xfId="3613" xr:uid="{2AD2F569-F6ED-4C27-BF29-373BFD5DFE70}"/>
    <cellStyle name="Normal 164" xfId="3614" xr:uid="{11F89AB8-F7D5-4BB0-9D59-EC4C4DA9008C}"/>
    <cellStyle name="Normal 166" xfId="686" xr:uid="{F5876F41-5B53-430E-AE61-AD4E020CD452}"/>
    <cellStyle name="Normal 167" xfId="17275" xr:uid="{1DF5274E-A916-4B34-936D-3B2668E72D04}"/>
    <cellStyle name="Normal 169" xfId="17276" xr:uid="{F068EEED-EE3C-4A4D-B84E-9DFC38D6BBA0}"/>
    <cellStyle name="Normal 17 10" xfId="3615" xr:uid="{F51F183A-30BD-4F74-95A3-81DCEA9BED65}"/>
    <cellStyle name="Normal 17 12" xfId="3616" xr:uid="{1F4FA69A-58FE-445E-AE0B-C5F3012BA40D}"/>
    <cellStyle name="Normal 17 15" xfId="3617" xr:uid="{13CEE07D-2A76-416D-B6CE-C63C727EDEC4}"/>
    <cellStyle name="Normal 17 18" xfId="3618" xr:uid="{CDCEA765-F7F8-45D2-AC1D-21E31661A9E1}"/>
    <cellStyle name="Normal 17 20" xfId="3619" xr:uid="{B97BBC08-62BE-45C2-AFC6-65697EBE1E59}"/>
    <cellStyle name="Normal 17 22" xfId="3620" xr:uid="{DF12A897-3B35-44C2-9800-72352FBF4F80}"/>
    <cellStyle name="Normal 17 25" xfId="3621" xr:uid="{7B0787A3-BD8C-4EB5-A260-17FA02203D76}"/>
    <cellStyle name="Normal 17 28" xfId="3622" xr:uid="{89EEF4F4-7A57-43E0-8466-F0560AE2090B}"/>
    <cellStyle name="Normal 17 31" xfId="3623" xr:uid="{EF1952AB-E182-461F-B3B1-50DAE58C3214}"/>
    <cellStyle name="Normal 17 34" xfId="3624" xr:uid="{B9B32CE8-18B6-4D58-9CCF-6CF8B21CF14A}"/>
    <cellStyle name="Normal 17 37" xfId="3625" xr:uid="{488A4E0A-C788-447D-AC79-42DB29CC3B34}"/>
    <cellStyle name="Normal 17 39" xfId="3626" xr:uid="{ACFD90F2-DE69-4351-AA99-5B568D0DE176}"/>
    <cellStyle name="Normal 17 40" xfId="3627" xr:uid="{EE10448B-36DF-4E67-BE23-439D72DDF94C}"/>
    <cellStyle name="Normal 17 43" xfId="3628" xr:uid="{1C880530-FBE6-4145-B326-5818EB4F55A2}"/>
    <cellStyle name="Normal 17 5" xfId="3629" xr:uid="{C45578B7-9A8A-48F8-817D-7FC962E232D5}"/>
    <cellStyle name="Normal 17 8" xfId="3630" xr:uid="{4593D700-17D2-4E84-A7F3-725A9B6BDF62}"/>
    <cellStyle name="Normal 170" xfId="17277" xr:uid="{08C60129-6417-47D9-AED3-1D09F46AB697}"/>
    <cellStyle name="Normal 172" xfId="17310" xr:uid="{1D946CD1-34ED-4222-A33D-29D0CAFB7EC7}"/>
    <cellStyle name="Normal 174" xfId="17344" xr:uid="{CDABF8B5-2AF0-4C40-9758-37A88F7D3A65}"/>
    <cellStyle name="Normal 174 2 2" xfId="17346" xr:uid="{6D40F322-D0BD-4975-8B3D-177B6F0AF99A}"/>
    <cellStyle name="Normal 176" xfId="17345" xr:uid="{DE4DFFDB-3828-49AB-9F4E-921F6E58C7C1}"/>
    <cellStyle name="Normal 177 2" xfId="17348" xr:uid="{BE5E5050-22ED-495A-BC07-23BCFC8536E6}"/>
    <cellStyle name="Normal 178" xfId="17347" xr:uid="{A13CC05C-A161-4295-AE22-066A708311D6}"/>
    <cellStyle name="Normal 18" xfId="382" xr:uid="{CBA6EB69-E24E-4252-9C2F-894871DC79DD}"/>
    <cellStyle name="Normal 18 10 10" xfId="3631" xr:uid="{BBF23354-4C30-4D87-8D43-D02895B893B0}"/>
    <cellStyle name="Normal 18 10 12" xfId="3632" xr:uid="{B3C5FE36-637D-434C-99C4-1A9272E1EECF}"/>
    <cellStyle name="Normal 18 10 2 2" xfId="3633" xr:uid="{2DC4A706-3928-43E2-A323-B379738CD5E3}"/>
    <cellStyle name="Normal 18 10 2 4" xfId="3634" xr:uid="{31607F05-A730-41AE-8A0D-482810623210}"/>
    <cellStyle name="Normal 18 10 2 6" xfId="3635" xr:uid="{41394BC7-93E6-4CB5-ACE2-042794DE081C}"/>
    <cellStyle name="Normal 18 10 3 2" xfId="3636" xr:uid="{4E07545B-FC37-4EE9-90D5-258E48F6FD5F}"/>
    <cellStyle name="Normal 18 10 3 4" xfId="3637" xr:uid="{73A98E45-619F-40EF-9E5B-A36A147CE2CD}"/>
    <cellStyle name="Normal 18 10 3 6" xfId="3638" xr:uid="{BAA91592-D61B-43D7-9A84-2578E7A2105C}"/>
    <cellStyle name="Normal 18 10 4" xfId="3639" xr:uid="{B034BA65-DDDC-43FC-B3FB-D5BAF7681B45}"/>
    <cellStyle name="Normal 18 10 4 2" xfId="3640" xr:uid="{1CB2BB4A-1A69-4D67-B9AC-AC1C9E58DCA9}"/>
    <cellStyle name="Normal 18 10 4 3" xfId="3641" xr:uid="{6E05F924-A421-49F5-A272-433BDDC21D4C}"/>
    <cellStyle name="Normal 18 10 4 4" xfId="3642" xr:uid="{FE43601E-67C8-4B76-9ADF-648E65F5D31F}"/>
    <cellStyle name="Normal 18 10 4 5" xfId="3643" xr:uid="{A9BB5EBE-3E6F-4F6E-A4A2-F8EC0596CA16}"/>
    <cellStyle name="Normal 18 10 4 6" xfId="3644" xr:uid="{556EE628-FD68-4BDF-BF9E-44729DDDC640}"/>
    <cellStyle name="Normal 18 10 5 3" xfId="3645" xr:uid="{3806F7F6-EF3C-4871-97AE-448DF15D5653}"/>
    <cellStyle name="Normal 18 10 6" xfId="3646" xr:uid="{C8BEBF4D-3C8D-4EFE-A766-E833BCD7C7D1}"/>
    <cellStyle name="Normal 18 10 6 5" xfId="3647" xr:uid="{41C9DE88-4157-40B6-8A5C-85BF4CC90534}"/>
    <cellStyle name="Normal 18 10 7 3" xfId="3648" xr:uid="{8910D3A0-72DF-4495-AE1C-55DC8901D0AC}"/>
    <cellStyle name="Normal 18 10 8 3" xfId="3649" xr:uid="{A2125354-CCDC-44E0-9D0B-BF7ED80632A5}"/>
    <cellStyle name="Normal 18 10 8 4" xfId="3650" xr:uid="{58CC104A-4BE3-4C5C-8E0F-316A2E18CD9C}"/>
    <cellStyle name="Normal 18 10 8 5" xfId="3651" xr:uid="{C12FD989-21E4-4664-B92B-E4322FED26AA}"/>
    <cellStyle name="Normal 18 11 12" xfId="3652" xr:uid="{89015ABE-A25E-4A63-8674-E61A586AF83C}"/>
    <cellStyle name="Normal 18 11 2" xfId="3653" xr:uid="{9198CF2D-B6E3-4834-9DB6-4F904DFD0115}"/>
    <cellStyle name="Normal 18 11 2 3" xfId="3654" xr:uid="{50AA5327-99B7-4E44-85D9-F6410477C64A}"/>
    <cellStyle name="Normal 18 11 3" xfId="3655" xr:uid="{767DD082-B1A8-43C8-ACF7-7D1E5E623A03}"/>
    <cellStyle name="Normal 18 11 4 6" xfId="3656" xr:uid="{6F99773B-9DD4-402F-98AF-47A318FB82C5}"/>
    <cellStyle name="Normal 18 11 5 3" xfId="3657" xr:uid="{8D0E965B-1C07-4A12-84AE-5EC79C231381}"/>
    <cellStyle name="Normal 18 11 5 5" xfId="3658" xr:uid="{2271496C-3118-437A-8243-F46ADF739844}"/>
    <cellStyle name="Normal 18 11 6" xfId="3659" xr:uid="{DBF61EB1-FFF9-4E83-A2C4-BE31E89074D3}"/>
    <cellStyle name="Normal 18 11 6 4" xfId="3660" xr:uid="{E0826951-5E4C-4CF5-8B26-63BEE7ADE65E}"/>
    <cellStyle name="Normal 18 11 6 6" xfId="3661" xr:uid="{F45B7451-C2D9-4DCD-9546-4B78E6DA2378}"/>
    <cellStyle name="Normal 18 11 7 2" xfId="3662" xr:uid="{7C81CA19-E0F9-42D5-B9AE-BE1BF880A9F7}"/>
    <cellStyle name="Normal 18 11 7 3" xfId="3663" xr:uid="{0EF4BFD1-05E3-4DB1-98F1-F07DAADFFC45}"/>
    <cellStyle name="Normal 18 11 7 5" xfId="3664" xr:uid="{9D120EA7-EAED-47EB-ADF7-06D4CBDF9228}"/>
    <cellStyle name="Normal 18 11 7 6" xfId="3665" xr:uid="{896C1CB4-FEE3-4E4E-AACF-36F061D4C851}"/>
    <cellStyle name="Normal 18 11 8" xfId="3666" xr:uid="{0A780E41-14E2-4B45-95EB-0B319330B1AB}"/>
    <cellStyle name="Normal 18 11 8 2" xfId="3667" xr:uid="{62300352-A811-4C99-AFC5-0427C058A437}"/>
    <cellStyle name="Normal 18 11 8 3" xfId="3668" xr:uid="{19EBE668-5F5C-4FA6-BA38-8E8C7F668690}"/>
    <cellStyle name="Normal 18 11 8 4" xfId="3669" xr:uid="{E8615C2E-F38B-41A4-ABFC-29185E3789AB}"/>
    <cellStyle name="Normal 18 11 8 6" xfId="3670" xr:uid="{F477ED87-8B91-4452-8345-1C0D037F886F}"/>
    <cellStyle name="Normal 18 11 9" xfId="3671" xr:uid="{A4C7ECF5-5845-447B-B3C9-27A52ECD449E}"/>
    <cellStyle name="Normal 18 12 10" xfId="3672" xr:uid="{04D9143D-29F0-44EB-89AD-6BDEA851B610}"/>
    <cellStyle name="Normal 18 12 12" xfId="3673" xr:uid="{101BEA37-ACC1-43F0-9640-D8E9357279AB}"/>
    <cellStyle name="Normal 18 12 2 2" xfId="3674" xr:uid="{B32F5CC4-B80E-4414-B984-7CA3E8574086}"/>
    <cellStyle name="Normal 18 12 2 3" xfId="3675" xr:uid="{97690788-6349-4F33-B9B3-69105FE0B731}"/>
    <cellStyle name="Normal 18 12 2 4" xfId="3676" xr:uid="{A222D19F-6EDB-4410-8EE0-4D1C685635C9}"/>
    <cellStyle name="Normal 18 12 2 6" xfId="3677" xr:uid="{FE5C56B2-CEB7-4D66-A015-D20290F835C6}"/>
    <cellStyle name="Normal 18 12 3 3" xfId="3678" xr:uid="{1881A17E-2808-4998-BDA6-F4FEE2580675}"/>
    <cellStyle name="Normal 18 12 3 5" xfId="3679" xr:uid="{FBCE5847-B162-43F4-832D-54E1A84036A8}"/>
    <cellStyle name="Normal 18 12 4 2" xfId="3680" xr:uid="{A9ACCB9E-7E2E-4208-A4F8-DA94BBC0DE95}"/>
    <cellStyle name="Normal 18 12 4 4" xfId="3681" xr:uid="{351FE1A2-B74B-4FEF-B40D-41D17B45CF9D}"/>
    <cellStyle name="Normal 18 12 4 5" xfId="3682" xr:uid="{F10CC2A6-DD9C-4C90-ADED-44190CE690EC}"/>
    <cellStyle name="Normal 18 12 5 2" xfId="3683" xr:uid="{3A4D0828-6D01-4EA5-B192-5AA590B07A0E}"/>
    <cellStyle name="Normal 18 12 5 3" xfId="3684" xr:uid="{CF80D5BE-B677-4943-A117-E2C2439F1A49}"/>
    <cellStyle name="Normal 18 12 5 5" xfId="3685" xr:uid="{110DB818-26F2-41AA-8ED8-67693A9FCCFF}"/>
    <cellStyle name="Normal 18 12 6" xfId="3686" xr:uid="{6F2369C1-2833-4C73-A2D7-775599A245F0}"/>
    <cellStyle name="Normal 18 12 6 3" xfId="3687" xr:uid="{5942A98F-18E5-432F-93EA-1280043898F7}"/>
    <cellStyle name="Normal 18 12 7 2" xfId="3688" xr:uid="{C96BCF9F-E5E4-41BD-8C84-6F885186F933}"/>
    <cellStyle name="Normal 18 12 7 6" xfId="3689" xr:uid="{279F34D3-0757-4466-902C-A4942F6D7466}"/>
    <cellStyle name="Normal 18 12 8" xfId="3690" xr:uid="{BECEA2C3-36F2-4186-AB04-6141BC8F609A}"/>
    <cellStyle name="Normal 18 12 8 2" xfId="3691" xr:uid="{2F58808B-F3EC-47FE-AE7C-25BBFA92A3D4}"/>
    <cellStyle name="Normal 18 12 8 4" xfId="3692" xr:uid="{85409F1D-2F78-47A5-A0E6-133F5076641D}"/>
    <cellStyle name="Normal 18 12 8 5" xfId="3693" xr:uid="{2AA555E6-D21C-4FE1-A97F-4859A86F65B4}"/>
    <cellStyle name="Normal 18 12 8 6" xfId="3694" xr:uid="{C672F4E2-0C09-4C52-995D-8D5201CEC512}"/>
    <cellStyle name="Normal 18 12 9" xfId="3695" xr:uid="{99070FEC-A229-4EFB-A0F2-C5E12DC8ACD5}"/>
    <cellStyle name="Normal 18 13 10" xfId="3696" xr:uid="{66456E69-AC90-4B12-88FD-E86D74A3BADC}"/>
    <cellStyle name="Normal 18 13 12" xfId="3697" xr:uid="{0F2A32A8-9A03-4EC3-A127-CDA8A5DF9EC1}"/>
    <cellStyle name="Normal 18 13 2" xfId="3698" xr:uid="{8DB932C1-0FAA-4B5A-81FE-69E83355F14E}"/>
    <cellStyle name="Normal 18 13 2 3" xfId="3699" xr:uid="{B09D42EA-166B-486E-936B-429B870DD6CD}"/>
    <cellStyle name="Normal 18 13 2 5" xfId="3700" xr:uid="{4FE9BC8A-FE9A-47CE-AE9A-60AF4E03B797}"/>
    <cellStyle name="Normal 18 13 3" xfId="3701" xr:uid="{9B31F811-FB61-45DA-9048-D8D947AC5B9F}"/>
    <cellStyle name="Normal 18 13 3 5" xfId="3702" xr:uid="{27FD343E-8616-4593-ABC6-DF7E5183B009}"/>
    <cellStyle name="Normal 18 13 3 6" xfId="3703" xr:uid="{0EABF918-82D6-4B4E-B4FC-AF50B8D69F04}"/>
    <cellStyle name="Normal 18 13 4" xfId="3704" xr:uid="{62AEDD5E-A192-4F86-9693-185C13EDC465}"/>
    <cellStyle name="Normal 18 13 4 3" xfId="3705" xr:uid="{39DA9B41-6745-46DD-97D1-DBC59E9AEF55}"/>
    <cellStyle name="Normal 18 13 4 5" xfId="3706" xr:uid="{8CB85BDF-5E98-4095-BAE4-00110309EDFE}"/>
    <cellStyle name="Normal 18 13 5" xfId="3707" xr:uid="{10DB5679-ADAA-4365-814B-070D7394BF95}"/>
    <cellStyle name="Normal 18 13 5 3" xfId="3708" xr:uid="{A2F97C36-3C9F-4F6A-929D-AB1ED9156348}"/>
    <cellStyle name="Normal 18 13 5 5" xfId="3709" xr:uid="{C822E966-4899-40AF-A307-BA23294FAF24}"/>
    <cellStyle name="Normal 18 13 6" xfId="3710" xr:uid="{9F24F3A8-BB7F-4664-8969-FF68BAF83CBA}"/>
    <cellStyle name="Normal 18 13 6 3" xfId="3711" xr:uid="{F3FA8AB4-81AD-4B5C-A577-758D4278E61B}"/>
    <cellStyle name="Normal 18 13 6 5" xfId="3712" xr:uid="{3E34D640-159B-40F3-8B8B-A158A8DA504C}"/>
    <cellStyle name="Normal 18 13 7" xfId="3713" xr:uid="{1D138B21-D782-4DCB-B2C1-98D328A3CDB5}"/>
    <cellStyle name="Normal 18 13 7 3" xfId="3714" xr:uid="{B447D674-902F-4565-B166-866DB7980374}"/>
    <cellStyle name="Normal 18 13 7 5" xfId="3715" xr:uid="{DB337C45-CA1F-47C6-B77C-671164BC821C}"/>
    <cellStyle name="Normal 18 13 8" xfId="3716" xr:uid="{7837BBFC-EBD5-49E5-9033-C4892E65BFF6}"/>
    <cellStyle name="Normal 18 13 8 3" xfId="3717" xr:uid="{B3E53BA5-C840-4BFC-93BD-820CE6C08EC5}"/>
    <cellStyle name="Normal 18 13 8 5" xfId="3718" xr:uid="{971B79CE-77A4-4024-AC62-91BDB5AE13BB}"/>
    <cellStyle name="Normal 18 13 9" xfId="3719" xr:uid="{CE8EBCFF-C78B-4C25-BBA3-6203FFBD2872}"/>
    <cellStyle name="Normal 18 14 10" xfId="3720" xr:uid="{37E89EEB-64DA-4B24-9431-7F61AFD61099}"/>
    <cellStyle name="Normal 18 14 12" xfId="3721" xr:uid="{70126341-A523-4EB0-82B8-0CDC2EDBEC0B}"/>
    <cellStyle name="Normal 18 14 2" xfId="3722" xr:uid="{ADD8DD6A-37AE-43E9-A41F-E392E964E5D2}"/>
    <cellStyle name="Normal 18 14 2 5" xfId="3723" xr:uid="{3A30EC6F-0469-4826-A6F7-EC628C5F24B5}"/>
    <cellStyle name="Normal 18 14 3 2" xfId="3724" xr:uid="{2D92C1CD-AEA0-4EEF-B665-C8C838A8CD6E}"/>
    <cellStyle name="Normal 18 14 3 4" xfId="3725" xr:uid="{B0CAED6B-2456-4E7A-92F2-015CF7417190}"/>
    <cellStyle name="Normal 18 14 3 5" xfId="3726" xr:uid="{5EFC4728-4828-4249-8705-88573F385F69}"/>
    <cellStyle name="Normal 18 14 3 6" xfId="3727" xr:uid="{E6163242-EF66-4D35-9A87-EC0B44EB55FD}"/>
    <cellStyle name="Normal 18 14 4" xfId="3728" xr:uid="{74031C47-3796-4CE1-9089-E47258379E2D}"/>
    <cellStyle name="Normal 18 14 4 4" xfId="3729" xr:uid="{050EB3FC-0E01-4208-8F79-4B162AAFA2B8}"/>
    <cellStyle name="Normal 18 14 4 5" xfId="3730" xr:uid="{4F8598F6-E38D-4662-B4BE-F27818CC941C}"/>
    <cellStyle name="Normal 18 14 4 6" xfId="3731" xr:uid="{D85F2C5C-D05D-420A-A932-EEEA07F277B9}"/>
    <cellStyle name="Normal 18 14 5 3" xfId="3732" xr:uid="{8AF66B4D-A9A3-41E6-811A-93900C628532}"/>
    <cellStyle name="Normal 18 14 5 4" xfId="3733" xr:uid="{96F7A9F1-26F1-49E3-A6DD-909580F029F9}"/>
    <cellStyle name="Normal 18 14 5 5" xfId="3734" xr:uid="{F2F1503D-0573-4BFE-974A-B1F684AD8463}"/>
    <cellStyle name="Normal 18 14 6" xfId="3735" xr:uid="{678B20F1-E891-40FD-A853-10B2682AFDD8}"/>
    <cellStyle name="Normal 18 14 6 3" xfId="3736" xr:uid="{CC6BD50E-6827-45B8-A49C-AFAE791ECC75}"/>
    <cellStyle name="Normal 18 14 6 5" xfId="3737" xr:uid="{2A0C0DBF-70D4-4338-875D-30A865A2E0AF}"/>
    <cellStyle name="Normal 18 14 7" xfId="3738" xr:uid="{C1D74173-F750-42D1-B4B3-1BEA8271CA07}"/>
    <cellStyle name="Normal 18 14 7 3" xfId="3739" xr:uid="{9EA5F47F-7E57-4E82-86C8-1C42D17E73E7}"/>
    <cellStyle name="Normal 18 14 7 5" xfId="3740" xr:uid="{2E82AE7E-DF4F-4D48-8E6D-D60186B6185C}"/>
    <cellStyle name="Normal 18 14 8" xfId="3741" xr:uid="{A66937B7-3B64-4377-A9E0-483F903BD25F}"/>
    <cellStyle name="Normal 18 14 8 2" xfId="3742" xr:uid="{5BBB07E2-5D03-466F-98E0-C460601529D8}"/>
    <cellStyle name="Normal 18 14 8 4" xfId="3743" xr:uid="{5BDA6797-B213-4BEE-B436-723F4B1D69AD}"/>
    <cellStyle name="Normal 18 14 8 5" xfId="3744" xr:uid="{39A8244D-67A2-4650-AE27-1627F3760DCF}"/>
    <cellStyle name="Normal 18 14 8 6" xfId="3745" xr:uid="{980A77A0-F685-45CA-90D7-69C30208FDB3}"/>
    <cellStyle name="Normal 18 14 9" xfId="3746" xr:uid="{04C3909B-A54F-4E82-8AD3-75E7CA0E5920}"/>
    <cellStyle name="Normal 18 15" xfId="3747" xr:uid="{F3888FC8-5D63-4278-87D5-40113D39D4C6}"/>
    <cellStyle name="Normal 18 15 12" xfId="3748" xr:uid="{794D9660-C212-4457-BA02-CE432703B359}"/>
    <cellStyle name="Normal 18 15 2" xfId="3749" xr:uid="{09FCCD9F-98A9-47C4-840A-7A1B1CE96325}"/>
    <cellStyle name="Normal 18 15 2 5" xfId="3750" xr:uid="{D05E4E70-7AC2-4A77-8782-BD6AA158EB91}"/>
    <cellStyle name="Normal 18 15 3 3" xfId="3751" xr:uid="{6785494C-E84E-4B44-9A55-D0682EFE2AA1}"/>
    <cellStyle name="Normal 18 15 3 6" xfId="3752" xr:uid="{1B6C451A-B8C1-4183-B118-D0913B0AEA0C}"/>
    <cellStyle name="Normal 18 15 4 3" xfId="3753" xr:uid="{6648FFA7-D118-4E38-81F5-9CA48F08D732}"/>
    <cellStyle name="Normal 18 15 4 5" xfId="3754" xr:uid="{385457CF-1340-4655-843E-B1F4BFB4D221}"/>
    <cellStyle name="Normal 18 15 5" xfId="3755" xr:uid="{FFC5A46A-C47B-499C-BB55-6F8F10D65868}"/>
    <cellStyle name="Normal 18 15 5 3" xfId="3756" xr:uid="{8F130FEA-8798-4D79-960D-9207902C0DDA}"/>
    <cellStyle name="Normal 18 15 6 3" xfId="3757" xr:uid="{10AEF713-7F37-48B0-B784-154A1FC93171}"/>
    <cellStyle name="Normal 18 15 7" xfId="3758" xr:uid="{DF6D8BE0-0FD3-49DD-B942-1D4D251BEE4A}"/>
    <cellStyle name="Normal 18 15 8" xfId="3759" xr:uid="{003CD857-5DC9-4E24-B7F8-0B9D514EABC7}"/>
    <cellStyle name="Normal 18 15 8 3" xfId="3760" xr:uid="{B788DB92-56B2-475A-9ADC-8C9747514526}"/>
    <cellStyle name="Normal 18 15 8 6" xfId="3761" xr:uid="{7031CFCC-E3D0-4E90-98B3-C316398A6CEE}"/>
    <cellStyle name="Normal 18 16 13" xfId="3762" xr:uid="{D13C58BC-9E54-4483-B487-670AB73CD3B8}"/>
    <cellStyle name="Normal 18 16 2 4" xfId="3763" xr:uid="{20E5BBDE-8DA0-4C52-8607-6E7765D5B1F8}"/>
    <cellStyle name="Normal 18 16 3 2" xfId="3764" xr:uid="{20A65092-18C2-4248-B778-93696EB18FB6}"/>
    <cellStyle name="Normal 18 16 3 4" xfId="3765" xr:uid="{9EB3D38B-1181-4A89-8B09-D08EE0520322}"/>
    <cellStyle name="Normal 18 16 3 6" xfId="3766" xr:uid="{A5BEB2B1-4485-45C4-847B-49B83B1E5564}"/>
    <cellStyle name="Normal 18 16 4 2" xfId="3767" xr:uid="{023E379B-DB00-4029-B067-296586213413}"/>
    <cellStyle name="Normal 18 16 5 3" xfId="3768" xr:uid="{70133702-FB94-4DC7-B3B2-404D30C1A6EE}"/>
    <cellStyle name="Normal 18 16 5 5" xfId="3769" xr:uid="{6FD1D1E8-7F0B-4434-8E59-DEB3D0A93C27}"/>
    <cellStyle name="Normal 18 16 6" xfId="3770" xr:uid="{F6B409C3-12B7-4168-8BD7-BF0CCB8E6112}"/>
    <cellStyle name="Normal 18 16 6 5" xfId="3771" xr:uid="{93470973-255B-4F6A-9347-3FF43CB65F33}"/>
    <cellStyle name="Normal 18 16 7" xfId="3772" xr:uid="{89F72338-701F-4734-8C8B-F210B76C3A92}"/>
    <cellStyle name="Normal 18 16 7 3" xfId="3773" xr:uid="{2B8C92EA-4111-4D77-8DAF-C8B4A3755B04}"/>
    <cellStyle name="Normal 18 16 7 5" xfId="3774" xr:uid="{B3AA3514-AB93-4E13-87B4-3FB8E428EC95}"/>
    <cellStyle name="Normal 18 16 8" xfId="3775" xr:uid="{BC93BA1C-3BD6-4B6A-9006-5215D1495052}"/>
    <cellStyle name="Normal 18 16 8 3" xfId="3776" xr:uid="{F56A1F97-79C9-4081-A8B9-1EF6B1D5D94D}"/>
    <cellStyle name="Normal 18 16 8 5" xfId="3777" xr:uid="{CEEDC875-1B05-4E1B-8049-E4DE52744131}"/>
    <cellStyle name="Normal 18 16 9" xfId="3778" xr:uid="{486EB7AD-E778-428D-925A-A616F003FE18}"/>
    <cellStyle name="Normal 18 17 10" xfId="3779" xr:uid="{CA24AEA5-56A9-4993-9ED7-257FFA0CFE3F}"/>
    <cellStyle name="Normal 18 17 12" xfId="3780" xr:uid="{3F83D642-F83A-48B5-B50B-6606C345E096}"/>
    <cellStyle name="Normal 18 17 2" xfId="3781" xr:uid="{81DAC3C0-D65C-41D6-8991-60E6824BE89C}"/>
    <cellStyle name="Normal 18 17 2 3" xfId="3782" xr:uid="{D52FE18C-1A89-4671-B690-BC6F368725C8}"/>
    <cellStyle name="Normal 18 17 2 5" xfId="3783" xr:uid="{EC3C531E-95C2-4AE9-8423-B592F283A6C6}"/>
    <cellStyle name="Normal 18 17 3" xfId="3784" xr:uid="{A209E78E-C5DB-426A-A67A-01E67C251973}"/>
    <cellStyle name="Normal 18 17 3 3" xfId="3785" xr:uid="{862C8A24-D55A-4251-A771-B21A61EFCE7F}"/>
    <cellStyle name="Normal 18 17 3 5" xfId="3786" xr:uid="{EB3188EE-23CC-45DE-9B89-89CEC5783229}"/>
    <cellStyle name="Normal 18 17 4" xfId="3787" xr:uid="{325FC51B-187D-4241-97FE-5A0E1B4DF7ED}"/>
    <cellStyle name="Normal 18 17 4 3" xfId="3788" xr:uid="{FFBD5AA0-03A5-4CD6-B74E-5ED16952EA9B}"/>
    <cellStyle name="Normal 18 17 4 5" xfId="3789" xr:uid="{B9CC7027-9A88-440B-A45E-6BABA28C4CFD}"/>
    <cellStyle name="Normal 18 17 5" xfId="3790" xr:uid="{DCBB8709-325F-4CCD-9D2E-1897D77CE9B5}"/>
    <cellStyle name="Normal 18 17 5 3" xfId="3791" xr:uid="{82982504-6121-490A-9693-11CAD00F3A83}"/>
    <cellStyle name="Normal 18 17 5 6" xfId="3792" xr:uid="{331F522A-C103-40F2-97FC-CBB1DA99F6F3}"/>
    <cellStyle name="Normal 18 17 6 2" xfId="3793" xr:uid="{5B50D77B-16C6-4E45-B2D4-67AC9EEC2EEA}"/>
    <cellStyle name="Normal 18 17 6 4" xfId="3794" xr:uid="{A5BAAC4D-629B-48E4-BD24-28EC3A300D46}"/>
    <cellStyle name="Normal 18 17 6 6" xfId="3795" xr:uid="{BC4BFC05-9071-4827-8F47-93320D205B03}"/>
    <cellStyle name="Normal 18 17 7 2" xfId="3796" xr:uid="{C85B2AD8-968B-4387-B258-1EB6C3F6A245}"/>
    <cellStyle name="Normal 18 17 7 4" xfId="3797" xr:uid="{9FED98C3-0CC7-4003-9A7D-06D4564A8D22}"/>
    <cellStyle name="Normal 18 17 8" xfId="3798" xr:uid="{1359C84A-5F50-4DA8-B086-5C2881258AEC}"/>
    <cellStyle name="Normal 18 17 8 3" xfId="3799" xr:uid="{7B5B5152-AA3C-40EA-B1A6-51C6DC9D4362}"/>
    <cellStyle name="Normal 18 17 8 5" xfId="3800" xr:uid="{DD3051DB-00D5-49F6-BD59-764B5C307FD9}"/>
    <cellStyle name="Normal 18 17 9" xfId="3801" xr:uid="{804895FD-CFE1-44AB-AE28-9CFE1334B192}"/>
    <cellStyle name="Normal 18 18 10" xfId="3802" xr:uid="{7951CDD6-D2D4-4CEC-98FD-7369D6299F61}"/>
    <cellStyle name="Normal 18 18 12" xfId="3803" xr:uid="{A315FA86-35D1-4E79-A65F-D8414C51D2CA}"/>
    <cellStyle name="Normal 18 18 2" xfId="3804" xr:uid="{06B812A0-2278-484C-AD5F-6B3EFA5B48DB}"/>
    <cellStyle name="Normal 18 18 2 3" xfId="3805" xr:uid="{FF8FED48-49EE-498A-B090-D559BE077D00}"/>
    <cellStyle name="Normal 18 18 3" xfId="3806" xr:uid="{F3155A7E-80E3-4312-8BE8-D15F68B59018}"/>
    <cellStyle name="Normal 18 18 3 5" xfId="3807" xr:uid="{36F37661-40A9-48E2-873B-8692FF6CE9E5}"/>
    <cellStyle name="Normal 18 18 4 3" xfId="3808" xr:uid="{EAFAE1D9-FE4F-43B5-A3D7-A5BA6E49B1F9}"/>
    <cellStyle name="Normal 18 18 5" xfId="3809" xr:uid="{C2BB3831-049D-408D-8A13-25E218ED3B89}"/>
    <cellStyle name="Normal 18 18 5 3" xfId="3810" xr:uid="{50ED20EF-D1EC-483F-83E6-C54250384FFA}"/>
    <cellStyle name="Normal 18 18 6" xfId="3811" xr:uid="{4B242266-6647-4B0E-A20E-1D26075FD01D}"/>
    <cellStyle name="Normal 18 18 6 5" xfId="3812" xr:uid="{24788373-3A89-487F-B22C-BD8044D08323}"/>
    <cellStyle name="Normal 18 18 7 3" xfId="3813" xr:uid="{131DE94A-413C-4EAE-89DD-1983F81289AE}"/>
    <cellStyle name="Normal 18 18 8 3" xfId="3814" xr:uid="{B9B2326E-C0B7-4D44-BCA2-22E28CB067DC}"/>
    <cellStyle name="Normal 18 18 9" xfId="3815" xr:uid="{27D15010-0F04-4822-AE6E-0A94FDA470B0}"/>
    <cellStyle name="Normal 18 19 12" xfId="3816" xr:uid="{4878B603-D783-4E64-966A-357A6DA81DD1}"/>
    <cellStyle name="Normal 18 19 2" xfId="3817" xr:uid="{9C00C9E6-AE60-4717-8C74-549109B7C1AD}"/>
    <cellStyle name="Normal 18 19 2 3" xfId="3818" xr:uid="{A1A14D03-9AD3-44A4-B36F-E785268DAED4}"/>
    <cellStyle name="Normal 18 19 2 5" xfId="3819" xr:uid="{2A5EDB46-6A18-4D49-B23F-6E4078F446A3}"/>
    <cellStyle name="Normal 18 19 3" xfId="3820" xr:uid="{826C3D78-6375-4A04-8692-5E5BEA0251A4}"/>
    <cellStyle name="Normal 18 19 3 3" xfId="3821" xr:uid="{5122F763-A930-46BA-ABD4-96590D219FF1}"/>
    <cellStyle name="Normal 18 19 3 5" xfId="3822" xr:uid="{21680236-E2B9-4B9A-A9B0-9371300D424F}"/>
    <cellStyle name="Normal 18 19 4 3" xfId="3823" xr:uid="{289E0B29-939F-4554-A963-348F138D7265}"/>
    <cellStyle name="Normal 18 19 5" xfId="3824" xr:uid="{37A739CB-3456-4EEF-BC50-8296CA434024}"/>
    <cellStyle name="Normal 18 19 5 5" xfId="3825" xr:uid="{EE1CD47E-85CE-4792-BDDC-5184A26F62E5}"/>
    <cellStyle name="Normal 18 19 6 3" xfId="3826" xr:uid="{5DDB7F5C-21C0-40A6-8199-55300850FB77}"/>
    <cellStyle name="Normal 18 19 7" xfId="3827" xr:uid="{E89B000D-D071-4896-8354-01ADA9ABDEA5}"/>
    <cellStyle name="Normal 18 19 7 5" xfId="3828" xr:uid="{21CF6581-804B-4D6D-AE7C-0A16C27EAD2B}"/>
    <cellStyle name="Normal 18 19 9" xfId="3829" xr:uid="{B5503BB3-4FBB-495B-BAC2-C4F2FC780E74}"/>
    <cellStyle name="Normal 18 2 2 3" xfId="3830" xr:uid="{AB8F4CC5-1088-48C0-8779-3D4F967BC3FA}"/>
    <cellStyle name="Normal 18 2 5" xfId="3831" xr:uid="{7A889E11-95A3-4576-9BE2-21BA95851F47}"/>
    <cellStyle name="Normal 18 2 5 5" xfId="3832" xr:uid="{53B18F9D-1BDE-4113-9E2B-5C1D1B54137D}"/>
    <cellStyle name="Normal 18 2 6 3" xfId="3833" xr:uid="{A77FF943-7C63-49CC-9802-FDE3564A77B6}"/>
    <cellStyle name="Normal 18 2 7" xfId="3834" xr:uid="{C5D188C4-6288-4B7A-AD45-7E5A560F1A9B}"/>
    <cellStyle name="Normal 18 2 7 5" xfId="3835" xr:uid="{6963D5F9-4B7A-4963-816A-4F5779BBDE7D}"/>
    <cellStyle name="Normal 18 2 8 3" xfId="3836" xr:uid="{A78CBD9A-03F5-446C-9757-74BA559A7EB3}"/>
    <cellStyle name="Normal 18 2 9" xfId="3837" xr:uid="{F0F60475-AE73-4F48-BE95-8E93FD3DFACE}"/>
    <cellStyle name="Normal 18 20 2 3" xfId="3838" xr:uid="{E53722D8-FCFA-45B5-B308-D10445FEE119}"/>
    <cellStyle name="Normal 18 20 3" xfId="3839" xr:uid="{23C1CA2B-6AF7-42E9-93B4-BC9346E9BF52}"/>
    <cellStyle name="Normal 18 20 3 5" xfId="3840" xr:uid="{9237064F-064D-46E3-9546-5948A44CBA92}"/>
    <cellStyle name="Normal 18 20 4 3" xfId="3841" xr:uid="{7730AE66-4348-4DB5-ACB2-D2AA9844EF18}"/>
    <cellStyle name="Normal 18 20 5" xfId="3842" xr:uid="{89E5641F-1CDA-49C4-B07D-689204C07BCD}"/>
    <cellStyle name="Normal 18 20 6 3" xfId="3843" xr:uid="{AEC47C99-65F5-40DB-A58D-9C60D26D92B1}"/>
    <cellStyle name="Normal 18 20 7 5" xfId="3844" xr:uid="{4157A9D4-CCCB-493F-95E5-F404217D55F1}"/>
    <cellStyle name="Normal 18 20 8 3" xfId="3845" xr:uid="{4F451105-6256-4AE4-BF77-69F61C5C464A}"/>
    <cellStyle name="Normal 18 20 9" xfId="3846" xr:uid="{A2F1057F-4CD9-4856-9ED0-D72FC85223A4}"/>
    <cellStyle name="Normal 18 21 12" xfId="3847" xr:uid="{E6D75D93-B8D6-435E-9AE9-1435C08EA8E9}"/>
    <cellStyle name="Normal 18 21 3" xfId="3848" xr:uid="{A38A1099-C6C5-4CBE-B3B3-FDECB9C60560}"/>
    <cellStyle name="Normal 18 21 5" xfId="3849" xr:uid="{1F9C0440-4D60-48F1-994A-9C3E1C79E8D0}"/>
    <cellStyle name="Normal 18 21 5 5" xfId="3850" xr:uid="{D7E1DAE5-3868-4CD5-8C7D-677A2E0F0573}"/>
    <cellStyle name="Normal 18 21 7" xfId="3851" xr:uid="{FDB952AA-2859-428B-B9EF-1A4F273CC835}"/>
    <cellStyle name="Normal 18 21 7 5" xfId="3852" xr:uid="{98144C64-305A-45EC-8A83-4B1701247C52}"/>
    <cellStyle name="Normal 18 22 2 3" xfId="3853" xr:uid="{E226D535-99FB-46A7-ACB5-722B67AEABDA}"/>
    <cellStyle name="Normal 18 22 3 5" xfId="3854" xr:uid="{D51D041B-87A6-4F43-93F5-3DA0740B55D2}"/>
    <cellStyle name="Normal 18 22 4 3" xfId="3855" xr:uid="{97B15C69-7FFA-4014-B396-3CD3178B1253}"/>
    <cellStyle name="Normal 18 22 5" xfId="3856" xr:uid="{1F64941A-F439-4F3E-A7B3-9CEDFF5A3FAF}"/>
    <cellStyle name="Normal 18 22 5 5" xfId="3857" xr:uid="{52B62466-647E-460E-9C0F-924CCF8DDE64}"/>
    <cellStyle name="Normal 18 22 6 3" xfId="3858" xr:uid="{C265FB80-1F50-4368-8404-428EB8043F92}"/>
    <cellStyle name="Normal 18 22 7" xfId="3859" xr:uid="{FE79082B-011A-4D9B-97A4-EF5D30776D1D}"/>
    <cellStyle name="Normal 18 22 7 5" xfId="3860" xr:uid="{E69336E9-29FE-44EE-ABA6-138860076F0D}"/>
    <cellStyle name="Normal 18 22 8 3" xfId="3861" xr:uid="{A72EC12B-E345-4102-9279-05DDB4685AF8}"/>
    <cellStyle name="Normal 18 22 9" xfId="3862" xr:uid="{AE358F96-9E21-4C83-AA8C-88CFE6029884}"/>
    <cellStyle name="Normal 18 23 12" xfId="3863" xr:uid="{E34C35C4-3151-48F9-8095-26322497D313}"/>
    <cellStyle name="Normal 18 23 2 3" xfId="3864" xr:uid="{F0E657EA-67A1-4FEB-ABB4-3A20D93C248C}"/>
    <cellStyle name="Normal 18 23 3" xfId="3865" xr:uid="{869B05F8-0075-44F3-B16D-7FB93AB1F5E7}"/>
    <cellStyle name="Normal 18 23 3 5" xfId="3866" xr:uid="{CB6BF716-C855-4053-AF4D-37E8401DE165}"/>
    <cellStyle name="Normal 18 23 4 3" xfId="3867" xr:uid="{DFF06A25-4C0E-429B-93D5-A3286AE38614}"/>
    <cellStyle name="Normal 18 23 5" xfId="3868" xr:uid="{C2F8453D-09E5-4805-B498-EABC5B656236}"/>
    <cellStyle name="Normal 18 23 5 5" xfId="3869" xr:uid="{7C57D9E7-BD0F-451B-B33D-281E643BF7F7}"/>
    <cellStyle name="Normal 18 23 6 3" xfId="3870" xr:uid="{88633EA3-8246-4D9F-A3FD-0F08782083B4}"/>
    <cellStyle name="Normal 18 23 7" xfId="3871" xr:uid="{D8A204E6-D85D-49F5-A8E3-B106D6F21B34}"/>
    <cellStyle name="Normal 18 23 7 5" xfId="3872" xr:uid="{11BFDB84-E862-40F7-8A7C-BB3BEA533F5B}"/>
    <cellStyle name="Normal 18 23 9" xfId="3873" xr:uid="{8153EDD0-30AC-413D-908F-2923B103B501}"/>
    <cellStyle name="Normal 18 24 12" xfId="3874" xr:uid="{98881A0B-A143-4FEA-866C-FA8DE990404F}"/>
    <cellStyle name="Normal 18 24 2 3" xfId="3875" xr:uid="{76BB3C77-3C7F-4319-9183-6053AF2953B2}"/>
    <cellStyle name="Normal 18 24 3" xfId="3876" xr:uid="{739A2179-6066-4F1F-AA62-A226A24618E4}"/>
    <cellStyle name="Normal 18 24 3 5" xfId="3877" xr:uid="{7CAF0A8E-1B80-49F5-9A2C-7CA0C29B9D0D}"/>
    <cellStyle name="Normal 18 24 4 3" xfId="3878" xr:uid="{D906790F-93D8-48C3-9DCF-90FC4338426E}"/>
    <cellStyle name="Normal 18 24 5" xfId="3879" xr:uid="{155C7C4F-1F28-4DA0-9170-2AA54905A682}"/>
    <cellStyle name="Normal 18 24 5 5" xfId="3880" xr:uid="{EC7DFCE0-1519-4862-AF78-AE1D8DE5817F}"/>
    <cellStyle name="Normal 18 24 7" xfId="3881" xr:uid="{E9E7E255-7B56-49EA-A98B-D8EEE0E2046E}"/>
    <cellStyle name="Normal 18 24 7 5" xfId="3882" xr:uid="{3560881E-E698-47FC-A2E2-EA60FA8EF2C5}"/>
    <cellStyle name="Normal 18 24 9" xfId="3883" xr:uid="{4D59F31B-3DFF-42ED-90E2-FD18E2559E42}"/>
    <cellStyle name="Normal 18 25 4" xfId="3884" xr:uid="{39EF7779-15F1-45C3-8E08-01EE86E67AB2}"/>
    <cellStyle name="Normal 18 26 2" xfId="3885" xr:uid="{0BEBEB0D-188C-4C4A-827E-243AEAE1C5BA}"/>
    <cellStyle name="Normal 18 26 6" xfId="3886" xr:uid="{E26C4AC9-9527-4952-9BCE-E595A813D745}"/>
    <cellStyle name="Normal 18 27 4" xfId="3887" xr:uid="{13763030-CC0C-482E-A358-98034A2AC319}"/>
    <cellStyle name="Normal 18 28 2" xfId="3888" xr:uid="{5B5F00E9-43CF-479F-8784-3B7AB7D05398}"/>
    <cellStyle name="Normal 18 28 6" xfId="3889" xr:uid="{812A5933-3A24-44F8-A6DA-59734EDFE663}"/>
    <cellStyle name="Normal 18 3 2" xfId="3890" xr:uid="{9C307FA4-6454-4E04-A584-B3753B90516A}"/>
    <cellStyle name="Normal 18 3 3 3" xfId="3891" xr:uid="{0BA53C14-37D6-4EF6-B4F7-3D24AA042DF1}"/>
    <cellStyle name="Normal 18 3 4 5" xfId="3892" xr:uid="{9A1E5FCE-E2A0-4427-A7F3-4A024E135E0D}"/>
    <cellStyle name="Normal 18 3 5 3" xfId="3893" xr:uid="{6B29D79C-F210-42A4-ACC8-D2AEB474FF0D}"/>
    <cellStyle name="Normal 18 3 6" xfId="3894" xr:uid="{7BC977B3-7534-46D8-8EC2-FB6F010A4A5F}"/>
    <cellStyle name="Normal 18 3 6 5" xfId="3895" xr:uid="{E6EFCAA0-29FE-406C-8241-0925F0C992C4}"/>
    <cellStyle name="Normal 18 3 7 3" xfId="3896" xr:uid="{1CC70F55-4F1F-4FE3-83C8-DCB77036D708}"/>
    <cellStyle name="Normal 18 3 8" xfId="3897" xr:uid="{EEC29AD3-8D45-4DEB-B84A-0DAC542308A6}"/>
    <cellStyle name="Normal 18 3 8 5" xfId="3898" xr:uid="{5D8F11E8-772F-4F35-B784-5C577C4BAE16}"/>
    <cellStyle name="Normal 18 30 2" xfId="3899" xr:uid="{FD7F976B-476D-410C-B12E-E232F532E91A}"/>
    <cellStyle name="Normal 18 30 6" xfId="3900" xr:uid="{627B961F-B2D1-4AE4-BB18-FE184D222476}"/>
    <cellStyle name="Normal 18 33" xfId="3901" xr:uid="{E56C9232-0131-48BC-A2FA-1C0B1ABE9A96}"/>
    <cellStyle name="Normal 18 4 13" xfId="3902" xr:uid="{6BD2146C-7339-42F8-888C-78F93C1D257E}"/>
    <cellStyle name="Normal 18 4 2 4" xfId="3903" xr:uid="{318E99A0-1000-4578-B236-6C5B53402A38}"/>
    <cellStyle name="Normal 18 4 3 2" xfId="3904" xr:uid="{3E766860-9481-490D-BD65-B431FA15C468}"/>
    <cellStyle name="Normal 18 4 3 6" xfId="3905" xr:uid="{7D8C1E95-3561-4ACA-98DA-9BC3D00F333A}"/>
    <cellStyle name="Normal 18 4 4 4" xfId="3906" xr:uid="{6FDB63BF-7C3B-4353-A541-AC358580F21C}"/>
    <cellStyle name="Normal 18 4 5 2" xfId="3907" xr:uid="{550D6106-1F30-4D01-AEB6-966527138AB1}"/>
    <cellStyle name="Normal 18 4 5 6" xfId="3908" xr:uid="{EE0F611B-BCFE-4A15-893F-8CD3E07F1924}"/>
    <cellStyle name="Normal 18 4 6 4" xfId="3909" xr:uid="{5EFFCE8F-6BC1-4D97-8053-5AB3DB97179B}"/>
    <cellStyle name="Normal 18 4 7 2" xfId="3910" xr:uid="{E88CFE7C-10B8-4317-B3F7-6BDE2B489DA9}"/>
    <cellStyle name="Normal 18 4 7 6" xfId="3911" xr:uid="{64B91053-C5B8-4CE1-A116-E58F1178FBD9}"/>
    <cellStyle name="Normal 18 4 8 4" xfId="3912" xr:uid="{8D2F8419-5E38-4EDC-9DE8-439D52DBE919}"/>
    <cellStyle name="Normal 18 5" xfId="3913" xr:uid="{65B668D8-F1AA-4E9A-B5D1-268C1DBA9299}"/>
    <cellStyle name="Normal 18 5 13" xfId="3914" xr:uid="{EBF39C6C-673A-46F7-9345-B903A1F8E0D1}"/>
    <cellStyle name="Normal 18 5 2 4" xfId="3915" xr:uid="{EE46A9C5-3F0C-41B5-8F93-B27DE66A0D15}"/>
    <cellStyle name="Normal 18 5 3 2" xfId="3916" xr:uid="{CB71C549-5549-4761-AE9F-B0384CDA0C3E}"/>
    <cellStyle name="Normal 18 5 3 6" xfId="3917" xr:uid="{838ED8E1-EDF6-4F71-B82F-3B0330A87BC0}"/>
    <cellStyle name="Normal 18 5 4 4" xfId="3918" xr:uid="{C3B730B1-02B7-4150-819B-8C70600D8A22}"/>
    <cellStyle name="Normal 18 5 5 2" xfId="3919" xr:uid="{DF2F92DB-BD9D-4212-A012-9D1C8FD3B7B6}"/>
    <cellStyle name="Normal 18 5 6 2" xfId="3920" xr:uid="{885E06AC-E303-4E8E-A704-8E579E6E1B0E}"/>
    <cellStyle name="Normal 18 5 6 6" xfId="3921" xr:uid="{D73A7CEE-7F81-496E-95D3-19C074F974D3}"/>
    <cellStyle name="Normal 18 5 7 6" xfId="3922" xr:uid="{8D295466-158B-4315-812A-E5E898E292DB}"/>
    <cellStyle name="Normal 18 6" xfId="3923" xr:uid="{082E194E-A8FC-489A-99F3-A7CA3555FFBA}"/>
    <cellStyle name="Normal 18 6 11" xfId="3924" xr:uid="{CC88F926-F260-4A88-B83D-7FA2160C564F}"/>
    <cellStyle name="Normal 18 6 13" xfId="3925" xr:uid="{59E339A0-D96C-4DB5-880B-5DC3B82405DB}"/>
    <cellStyle name="Normal 18 6 2 2" xfId="3926" xr:uid="{C7C2D50C-87CB-4FF1-9A44-D79D6989309F}"/>
    <cellStyle name="Normal 18 6 2 4" xfId="3927" xr:uid="{CA69834D-3AA2-4035-B0AD-3A9F219911EB}"/>
    <cellStyle name="Normal 18 6 2 6" xfId="3928" xr:uid="{5B6B237F-6A01-4CAC-B4D5-621D3C9C14BF}"/>
    <cellStyle name="Normal 18 6 3 2" xfId="3929" xr:uid="{74A16285-6F89-4650-94D3-3E12B60298B0}"/>
    <cellStyle name="Normal 18 6 3 6" xfId="3930" xr:uid="{2ADB88B6-C614-486B-8161-69A835C0AB13}"/>
    <cellStyle name="Normal 18 6 4 4" xfId="3931" xr:uid="{5E8B4409-AC05-4AE1-8C4D-F2CDE152FE42}"/>
    <cellStyle name="Normal 18 6 5 2" xfId="3932" xr:uid="{6C62D632-338A-439F-8023-26CD67858FE5}"/>
    <cellStyle name="Normal 18 6 6 4" xfId="3933" xr:uid="{A7F587F2-1B57-4E14-A84C-6AABDA4C34B8}"/>
    <cellStyle name="Normal 18 6 7 2" xfId="3934" xr:uid="{E551BB9F-96D0-4AB7-9CE3-D87710A8E398}"/>
    <cellStyle name="Normal 18 6 7 6" xfId="3935" xr:uid="{FEFD0888-B6D4-4978-A925-133BA1159922}"/>
    <cellStyle name="Normal 18 6 8 4" xfId="3936" xr:uid="{D39F9866-5725-425E-94EB-C01169DC495F}"/>
    <cellStyle name="Normal 18 7" xfId="3937" xr:uid="{B4069BA4-B97F-4EA5-AD22-B01E3A217FB9}"/>
    <cellStyle name="Normal 18 7 13" xfId="3938" xr:uid="{23A1915E-68D0-4FF7-AA07-B0C315F91D37}"/>
    <cellStyle name="Normal 18 7 2 4" xfId="3939" xr:uid="{F6B8FA20-A80A-4699-B25B-193A2D9049EE}"/>
    <cellStyle name="Normal 18 7 3 2" xfId="3940" xr:uid="{6D85BEE8-0680-417B-8E9F-F8A9C540D2BA}"/>
    <cellStyle name="Normal 18 7 3 4" xfId="3941" xr:uid="{929036C7-543E-47E6-B1FC-1FC9A6201AD6}"/>
    <cellStyle name="Normal 18 7 3 6" xfId="3942" xr:uid="{F7888F5C-CEA5-4F3C-A6C8-23274A685FDD}"/>
    <cellStyle name="Normal 18 7 4 2" xfId="3943" xr:uid="{AF5A2006-3975-4B04-BF26-01B07C4C3F6D}"/>
    <cellStyle name="Normal 18 7 4 4" xfId="3944" xr:uid="{CD9C233D-6F41-4943-916F-29D01BB40733}"/>
    <cellStyle name="Normal 18 7 4 6" xfId="3945" xr:uid="{2ABBC343-635F-4080-A5F3-B356A0B24504}"/>
    <cellStyle name="Normal 18 7 5 2" xfId="3946" xr:uid="{12B08692-DA5A-448C-B562-5F2F402F2856}"/>
    <cellStyle name="Normal 18 7 5 4" xfId="3947" xr:uid="{F56D7C30-EED9-42D7-BF38-0EEBC0B25EDE}"/>
    <cellStyle name="Normal 18 7 5 6" xfId="3948" xr:uid="{2B1BDAEE-FC2B-48EF-8D76-2A63DAD2A11A}"/>
    <cellStyle name="Normal 18 7 6 2" xfId="3949" xr:uid="{99D0A44A-6816-4DB9-A4D0-B4757BD065E6}"/>
    <cellStyle name="Normal 18 7 6 4" xfId="3950" xr:uid="{9353EEB5-5B64-4C3A-8FDF-2951E20F41D4}"/>
    <cellStyle name="Normal 18 7 7 2" xfId="3951" xr:uid="{96F9831D-EEAD-49A4-8FEF-F8EE8B2454DF}"/>
    <cellStyle name="Normal 18 7 7 6" xfId="3952" xr:uid="{5B4F3BC0-7CB3-4C7F-A8F0-F0CD97E5E7F5}"/>
    <cellStyle name="Normal 18 7 8 4" xfId="3953" xr:uid="{5F9AA43C-0AAF-4F7F-8E75-E11E4AEA8B87}"/>
    <cellStyle name="Normal 18 8" xfId="3954" xr:uid="{66A550D2-B2F2-4C62-B2A6-A5232E058500}"/>
    <cellStyle name="Normal 18 8 13" xfId="3955" xr:uid="{22A9095E-698C-4F52-8DFA-3C4B600CF28C}"/>
    <cellStyle name="Normal 18 8 2 4" xfId="3956" xr:uid="{E972026C-3E5C-4EC4-886C-7AFD509D6CD7}"/>
    <cellStyle name="Normal 18 8 3 2" xfId="3957" xr:uid="{E2BF7320-7626-4A3F-B1C6-FE457AC9563D}"/>
    <cellStyle name="Normal 18 8 3 6" xfId="3958" xr:uid="{833CF6B1-0568-457D-883E-2D5DEBD5D9B5}"/>
    <cellStyle name="Normal 18 8 4 4" xfId="3959" xr:uid="{6F4F7F15-6FAD-4167-AFC9-56FAD925CB06}"/>
    <cellStyle name="Normal 18 8 5 2" xfId="3960" xr:uid="{857EEFC1-3371-4B6A-89B8-9F3D7AAC286E}"/>
    <cellStyle name="Normal 18 8 5 6" xfId="3961" xr:uid="{34DE9B10-62DE-449F-B2B3-D3EC12FB9AA5}"/>
    <cellStyle name="Normal 18 8 6 3" xfId="3962" xr:uid="{CB4D75E3-45EA-4EA3-9AD6-2A59D09FB226}"/>
    <cellStyle name="Normal 18 8 6 4" xfId="3963" xr:uid="{61D69754-6023-47DE-AAB6-8FE2A411AC60}"/>
    <cellStyle name="Normal 18 8 6 6" xfId="3964" xr:uid="{EB7791C4-9925-41D4-AAC7-B982D20F9748}"/>
    <cellStyle name="Normal 18 8 7 2" xfId="3965" xr:uid="{F4A27672-DE03-4AF9-8CB3-89F8A305BB01}"/>
    <cellStyle name="Normal 18 8 7 4" xfId="3966" xr:uid="{916F1C75-1442-4025-BB8E-3A433BF31B63}"/>
    <cellStyle name="Normal 18 8 8 2" xfId="3967" xr:uid="{FEE8D9FD-7070-4BF0-A8A2-0D2D9955C396}"/>
    <cellStyle name="Normal 18 8 8 6" xfId="3968" xr:uid="{CDFAF45E-A0EE-4F98-8003-E144E41E7027}"/>
    <cellStyle name="Normal 18 9 11" xfId="3969" xr:uid="{427A8CFD-C95D-4869-BF4F-4A69B7320C56}"/>
    <cellStyle name="Normal 18 9 2 6" xfId="3970" xr:uid="{A0405ACE-4EEA-4C49-82B8-1CB588794262}"/>
    <cellStyle name="Normal 18 9 4 2" xfId="3971" xr:uid="{88321C40-E97A-49B1-B15B-0FBA79B840C4}"/>
    <cellStyle name="Normal 18 9 5 4" xfId="3972" xr:uid="{41C3EEA4-590D-47EA-808A-2E413E4BD5EB}"/>
    <cellStyle name="Normal 18 9 6 6" xfId="3973" xr:uid="{81FE3645-E364-444D-A788-E8600FFBBC88}"/>
    <cellStyle name="Normal 18 9 8 2" xfId="3974" xr:uid="{27C5EB16-08D1-4703-B480-8891ED672D36}"/>
    <cellStyle name="Normal 182" xfId="17350" xr:uid="{6A77A058-60CE-413F-BE2B-51113D736C5A}"/>
    <cellStyle name="Normal 185" xfId="7" xr:uid="{E9F50D71-79CF-4AA4-A33B-9305D2E3C02F}"/>
    <cellStyle name="Normal 19 10 13" xfId="3975" xr:uid="{80189B9B-64BA-49FB-8895-F35DBD984B1E}"/>
    <cellStyle name="Normal 19 10 3 2" xfId="3976" xr:uid="{28A861F0-56AC-4367-923E-DFF28B571FB7}"/>
    <cellStyle name="Normal 19 10 4 4" xfId="3977" xr:uid="{B46277A3-C9AF-4AB3-B7D4-93DBE5B71092}"/>
    <cellStyle name="Normal 19 10 5 6" xfId="3978" xr:uid="{60C1AC95-171F-4E49-818D-C71D2B4C455C}"/>
    <cellStyle name="Normal 19 10 7 2" xfId="3979" xr:uid="{36A7E0D0-6CC8-499E-B0A3-9320C22A6C79}"/>
    <cellStyle name="Normal 19 10 8 4" xfId="3980" xr:uid="{24D165E0-0D23-4214-848A-DA7CE9FF7581}"/>
    <cellStyle name="Normal 19 11 13" xfId="3981" xr:uid="{7F31050E-5B41-4B4B-A7E3-4C32BFB8F1A5}"/>
    <cellStyle name="Normal 19 11 2 4" xfId="3982" xr:uid="{51C1154B-6C66-4DA2-B046-8398AB52FB57}"/>
    <cellStyle name="Normal 19 11 3 6" xfId="3983" xr:uid="{FFAE7404-215F-452E-8B33-A16664B41304}"/>
    <cellStyle name="Normal 19 11 5 2" xfId="3984" xr:uid="{C6819BEE-7DB8-4330-B8ED-E3A4019DCB45}"/>
    <cellStyle name="Normal 19 11 6 4" xfId="3985" xr:uid="{F52475D4-C2EE-4DCE-A66B-ADFD6A197392}"/>
    <cellStyle name="Normal 19 11 7 6" xfId="3986" xr:uid="{BE1D9DC4-84FE-4631-A725-53521AD7A49A}"/>
    <cellStyle name="Normal 19 12" xfId="3987" xr:uid="{191F3F0C-41FF-4556-8A52-016F156AE11C}"/>
    <cellStyle name="Normal 19 12 2 4" xfId="3988" xr:uid="{7A29B33F-5A09-42C7-A63B-BB9FB8990D2C}"/>
    <cellStyle name="Normal 19 12 3 6" xfId="3989" xr:uid="{42A57C16-1194-4D78-946A-5EE42F50C4AC}"/>
    <cellStyle name="Normal 19 12 5 2" xfId="3990" xr:uid="{7C9F93D2-6E22-4530-9D2F-AAD80BF2E2B1}"/>
    <cellStyle name="Normal 19 12 6 4" xfId="3991" xr:uid="{5579CD2A-FBB8-42FE-9463-5512607C4C1F}"/>
    <cellStyle name="Normal 19 12 7 6" xfId="3992" xr:uid="{D40C6484-8D03-4933-A1DC-1E9E869E97BA}"/>
    <cellStyle name="Normal 19 13" xfId="3993" xr:uid="{0EC3E735-7A2E-4230-8F61-B7E6ED44BBF3}"/>
    <cellStyle name="Normal 19 13 2 4" xfId="3994" xr:uid="{CFF12F56-C239-4F6E-801C-BA91ADE5EC47}"/>
    <cellStyle name="Normal 19 13 3 6" xfId="3995" xr:uid="{5A6E4E5B-AE75-4442-86BC-D866F1822502}"/>
    <cellStyle name="Normal 19 13 5 2" xfId="3996" xr:uid="{888D329B-7CA0-4C42-813E-C7F90C2253FC}"/>
    <cellStyle name="Normal 19 13 7 6" xfId="3997" xr:uid="{9FD6AAE4-0362-43CE-9F18-F6C712C5BD26}"/>
    <cellStyle name="Normal 19 14 11" xfId="3998" xr:uid="{CF0C5FBE-6B56-43B2-B67D-48F6D3BCCA73}"/>
    <cellStyle name="Normal 19 14 2 2" xfId="3999" xr:uid="{1D7A7BDC-4853-4577-AAE2-F82B0A597E20}"/>
    <cellStyle name="Normal 19 14 3 4" xfId="4000" xr:uid="{A3F3AE98-8DB1-4804-9FF6-032320D62E5D}"/>
    <cellStyle name="Normal 19 14 4 2" xfId="4001" xr:uid="{6D77D34F-C242-42B8-963C-3F3E310206BA}"/>
    <cellStyle name="Normal 19 14 4 6" xfId="4002" xr:uid="{EBC2DF39-2F47-4835-8C87-D853B0E6181A}"/>
    <cellStyle name="Normal 19 14 5 4" xfId="4003" xr:uid="{2A7386EC-E961-4D52-A7A6-8F931B950105}"/>
    <cellStyle name="Normal 19 14 6 2" xfId="4004" xr:uid="{95588D00-632F-4B3B-9E8C-0FC459B3F234}"/>
    <cellStyle name="Normal 19 14 6 6" xfId="4005" xr:uid="{C465607A-E38B-4036-AA53-04B25BCB1801}"/>
    <cellStyle name="Normal 19 14 7 4" xfId="4006" xr:uid="{E5DEF86C-2142-4C95-8ED1-0ECC2BB7A589}"/>
    <cellStyle name="Normal 19 14 8 2" xfId="4007" xr:uid="{4F90A7F4-4036-42F0-8375-4A4D9473CDAB}"/>
    <cellStyle name="Normal 19 14 8 6" xfId="4008" xr:uid="{B36665B4-195E-46DE-8B3E-F5850F24D9F1}"/>
    <cellStyle name="Normal 19 15 11" xfId="4009" xr:uid="{BE2FFA5F-3619-4378-927E-AE41B420253F}"/>
    <cellStyle name="Normal 19 15 2 2" xfId="4010" xr:uid="{5901B557-B79E-472A-89F8-09CC5CB5FB64}"/>
    <cellStyle name="Normal 19 15 2 6" xfId="4011" xr:uid="{7E6B3EEC-EF42-4463-B4C7-CA4D1DAADFA1}"/>
    <cellStyle name="Normal 19 15 3 2" xfId="4012" xr:uid="{ADE13FBB-82FE-43EC-BB7E-DC5ECB8837F4}"/>
    <cellStyle name="Normal 19 15 3 6" xfId="4013" xr:uid="{D71F59B3-2AD3-49AE-B785-1124DCD6D604}"/>
    <cellStyle name="Normal 19 15 4 2" xfId="4014" xr:uid="{2E1A6642-EF87-413E-8351-ED63A7EF4164}"/>
    <cellStyle name="Normal 19 15 4 4" xfId="4015" xr:uid="{FBD715FE-2B7F-42B0-9E14-391943A9238D}"/>
    <cellStyle name="Normal 19 15 4 6" xfId="4016" xr:uid="{B38F8E7D-69D5-4EEF-8912-9D4BD026FD28}"/>
    <cellStyle name="Normal 19 15 5 2" xfId="4017" xr:uid="{35F0400C-A06E-4C9D-9C0E-809AF6867DBD}"/>
    <cellStyle name="Normal 19 15 5 4" xfId="4018" xr:uid="{DACCD504-DB3D-41A1-89A1-93759157AC5A}"/>
    <cellStyle name="Normal 19 15 5 6" xfId="4019" xr:uid="{34815069-2BCE-43D8-85A1-1644283C8EBF}"/>
    <cellStyle name="Normal 19 15 6 2" xfId="4020" xr:uid="{E7EA55AC-9319-4FEB-B475-A1D385983FE4}"/>
    <cellStyle name="Normal 19 15 6 4" xfId="4021" xr:uid="{98DA7969-B87B-4061-96E0-3CF54D93D446}"/>
    <cellStyle name="Normal 19 15 6 6" xfId="4022" xr:uid="{54AB5DA9-616B-4C99-88DD-7F4B737138C9}"/>
    <cellStyle name="Normal 19 15 7 2" xfId="4023" xr:uid="{19D3B5D5-E633-48C8-A684-37DBD8F9D2D5}"/>
    <cellStyle name="Normal 19 15 7 4" xfId="4024" xr:uid="{E1F12B0C-F042-4730-8464-20408F4FF0DA}"/>
    <cellStyle name="Normal 19 15 7 6" xfId="4025" xr:uid="{E309C3FD-E8BC-4B3F-BF9F-A01410086972}"/>
    <cellStyle name="Normal 19 15 8 2" xfId="4026" xr:uid="{04A06D39-45F2-45B4-805D-D0735F8B2CC7}"/>
    <cellStyle name="Normal 19 15 8 4" xfId="4027" xr:uid="{6E0F4EA2-EAF8-49D6-9455-4C8622761C72}"/>
    <cellStyle name="Normal 19 15 8 6" xfId="4028" xr:uid="{4F6A1C75-F9EB-4AB8-A5B4-0E12B32C418B}"/>
    <cellStyle name="Normal 19 16" xfId="4029" xr:uid="{1E15D616-E4C5-465B-956A-801D176B5F6B}"/>
    <cellStyle name="Normal 19 16 11" xfId="4030" xr:uid="{4A478CC6-0585-44F9-BEDC-3140315BED54}"/>
    <cellStyle name="Normal 19 16 13" xfId="4031" xr:uid="{CF502527-53DF-4441-9596-301CE44209C6}"/>
    <cellStyle name="Normal 19 16 2 2" xfId="4032" xr:uid="{DCD4BF45-40DA-4AEE-9B00-B4209164EBD6}"/>
    <cellStyle name="Normal 19 16 2 4" xfId="4033" xr:uid="{06CEE49E-AA79-4313-8A4F-6E8CA807EED9}"/>
    <cellStyle name="Normal 19 16 3 2" xfId="4034" xr:uid="{DB0B16A1-7CFF-4ADF-8B27-CC2FBE9CA624}"/>
    <cellStyle name="Normal 19 16 3 6" xfId="4035" xr:uid="{DD980FFB-1162-4AD3-8DE5-09F44A49F3A1}"/>
    <cellStyle name="Normal 19 16 4 4" xfId="4036" xr:uid="{D2E3E9D3-4D67-4850-8656-EAD4F883BE77}"/>
    <cellStyle name="Normal 19 16 5" xfId="4037" xr:uid="{FEF94173-4264-4FC5-994C-E9F25DF669BA}"/>
    <cellStyle name="Normal 19 16 5 5" xfId="4038" xr:uid="{D78EED43-B5C3-48EE-9131-B57F49C11A27}"/>
    <cellStyle name="Normal 19 16 6 3" xfId="4039" xr:uid="{100EC82B-8308-4879-BFED-E3E1BE680601}"/>
    <cellStyle name="Normal 19 16 7" xfId="4040" xr:uid="{74B8966D-F16E-4432-B524-3DDC98F5F961}"/>
    <cellStyle name="Normal 19 16 7 6" xfId="4041" xr:uid="{37B6C08B-668F-45CC-B743-D79B44F67F2A}"/>
    <cellStyle name="Normal 19 16 8 3" xfId="4042" xr:uid="{B463E583-D532-4A3B-877F-5B20BBE6BFD9}"/>
    <cellStyle name="Normal 19 16 9" xfId="4043" xr:uid="{9DC704CF-FD7C-49EF-89FC-9EDD7F34914F}"/>
    <cellStyle name="Normal 19 17 12" xfId="4044" xr:uid="{9360AB03-4658-4A5D-A306-164AAB860A24}"/>
    <cellStyle name="Normal 19 17 2 3" xfId="4045" xr:uid="{0516B737-C3CF-4267-80C9-1C1139A4B390}"/>
    <cellStyle name="Normal 19 17 3" xfId="4046" xr:uid="{7CA03D20-DB2A-4AFE-B355-68E32E0A2470}"/>
    <cellStyle name="Normal 19 17 3 5" xfId="4047" xr:uid="{C0860C06-EBB2-433A-B1FC-5E47902B35B9}"/>
    <cellStyle name="Normal 19 17 4 6" xfId="4048" xr:uid="{813F4532-9174-4AE7-A8A7-84EA5CF015E2}"/>
    <cellStyle name="Normal 19 17 5 4" xfId="4049" xr:uid="{C90143A1-4D5C-40F8-88FF-626EB3BC0A6F}"/>
    <cellStyle name="Normal 19 17 6 2" xfId="4050" xr:uid="{6F66E5FD-9800-49EF-8561-289D6001C4AB}"/>
    <cellStyle name="Normal 19 17 7" xfId="4051" xr:uid="{557282A0-5FC0-4276-95B9-764D71A331D0}"/>
    <cellStyle name="Normal 19 17 7 5" xfId="4052" xr:uid="{24F5A18E-004A-4270-B87F-41F1560245FE}"/>
    <cellStyle name="Normal 19 17 8 3" xfId="4053" xr:uid="{AACB10D8-F121-41B5-BF70-6F5B6696C398}"/>
    <cellStyle name="Normal 19 17 9" xfId="4054" xr:uid="{C070E2B8-0DCD-4A2E-AA75-381ED020DB5C}"/>
    <cellStyle name="Normal 19 18 12" xfId="4055" xr:uid="{DCD59CB7-EFE9-4621-A9C5-49ED8A796323}"/>
    <cellStyle name="Normal 19 18 2 3" xfId="4056" xr:uid="{7654DBBE-9E94-4B97-A534-39B7F8F231E3}"/>
    <cellStyle name="Normal 19 18 3" xfId="4057" xr:uid="{90991A4D-7E88-4A63-990A-8A806ADCD22E}"/>
    <cellStyle name="Normal 19 18 3 5" xfId="4058" xr:uid="{1BE4A9B8-E7F5-4D3A-AC9A-339E589BD174}"/>
    <cellStyle name="Normal 19 18 4 3" xfId="4059" xr:uid="{75871A74-BC02-4395-BC7A-AF37CAF85CBB}"/>
    <cellStyle name="Normal 19 18 4 5" xfId="4060" xr:uid="{9176534A-14DF-40DD-834D-F5D934328D72}"/>
    <cellStyle name="Normal 19 18 5" xfId="4061" xr:uid="{D9625217-371D-43C5-A7ED-167AB2A6D7BA}"/>
    <cellStyle name="Normal 19 18 5 3" xfId="4062" xr:uid="{123A5D9D-873B-42C2-9D5D-05ADF5ACDBED}"/>
    <cellStyle name="Normal 19 18 6" xfId="4063" xr:uid="{75F8F2EA-B5F9-4BAC-9A59-6E8C37BB6FBA}"/>
    <cellStyle name="Normal 19 18 6 3" xfId="4064" xr:uid="{90E1C5EC-EC1E-4141-9DBD-E9F641F8572B}"/>
    <cellStyle name="Normal 19 18 7" xfId="4065" xr:uid="{E038C100-8DB4-4B21-A2C5-AFC75732E3C4}"/>
    <cellStyle name="Normal 19 18 7 5" xfId="4066" xr:uid="{B4DFD626-1349-4129-9522-3D7FCD3E442A}"/>
    <cellStyle name="Normal 19 18 8 3" xfId="4067" xr:uid="{423E702C-4145-4659-9DC6-652A9709E3CE}"/>
    <cellStyle name="Normal 19 18 9" xfId="4068" xr:uid="{F85927EF-1EF3-4E27-9304-A13EB7AED50F}"/>
    <cellStyle name="Normal 19 19 12" xfId="4069" xr:uid="{A7ECE671-AE87-4F5F-870F-DF00BF3B18CB}"/>
    <cellStyle name="Normal 19 19 2 3" xfId="4070" xr:uid="{4E1F714B-F7B5-48DB-BD95-2AF19F896098}"/>
    <cellStyle name="Normal 19 19 3" xfId="4071" xr:uid="{28C38D37-5C75-4A61-9BB3-5927AC04197B}"/>
    <cellStyle name="Normal 19 19 3 5" xfId="4072" xr:uid="{73DDB8E0-035E-46B3-B4FB-1B181D22BE1C}"/>
    <cellStyle name="Normal 19 19 4 3" xfId="4073" xr:uid="{55A5332E-47FE-4B3C-9043-BD925FA07DF8}"/>
    <cellStyle name="Normal 19 19 5" xfId="4074" xr:uid="{B3B92945-85D8-4EA2-A689-372B4ED91F5D}"/>
    <cellStyle name="Normal 19 19 5 3" xfId="4075" xr:uid="{F6586EE1-3A21-4F5E-8D1E-4713B8DD52BB}"/>
    <cellStyle name="Normal 19 19 5 5" xfId="4076" xr:uid="{CD5EE707-248B-4833-9EAD-DF75DDFC77E5}"/>
    <cellStyle name="Normal 19 19 6 3" xfId="4077" xr:uid="{A5DC9A87-5BD2-41A8-820C-BCCE42BFE229}"/>
    <cellStyle name="Normal 19 19 6 6" xfId="4078" xr:uid="{25255591-C0B4-4E4E-B88E-410A6A0749F7}"/>
    <cellStyle name="Normal 19 19 7 2" xfId="4079" xr:uid="{B242CF05-20E8-4046-B257-CF3AC57841E9}"/>
    <cellStyle name="Normal 19 19 7 4" xfId="4080" xr:uid="{BD845CFF-BA49-40E0-B723-7472C555FE9F}"/>
    <cellStyle name="Normal 19 19 7 5" xfId="4081" xr:uid="{A33E5A09-DDD5-4B5E-8247-DAAB0F09FF40}"/>
    <cellStyle name="Normal 19 19 8" xfId="4082" xr:uid="{8666025A-0FC1-4DE8-BFDD-2B18438F43A2}"/>
    <cellStyle name="Normal 19 19 8 4" xfId="4083" xr:uid="{01C06071-AF0F-4957-A3C9-E56A6ABF749A}"/>
    <cellStyle name="Normal 19 2" xfId="4084" xr:uid="{ADB51210-C5BD-4D5D-BB4F-422AD7C14E31}"/>
    <cellStyle name="Normal 19 2 2" xfId="4085" xr:uid="{8D1679EF-6D99-4C5F-A333-A9E26EAF1AC6}"/>
    <cellStyle name="Normal 19 2 2 3" xfId="4086" xr:uid="{1F04AC8B-108A-4F18-B740-360AE2D12860}"/>
    <cellStyle name="Normal 19 2 2 5" xfId="4087" xr:uid="{F7E3737D-5BED-434B-BC65-B43D1D058C26}"/>
    <cellStyle name="Normal 19 2 3" xfId="4088" xr:uid="{C5A3A358-F8D1-4BA8-88F6-3608D15EBAC2}"/>
    <cellStyle name="Normal 19 2 3 3" xfId="4089" xr:uid="{8CC60A52-CB16-4D38-AA61-9C318928EC6A}"/>
    <cellStyle name="Normal 19 2 3 5" xfId="4090" xr:uid="{53480673-4301-4E53-9EE5-7268B330DF6A}"/>
    <cellStyle name="Normal 19 2 4" xfId="4091" xr:uid="{EB4F6135-92E5-4BF5-8D56-3FD97C72BD00}"/>
    <cellStyle name="Normal 19 2 4 3" xfId="4092" xr:uid="{2F53712D-615E-4231-BCE2-FC62169B34DF}"/>
    <cellStyle name="Normal 19 2 4 5" xfId="4093" xr:uid="{0DC18F59-DA1F-4687-87F8-2E874BB6044E}"/>
    <cellStyle name="Normal 19 2 5" xfId="4094" xr:uid="{C23411F1-67E0-4A8D-B949-2ADEB2AE61AB}"/>
    <cellStyle name="Normal 19 2 5 3" xfId="4095" xr:uid="{CC895B9C-89A4-482E-9ED2-30D4FFAEFBF9}"/>
    <cellStyle name="Normal 19 2 5 5" xfId="4096" xr:uid="{70E534DE-5F15-49BA-A559-553B4060A017}"/>
    <cellStyle name="Normal 19 2 6" xfId="4097" xr:uid="{C9C2BC6F-3545-4C9C-90CC-05B5F2178A6B}"/>
    <cellStyle name="Normal 19 2 6 3" xfId="4098" xr:uid="{411E3B9E-4E2E-479E-8C0E-F906219A4F6E}"/>
    <cellStyle name="Normal 19 2 6 5" xfId="4099" xr:uid="{A0CED7E1-2BF5-4842-B439-DF6A29F81DF2}"/>
    <cellStyle name="Normal 19 2 7" xfId="4100" xr:uid="{C5A5FA25-30A5-4CB2-8F59-632CCD0DDD37}"/>
    <cellStyle name="Normal 19 2 7 3" xfId="4101" xr:uid="{BE8D701A-2DC2-4E4A-8A23-BAEFF0F172B3}"/>
    <cellStyle name="Normal 19 2 7 5" xfId="4102" xr:uid="{CFFF84CF-CC5E-4713-B04D-5905EE031F5F}"/>
    <cellStyle name="Normal 19 2 8" xfId="4103" xr:uid="{4E421FC2-FD09-4174-BED0-A01EC23AAC15}"/>
    <cellStyle name="Normal 19 2 8 3" xfId="4104" xr:uid="{8FE6E22E-4EA2-42B8-8DA9-F16692381642}"/>
    <cellStyle name="Normal 19 2 8 5" xfId="4105" xr:uid="{EFF6D097-E2C0-40F4-B27F-8602A79D28EF}"/>
    <cellStyle name="Normal 19 2 9" xfId="4106" xr:uid="{22301E4C-94CF-4B68-A4F7-CA5577353E78}"/>
    <cellStyle name="Normal 19 20 10" xfId="4107" xr:uid="{6146B270-F5E0-485A-9548-789542CF464E}"/>
    <cellStyle name="Normal 19 20 12" xfId="4108" xr:uid="{8CC33B46-8AAA-4EBF-A790-C3242D9760A5}"/>
    <cellStyle name="Normal 19 20 2" xfId="4109" xr:uid="{5345BB0F-26A9-4942-9AB2-2C66B605302B}"/>
    <cellStyle name="Normal 19 20 2 3" xfId="4110" xr:uid="{D6620BAE-8D28-4DE6-B739-0814DF2B9AE3}"/>
    <cellStyle name="Normal 19 20 2 5" xfId="4111" xr:uid="{7E4502DE-ADB5-43D6-B067-64F618E46791}"/>
    <cellStyle name="Normal 19 20 3" xfId="4112" xr:uid="{77A3293C-AF02-49FD-A2E5-106A99194D81}"/>
    <cellStyle name="Normal 19 20 3 3" xfId="4113" xr:uid="{DE57D778-A397-4E41-9EE7-DB958E21AFC3}"/>
    <cellStyle name="Normal 19 20 3 5" xfId="4114" xr:uid="{57323D60-D6A9-4841-8788-FCB5DB5647A0}"/>
    <cellStyle name="Normal 19 20 4 3" xfId="4115" xr:uid="{C00C9308-4418-49DB-8441-830A7DFE2A98}"/>
    <cellStyle name="Normal 19 20 4 5" xfId="4116" xr:uid="{333441E5-B0EE-4BF8-B8F9-B7003B071F23}"/>
    <cellStyle name="Normal 19 20 5" xfId="4117" xr:uid="{27CDC016-663A-4280-8BBC-0E07FABB433E}"/>
    <cellStyle name="Normal 19 20 5 3" xfId="4118" xr:uid="{BE4AFB7D-BCE1-4F30-87EF-7B173877C75D}"/>
    <cellStyle name="Normal 19 20 5 5" xfId="4119" xr:uid="{E68B7C74-E3D9-4A46-BDA3-511AA4D6ED59}"/>
    <cellStyle name="Normal 19 20 6" xfId="4120" xr:uid="{AF8B6D72-1F7D-4EDB-AB94-A7D216C0CF3C}"/>
    <cellStyle name="Normal 19 20 6 3" xfId="4121" xr:uid="{BCCCE0C3-6D07-42AE-A325-F5621CE8B16A}"/>
    <cellStyle name="Normal 19 20 6 5" xfId="4122" xr:uid="{5275B7E3-58E6-425C-A1B8-518C6109CE9C}"/>
    <cellStyle name="Normal 19 20 7" xfId="4123" xr:uid="{ABF487BB-AC88-476D-8231-0732700E8D83}"/>
    <cellStyle name="Normal 19 20 7 3" xfId="4124" xr:uid="{1BFB6AFE-0DE5-45C7-B720-40AECD313AE8}"/>
    <cellStyle name="Normal 19 20 7 5" xfId="4125" xr:uid="{892C01C0-BC97-4D00-9FE2-C1595E551BB3}"/>
    <cellStyle name="Normal 19 20 8 3" xfId="4126" xr:uid="{FFD19B0D-89FF-49DF-8801-B3AD463D2086}"/>
    <cellStyle name="Normal 19 20 9" xfId="4127" xr:uid="{B440CA69-1653-4AF6-9CC5-F5D5BFE6FF95}"/>
    <cellStyle name="Normal 19 21 12" xfId="4128" xr:uid="{2FA75D5D-9F0A-4185-930E-8FD97B392B81}"/>
    <cellStyle name="Normal 19 21 2 3" xfId="4129" xr:uid="{CD825E5B-1D37-4140-8A62-B1FB82921F76}"/>
    <cellStyle name="Normal 19 21 3" xfId="4130" xr:uid="{D6DE6071-C114-44AB-B318-CE6FCBC4F993}"/>
    <cellStyle name="Normal 19 21 3 3" xfId="4131" xr:uid="{27706D1F-B7C4-4FC8-AAE3-B29FF1ECEB64}"/>
    <cellStyle name="Normal 19 21 3 5" xfId="4132" xr:uid="{4D958B09-A2EA-4BDE-A0EB-CF8995B3AB47}"/>
    <cellStyle name="Normal 19 21 4" xfId="4133" xr:uid="{58AAFDF6-041A-4F49-B033-947235351820}"/>
    <cellStyle name="Normal 19 21 4 3" xfId="4134" xr:uid="{EEA7B37E-8A23-44FB-8FB9-34E0CFA5D0B5}"/>
    <cellStyle name="Normal 19 21 4 5" xfId="4135" xr:uid="{29518D8F-A13D-451C-8DB8-8F19B31C4CCF}"/>
    <cellStyle name="Normal 19 21 5" xfId="4136" xr:uid="{7B81BDF7-5FC8-49EF-BEFC-52C8667E30B1}"/>
    <cellStyle name="Normal 19 21 5 3" xfId="4137" xr:uid="{068A783C-4D23-4F5A-AB7D-5F076A2AFF47}"/>
    <cellStyle name="Normal 19 21 5 5" xfId="4138" xr:uid="{29BF219B-1F28-4F77-9BB6-54018070D4F3}"/>
    <cellStyle name="Normal 19 21 6 3" xfId="4139" xr:uid="{30513ACB-3F39-4CC1-B184-65FC598EF933}"/>
    <cellStyle name="Normal 19 21 7" xfId="4140" xr:uid="{C3983818-8593-448B-A8EC-B3D3A7DA4225}"/>
    <cellStyle name="Normal 19 21 7 5" xfId="4141" xr:uid="{08A82844-E714-4B0A-A947-9B4D1531652A}"/>
    <cellStyle name="Normal 19 21 8 3" xfId="4142" xr:uid="{D811193D-EFA5-40DA-B978-1C4CD2C975C4}"/>
    <cellStyle name="Normal 19 21 8 5" xfId="4143" xr:uid="{920B8952-9BAB-470F-86E1-30EE2B59E6E4}"/>
    <cellStyle name="Normal 19 21 9" xfId="4144" xr:uid="{D3AE96CA-81BB-4002-89BB-F2F8D5285258}"/>
    <cellStyle name="Normal 19 22 10" xfId="4145" xr:uid="{BDC47066-E594-42AA-87EA-1D625CDB54D9}"/>
    <cellStyle name="Normal 19 22 12" xfId="4146" xr:uid="{31A5CF26-535B-4DF0-9319-547C4922C24E}"/>
    <cellStyle name="Normal 19 22 2" xfId="4147" xr:uid="{FB00B6F2-818A-487A-845A-9DF4972C6A51}"/>
    <cellStyle name="Normal 19 22 2 3" xfId="4148" xr:uid="{028976E9-99E0-4263-8AF6-F22386E0DABA}"/>
    <cellStyle name="Normal 19 22 2 5" xfId="4149" xr:uid="{94F2A4B5-F433-4905-BE03-48AA4F7E90AA}"/>
    <cellStyle name="Normal 19 22 3" xfId="4150" xr:uid="{EF231FBF-6AFD-4D75-934B-B48EF42E888F}"/>
    <cellStyle name="Normal 19 22 3 3" xfId="4151" xr:uid="{CA1D26AA-1715-4A63-A051-6F1E1450F951}"/>
    <cellStyle name="Normal 19 22 3 5" xfId="4152" xr:uid="{24D95220-DCCE-4FAE-87EA-17F511FCE452}"/>
    <cellStyle name="Normal 19 22 4 3" xfId="4153" xr:uid="{1B57A39F-5A24-4C38-BC8E-A2DA545028B6}"/>
    <cellStyle name="Normal 19 22 4 5" xfId="4154" xr:uid="{88F32A37-4427-4145-9481-59ACF6C6C1E6}"/>
    <cellStyle name="Normal 19 22 5" xfId="4155" xr:uid="{3D233932-11AF-4485-AEAC-3C38C0020FB9}"/>
    <cellStyle name="Normal 19 22 5 3" xfId="4156" xr:uid="{E0B4FCC0-E777-469D-8A5B-B8BFAB22074D}"/>
    <cellStyle name="Normal 19 22 5 5" xfId="4157" xr:uid="{A531A647-D338-4DA6-84D7-B33BC90985F5}"/>
    <cellStyle name="Normal 19 22 6" xfId="4158" xr:uid="{B9E061AA-FE15-4281-B567-034E744646A9}"/>
    <cellStyle name="Normal 19 22 6 3" xfId="4159" xr:uid="{F738AE49-68EB-41AC-BC81-5ECE1949138F}"/>
    <cellStyle name="Normal 19 22 6 5" xfId="4160" xr:uid="{3024FA57-5ABF-458F-978C-54F3CA2B7090}"/>
    <cellStyle name="Normal 19 22 7" xfId="4161" xr:uid="{77D5124C-28D5-4CD2-950D-3B398D947EFB}"/>
    <cellStyle name="Normal 19 22 7 3" xfId="4162" xr:uid="{FEA24989-48FA-4002-9854-59054138B89B}"/>
    <cellStyle name="Normal 19 22 7 5" xfId="4163" xr:uid="{7231B1E4-4A58-4928-B160-8C09B4F19B4F}"/>
    <cellStyle name="Normal 19 22 8 3" xfId="4164" xr:uid="{5DC5FA0F-5B70-429C-A3DE-AD819775179F}"/>
    <cellStyle name="Normal 19 22 8 5" xfId="4165" xr:uid="{287A93F3-03B1-46D5-83DD-B89983584CB4}"/>
    <cellStyle name="Normal 19 22 9" xfId="4166" xr:uid="{66122FC6-4500-4ECF-BAC6-A0FB445593D4}"/>
    <cellStyle name="Normal 19 23 10" xfId="4167" xr:uid="{CA77B26E-042B-42E1-BFF2-2116256E6A56}"/>
    <cellStyle name="Normal 19 23 2" xfId="4168" xr:uid="{044365AD-1634-4AA5-8548-DC65233824E7}"/>
    <cellStyle name="Normal 19 23 2 3" xfId="4169" xr:uid="{C212483B-3052-4C64-A5DD-333FFACC155F}"/>
    <cellStyle name="Normal 19 23 2 5" xfId="4170" xr:uid="{F3E3474D-C875-47A9-8CF6-E3E2114CF36E}"/>
    <cellStyle name="Normal 19 23 3" xfId="4171" xr:uid="{8EEF762E-6344-46D8-AD4F-C9E939909552}"/>
    <cellStyle name="Normal 19 23 3 3" xfId="4172" xr:uid="{69711305-3012-402B-A2AD-42D64D4E880E}"/>
    <cellStyle name="Normal 19 23 3 5" xfId="4173" xr:uid="{CDB6323E-85A4-4E08-9107-54D0FAA9A182}"/>
    <cellStyle name="Normal 19 23 4 3" xfId="4174" xr:uid="{36CBEF77-CD24-4E8C-8D4A-61BE73B69B36}"/>
    <cellStyle name="Normal 19 23 4 5" xfId="4175" xr:uid="{19DBBBE0-47D2-4458-BDE9-38DF9E6C709F}"/>
    <cellStyle name="Normal 19 23 5" xfId="4176" xr:uid="{303A4814-13D3-49B9-A524-1536EA94D7D8}"/>
    <cellStyle name="Normal 19 23 5 3" xfId="4177" xr:uid="{24D76139-AC1D-4546-8821-A3688CFF65A0}"/>
    <cellStyle name="Normal 19 23 5 5" xfId="4178" xr:uid="{06F94FD4-B5E7-40B1-927C-0C4D766FBCAA}"/>
    <cellStyle name="Normal 19 23 6" xfId="4179" xr:uid="{BE24C422-49B9-4182-B630-E1E36AA67269}"/>
    <cellStyle name="Normal 19 23 6 3" xfId="4180" xr:uid="{0D5424DC-B87E-4660-9A33-45660C314CF3}"/>
    <cellStyle name="Normal 19 23 6 5" xfId="4181" xr:uid="{9BCAF4A8-6A80-4904-A69D-4679616F76C1}"/>
    <cellStyle name="Normal 19 23 7 3" xfId="4182" xr:uid="{F166DFC8-1D2B-4692-A511-7DB452C8EA21}"/>
    <cellStyle name="Normal 19 23 7 5" xfId="4183" xr:uid="{D9ABC43D-C19E-4165-A1D6-FFAB835BFB81}"/>
    <cellStyle name="Normal 19 23 9" xfId="4184" xr:uid="{4A7ABDF2-2224-40BE-AFCC-0D3B8B0ECFBD}"/>
    <cellStyle name="Normal 19 24 2 3" xfId="4185" xr:uid="{9B4F8FCF-98B6-48E2-9C57-CDE56499CAFB}"/>
    <cellStyle name="Normal 19 24 3" xfId="4186" xr:uid="{22B9844C-471A-46BA-BD87-EBDEFCCF2212}"/>
    <cellStyle name="Normal 19 24 3 5" xfId="4187" xr:uid="{5EBD514E-F4C2-4774-AD3C-F40D4F19D597}"/>
    <cellStyle name="Normal 19 24 4" xfId="4188" xr:uid="{061023F3-8BB9-416B-99B3-DA290217E01E}"/>
    <cellStyle name="Normal 19 24 4 3" xfId="4189" xr:uid="{72BB0F76-2EDE-452B-9BDA-5540FEA127BD}"/>
    <cellStyle name="Normal 19 24 5" xfId="4190" xr:uid="{7D0AF312-7F22-48FF-8938-D7A7C15769D1}"/>
    <cellStyle name="Normal 19 24 5 3" xfId="4191" xr:uid="{D43C3025-A4B1-4A3F-9F8B-6F6156A375C4}"/>
    <cellStyle name="Normal 19 24 5 5" xfId="4192" xr:uid="{67E80E45-0A21-46D8-BE28-9052E768B91F}"/>
    <cellStyle name="Normal 19 24 6 3" xfId="4193" xr:uid="{775CA46F-07C1-4FC2-ADE7-DCF052A7B794}"/>
    <cellStyle name="Normal 19 24 7" xfId="4194" xr:uid="{96364FB2-D920-47B1-9086-72752279B8BF}"/>
    <cellStyle name="Normal 19 24 8 3" xfId="4195" xr:uid="{D793C8E8-1D5F-4227-88A5-2A8CDD36B7AC}"/>
    <cellStyle name="Normal 19 24 8 5" xfId="4196" xr:uid="{C7C2BC9E-6FB3-458F-A3B9-2140B634C455}"/>
    <cellStyle name="Normal 19 24 9" xfId="4197" xr:uid="{4CC91F80-5F99-4961-8B0A-877A40D83756}"/>
    <cellStyle name="Normal 19 25 2" xfId="4198" xr:uid="{D290E7AC-C051-49CB-8991-2E765F95F296}"/>
    <cellStyle name="Normal 19 25 4" xfId="4199" xr:uid="{C3B82F09-A816-4095-94C0-46E1BC268860}"/>
    <cellStyle name="Normal 19 26 2" xfId="4200" xr:uid="{A6A2A438-7575-4B84-AFF2-6CD31DA780B2}"/>
    <cellStyle name="Normal 19 26 4" xfId="4201" xr:uid="{903FB95B-C3B1-44AC-B578-7D89EC813FED}"/>
    <cellStyle name="Normal 19 26 6" xfId="4202" xr:uid="{636E354D-68DC-46AB-937C-1BA7B4279B73}"/>
    <cellStyle name="Normal 19 27 2" xfId="4203" xr:uid="{8C72E45C-C705-4648-B1A3-B6C2AC72A12C}"/>
    <cellStyle name="Normal 19 28 2" xfId="4204" xr:uid="{B3049080-60CF-4162-A1BB-0576CA6A7398}"/>
    <cellStyle name="Normal 19 28 4" xfId="4205" xr:uid="{DC93728D-2714-40E8-8162-4EB4C2029C6A}"/>
    <cellStyle name="Normal 19 28 6" xfId="4206" xr:uid="{ABC46AA5-438D-4A60-9F63-0530F388E83D}"/>
    <cellStyle name="Normal 19 29 2" xfId="4207" xr:uid="{DB8DBF66-8A5B-4756-B75E-18325C8FE924}"/>
    <cellStyle name="Normal 19 29 4" xfId="4208" xr:uid="{53C3E39D-7E82-4A60-A11A-16173144466A}"/>
    <cellStyle name="Normal 19 29 6" xfId="4209" xr:uid="{02DD0D50-91A5-4884-9939-1C833ACEDD94}"/>
    <cellStyle name="Normal 19 3 10" xfId="4210" xr:uid="{A10D9144-1935-4CB6-BB38-72DDABBFB23C}"/>
    <cellStyle name="Normal 19 3 12" xfId="4211" xr:uid="{6AB6B969-CB14-4C25-AEDE-EE1E7114845D}"/>
    <cellStyle name="Normal 19 3 2" xfId="4212" xr:uid="{A57403B9-65D6-4133-90D3-1B855B7539CB}"/>
    <cellStyle name="Normal 19 3 2 3" xfId="4213" xr:uid="{D8F6ADC6-D147-4662-9604-EA57A28C2333}"/>
    <cellStyle name="Normal 19 3 2 5" xfId="4214" xr:uid="{051CFC66-1181-458F-B099-E70B6F82860B}"/>
    <cellStyle name="Normal 19 3 3 5" xfId="4215" xr:uid="{B9CBFD40-BCEA-48AC-BE1F-7CA7425C9BA3}"/>
    <cellStyle name="Normal 19 3 4" xfId="4216" xr:uid="{31575137-5705-4C83-B1AF-0D2DA189AB46}"/>
    <cellStyle name="Normal 19 3 4 3" xfId="4217" xr:uid="{9C2DDF5C-E5A5-4D31-85ED-D6C22CDDA080}"/>
    <cellStyle name="Normal 19 3 5" xfId="4218" xr:uid="{AF44F899-C904-479D-BF87-23880339CA48}"/>
    <cellStyle name="Normal 19 3 5 3" xfId="4219" xr:uid="{0523CCF4-8BE1-4C6C-9312-AEB51A82158C}"/>
    <cellStyle name="Normal 19 3 6" xfId="4220" xr:uid="{5DD90D48-842C-45CB-932B-638ADE926C3F}"/>
    <cellStyle name="Normal 19 3 7" xfId="4221" xr:uid="{8AA0C49B-705B-45B5-A15A-5EC9264FDB34}"/>
    <cellStyle name="Normal 19 3 7 5" xfId="4222" xr:uid="{611D2C2A-D0B4-4CA4-A312-0E22BE6BF08C}"/>
    <cellStyle name="Normal 19 3 8 3" xfId="4223" xr:uid="{AB7FA443-4422-4945-AB83-3D9761831BE0}"/>
    <cellStyle name="Normal 19 3 8 5" xfId="4224" xr:uid="{9D747450-92BD-4113-93D3-1B416715F42E}"/>
    <cellStyle name="Normal 19 30 4" xfId="4225" xr:uid="{68B7F088-FC03-4F01-BD72-901AE0AB1040}"/>
    <cellStyle name="Normal 19 37" xfId="4226" xr:uid="{2FFD414C-CE58-4795-A1EA-528E494361D3}"/>
    <cellStyle name="Normal 19 4 2" xfId="4227" xr:uid="{8FCB794E-633D-40BB-970D-E04FD983E0C1}"/>
    <cellStyle name="Normal 19 4 2 3" xfId="4228" xr:uid="{8437705D-9A82-4776-8A7C-FEE7E8D6D4C5}"/>
    <cellStyle name="Normal 19 4 2 5" xfId="4229" xr:uid="{FAB2220E-BA8F-4A63-9A6F-72FF68F229BF}"/>
    <cellStyle name="Normal 19 4 3 3" xfId="4230" xr:uid="{C84BFCB8-08D0-4329-8F89-3C5611F9D0AA}"/>
    <cellStyle name="Normal 19 4 3 5" xfId="4231" xr:uid="{741AD1E7-4290-4145-9D5E-44E2AA62EEC3}"/>
    <cellStyle name="Normal 19 4 4" xfId="4232" xr:uid="{6745019B-98C2-46AF-AC3E-3C07C0F9CFA5}"/>
    <cellStyle name="Normal 19 4 4 3" xfId="4233" xr:uid="{A7340D5F-248E-4F84-90E2-42CB45A15DCB}"/>
    <cellStyle name="Normal 19 4 4 5" xfId="4234" xr:uid="{6B6F80F1-B7B4-4AD2-93FA-5991CD02766D}"/>
    <cellStyle name="Normal 19 4 5 5" xfId="4235" xr:uid="{F9BC2E25-1AED-4F1C-8534-0EB1A5CCE41C}"/>
    <cellStyle name="Normal 19 4 6 3" xfId="4236" xr:uid="{45F56835-CB46-433D-B37D-CF33CF330EBD}"/>
    <cellStyle name="Normal 19 4 7" xfId="4237" xr:uid="{DA41ED64-0849-4FB1-801E-DC1218EA16F7}"/>
    <cellStyle name="Normal 19 4 7 5" xfId="4238" xr:uid="{55B6F363-DD89-4F41-8457-89FCC18AF4C1}"/>
    <cellStyle name="Normal 19 4 8" xfId="4239" xr:uid="{A2CB4E5C-D4D4-41B3-9A98-06B626A52989}"/>
    <cellStyle name="Normal 19 4 8 5" xfId="4240" xr:uid="{2B6ADE10-9786-4283-9C3F-9D2C849A1B8F}"/>
    <cellStyle name="Normal 19 4 9" xfId="4241" xr:uid="{9D7B9229-B872-45AD-B1EF-73C86A61F5C9}"/>
    <cellStyle name="Normal 19 5 10" xfId="4242" xr:uid="{7537CF66-0F02-48BB-9448-08C43D0548BF}"/>
    <cellStyle name="Normal 19 5 12" xfId="4243" xr:uid="{67FD7A3B-7C76-409E-9798-AD5A503E0226}"/>
    <cellStyle name="Normal 19 5 2" xfId="4244" xr:uid="{3EE3CDB5-207C-4F1A-84AC-E281E50F7FED}"/>
    <cellStyle name="Normal 19 5 2 3" xfId="4245" xr:uid="{80686461-FE1E-495E-B2EF-4CB296D14128}"/>
    <cellStyle name="Normal 19 5 2 5" xfId="4246" xr:uid="{CAE5E6C0-0352-43CC-837D-BC0273CA4214}"/>
    <cellStyle name="Normal 19 5 3" xfId="4247" xr:uid="{F7BA3EBF-C166-45C1-BB6E-F6DFDD4778EA}"/>
    <cellStyle name="Normal 19 5 3 5" xfId="4248" xr:uid="{150439DC-8FB4-4F1B-AFCD-4B44E70429E7}"/>
    <cellStyle name="Normal 19 5 4" xfId="4249" xr:uid="{1FADA7AE-1E40-44C4-AA32-E71B4B6DD0D4}"/>
    <cellStyle name="Normal 19 5 4 3" xfId="4250" xr:uid="{2D1B04AF-978D-4848-9AAD-039A98581930}"/>
    <cellStyle name="Normal 19 5 4 5" xfId="4251" xr:uid="{E491A045-8E98-44A3-BBC4-5F956F4CFE88}"/>
    <cellStyle name="Normal 19 5 5" xfId="4252" xr:uid="{0BDCC3B6-2497-4DD0-A819-F9A5FD96BA80}"/>
    <cellStyle name="Normal 19 5 5 3" xfId="4253" xr:uid="{48ED93AD-9A54-4042-B189-A76484DD760D}"/>
    <cellStyle name="Normal 19 5 5 5" xfId="4254" xr:uid="{FF3641B7-8BD0-4054-BCAD-65CBFED0017B}"/>
    <cellStyle name="Normal 19 5 6" xfId="4255" xr:uid="{65208E27-FE42-40F4-9D09-4B2E6E874B98}"/>
    <cellStyle name="Normal 19 5 6 3" xfId="4256" xr:uid="{396D5886-05E4-4183-AFC3-ECC1AAD89884}"/>
    <cellStyle name="Normal 19 5 6 5" xfId="4257" xr:uid="{E87A0D59-C2A3-4602-A5D2-6E8C4EB6B435}"/>
    <cellStyle name="Normal 19 5 7 5" xfId="4258" xr:uid="{A7FBDDE7-9001-48D7-BD5E-F14599AB378A}"/>
    <cellStyle name="Normal 19 5 8" xfId="4259" xr:uid="{F6EBDFC9-DA20-465F-B5CC-4CE52E472A57}"/>
    <cellStyle name="Normal 19 5 8 3" xfId="4260" xr:uid="{37EEE4F4-BED9-4687-B1F6-88D7C7F486CB}"/>
    <cellStyle name="Normal 19 5 8 5" xfId="4261" xr:uid="{112DE309-C217-4CD3-9463-D23032BB4F90}"/>
    <cellStyle name="Normal 19 6 10" xfId="4262" xr:uid="{127A1388-59BB-4969-B39C-8B4F32561DE9}"/>
    <cellStyle name="Normal 19 6 2" xfId="4263" xr:uid="{0387E3C5-F2C8-4EC8-8686-3D2776C768C8}"/>
    <cellStyle name="Normal 19 6 3" xfId="4264" xr:uid="{04797958-D219-4900-85E9-8697AC90CCBF}"/>
    <cellStyle name="Normal 19 6 3 5" xfId="4265" xr:uid="{E5BDD07B-B3B4-4E1C-93FA-7B3F13A991C8}"/>
    <cellStyle name="Normal 19 6 4 3" xfId="4266" xr:uid="{90F43386-AF35-4177-A4D8-7FF827B96557}"/>
    <cellStyle name="Normal 19 6 4 5" xfId="4267" xr:uid="{B9720F3A-3114-4B55-A0FF-0AC1972E5261}"/>
    <cellStyle name="Normal 19 6 5" xfId="4268" xr:uid="{CD753761-BDA9-4469-8F1E-EB96D835F467}"/>
    <cellStyle name="Normal 19 6 5 5" xfId="4269" xr:uid="{F44397E6-9B8D-4793-8AC8-B38410BCC0A9}"/>
    <cellStyle name="Normal 19 6 6 3" xfId="4270" xr:uid="{08111555-DCF4-4909-B09A-B8420F750222}"/>
    <cellStyle name="Normal 19 6 7 5" xfId="4271" xr:uid="{DB5FFBDB-64BD-4107-B82A-38BD6D1B0D10}"/>
    <cellStyle name="Normal 19 6 9" xfId="4272" xr:uid="{A2ECB1C1-011A-405E-9FD2-808EFA668760}"/>
    <cellStyle name="Normal 19 7 10" xfId="4273" xr:uid="{A4AB52EE-FCDD-4078-93B1-013D7864A8AD}"/>
    <cellStyle name="Normal 19 7 12" xfId="4274" xr:uid="{B18E0367-73E9-4904-B435-7520851D0AF3}"/>
    <cellStyle name="Normal 19 7 2 3" xfId="4275" xr:uid="{099DBC1C-EE5D-41CF-A472-176EABC4AB18}"/>
    <cellStyle name="Normal 19 7 2 5" xfId="4276" xr:uid="{79913D8A-0852-457F-8707-07659057769E}"/>
    <cellStyle name="Normal 19 7 3" xfId="4277" xr:uid="{9325DF78-8519-4550-AC54-36902C9E7730}"/>
    <cellStyle name="Normal 19 7 3 3" xfId="4278" xr:uid="{D51717F9-3822-48C1-93F8-46F2D9B290DD}"/>
    <cellStyle name="Normal 19 7 3 5" xfId="4279" xr:uid="{9D758833-0E56-49CB-94CF-CC72F48C8C6C}"/>
    <cellStyle name="Normal 19 7 4" xfId="4280" xr:uid="{A0FE4067-033C-4F80-8961-C28BC01CCEE5}"/>
    <cellStyle name="Normal 19 7 5" xfId="4281" xr:uid="{EF55D730-05D6-4066-9492-C23BE547FDDE}"/>
    <cellStyle name="Normal 19 7 5 5" xfId="4282" xr:uid="{78FA5D2A-199F-476E-974A-480FC163C544}"/>
    <cellStyle name="Normal 19 7 6 3" xfId="4283" xr:uid="{2785EE4C-2696-4BDC-8121-7CC116F8A75D}"/>
    <cellStyle name="Normal 19 7 7" xfId="4284" xr:uid="{EE421E44-01DC-461F-B4CE-45DF7CDACAE7}"/>
    <cellStyle name="Normal 19 7 7 3" xfId="4285" xr:uid="{06D1BA6F-2149-4073-99E5-E081BB602548}"/>
    <cellStyle name="Normal 19 7 7 5" xfId="4286" xr:uid="{80330FC2-3A18-42A8-8EA4-DF11F27A47A0}"/>
    <cellStyle name="Normal 19 7 8 3" xfId="4287" xr:uid="{4B62F124-5BE9-415E-A317-69168ADECE1F}"/>
    <cellStyle name="Normal 19 7 8 5" xfId="4288" xr:uid="{CB16AB17-481E-4C78-92C0-96421CC2410B}"/>
    <cellStyle name="Normal 19 7 9" xfId="4289" xr:uid="{C809F920-71E4-4E8E-8970-DBEDD2A2F41A}"/>
    <cellStyle name="Normal 19 8 10" xfId="4290" xr:uid="{8F12C37E-6FC8-4980-BEDC-C22E33154123}"/>
    <cellStyle name="Normal 19 8 12" xfId="4291" xr:uid="{14962984-C7F3-4F9A-B428-84E669EBE94C}"/>
    <cellStyle name="Normal 19 8 2" xfId="4292" xr:uid="{ADBCB299-FFBB-4D1E-9148-0493995FCC67}"/>
    <cellStyle name="Normal 19 8 2 3" xfId="4293" xr:uid="{849A482C-F523-4357-B662-49C0BAD9116A}"/>
    <cellStyle name="Normal 19 8 3" xfId="4294" xr:uid="{5D2838A3-A364-4A9E-BB68-8273A1319D5E}"/>
    <cellStyle name="Normal 19 8 3 3" xfId="4295" xr:uid="{F605DF71-75FD-4F09-9C44-2D02F25922E5}"/>
    <cellStyle name="Normal 19 8 3 5" xfId="4296" xr:uid="{90EBABAC-4B4F-4280-ADDE-C5DF49362B71}"/>
    <cellStyle name="Normal 19 8 4" xfId="4297" xr:uid="{CD9E019A-5C81-42F0-B0A0-889FE632A563}"/>
    <cellStyle name="Normal 19 8 4 3" xfId="4298" xr:uid="{4E3BBA1E-44BD-4933-8557-35A4EF3EBA62}"/>
    <cellStyle name="Normal 19 8 4 5" xfId="4299" xr:uid="{9DDB2DAB-8201-4626-87D5-527C7196BD47}"/>
    <cellStyle name="Normal 19 8 5" xfId="4300" xr:uid="{EE89F6D4-0308-4127-83F3-20D4CABC0AE7}"/>
    <cellStyle name="Normal 19 8 5 3" xfId="4301" xr:uid="{EB8C55DE-67B6-433E-92E1-14CCCEAB376D}"/>
    <cellStyle name="Normal 19 8 5 5" xfId="4302" xr:uid="{3E9461C3-F6B2-4AF7-80C4-DC854FC5C264}"/>
    <cellStyle name="Normal 19 8 6" xfId="4303" xr:uid="{D745AEA0-7595-42B4-A328-FB4FBCE55492}"/>
    <cellStyle name="Normal 19 8 6 3" xfId="4304" xr:uid="{D7F94499-1326-4982-942C-F7192627D5D3}"/>
    <cellStyle name="Normal 19 8 7" xfId="4305" xr:uid="{095D75F3-6547-4849-ABAE-E4C83DB287AB}"/>
    <cellStyle name="Normal 19 8 7 5" xfId="4306" xr:uid="{11324109-C540-4642-94C8-4D46875735F3}"/>
    <cellStyle name="Normal 19 8 8" xfId="4307" xr:uid="{4BF3A3D8-B171-477C-BE60-B7AB32E670D2}"/>
    <cellStyle name="Normal 19 8 8 5" xfId="4308" xr:uid="{9D381870-9B56-433C-A0D7-2763CB385065}"/>
    <cellStyle name="Normal 19 8 9" xfId="4309" xr:uid="{C9DFCF0D-CF18-4487-830E-58FEE75E9FA7}"/>
    <cellStyle name="Normal 19 9 10" xfId="4310" xr:uid="{5B93D8CC-798F-45DE-8E57-A306397D3F05}"/>
    <cellStyle name="Normal 19 9 2 3" xfId="4311" xr:uid="{B6093F13-44E6-491B-8847-B22415BFB51D}"/>
    <cellStyle name="Normal 19 9 3" xfId="4312" xr:uid="{69BD0DA1-B40E-4775-97A7-948E71309121}"/>
    <cellStyle name="Normal 19 9 3 5" xfId="4313" xr:uid="{A8C9ACF3-EEFB-43A8-9B02-C938B4E6E80B}"/>
    <cellStyle name="Normal 19 9 4 3" xfId="4314" xr:uid="{B2CC1400-C281-424D-827D-C9CAB89B6C35}"/>
    <cellStyle name="Normal 19 9 4 5" xfId="4315" xr:uid="{9C845053-C0AC-45C1-8602-5EB9498300B0}"/>
    <cellStyle name="Normal 19 9 5" xfId="4316" xr:uid="{A0778028-CECD-4836-8C0E-E72126096EAE}"/>
    <cellStyle name="Normal 19 9 5 5" xfId="4317" xr:uid="{F849783E-3919-4839-B26D-C70AB1ED5C13}"/>
    <cellStyle name="Normal 19 9 7" xfId="4318" xr:uid="{C0325BC5-C1FF-42E3-9A66-65D240FA4031}"/>
    <cellStyle name="Normal 19 9 8 3" xfId="4319" xr:uid="{75508546-6427-4B77-84AF-C161F514753B}"/>
    <cellStyle name="Normal 19 9 9" xfId="4320" xr:uid="{A5F69946-4D73-4B84-8819-522E18ACE31C}"/>
    <cellStyle name="Normal 2 10" xfId="4321" xr:uid="{1E3B0734-022B-45C9-BAE4-7EEBEA8680CB}"/>
    <cellStyle name="Normal 2 10 11" xfId="4322" xr:uid="{74547639-5FB6-4DD7-9627-71C0B6268C62}"/>
    <cellStyle name="Normal 2 10 15" xfId="4323" xr:uid="{9B7A2804-5B6D-412D-AB71-90AFADF4F921}"/>
    <cellStyle name="Normal 2 10 17" xfId="4324" xr:uid="{35FBA888-6E3A-43C0-9802-874B8C486406}"/>
    <cellStyle name="Normal 2 10 19" xfId="4325" xr:uid="{670BEA9B-A20A-476C-9A82-104A542EF566}"/>
    <cellStyle name="Normal 2 10 2 2" xfId="4326" xr:uid="{EBC3CF77-1312-4EC0-8D0F-72B75E3AE047}"/>
    <cellStyle name="Normal 2 10 2 2 2 2" xfId="4327" xr:uid="{EECC41B1-65F7-4CD9-8F39-7C6998436EA9}"/>
    <cellStyle name="Normal 2 10 22" xfId="4328" xr:uid="{BACCB59A-EB58-44E6-B183-8D20D3D9BD9F}"/>
    <cellStyle name="Normal 2 10 3" xfId="4329" xr:uid="{1296A57F-AB5F-46B4-892A-38E3E006B57C}"/>
    <cellStyle name="Normal 2 10 33" xfId="4330" xr:uid="{7E671988-30B3-4D62-8C1C-85F3B01A19C6}"/>
    <cellStyle name="Normal 2 10 35" xfId="4331" xr:uid="{2EC26092-C63D-4334-896C-AC81DA2FB071}"/>
    <cellStyle name="Normal 2 10 37" xfId="4332" xr:uid="{080C0FA5-5332-412B-8287-FC577140EC67}"/>
    <cellStyle name="Normal 2 10 39" xfId="4333" xr:uid="{27F77FF7-83CF-462D-9448-FDBF881368F9}"/>
    <cellStyle name="Normal 2 10 40" xfId="4334" xr:uid="{5E5B4B5C-A13D-4876-8EC8-2682D72D7BC3}"/>
    <cellStyle name="Normal 2 10 44" xfId="4335" xr:uid="{4E988331-689A-4EFC-ACAC-DB6407F6CD3B}"/>
    <cellStyle name="Normal 2 10 46" xfId="4336" xr:uid="{C3FE5CE8-68C5-4B61-BB8F-01634B13033A}"/>
    <cellStyle name="Normal 2 10 48" xfId="4337" xr:uid="{F76A757F-90AF-49B6-93A2-966BC6BEAB4B}"/>
    <cellStyle name="Normal 2 10 5" xfId="4338" xr:uid="{F871CC68-6CC5-4794-A713-1383A2B8760D}"/>
    <cellStyle name="Normal 2 10 51" xfId="4339" xr:uid="{39AD0673-D8CC-4250-93AB-76B2ED707F3D}"/>
    <cellStyle name="Normal 2 10 7" xfId="4340" xr:uid="{D727B0B0-A546-4ECD-A80F-4A8E0809AD26}"/>
    <cellStyle name="Normal 2 10 9" xfId="4341" xr:uid="{021FE867-40BE-44A0-AAEA-13EAC83DD0CE}"/>
    <cellStyle name="Normal 2 11" xfId="4342" xr:uid="{81037561-C973-486A-8AD5-E41477AA1482}"/>
    <cellStyle name="Normal 2 11 11" xfId="4343" xr:uid="{FEAC512A-C784-4390-A106-3413A7872DAA}"/>
    <cellStyle name="Normal 2 11 13" xfId="4344" xr:uid="{E1E43B48-A070-44CD-9404-C14A8DF07009}"/>
    <cellStyle name="Normal 2 11 15" xfId="4345" xr:uid="{7A4BF6A2-1AD2-4FA4-A1B0-DFB4D3E36F9B}"/>
    <cellStyle name="Normal 2 11 17" xfId="4346" xr:uid="{8E88D143-716A-47CF-AF43-E76D4A4AD769}"/>
    <cellStyle name="Normal 2 11 19" xfId="4347" xr:uid="{845E4389-0170-41E0-89E0-639031619903}"/>
    <cellStyle name="Normal 2 11 20" xfId="4348" xr:uid="{F5EDEC9F-D615-4BAA-8314-8A3F8ECB918A}"/>
    <cellStyle name="Normal 2 11 22" xfId="4349" xr:uid="{0A24DF43-852C-49BF-90B3-CB843DC78D3A}"/>
    <cellStyle name="Normal 2 11 24" xfId="4350" xr:uid="{C7618AC1-64E1-40C7-B07D-A8E640505095}"/>
    <cellStyle name="Normal 2 11 28" xfId="4351" xr:uid="{881DB5DB-B203-48FA-94E2-DC65234D4B0C}"/>
    <cellStyle name="Normal 2 11 3" xfId="4352" xr:uid="{A5DEC7B0-E0CD-4830-9554-75FD55978C65}"/>
    <cellStyle name="Normal 2 11 31" xfId="4353" xr:uid="{D1C895EF-3851-46F6-95D7-DF21A0B84811}"/>
    <cellStyle name="Normal 2 11 37" xfId="4354" xr:uid="{C12051B1-9399-4432-B42D-E7B9253DC133}"/>
    <cellStyle name="Normal 2 11 39" xfId="4355" xr:uid="{E839551B-CEFC-4CAC-A1DA-74FE0713CABC}"/>
    <cellStyle name="Normal 2 11 40" xfId="4356" xr:uid="{0DD9736F-3B6A-4177-AB9C-4A40B8870108}"/>
    <cellStyle name="Normal 2 11 42" xfId="4357" xr:uid="{39070BAE-AE25-4FDE-9026-05E344ECC212}"/>
    <cellStyle name="Normal 2 11 46" xfId="4358" xr:uid="{99924A54-817A-4BC9-B9EA-4AC92F5BB184}"/>
    <cellStyle name="Normal 2 11 5" xfId="4359" xr:uid="{F4A43F6C-3CBC-485A-B101-71C404219C82}"/>
    <cellStyle name="Normal 2 11 7" xfId="4360" xr:uid="{49F06932-651A-482F-BE5B-C6612D51DAE7}"/>
    <cellStyle name="Normal 2 12 10" xfId="4361" xr:uid="{BC34F9AF-6734-41E3-BD77-AB299AF9F311}"/>
    <cellStyle name="Normal 2 12 14" xfId="4362" xr:uid="{73460A43-A685-4788-86C6-301D9B64A06C}"/>
    <cellStyle name="Normal 2 12 16" xfId="4363" xr:uid="{B5C4333B-B766-4E92-A5E7-E17AEF16C976}"/>
    <cellStyle name="Normal 2 12 20" xfId="4364" xr:uid="{4667F082-503C-4235-BBAB-8CA81B2F4377}"/>
    <cellStyle name="Normal 2 12 28" xfId="4365" xr:uid="{122D0592-4DAA-4E71-A9E0-AE04387D9DD0}"/>
    <cellStyle name="Normal 2 12 33" xfId="4366" xr:uid="{AFF265D1-45D6-4343-A645-8C894CBB3CF2}"/>
    <cellStyle name="Normal 2 12 37" xfId="4367" xr:uid="{47D9FA86-7471-4150-8DCE-BBA3EC5285EF}"/>
    <cellStyle name="Normal 2 12 40" xfId="4368" xr:uid="{AFD9E752-27BD-4B12-85A3-27F06FD219AC}"/>
    <cellStyle name="Normal 2 12 42" xfId="4369" xr:uid="{9E99E714-C3D8-4D1D-AC2A-B68A533E8BD3}"/>
    <cellStyle name="Normal 2 12 44" xfId="4370" xr:uid="{D0B80BD6-23C2-4546-B71B-0CEA50248732}"/>
    <cellStyle name="Normal 2 12 48" xfId="4371" xr:uid="{B9296439-98CE-42C6-B985-D0FF738C51D9}"/>
    <cellStyle name="Normal 2 12 5" xfId="4372" xr:uid="{B728833E-A18C-4147-A517-4B5C8E3AF7EB}"/>
    <cellStyle name="Normal 2 12 53" xfId="4373" xr:uid="{9BAED789-6E3C-440C-A817-152C8BF872B8}"/>
    <cellStyle name="Normal 2 12 9" xfId="4374" xr:uid="{EC6B976F-BE7A-4152-9BAF-24D33EEE8B58}"/>
    <cellStyle name="Normal 2 13 12" xfId="4375" xr:uid="{A3017CB7-40A2-4281-91E7-EEB62F5AB174}"/>
    <cellStyle name="Normal 2 13 16" xfId="4376" xr:uid="{F93F7B3B-2429-4166-8F82-436895CCB619}"/>
    <cellStyle name="Normal 2 13 2" xfId="4377" xr:uid="{A1E2890A-BD33-4DC6-901C-15E943567A2E}"/>
    <cellStyle name="Normal 2 13 21" xfId="4378" xr:uid="{0B473195-3825-47D9-A62A-569DE99CEA84}"/>
    <cellStyle name="Normal 2 13 23" xfId="4379" xr:uid="{E5ED4563-74BE-418B-A589-95044D80C791}"/>
    <cellStyle name="Normal 2 13 25" xfId="4380" xr:uid="{864E16DA-0185-4687-B3DA-A37DF147823E}"/>
    <cellStyle name="Normal 2 13 27" xfId="4381" xr:uid="{70BCA5A2-EF75-4FD1-9A85-5903E57A1610}"/>
    <cellStyle name="Normal 2 13 29" xfId="4382" xr:uid="{9C308B67-4B45-4004-AB72-A41040827406}"/>
    <cellStyle name="Normal 2 13 34" xfId="4383" xr:uid="{98D328E3-B67F-4A88-9B1C-39133AE0EEDC}"/>
    <cellStyle name="Normal 2 13 38" xfId="4384" xr:uid="{D94A3150-E02B-4C41-80B3-DA0D92A43D7F}"/>
    <cellStyle name="Normal 2 13 4" xfId="4385" xr:uid="{9B936A3B-9848-4E01-BADB-34187BEEAFF3}"/>
    <cellStyle name="Normal 2 13 41" xfId="4386" xr:uid="{FA0664B8-C232-44CF-AB46-33E183114314}"/>
    <cellStyle name="Normal 2 13 43" xfId="4387" xr:uid="{DC2A164D-F715-4686-A912-E485576F8142}"/>
    <cellStyle name="Normal 2 13 45" xfId="4388" xr:uid="{F706235D-44A8-4DFF-9FF5-7520169A80A4}"/>
    <cellStyle name="Normal 2 13 47" xfId="4389" xr:uid="{742896E4-7645-449C-8F63-941FB4345BA1}"/>
    <cellStyle name="Normal 2 13 49" xfId="4390" xr:uid="{471810AE-EC03-4BB2-A78F-2D403220BF35}"/>
    <cellStyle name="Normal 2 13 50" xfId="4391" xr:uid="{4332C160-B32C-4D32-A2E1-6871A1974ECC}"/>
    <cellStyle name="Normal 2 13 52" xfId="4392" xr:uid="{E4E2830C-F792-4596-BA80-CEAD508BD2FD}"/>
    <cellStyle name="Normal 2 13 54" xfId="4393" xr:uid="{6E569568-9CB1-4B81-9C3F-7FAC38DE7409}"/>
    <cellStyle name="Normal 2 13 7" xfId="4394" xr:uid="{8A3E17D5-6821-4919-8714-79C97EF89A3C}"/>
    <cellStyle name="Normal 2 14 10" xfId="4395" xr:uid="{3A61FAFD-26FE-4158-9C26-1867C7AE3BDF}"/>
    <cellStyle name="Normal 2 14 12" xfId="4396" xr:uid="{A440E22F-203B-432B-BE2B-2E0FA4BC7AF8}"/>
    <cellStyle name="Normal 2 14 14" xfId="4397" xr:uid="{3E77B538-5D2C-41EB-97BE-65AFE1EFCC1E}"/>
    <cellStyle name="Normal 2 14 16" xfId="4398" xr:uid="{93AE3299-41FD-41BB-9ABE-8001159F438D}"/>
    <cellStyle name="Normal 2 14 2" xfId="4399" xr:uid="{8011F899-AE0E-4099-B24D-57A0C804ABC8}"/>
    <cellStyle name="Normal 2 14 21" xfId="4400" xr:uid="{E80728A3-246C-444D-9816-62C6B2CAE9F2}"/>
    <cellStyle name="Normal 2 14 26" xfId="4401" xr:uid="{686F07D3-ED15-44C6-A44F-94BFA1F057E3}"/>
    <cellStyle name="Normal 2 14 28" xfId="4402" xr:uid="{6C467EA1-8FBB-4B78-9E99-F8064C1B407E}"/>
    <cellStyle name="Normal 2 14 3" xfId="4403" xr:uid="{A7D1A6C5-0A68-4667-8D0E-D8A2F09F9B44}"/>
    <cellStyle name="Normal 2 14 31" xfId="4404" xr:uid="{DFCABFE3-9878-4C27-A2BC-D864BF31CD1A}"/>
    <cellStyle name="Normal 2 14 33" xfId="4405" xr:uid="{B250AC46-07B7-44BF-9EC0-7E9DFD4F07F2}"/>
    <cellStyle name="Normal 2 14 37" xfId="4406" xr:uid="{07CBE9FF-A955-477F-9F24-0C86E8E4FC4A}"/>
    <cellStyle name="Normal 2 14 40" xfId="4407" xr:uid="{F1FA45AE-1FA9-476E-ADFF-FAE9AFF1FEE9}"/>
    <cellStyle name="Normal 2 14 44" xfId="4408" xr:uid="{8AFD91F9-4EB6-4DC9-A02F-C3963A852811}"/>
    <cellStyle name="Normal 2 14 6" xfId="4409" xr:uid="{26E2BA04-E136-4F10-98AB-AC860D921543}"/>
    <cellStyle name="Normal 2 15" xfId="4410" xr:uid="{A5E5F121-C3EA-43C5-95CD-BC12554D8A7A}"/>
    <cellStyle name="Normal 2 15 13" xfId="4411" xr:uid="{4EEF96C2-A2BB-49F0-A931-5BD5DDA43732}"/>
    <cellStyle name="Normal 2 15 20" xfId="4412" xr:uid="{64BCD467-458D-466A-B651-4F3632B64200}"/>
    <cellStyle name="Normal 2 15 28" xfId="4413" xr:uid="{CD5C762F-095D-4257-BBD4-99209FE7C951}"/>
    <cellStyle name="Normal 2 15 39" xfId="4414" xr:uid="{ECDB6B15-AA62-4027-8EDB-DC509325CEDD}"/>
    <cellStyle name="Normal 2 15 46" xfId="4415" xr:uid="{7F374519-54B9-4CAD-8A25-490B10ECA49A}"/>
    <cellStyle name="Normal 2 15 8" xfId="4416" xr:uid="{3DB0EA9C-4257-4C07-B118-3F7CF40940C6}"/>
    <cellStyle name="Normal 2 16 11" xfId="4417" xr:uid="{09712345-35E4-4E2A-92B0-F0783579397A}"/>
    <cellStyle name="Normal 2 16 19" xfId="4418" xr:uid="{4B856260-F3B1-4C78-A7A5-7E7735F28A4C}"/>
    <cellStyle name="Normal 2 16 22" xfId="4419" xr:uid="{42C00D6A-FDFC-45D9-8B84-006A65B8D7B8}"/>
    <cellStyle name="Normal 2 16 26" xfId="4420" xr:uid="{295076FA-8D11-423B-B6DD-13C9C9F174A7}"/>
    <cellStyle name="Normal 2 16 3" xfId="4421" xr:uid="{C22E1430-ECB4-4EE3-A87D-F5D0C412F3DF}"/>
    <cellStyle name="Normal 2 16 33" xfId="4422" xr:uid="{CB0286D5-E739-4D84-AD12-5A8B25780366}"/>
    <cellStyle name="Normal 2 16 37" xfId="4423" xr:uid="{9BF616BE-5EDB-43C9-BCCF-873E87334C3D}"/>
    <cellStyle name="Normal 2 16 42" xfId="4424" xr:uid="{6007FD6B-9AB3-46B1-B0D3-4E89AB86ECD6}"/>
    <cellStyle name="Normal 2 16 46" xfId="4425" xr:uid="{3B48726A-0DCD-4996-8450-5B9547014B37}"/>
    <cellStyle name="Normal 2 16 8" xfId="4426" xr:uid="{97E511B8-D182-4252-9D70-4D1BD1633D3E}"/>
    <cellStyle name="Normal 2 17 11" xfId="4427" xr:uid="{31F6E756-523D-4FDE-95F4-98E164CEA271}"/>
    <cellStyle name="Normal 2 17 15" xfId="4428" xr:uid="{3A86F2E7-F281-4BD7-BBDA-84F938ED7DF1}"/>
    <cellStyle name="Normal 2 17 19" xfId="4429" xr:uid="{D7D7A41C-38DD-402D-ADFE-1AB275D6093B}"/>
    <cellStyle name="Normal 2 17 26" xfId="4430" xr:uid="{FE9B6041-6AE1-4210-805E-0A04B2F6E8CA}"/>
    <cellStyle name="Normal 2 17 3" xfId="4431" xr:uid="{7051DBD3-7019-4BCF-895E-FC655B8CAC0A}"/>
    <cellStyle name="Normal 2 17 33" xfId="4432" xr:uid="{82A383F5-9CF4-4C29-A1A4-2B4E6D069331}"/>
    <cellStyle name="Normal 2 17 37" xfId="4433" xr:uid="{988D7EE8-5C8B-4FE2-9F06-73120A41F311}"/>
    <cellStyle name="Normal 2 17 40" xfId="4434" xr:uid="{7BB856A4-732B-443A-BA1B-1DCA4BD4EEC7}"/>
    <cellStyle name="Normal 2 17 44" xfId="4435" xr:uid="{39649ABA-F90B-4BAE-BDED-9ABD816A9A23}"/>
    <cellStyle name="Normal 2 17 6" xfId="4436" xr:uid="{52DEA983-636A-48BF-8515-F878A6A50812}"/>
    <cellStyle name="Normal 2 18" xfId="4437" xr:uid="{35586A8C-1918-401E-9346-7859B6B99329}"/>
    <cellStyle name="Normal 2 18 13" xfId="4438" xr:uid="{09218698-F037-4DF4-BD4D-F923EF1C36C1}"/>
    <cellStyle name="Normal 2 18 17" xfId="4439" xr:uid="{392B18B8-3308-4A58-AC50-A1DEB854F9CD}"/>
    <cellStyle name="Normal 2 18 20" xfId="4440" xr:uid="{AFBAE8A1-9CAB-4989-8664-D035540C62B1}"/>
    <cellStyle name="Normal 2 18 24" xfId="4441" xr:uid="{2F3484EE-1547-42E0-927C-24E8581CA4A5}"/>
    <cellStyle name="Normal 2 18 28" xfId="4442" xr:uid="{5C63191D-DDB2-44DF-99E7-37E8C486E871}"/>
    <cellStyle name="Normal 2 18 31" xfId="4443" xr:uid="{880E9826-2C36-4211-84A5-F352E07AA56B}"/>
    <cellStyle name="Normal 2 18 35" xfId="4444" xr:uid="{17A9FC7B-75BA-497D-A1B3-F2C5041BCFE3}"/>
    <cellStyle name="Normal 2 18 39" xfId="4445" xr:uid="{5D9F1D48-4F0E-46BB-96F2-CC70782DD109}"/>
    <cellStyle name="Normal 2 18 42" xfId="4446" xr:uid="{1138D250-3D07-4E42-8D6B-D441F97671BB}"/>
    <cellStyle name="Normal 2 18 46" xfId="4447" xr:uid="{7D662DA7-BB2C-4F89-A17A-8C93ECA815D5}"/>
    <cellStyle name="Normal 2 18 8" xfId="4448" xr:uid="{AB4FBDC5-0ABB-412D-B232-5EBB9A607581}"/>
    <cellStyle name="Normal 2 19 15" xfId="4449" xr:uid="{6BDA018F-340D-4599-A626-AE0BD0FBB3D5}"/>
    <cellStyle name="Normal 2 19 2" xfId="4450" xr:uid="{D79A901F-BB67-418F-BBCC-B1E849AC42E3}"/>
    <cellStyle name="Normal 2 19 23" xfId="4451" xr:uid="{D4244B57-021F-4C7C-8C89-D2D0AF4A430D}"/>
    <cellStyle name="Normal 2 19 28" xfId="4452" xr:uid="{D35DC166-1178-48DB-B583-256E0EC0BC29}"/>
    <cellStyle name="Normal 2 19 31" xfId="4453" xr:uid="{8A5456D9-68A9-4690-A20A-AC8A6B0941B4}"/>
    <cellStyle name="Normal 2 19 4" xfId="4454" xr:uid="{7FE6B884-A94B-416D-87E2-6A33AA5D8B24}"/>
    <cellStyle name="Normal 2 19 5" xfId="4455" xr:uid="{0A3B3DDA-A6C9-4414-84DF-E4F0992D183C}"/>
    <cellStyle name="Normal 2 2 10 12" xfId="4456" xr:uid="{05BDE73B-0D2D-46E2-B686-E978ACF60B5D}"/>
    <cellStyle name="Normal 2 2 10 2 6" xfId="4457" xr:uid="{610C09C1-59C7-4E4C-8006-C968B768B587}"/>
    <cellStyle name="Normal 2 2 10 3 4" xfId="4458" xr:uid="{A28A2F01-ABA3-47D7-98B7-C0354F300D8D}"/>
    <cellStyle name="Normal 2 2 10 4 2" xfId="4459" xr:uid="{944BD2B5-EDCC-4500-A453-9DC645CED6A7}"/>
    <cellStyle name="Normal 2 2 10 5 4" xfId="4460" xr:uid="{93AAEC64-8AA7-4F5E-86AD-BB8FBCE09E7C}"/>
    <cellStyle name="Normal 2 2 10 6 6" xfId="4461" xr:uid="{893ABBA7-5899-4A7E-928A-D30342D823F3}"/>
    <cellStyle name="Normal 2 2 10 8 2" xfId="4462" xr:uid="{8591A39A-80F1-4BE9-AF07-F4454306CBCD}"/>
    <cellStyle name="Normal 2 2 11 11" xfId="4463" xr:uid="{78A82AA8-9C32-4F39-B0B6-501EB418C00B}"/>
    <cellStyle name="Normal 2 2 11 2" xfId="4464" xr:uid="{D1CCEEAE-EC2B-4B30-98F4-4F2E12D3EFB7}"/>
    <cellStyle name="Normal 2 2 11 2 5" xfId="4465" xr:uid="{F73B8D15-6DEA-4A70-9BA7-0309B88BCD9D}"/>
    <cellStyle name="Normal 2 2 11 4" xfId="4466" xr:uid="{36C3C1DD-98DD-4879-BFFC-5990F21E4BEE}"/>
    <cellStyle name="Normal 2 2 11 4 5" xfId="4467" xr:uid="{84BDFC7B-FBA1-40D8-A63A-7246E3C4C7C6}"/>
    <cellStyle name="Normal 2 2 11 5 3" xfId="4468" xr:uid="{F704F83A-B58E-40C6-863C-FB06805098F8}"/>
    <cellStyle name="Normal 2 2 11 6" xfId="4469" xr:uid="{832B976F-E8C8-4D79-8C01-B90608CC9B39}"/>
    <cellStyle name="Normal 2 2 11 6 5" xfId="4470" xr:uid="{F133AF9B-AB9A-44DB-9F4E-C6635B8C6BB9}"/>
    <cellStyle name="Normal 2 2 11 7 3" xfId="4471" xr:uid="{6A47B9ED-1FE6-4497-9821-D2065E8B697E}"/>
    <cellStyle name="Normal 2 2 11 8 5" xfId="4472" xr:uid="{0CE3BB9E-7A59-4C5B-864E-C0303BA8E963}"/>
    <cellStyle name="Normal 2 2 12 10" xfId="4473" xr:uid="{6C05B808-3D9F-4D96-9758-73A4871B1E15}"/>
    <cellStyle name="Normal 2 2 12 14" xfId="4474" xr:uid="{03101278-516E-4878-987B-693257A33DC4}"/>
    <cellStyle name="Normal 2 2 12 2 4" xfId="4475" xr:uid="{2D425192-E27D-471C-B101-98FEE4994973}"/>
    <cellStyle name="Normal 2 2 12 3 2" xfId="4476" xr:uid="{7A64685B-D551-4DE3-95C2-E0C2B5D7AFE3}"/>
    <cellStyle name="Normal 2 2 12 3 6" xfId="4477" xr:uid="{16E4C388-161C-4A54-92C1-E42C7B30EF03}"/>
    <cellStyle name="Normal 2 2 12 5 2" xfId="4478" xr:uid="{FB8B2C8B-4371-4DAD-987D-ABEF37FA28AF}"/>
    <cellStyle name="Normal 2 2 12 5 6" xfId="4479" xr:uid="{AD84DF90-9FC1-4D7F-9DEC-0AFEC70FC564}"/>
    <cellStyle name="Normal 2 2 12 6 4" xfId="4480" xr:uid="{74F49F4A-1327-4264-AA63-E77A186A252E}"/>
    <cellStyle name="Normal 2 2 12 7 2" xfId="4481" xr:uid="{0039B229-78F1-4B2B-9C31-E4A072E636FB}"/>
    <cellStyle name="Normal 2 2 12 7 6" xfId="4482" xr:uid="{3A45B474-4ED4-4A6A-A9BB-36723C2347ED}"/>
    <cellStyle name="Normal 2 2 12 8 4" xfId="4483" xr:uid="{80408E54-08D9-485D-AE60-418009D81242}"/>
    <cellStyle name="Normal 2 2 13" xfId="4484" xr:uid="{428D20AE-A10E-4ED4-8239-244BA66C69F7}"/>
    <cellStyle name="Normal 2 2 13 13" xfId="4485" xr:uid="{6DCC409F-1413-4B00-A090-FE1F8B4A08E7}"/>
    <cellStyle name="Normal 2 2 13 2 3" xfId="4486" xr:uid="{2D49570E-B8EE-4B61-AD39-0A1A0F6DE1B6}"/>
    <cellStyle name="Normal 2 2 13 3" xfId="4487" xr:uid="{A20BF2F1-D8C6-474A-82A9-BA0D9E38844A}"/>
    <cellStyle name="Normal 2 2 13 3 5" xfId="4488" xr:uid="{A5DF2FD5-B6B8-44DA-B0DC-E5AD7AEE40A3}"/>
    <cellStyle name="Normal 2 2 13 4 3" xfId="4489" xr:uid="{656BB949-3903-41C2-B991-CAA276C68A51}"/>
    <cellStyle name="Normal 2 2 13 5" xfId="4490" xr:uid="{BDFE1AB8-DEBB-4524-84E7-508E9AFBFF63}"/>
    <cellStyle name="Normal 2 2 13 5 6" xfId="4491" xr:uid="{CB784849-C788-4DA5-B7E1-FA9011F9B714}"/>
    <cellStyle name="Normal 2 2 13 6 4" xfId="4492" xr:uid="{96B23DF2-FC6A-40E6-8A3C-A161CE07DE02}"/>
    <cellStyle name="Normal 2 2 13 6 6" xfId="4493" xr:uid="{42AF979A-0984-41C5-BDDC-153E192885F3}"/>
    <cellStyle name="Normal 2 2 13 7 2" xfId="4494" xr:uid="{8CFD9891-5C0E-4208-87FD-614563CC25F4}"/>
    <cellStyle name="Normal 2 2 13 7 4" xfId="4495" xr:uid="{7AE03E8B-BD68-4713-9AAB-5B2AE11896A4}"/>
    <cellStyle name="Normal 2 2 13 7 6" xfId="4496" xr:uid="{D7BC97E3-C787-4693-AA2B-4FB48595D24E}"/>
    <cellStyle name="Normal 2 2 13 8 5" xfId="4497" xr:uid="{1017F124-9735-46A7-9C70-97C570370F34}"/>
    <cellStyle name="Normal 2 2 14 10" xfId="4498" xr:uid="{5D70FA8B-DC53-4102-BC46-C8A0A17C19C6}"/>
    <cellStyle name="Normal 2 2 14 14" xfId="4499" xr:uid="{D42A14B5-ED86-4B0D-BE36-6B73A54E6383}"/>
    <cellStyle name="Normal 2 2 14 2 4" xfId="4500" xr:uid="{8EA1F7AB-3039-461C-A2A4-DBEEDE6ACD90}"/>
    <cellStyle name="Normal 2 2 14 3 2" xfId="4501" xr:uid="{2A05BEC8-247B-48FD-8CDD-6D4737BA4046}"/>
    <cellStyle name="Normal 2 2 14 4" xfId="4502" xr:uid="{23A16147-2999-482B-9693-89A9C5A07C61}"/>
    <cellStyle name="Normal 2 2 14 4 6" xfId="4503" xr:uid="{2D72E608-C14F-4FC0-BC86-CA7F44CD9B64}"/>
    <cellStyle name="Normal 2 2 14 6 3" xfId="4504" xr:uid="{4AA36F2F-A210-43EC-9F72-01D19EFCC712}"/>
    <cellStyle name="Normal 2 2 14 7 3" xfId="4505" xr:uid="{C8EDBBAF-AAC7-41D6-B351-52BB807EA5BC}"/>
    <cellStyle name="Normal 2 2 14 8" xfId="4506" xr:uid="{5944CCEC-0AFD-4BF0-9061-410B78562C98}"/>
    <cellStyle name="Normal 2 2 14 8 4" xfId="4507" xr:uid="{25AB47A9-A1B8-40AE-A3F8-4837E8A6E57F}"/>
    <cellStyle name="Normal 2 2 15 13" xfId="4508" xr:uid="{73CFD25F-B724-4368-A25A-0802400A5236}"/>
    <cellStyle name="Normal 2 2 15 3" xfId="4509" xr:uid="{AABC29D3-E495-4A2B-A8DC-F7715671DB02}"/>
    <cellStyle name="Normal 2 2 15 4 3" xfId="4510" xr:uid="{811D07EB-940C-4601-BB27-BE205547D2F3}"/>
    <cellStyle name="Normal 2 2 15 5 5" xfId="4511" xr:uid="{294BD91E-ED24-4388-8B63-5DD529BD9C00}"/>
    <cellStyle name="Normal 2 2 15 6 2" xfId="4512" xr:uid="{86F9371B-1980-426D-B2A2-65FF27CA4B25}"/>
    <cellStyle name="Normal 2 2 15 6 6" xfId="4513" xr:uid="{7184FB13-0524-4734-8BD1-E8CF7B7B5904}"/>
    <cellStyle name="Normal 2 2 15 7 6" xfId="4514" xr:uid="{046EF5CB-DE70-48F0-926C-6E81B296630D}"/>
    <cellStyle name="Normal 2 2 15 8 2" xfId="4515" xr:uid="{17963F6A-F04D-47AC-A341-9CAA467CD35F}"/>
    <cellStyle name="Normal 2 2 15 8 4" xfId="4516" xr:uid="{3DB4C054-7E3C-4131-8CCF-DFB604CD10D7}"/>
    <cellStyle name="Normal 2 2 15 8 6" xfId="4517" xr:uid="{7F514829-6258-45A5-85B7-8565E07225A9}"/>
    <cellStyle name="Normal 2 2 16" xfId="4518" xr:uid="{8B716DC7-DBAB-4BFE-8F61-8FD2F1860299}"/>
    <cellStyle name="Normal 2 2 16 11" xfId="4519" xr:uid="{140A1A10-5605-4244-94E6-D243C8BCF0DB}"/>
    <cellStyle name="Normal 2 2 16 2 5" xfId="4520" xr:uid="{9C6795BC-F23F-4C7A-A557-1FED29E17A57}"/>
    <cellStyle name="Normal 2 2 16 3 3" xfId="4521" xr:uid="{C30B302E-A503-413B-84FC-45DE33A91353}"/>
    <cellStyle name="Normal 2 2 16 4" xfId="4522" xr:uid="{87B0E4E5-D44D-44B3-84B6-F25EE81FBCB0}"/>
    <cellStyle name="Normal 2 2 16 4 5" xfId="4523" xr:uid="{23D61380-1019-4B01-A16E-68E954DD6890}"/>
    <cellStyle name="Normal 2 2 16 5 2" xfId="4524" xr:uid="{230430CD-4FD6-4B28-B341-8E02B95F87E2}"/>
    <cellStyle name="Normal 2 2 16 6" xfId="4525" xr:uid="{2E9C951D-A000-46F0-B56C-5E972959AF7E}"/>
    <cellStyle name="Normal 2 2 16 7 3" xfId="4526" xr:uid="{3DF822B7-19AD-4E2C-82DF-F6C90E7DD7F8}"/>
    <cellStyle name="Normal 2 2 16 8" xfId="4527" xr:uid="{65E3DD40-AF39-4CD5-8743-C4966A8A36C4}"/>
    <cellStyle name="Normal 2 2 16 8 4" xfId="4528" xr:uid="{088B7C44-C05F-4859-AF22-01ADBAC9C27D}"/>
    <cellStyle name="Normal 2 2 17" xfId="4529" xr:uid="{7480113F-0105-4E5A-8DDB-A86E197F6C7A}"/>
    <cellStyle name="Normal 2 2 17 13" xfId="4530" xr:uid="{679418EB-689E-4B93-8965-B3497360E631}"/>
    <cellStyle name="Normal 2 2 17 2 3" xfId="4531" xr:uid="{010CFCCF-BBD6-4E2A-BB37-C6F1233787BC}"/>
    <cellStyle name="Normal 2 2 17 3" xfId="4532" xr:uid="{A213FC13-75C6-4A5F-8EEA-77B4E2132A89}"/>
    <cellStyle name="Normal 2 2 17 3 5" xfId="4533" xr:uid="{AED01E9C-CDA6-4C32-81F2-C91930C0B7E0}"/>
    <cellStyle name="Normal 2 2 17 4 2" xfId="4534" xr:uid="{B380C28A-76E8-406F-AB61-CE120576257F}"/>
    <cellStyle name="Normal 2 2 17 4 6" xfId="4535" xr:uid="{7D04D309-1756-4C3B-9C65-43D0686A5916}"/>
    <cellStyle name="Normal 2 2 17 5 3" xfId="4536" xr:uid="{5EED7674-95D5-411B-BC3A-11E4145D4C65}"/>
    <cellStyle name="Normal 2 2 17 6 2" xfId="4537" xr:uid="{318BF850-C36E-4282-9F14-ADED7FA7E6E3}"/>
    <cellStyle name="Normal 2 2 17 6 6" xfId="4538" xr:uid="{E5FE1267-F05D-4FE7-BD13-1AFE104E2B23}"/>
    <cellStyle name="Normal 2 2 17 7 3" xfId="4539" xr:uid="{A4403299-97E5-4A1D-98D2-06D9470BEF5B}"/>
    <cellStyle name="Normal 2 2 17 7 5" xfId="4540" xr:uid="{80A99B35-6608-49D7-9E68-DA283C65EC7E}"/>
    <cellStyle name="Normal 2 2 17 8" xfId="4541" xr:uid="{69DD06C0-8A17-4187-9B03-F13DCA829FC5}"/>
    <cellStyle name="Normal 2 2 17 8 3" xfId="4542" xr:uid="{68038C5F-A70D-4599-953F-D61835A1F62A}"/>
    <cellStyle name="Normal 2 2 17 8 5" xfId="4543" xr:uid="{2A64C4D2-CCBA-4E08-8C37-72A42CC714AB}"/>
    <cellStyle name="Normal 2 2 17 9" xfId="4544" xr:uid="{1BC9380A-BB53-4DB6-9C0F-7038C58C7275}"/>
    <cellStyle name="Normal 2 2 18 10 3" xfId="4545" xr:uid="{3BE50DC9-148F-4675-AAF9-35AD9A752F2C}"/>
    <cellStyle name="Normal 2 2 18 10 5" xfId="4546" xr:uid="{E8A97581-A1DF-4525-9D89-61A18CE27C8E}"/>
    <cellStyle name="Normal 2 2 18 11" xfId="4547" xr:uid="{5EFB6854-57A5-4383-B7B9-1E04C2B3B1D6}"/>
    <cellStyle name="Normal 2 2 18 11 3" xfId="4548" xr:uid="{92CEEC09-6811-4BCF-8FF0-8CA9AE29548B}"/>
    <cellStyle name="Normal 2 2 18 11 5" xfId="4549" xr:uid="{6A9CC803-1E8E-4778-85F0-1DF90D8E4AA7}"/>
    <cellStyle name="Normal 2 2 18 12 3" xfId="4550" xr:uid="{3C6F6BFA-5DBE-4BDF-8505-06051D147EB8}"/>
    <cellStyle name="Normal 2 2 18 13" xfId="4551" xr:uid="{0584FFA9-33F0-47C2-A17C-22C5BBE17C5F}"/>
    <cellStyle name="Normal 2 2 18 13 5" xfId="4552" xr:uid="{04E5F87F-F9C2-4EC6-9E4E-4C846CEC7CF7}"/>
    <cellStyle name="Normal 2 2 18 14 3" xfId="4553" xr:uid="{0CF16113-7693-4485-8E8F-DEAE262213CB}"/>
    <cellStyle name="Normal 2 2 18 14 5" xfId="4554" xr:uid="{52DBEF75-054F-464A-B39F-494AFE6883D3}"/>
    <cellStyle name="Normal 2 2 18 16" xfId="4555" xr:uid="{3630966E-127B-4B27-BF4D-FA440A6915A7}"/>
    <cellStyle name="Normal 2 2 18 2" xfId="4556" xr:uid="{783059CD-8809-4404-83A5-397A50CD8BC5}"/>
    <cellStyle name="Normal 2 2 18 2 13" xfId="4557" xr:uid="{B9FF273F-0460-42FC-93FB-8E022388F210}"/>
    <cellStyle name="Normal 2 2 18 2 17" xfId="4558" xr:uid="{07A7EAF1-C4A3-436E-ADB8-B108FDCD71DE}"/>
    <cellStyle name="Normal 2 2 18 2 20" xfId="4559" xr:uid="{92DF3C77-C5E8-4C29-80DD-76330394A52E}"/>
    <cellStyle name="Normal 2 2 18 2 22" xfId="4560" xr:uid="{CE2545AE-EA8C-4D23-9324-ED6F2CB025FC}"/>
    <cellStyle name="Normal 2 2 18 2 24" xfId="4561" xr:uid="{A4C85F9F-5052-46C7-A014-1F66FDD3BDAD}"/>
    <cellStyle name="Normal 2 2 18 2 28" xfId="4562" xr:uid="{4DC5BABB-E6C6-4920-8D27-5097EC36F40C}"/>
    <cellStyle name="Normal 2 2 18 2 3" xfId="4563" xr:uid="{CC509287-1472-4DBD-B5A2-C9D48C53044A}"/>
    <cellStyle name="Normal 2 2 18 2 31" xfId="4564" xr:uid="{F7D5D378-2511-417B-9D31-CB3966755943}"/>
    <cellStyle name="Normal 2 2 18 2 33" xfId="4565" xr:uid="{84453ED1-03E5-4D34-89F4-54355BAAEDA0}"/>
    <cellStyle name="Normal 2 2 18 2 35" xfId="4566" xr:uid="{D8338552-57C5-405D-85A0-D23C0839DB37}"/>
    <cellStyle name="Normal 2 2 18 2 37" xfId="4567" xr:uid="{61F528E6-3BC5-4544-B84B-CA13693399EE}"/>
    <cellStyle name="Normal 2 2 18 2 40" xfId="4568" xr:uid="{BDC98C83-2141-4822-ABD4-232CE8853859}"/>
    <cellStyle name="Normal 2 2 18 2 42" xfId="4569" xr:uid="{AAF14908-8ACB-49D1-BA19-37CAAC985345}"/>
    <cellStyle name="Normal 2 2 18 2 44" xfId="4570" xr:uid="{764F0B5C-B63D-4E98-A8AE-4633ADDD9112}"/>
    <cellStyle name="Normal 2 2 18 2 5" xfId="4571" xr:uid="{6C83E2F8-E821-41EF-B5D9-31CCAC0C7A15}"/>
    <cellStyle name="Normal 2 2 18 2 7" xfId="4572" xr:uid="{16BDFDFA-670E-4604-861F-43B5BC42BE6F}"/>
    <cellStyle name="Normal 2 2 18 20" xfId="4573" xr:uid="{43291677-807F-4BC0-BA24-D61435146CE1}"/>
    <cellStyle name="Normal 2 2 18 3 12" xfId="4574" xr:uid="{EE2E12EC-9A9D-4362-B8CF-D586E736F9A0}"/>
    <cellStyle name="Normal 2 2 18 3 14" xfId="4575" xr:uid="{DE969122-F8EE-4015-8801-94DECCB03C5D}"/>
    <cellStyle name="Normal 2 2 18 3 16" xfId="4576" xr:uid="{44E2CEE1-0B06-4849-B3AB-3B79A99618C8}"/>
    <cellStyle name="Normal 2 2 18 3 18" xfId="4577" xr:uid="{BAF16E0B-51B0-4BD9-BC90-2F17DBF3BB2E}"/>
    <cellStyle name="Normal 2 2 18 3 2" xfId="4578" xr:uid="{8A10B21C-08FA-447A-A1C5-4A76007BE141}"/>
    <cellStyle name="Normal 2 2 18 3 21" xfId="4579" xr:uid="{CD9491C3-2459-4FCB-B552-D32914CBA3A9}"/>
    <cellStyle name="Normal 2 2 18 3 23" xfId="4580" xr:uid="{9EBFE164-5B16-4284-8EEB-848C58DF5B3F}"/>
    <cellStyle name="Normal 2 2 18 3 25" xfId="4581" xr:uid="{0BFD74B8-31CC-48E8-9C36-6F7D98651442}"/>
    <cellStyle name="Normal 2 2 18 3 27" xfId="4582" xr:uid="{A629436F-B994-4BB8-A22B-44CAE9F05BE5}"/>
    <cellStyle name="Normal 2 2 18 3 29" xfId="4583" xr:uid="{31601131-9CEE-4C02-AA75-9977BB2B3397}"/>
    <cellStyle name="Normal 2 2 18 3 30" xfId="4584" xr:uid="{FB7059E8-51C8-4F23-9138-C0C9CD2ED303}"/>
    <cellStyle name="Normal 2 2 18 3 32" xfId="4585" xr:uid="{723E9C13-4752-4365-B851-656C2B4B7900}"/>
    <cellStyle name="Normal 2 2 18 3 34" xfId="4586" xr:uid="{E6339F19-B4C1-4C2F-AF3A-58AB91B0E236}"/>
    <cellStyle name="Normal 2 2 18 3 36" xfId="4587" xr:uid="{3995F7AA-6FD3-45C2-8AC6-2AC829FE06D4}"/>
    <cellStyle name="Normal 2 2 18 3 38" xfId="4588" xr:uid="{75E57325-607B-411D-90AB-59A3562B98E4}"/>
    <cellStyle name="Normal 2 2 18 3 4" xfId="4589" xr:uid="{C4891967-386B-4D06-A312-E2C8D60B0787}"/>
    <cellStyle name="Normal 2 2 18 3 41" xfId="4590" xr:uid="{A2481546-641B-43DF-8F5B-8C7DB39B6C86}"/>
    <cellStyle name="Normal 2 2 18 3 43" xfId="4591" xr:uid="{972784A4-390A-43DE-A9CB-E11D7413F13E}"/>
    <cellStyle name="Normal 2 2 18 3 45" xfId="4592" xr:uid="{D9DC0AFC-CFA8-4D99-9DEB-2158DA673D02}"/>
    <cellStyle name="Normal 2 2 18 3 8" xfId="4593" xr:uid="{607CBF4F-98B7-4E13-B1A5-390C35A3E296}"/>
    <cellStyle name="Normal 2 2 18 4" xfId="4594" xr:uid="{ECAA6ACA-8A06-43E7-926D-BC365DB38393}"/>
    <cellStyle name="Normal 2 2 18 4 11" xfId="4595" xr:uid="{1D3A2DC0-7246-4EC8-B945-F17BE2A3FE5C}"/>
    <cellStyle name="Normal 2 2 18 4 14" xfId="4596" xr:uid="{0E7B17A6-DE5C-4A2C-92A4-B1AD41944FA0}"/>
    <cellStyle name="Normal 2 2 18 4 16" xfId="4597" xr:uid="{023B3C30-A321-46B2-A4A1-329EC788B86B}"/>
    <cellStyle name="Normal 2 2 18 4 2" xfId="4598" xr:uid="{7F76BC61-6428-45D5-B21B-A8145A333F5E}"/>
    <cellStyle name="Normal 2 2 18 4 23" xfId="4599" xr:uid="{A4C6ED64-4B93-4B8A-9D56-FF33C6C27E39}"/>
    <cellStyle name="Normal 2 2 18 4 25" xfId="4600" xr:uid="{8E889FFE-7B5A-4CFD-92B2-35FE858F98FF}"/>
    <cellStyle name="Normal 2 2 18 4 27" xfId="4601" xr:uid="{50C30A91-C2AB-41B7-AB50-A969CDD9ACA5}"/>
    <cellStyle name="Normal 2 2 18 4 29" xfId="4602" xr:uid="{89F6E9F0-F3B8-4815-869B-9915AA2E57FA}"/>
    <cellStyle name="Normal 2 2 18 4 30" xfId="4603" xr:uid="{9FC9DCA9-A3A9-4C53-83F0-FD7EA8C3778A}"/>
    <cellStyle name="Normal 2 2 18 4 34" xfId="4604" xr:uid="{C707751D-D153-43D8-84C8-25705DC4414E}"/>
    <cellStyle name="Normal 2 2 18 4 38" xfId="4605" xr:uid="{3823B6E6-2778-4498-A3D0-B5A56CE1CE4E}"/>
    <cellStyle name="Normal 2 2 18 4 41" xfId="4606" xr:uid="{7895E1C9-765C-44BA-9E57-9BACBEC1DA1F}"/>
    <cellStyle name="Normal 2 2 18 4 45" xfId="4607" xr:uid="{190C22C2-79BB-42FA-BAF9-7D5A7BBB5C67}"/>
    <cellStyle name="Normal 2 2 18 4 6" xfId="4608" xr:uid="{F4FCD3E5-E663-4AE4-B6EB-73B8EE79DF3A}"/>
    <cellStyle name="Normal 2 2 18 4 8" xfId="4609" xr:uid="{C5CFF8F6-16F2-4D14-BCCC-AA1407F444CF}"/>
    <cellStyle name="Normal 2 2 18 5 11" xfId="4610" xr:uid="{7F4A02C1-2216-44DD-847A-CE1381AB8120}"/>
    <cellStyle name="Normal 2 2 18 5 13" xfId="4611" xr:uid="{A1393958-DFE5-4852-B9E1-551EFD3247D2}"/>
    <cellStyle name="Normal 2 2 18 5 15" xfId="4612" xr:uid="{B5319520-1DB7-4BA5-A4F8-5106F7B0879D}"/>
    <cellStyle name="Normal 2 2 18 5 17" xfId="4613" xr:uid="{8CFD482C-88FA-4615-9A5F-E6DBBDB609F1}"/>
    <cellStyle name="Normal 2 2 18 5 19" xfId="4614" xr:uid="{A6A23D58-E564-45D9-9575-B137FD749700}"/>
    <cellStyle name="Normal 2 2 18 5 20" xfId="4615" xr:uid="{2F9099F4-E257-4F2C-8EF6-33E4FE6977BA}"/>
    <cellStyle name="Normal 2 2 18 5 24" xfId="4616" xr:uid="{E86D72C0-024E-497F-8D23-DFDFB4BA61AC}"/>
    <cellStyle name="Normal 2 2 18 5 26" xfId="4617" xr:uid="{5A527C28-D9FB-49E2-865A-9290DF99FEFD}"/>
    <cellStyle name="Normal 2 2 18 5 28" xfId="4618" xr:uid="{C92DA2CC-5D49-48DB-B86F-FBE19A6E6644}"/>
    <cellStyle name="Normal 2 2 18 5 3" xfId="4619" xr:uid="{9F5AF8F8-21B4-4487-9DBF-1EE673741428}"/>
    <cellStyle name="Normal 2 2 18 5 31" xfId="4620" xr:uid="{902365C1-0723-4871-85B1-B04C70DAF6BE}"/>
    <cellStyle name="Normal 2 2 18 5 33" xfId="4621" xr:uid="{78B1BEBF-02EE-4FA0-81FF-5D213AAEDAD9}"/>
    <cellStyle name="Normal 2 2 18 5 37" xfId="4622" xr:uid="{EB7319A8-9A1D-436E-9A68-AB853C36BD00}"/>
    <cellStyle name="Normal 2 2 18 5 39" xfId="4623" xr:uid="{BB33EC1E-7583-48B1-9615-0FC3B2F87118}"/>
    <cellStyle name="Normal 2 2 18 5 40" xfId="4624" xr:uid="{DD64A34B-BEAA-46DD-A8EA-3419382E0528}"/>
    <cellStyle name="Normal 2 2 18 5 42" xfId="4625" xr:uid="{74375347-0BCF-4F25-BFF6-E5518D4F1A02}"/>
    <cellStyle name="Normal 2 2 18 5 44" xfId="4626" xr:uid="{90D12D47-4115-4615-9AAB-DBC86031F5CC}"/>
    <cellStyle name="Normal 2 2 18 5 5" xfId="4627" xr:uid="{AD54E303-E94C-4CEB-A94D-3A0CF7916714}"/>
    <cellStyle name="Normal 2 2 18 5 7" xfId="4628" xr:uid="{5196D1C6-D8B2-4831-AD04-A73B465BCACE}"/>
    <cellStyle name="Normal 2 2 18 5 9" xfId="4629" xr:uid="{A56C62FF-DA96-4ED8-8C17-4D0207B6F7DC}"/>
    <cellStyle name="Normal 2 2 18 6 10" xfId="4630" xr:uid="{E32601B3-C2FF-48D9-9E9A-D6291C0D1DC9}"/>
    <cellStyle name="Normal 2 2 18 6 12" xfId="4631" xr:uid="{8162C66D-DE71-4C8D-B2CD-E29E6A9D0F4F}"/>
    <cellStyle name="Normal 2 2 18 6 14" xfId="4632" xr:uid="{5AD1D502-5E49-4FB1-899F-7D36B9BC0626}"/>
    <cellStyle name="Normal 2 2 18 6 16" xfId="4633" xr:uid="{E79A8171-43A2-49F9-8FE4-4BB9E7D9C1CB}"/>
    <cellStyle name="Normal 2 2 18 6 18" xfId="4634" xr:uid="{3B82EBC4-A0CA-4E62-9E68-D221BF12F1B2}"/>
    <cellStyle name="Normal 2 2 18 6 2" xfId="4635" xr:uid="{58651DE7-EB57-408B-87B1-E350176DB70B}"/>
    <cellStyle name="Normal 2 2 18 6 21" xfId="4636" xr:uid="{8BB1CC7B-3585-47D5-8915-BDD45D8F148C}"/>
    <cellStyle name="Normal 2 2 18 6 23" xfId="4637" xr:uid="{6BD3860C-8125-417E-BEA2-EA95E867788C}"/>
    <cellStyle name="Normal 2 2 18 6 25" xfId="4638" xr:uid="{0BB3ED1F-7213-4D84-B090-D4083C9652DD}"/>
    <cellStyle name="Normal 2 2 18 6 27" xfId="4639" xr:uid="{97F7F808-E2D6-4D02-B770-8712E52EF5DD}"/>
    <cellStyle name="Normal 2 2 18 6 29" xfId="4640" xr:uid="{548618EC-C5BC-4853-9857-2E04AB5BCA67}"/>
    <cellStyle name="Normal 2 2 18 6 30" xfId="4641" xr:uid="{079B8D09-E08F-4415-90E7-BD7C9213A505}"/>
    <cellStyle name="Normal 2 2 18 6 34" xfId="4642" xr:uid="{A84453F0-1A61-444F-BA83-99BFA83FE417}"/>
    <cellStyle name="Normal 2 2 18 6 38" xfId="4643" xr:uid="{C9F709C4-EF5F-48B8-9E4D-793F25C567D1}"/>
    <cellStyle name="Normal 2 2 18 6 41" xfId="4644" xr:uid="{BEC1EFEA-3576-42EE-BD46-51AF2FD17698}"/>
    <cellStyle name="Normal 2 2 18 6 45" xfId="4645" xr:uid="{51D9783A-D0B2-4280-8450-53BCB08E5553}"/>
    <cellStyle name="Normal 2 2 18 6 8" xfId="4646" xr:uid="{E000C14E-B080-4513-8A77-FA3A0197C956}"/>
    <cellStyle name="Normal 2 2 18 7 11" xfId="4647" xr:uid="{32C894B1-1902-450E-A7C6-870F28A9B131}"/>
    <cellStyle name="Normal 2 2 18 7 15" xfId="4648" xr:uid="{C5FAB971-5887-410D-AAE9-3D7E4FCE5DA9}"/>
    <cellStyle name="Normal 2 2 18 7 19" xfId="4649" xr:uid="{6B94E1FC-7BAF-4FD8-B76E-E21A136EE5FD}"/>
    <cellStyle name="Normal 2 2 18 7 22" xfId="4650" xr:uid="{AD2FADA2-0D9D-48C5-9FA3-B9C98ED1DE7A}"/>
    <cellStyle name="Normal 2 2 18 7 26" xfId="4651" xr:uid="{D25E2A19-F407-4A80-96AA-19305EDADDBB}"/>
    <cellStyle name="Normal 2 2 18 7 3" xfId="4652" xr:uid="{1BBA326D-F0D6-4A05-8E7C-D65418193156}"/>
    <cellStyle name="Normal 2 2 18 7 33" xfId="4653" xr:uid="{FE3C27AF-13FD-4274-9CA8-3A64B66D1DBC}"/>
    <cellStyle name="Normal 2 2 18 7 37" xfId="4654" xr:uid="{E11D6A1A-097A-4D9D-94E8-B7CDB11EE930}"/>
    <cellStyle name="Normal 2 2 18 7 40" xfId="4655" xr:uid="{54AAA5EC-2CD9-4B7F-8FA8-9308D3F1B4FD}"/>
    <cellStyle name="Normal 2 2 18 7 44" xfId="4656" xr:uid="{850CF3A5-3849-4A16-8B7E-D84BF9555B95}"/>
    <cellStyle name="Normal 2 2 18 7 7" xfId="4657" xr:uid="{646ABA80-2B6E-44B4-8AA9-122A5D8F0C32}"/>
    <cellStyle name="Normal 2 2 18 8 2" xfId="4658" xr:uid="{DAE8CD74-00FC-444C-BDF2-B9F34E886470}"/>
    <cellStyle name="Normal 2 2 18 8 6" xfId="4659" xr:uid="{B688AF34-C0E4-44CD-8B1E-361DC975D74C}"/>
    <cellStyle name="Normal 2 2 18 9 4" xfId="4660" xr:uid="{B6FC5418-F54A-4778-8515-78098538AA31}"/>
    <cellStyle name="Normal 2 2 19 10" xfId="4661" xr:uid="{ACD138CC-412F-4663-810B-FC70C25458FE}"/>
    <cellStyle name="Normal 2 2 19 14" xfId="4662" xr:uid="{A42F017F-62B0-4CCD-BEA0-0F7E2D9ED441}"/>
    <cellStyle name="Normal 2 2 19 18" xfId="4663" xr:uid="{5597AC75-E940-4983-9DCA-DE5E928DA572}"/>
    <cellStyle name="Normal 2 2 19 21" xfId="4664" xr:uid="{C17756B4-01A0-4765-AF7A-609BE2269353}"/>
    <cellStyle name="Normal 2 2 19 25" xfId="4665" xr:uid="{19C42246-3098-4924-A674-94BC09477B0E}"/>
    <cellStyle name="Normal 2 2 19 27" xfId="4666" xr:uid="{F8D1D3B1-5EA7-45BE-976E-73F19BC03243}"/>
    <cellStyle name="Normal 2 2 19 29" xfId="4667" xr:uid="{4CAA4CB8-4962-4F27-82D4-4C9445A3D20C}"/>
    <cellStyle name="Normal 2 2 19 32" xfId="4668" xr:uid="{34146E9D-AD82-492C-B743-589EEB966ADA}"/>
    <cellStyle name="Normal 2 2 19 35" xfId="4669" xr:uid="{28E0D067-B9E8-4A1F-B697-18D5C78A1CF2}"/>
    <cellStyle name="Normal 2 2 19 37" xfId="4670" xr:uid="{200B9975-3EBA-440A-94DC-73401D57E389}"/>
    <cellStyle name="Normal 2 2 19 39" xfId="4671" xr:uid="{D132F5C6-BC8A-41E9-BBF5-5EC2C624EAA7}"/>
    <cellStyle name="Normal 2 2 19 42" xfId="4672" xr:uid="{17AA5B64-441F-44F7-AFFE-602A03E8F4D9}"/>
    <cellStyle name="Normal 2 2 19 46" xfId="4673" xr:uid="{89485599-BC61-4CAF-BA1A-87946B2A46D7}"/>
    <cellStyle name="Normal 2 2 19 8" xfId="4674" xr:uid="{0FA7E074-E77F-4711-9C0A-108745D39386}"/>
    <cellStyle name="Normal 2 2 2 10 10" xfId="4675" xr:uid="{D447C855-2BA4-4085-9D24-A5BBC8B6F8C3}"/>
    <cellStyle name="Normal 2 2 2 10 14" xfId="4676" xr:uid="{BC7D360A-8459-4DB7-8315-97E1FB76B8D0}"/>
    <cellStyle name="Normal 2 2 2 10 2 4" xfId="4677" xr:uid="{1D42F21A-1C96-4942-86AB-9B6DA48518A0}"/>
    <cellStyle name="Normal 2 2 2 10 3 2" xfId="4678" xr:uid="{227591A0-4241-4C9C-8869-74F437CD995A}"/>
    <cellStyle name="Normal 2 2 2 10 3 6" xfId="4679" xr:uid="{94061F88-3257-44B9-B25D-9114753F656B}"/>
    <cellStyle name="Normal 2 2 2 10 4 4" xfId="4680" xr:uid="{5D07764D-19EE-4C39-B2B6-AD69146C3166}"/>
    <cellStyle name="Normal 2 2 2 10 5 2" xfId="4681" xr:uid="{EDBD184B-97AF-4758-8D7A-24D8743D4F84}"/>
    <cellStyle name="Normal 2 2 2 10 5 6" xfId="4682" xr:uid="{38AF110B-AADA-4F4F-9A6D-A8D8696C98E1}"/>
    <cellStyle name="Normal 2 2 2 10 6 4" xfId="4683" xr:uid="{80F171C9-78B5-4B59-BFC4-448418C91E5C}"/>
    <cellStyle name="Normal 2 2 2 10 7 2" xfId="4684" xr:uid="{C7014E66-4749-48CF-8B32-2EAFD5095049}"/>
    <cellStyle name="Normal 2 2 2 10 7 6" xfId="4685" xr:uid="{387F447E-BCB6-43C9-A5C4-CA6EAE69851F}"/>
    <cellStyle name="Normal 2 2 2 10 8 4" xfId="4686" xr:uid="{DA2303CD-367B-4194-8C28-8D0F73C523AC}"/>
    <cellStyle name="Normal 2 2 2 11" xfId="4687" xr:uid="{4B2431EF-F45B-4644-A1F5-96DDC5D1F5EF}"/>
    <cellStyle name="Normal 2 2 2 11 13" xfId="4688" xr:uid="{C340AE4E-B66D-4CA4-9B0E-1D23F3028D95}"/>
    <cellStyle name="Normal 2 2 2 11 2 3" xfId="4689" xr:uid="{006CEB30-9414-4559-8DB1-888D6C282125}"/>
    <cellStyle name="Normal 2 2 2 11 3" xfId="4690" xr:uid="{D425D449-77BF-411D-B5C5-02A537E439E0}"/>
    <cellStyle name="Normal 2 2 2 11 3 5" xfId="4691" xr:uid="{506D9A40-4719-446A-B8B4-D384775DBFC5}"/>
    <cellStyle name="Normal 2 2 2 11 4 3" xfId="4692" xr:uid="{DAB7F84D-0CD2-4DC7-9EA9-0A30E1A2F212}"/>
    <cellStyle name="Normal 2 2 2 11 5" xfId="4693" xr:uid="{2328BF6E-9469-4180-8BDB-646A41C072AA}"/>
    <cellStyle name="Normal 2 2 2 11 5 5" xfId="4694" xr:uid="{9BE9FBA7-B305-4609-BFC0-6A9ABB0CDC77}"/>
    <cellStyle name="Normal 2 2 2 11 6 3" xfId="4695" xr:uid="{BA1F5D84-B32D-4605-8024-96394CF7FBAF}"/>
    <cellStyle name="Normal 2 2 2 11 7 2" xfId="4696" xr:uid="{C3FAE669-CCE8-44BC-B529-35BA1261EB7E}"/>
    <cellStyle name="Normal 2 2 2 11 7 6" xfId="4697" xr:uid="{B4CA4827-A0DB-429A-BA29-2D7F6EF7AC8C}"/>
    <cellStyle name="Normal 2 2 2 11 8 4" xfId="4698" xr:uid="{893306C0-7D7C-4A66-88BF-6488E02E047F}"/>
    <cellStyle name="Normal 2 2 2 12" xfId="4699" xr:uid="{F29D4817-2A53-4200-9580-D6EF14E57DEC}"/>
    <cellStyle name="Normal 2 2 2 12 13" xfId="4700" xr:uid="{CD3CF7D7-DFE8-407E-B1E5-9859996BEBC9}"/>
    <cellStyle name="Normal 2 2 2 12 17" xfId="4701" xr:uid="{8F808C1B-8596-4368-811D-6DECBF104AEB}"/>
    <cellStyle name="Normal 2 2 2 12 20" xfId="4702" xr:uid="{1949EDF3-8A8F-4E9D-9045-08388FF77060}"/>
    <cellStyle name="Normal 2 2 2 12 24" xfId="4703" xr:uid="{9CB22DDC-AB5A-4D0A-9E9F-0F111CB37E84}"/>
    <cellStyle name="Normal 2 2 2 12 28" xfId="4704" xr:uid="{32D52939-8E94-4BAB-BCB3-5365B9F66950}"/>
    <cellStyle name="Normal 2 2 2 12 31" xfId="4705" xr:uid="{42F7048F-F86F-40AB-B127-DD803C02A419}"/>
    <cellStyle name="Normal 2 2 2 12 35" xfId="4706" xr:uid="{A25F6430-4141-4044-AD8B-BA9E9666BD6A}"/>
    <cellStyle name="Normal 2 2 2 12 39" xfId="4707" xr:uid="{376F0D18-6E80-479E-A652-2054A47E256E}"/>
    <cellStyle name="Normal 2 2 2 12 42" xfId="4708" xr:uid="{766BD1C5-DB6B-4D32-8C6B-FC97E66A7CD7}"/>
    <cellStyle name="Normal 2 2 2 12 46" xfId="4709" xr:uid="{6F51E929-76EC-46D5-B969-83D5F16C7FAD}"/>
    <cellStyle name="Normal 2 2 2 12 8" xfId="4710" xr:uid="{93327CB7-F026-4C2A-95AA-95BDCE4C6DFF}"/>
    <cellStyle name="Normal 2 2 2 13 11" xfId="4711" xr:uid="{C065ABF2-0691-43C8-9809-699AA0E8904A}"/>
    <cellStyle name="Normal 2 2 2 13 15" xfId="4712" xr:uid="{ECF0EB6F-E4FE-43E1-8BAA-9070AA9C4AFD}"/>
    <cellStyle name="Normal 2 2 2 13 19" xfId="4713" xr:uid="{991F9717-505C-43A9-86F7-B98DA605E6A6}"/>
    <cellStyle name="Normal 2 2 2 13 22" xfId="4714" xr:uid="{ED940183-662C-4732-B620-2A4DB6AA7A45}"/>
    <cellStyle name="Normal 2 2 2 13 26" xfId="4715" xr:uid="{92986C9C-74DE-4135-ABD2-6244A814690C}"/>
    <cellStyle name="Normal 2 2 2 13 3" xfId="4716" xr:uid="{D13FE072-5840-4DDE-9826-4D49CEBFF804}"/>
    <cellStyle name="Normal 2 2 2 13 33" xfId="4717" xr:uid="{678C6067-3A14-4F68-8A81-453382F6322C}"/>
    <cellStyle name="Normal 2 2 2 13 37" xfId="4718" xr:uid="{E66E6114-36E1-4C6F-AE03-1A10B3C02578}"/>
    <cellStyle name="Normal 2 2 2 13 40" xfId="4719" xr:uid="{38137EDC-B485-40D8-A17A-3EBF663D89BF}"/>
    <cellStyle name="Normal 2 2 2 13 44" xfId="4720" xr:uid="{643DDADC-3884-4C4E-B1AE-29DB8ADB667A}"/>
    <cellStyle name="Normal 2 2 2 13 6" xfId="4721" xr:uid="{2A169810-1805-4C4E-890C-01268238064F}"/>
    <cellStyle name="Normal 2 2 2 14" xfId="4722" xr:uid="{6622C8AB-DB88-48FA-B4B8-E504816F0598}"/>
    <cellStyle name="Normal 2 2 2 14 13" xfId="4723" xr:uid="{BB7ED0DD-00FA-4AD2-B9EA-63F764AE651B}"/>
    <cellStyle name="Normal 2 2 2 14 17" xfId="4724" xr:uid="{166CC4FE-29B2-42E7-A4C0-81656A139A0A}"/>
    <cellStyle name="Normal 2 2 2 14 20" xfId="4725" xr:uid="{784D0689-1B66-47B4-91B1-F0806BDD9289}"/>
    <cellStyle name="Normal 2 2 2 14 24" xfId="4726" xr:uid="{16F296B6-EC61-410B-B621-BCF245148C1D}"/>
    <cellStyle name="Normal 2 2 2 14 28" xfId="4727" xr:uid="{CEAC8A96-0AE8-47AE-8589-CCEC85D15CEA}"/>
    <cellStyle name="Normal 2 2 2 14 31" xfId="4728" xr:uid="{4F282EDB-EFFE-4DE0-9477-3F5962AEF489}"/>
    <cellStyle name="Normal 2 2 2 14 35" xfId="4729" xr:uid="{61639647-654B-4D95-976F-7220588D67D3}"/>
    <cellStyle name="Normal 2 2 2 14 37" xfId="4730" xr:uid="{6B2E81F7-F113-42FD-8884-E214D4EBC8E2}"/>
    <cellStyle name="Normal 2 2 2 14 39" xfId="4731" xr:uid="{3F89919A-7DDA-4142-BFC4-3B2E930DDD85}"/>
    <cellStyle name="Normal 2 2 2 14 42" xfId="4732" xr:uid="{402B7366-52AD-4C03-9171-9CF4CFE63EDF}"/>
    <cellStyle name="Normal 2 2 2 14 46" xfId="4733" xr:uid="{35ADC060-7DD0-4024-8FE8-2C9D621DAB5F}"/>
    <cellStyle name="Normal 2 2 2 14 8" xfId="4734" xr:uid="{21C3D775-B7D2-43DC-ABEE-4E09D08E612D}"/>
    <cellStyle name="Normal 2 2 2 15 11" xfId="4735" xr:uid="{4DC1F799-9DC5-4CAC-9722-703D05BF2032}"/>
    <cellStyle name="Normal 2 2 2 15 15" xfId="4736" xr:uid="{46205C0F-5AD4-43A0-A192-5373A0DCEBFB}"/>
    <cellStyle name="Normal 2 2 2 15 19" xfId="4737" xr:uid="{E270A71A-6252-4999-BCCD-F0FF03931F99}"/>
    <cellStyle name="Normal 2 2 2 15 22" xfId="4738" xr:uid="{F021C5D5-4AD5-4E43-B046-79B9B43158DD}"/>
    <cellStyle name="Normal 2 2 2 15 26" xfId="4739" xr:uid="{D4A779E7-D9DB-4BC6-B1A3-68070A164B5E}"/>
    <cellStyle name="Normal 2 2 2 15 3" xfId="4740" xr:uid="{5EB6D58D-B004-4313-AFF5-1D8D6E812042}"/>
    <cellStyle name="Normal 2 2 2 15 33" xfId="4741" xr:uid="{841BC3C3-1A14-447B-9B05-288F0BFFD706}"/>
    <cellStyle name="Normal 2 2 2 15 37" xfId="4742" xr:uid="{6D70932D-26B0-492B-8D96-8AF9FA9D62F8}"/>
    <cellStyle name="Normal 2 2 2 15 40" xfId="4743" xr:uid="{CCAF8298-C601-4E6E-A859-18D3D1DEE775}"/>
    <cellStyle name="Normal 2 2 2 15 44" xfId="4744" xr:uid="{AEA79C0C-55DC-465F-B6B7-4E6A8B73CCE8}"/>
    <cellStyle name="Normal 2 2 2 15 6" xfId="4745" xr:uid="{33E94E81-A58D-4708-883B-2106A2D93398}"/>
    <cellStyle name="Normal 2 2 2 16" xfId="4746" xr:uid="{FF58EE7A-A677-43EE-B7C8-F9782E00D867}"/>
    <cellStyle name="Normal 2 2 2 16 13" xfId="4747" xr:uid="{4B9613CA-0BD1-4EFE-9D60-C8BD99823DDD}"/>
    <cellStyle name="Normal 2 2 2 16 17" xfId="4748" xr:uid="{1BE83F20-CFDD-43DB-B917-8B2C6C3F38A1}"/>
    <cellStyle name="Normal 2 2 2 16 20" xfId="4749" xr:uid="{61E47B47-F764-48ED-B4DC-0534BF7EDF80}"/>
    <cellStyle name="Normal 2 2 2 16 24" xfId="4750" xr:uid="{751D5567-9181-4228-8A3F-F38CE391B375}"/>
    <cellStyle name="Normal 2 2 2 16 28" xfId="4751" xr:uid="{86D0CBDA-02A1-413B-A2B8-DFEA3D42A913}"/>
    <cellStyle name="Normal 2 2 2 16 31" xfId="4752" xr:uid="{4CDFB683-3DCB-435E-9EB8-D9045AA6E2BE}"/>
    <cellStyle name="Normal 2 2 2 16 35" xfId="4753" xr:uid="{BBEADAC8-EA39-4A90-BB33-3C04067CAE88}"/>
    <cellStyle name="Normal 2 2 2 16 39" xfId="4754" xr:uid="{5A9AF462-8100-4AAC-9BA4-4EDF27EB3955}"/>
    <cellStyle name="Normal 2 2 2 16 42" xfId="4755" xr:uid="{A09946F4-D80F-49BA-A04E-0932C8943328}"/>
    <cellStyle name="Normal 2 2 2 16 46" xfId="4756" xr:uid="{5CFDF9A1-C533-43AD-A03E-7A3BDEC597BB}"/>
    <cellStyle name="Normal 2 2 2 16 8" xfId="4757" xr:uid="{E34B92AB-B4A0-40AA-A3B9-154222306364}"/>
    <cellStyle name="Normal 2 2 2 17" xfId="4758" xr:uid="{BA90BCD5-928B-4CEE-84C7-B8D8B39A3325}"/>
    <cellStyle name="Normal 2 2 2 17 10 10" xfId="4759" xr:uid="{A493EDBA-E471-4AA8-9CD5-C713F69FB455}"/>
    <cellStyle name="Normal 2 2 2 17 10 12" xfId="4760" xr:uid="{B517FE4B-6953-4D75-8AE9-533AD9B11FCD}"/>
    <cellStyle name="Normal 2 2 2 17 10 2" xfId="4761" xr:uid="{890F893F-031A-4D69-AB6A-7F0826805A11}"/>
    <cellStyle name="Normal 2 2 2 17 10 2 5" xfId="4762" xr:uid="{3AE98284-6691-42EE-B130-87D0998B9748}"/>
    <cellStyle name="Normal 2 2 2 17 10 3 3" xfId="4763" xr:uid="{65C0DF9D-5C04-49C8-8157-1F5B324FF787}"/>
    <cellStyle name="Normal 2 2 2 17 10 4" xfId="4764" xr:uid="{D26AEB5B-A49D-4B26-958D-65ABBB6C2B86}"/>
    <cellStyle name="Normal 2 2 2 17 10 4 3" xfId="4765" xr:uid="{3803770B-12FD-4243-A0A1-AD3EA233C3B5}"/>
    <cellStyle name="Normal 2 2 2 17 10 5" xfId="4766" xr:uid="{5D8369C6-1C91-47C6-9AE8-EAFDAA4A93E5}"/>
    <cellStyle name="Normal 2 2 2 17 10 5 5" xfId="4767" xr:uid="{22AF815B-7447-4B6E-B565-4E1748709197}"/>
    <cellStyle name="Normal 2 2 2 17 10 6 3" xfId="4768" xr:uid="{E3A1D062-8133-4CFD-8D1B-5B08AA3A24DC}"/>
    <cellStyle name="Normal 2 2 2 17 10 7" xfId="4769" xr:uid="{C657E61E-1807-402B-BE44-7DD5A87ED42E}"/>
    <cellStyle name="Normal 2 2 2 17 10 7 5" xfId="4770" xr:uid="{B15D29FE-C4D7-4786-A73E-34236CDD1F1C}"/>
    <cellStyle name="Normal 2 2 2 17 10 8 3" xfId="4771" xr:uid="{87F2DDA5-C0C7-48EB-A9BA-B756DD18B507}"/>
    <cellStyle name="Normal 2 2 2 17 10 9" xfId="4772" xr:uid="{B68EB3E6-C0A9-4E7D-AF4C-A7D846D3BD88}"/>
    <cellStyle name="Normal 2 2 2 17 11 12" xfId="4773" xr:uid="{9588503A-A60C-4E67-BE57-4593A0F3E697}"/>
    <cellStyle name="Normal 2 2 2 17 11 2 3" xfId="4774" xr:uid="{4187E27A-FE86-48EE-ADF1-59A6201B69C8}"/>
    <cellStyle name="Normal 2 2 2 17 11 3" xfId="4775" xr:uid="{5BB1EA00-F920-442C-BE0B-A5F77968516B}"/>
    <cellStyle name="Normal 2 2 2 17 11 3 5" xfId="4776" xr:uid="{702E7081-33FF-4B51-B9AF-B22750FC5E1A}"/>
    <cellStyle name="Normal 2 2 2 17 11 4 3" xfId="4777" xr:uid="{1677E145-C9BE-473B-9A80-8F52596B6350}"/>
    <cellStyle name="Normal 2 2 2 17 11 4 5" xfId="4778" xr:uid="{FC5F10A8-3FB7-4CE7-8CD0-628754F5AC06}"/>
    <cellStyle name="Normal 2 2 2 17 11 5" xfId="4779" xr:uid="{86D07A36-8190-47D1-8F0B-0E9DC710B90E}"/>
    <cellStyle name="Normal 2 2 2 17 11 5 3" xfId="4780" xr:uid="{C897F00D-3340-43EA-B31B-F6AD97BC169B}"/>
    <cellStyle name="Normal 2 2 2 17 11 5 5" xfId="4781" xr:uid="{63055C59-693A-4C4A-8BD8-DA42ECFCED6F}"/>
    <cellStyle name="Normal 2 2 2 17 11 6" xfId="4782" xr:uid="{51E0A6ED-6942-466D-A8E1-4A8DD274C582}"/>
    <cellStyle name="Normal 2 2 2 17 11 6 5" xfId="4783" xr:uid="{3F50453C-F497-47DB-98DD-D14A19240D4F}"/>
    <cellStyle name="Normal 2 2 2 17 11 7 3" xfId="4784" xr:uid="{86FD5A11-D893-4AAE-8B68-8A4F36806A16}"/>
    <cellStyle name="Normal 2 2 2 17 11 8" xfId="4785" xr:uid="{561CF93D-B5CC-4FD5-B373-33207D715739}"/>
    <cellStyle name="Normal 2 2 2 17 11 8 5" xfId="4786" xr:uid="{12182827-37DB-43B3-B563-B184A2ACF203}"/>
    <cellStyle name="Normal 2 2 2 17 13" xfId="4787" xr:uid="{BCEB5312-3B4A-4F5A-9B8B-543D42F6D1CB}"/>
    <cellStyle name="Normal 2 2 2 17 17" xfId="4788" xr:uid="{FA1A034C-0CD1-4E65-B9C6-4A830B741CC9}"/>
    <cellStyle name="Normal 2 2 2 17 19" xfId="4789" xr:uid="{785B3DEB-38BD-4044-A87C-19AD41C4435D}"/>
    <cellStyle name="Normal 2 2 2 17 2 10" xfId="4790" xr:uid="{DBD1A9D3-D364-466C-AD87-9F8052E9A3BB}"/>
    <cellStyle name="Normal 2 2 2 17 2 12" xfId="4791" xr:uid="{11A51AE2-0580-4348-9BAD-272B471A4C4F}"/>
    <cellStyle name="Normal 2 2 2 17 2 2 2" xfId="4792" xr:uid="{2954B0F2-24A4-48B7-9E96-05E1365DC812}"/>
    <cellStyle name="Normal 2 2 2 17 2 2 6" xfId="4793" xr:uid="{879EC4A9-7F30-4E1E-99BA-26E054D89C1F}"/>
    <cellStyle name="Normal 2 2 2 17 2 3 4" xfId="4794" xr:uid="{7FD8CC3D-7145-4134-B64A-168A6E07D6FA}"/>
    <cellStyle name="Normal 2 2 2 17 2 4 2" xfId="4795" xr:uid="{1CEE91EE-13D4-4E75-89A3-4F1C2FB367FC}"/>
    <cellStyle name="Normal 2 2 2 17 2 4 6" xfId="4796" xr:uid="{BF4FDF52-339B-49AD-AC47-6C9643F82AF8}"/>
    <cellStyle name="Normal 2 2 2 17 2 5 4" xfId="4797" xr:uid="{655B1AB8-2AEF-4A66-9CFE-2DEAC3FF5616}"/>
    <cellStyle name="Normal 2 2 2 17 2 6 2" xfId="4798" xr:uid="{D7AE7BD3-4746-4990-BB23-362EEA81D17C}"/>
    <cellStyle name="Normal 2 2 2 17 2 6 6" xfId="4799" xr:uid="{8DC2163D-83CD-4E65-9B20-2AABC1D1A266}"/>
    <cellStyle name="Normal 2 2 2 17 2 7 4" xfId="4800" xr:uid="{80435326-C7EB-45F1-935A-D3403990A329}"/>
    <cellStyle name="Normal 2 2 2 17 2 8 2" xfId="4801" xr:uid="{B4A61908-77CC-4590-BDDE-29F8B19D1D87}"/>
    <cellStyle name="Normal 2 2 2 17 2 8 6" xfId="4802" xr:uid="{DD7E1E60-AAB0-4CB4-8AA9-75784D91FEFC}"/>
    <cellStyle name="Normal 2 2 2 17 22" xfId="4803" xr:uid="{8E05FB69-3D72-4842-899E-FE390699C3C0}"/>
    <cellStyle name="Normal 2 2 2 17 26" xfId="4804" xr:uid="{59C04018-171E-432C-B1E4-CBB2716A9BAE}"/>
    <cellStyle name="Normal 2 2 2 17 3" xfId="4805" xr:uid="{05749724-8152-4C2F-8F68-6F0B4BDC0782}"/>
    <cellStyle name="Normal 2 2 2 17 3 13" xfId="4806" xr:uid="{FE365580-5E6E-473B-88D3-E3171BFC27EE}"/>
    <cellStyle name="Normal 2 2 2 17 3 2 4" xfId="4807" xr:uid="{AFF69D51-2A9D-49B2-82D0-F5E5AD08B6D6}"/>
    <cellStyle name="Normal 2 2 2 17 3 3 2" xfId="4808" xr:uid="{057E0440-180C-4CAF-9369-16BCA300300D}"/>
    <cellStyle name="Normal 2 2 2 17 3 3 6" xfId="4809" xr:uid="{37D187DB-43E1-46F9-8E43-EFD002B79894}"/>
    <cellStyle name="Normal 2 2 2 17 3 4 4" xfId="4810" xr:uid="{6E6EE6FC-2A43-4FF1-A330-888C4D8E7B06}"/>
    <cellStyle name="Normal 2 2 2 17 3 5 2" xfId="4811" xr:uid="{0C33D33F-A608-4653-8C05-82A5FC8CDF41}"/>
    <cellStyle name="Normal 2 2 2 17 3 5 6" xfId="4812" xr:uid="{3C0CA855-2ABA-4C8A-BE31-EB53F5C39896}"/>
    <cellStyle name="Normal 2 2 2 17 3 6 4" xfId="4813" xr:uid="{FF705DFB-7685-4C74-B2E8-D7F45BCEFD1B}"/>
    <cellStyle name="Normal 2 2 2 17 3 7 2" xfId="4814" xr:uid="{824A51E4-B8EE-416A-8C19-5889C0286209}"/>
    <cellStyle name="Normal 2 2 2 17 3 7 6" xfId="4815" xr:uid="{FF5CB537-2510-4F90-BA5F-5C0A22A425D6}"/>
    <cellStyle name="Normal 2 2 2 17 3 8 4" xfId="4816" xr:uid="{99D5CA0C-1093-47BF-9783-FDA7A09251B4}"/>
    <cellStyle name="Normal 2 2 2 17 30" xfId="4817" xr:uid="{8C9E40FF-341A-4497-A011-F296D028C5C1}"/>
    <cellStyle name="Normal 2 2 2 17 34" xfId="4818" xr:uid="{FC112A2F-C9B4-46FD-BF41-A8976AD00A95}"/>
    <cellStyle name="Normal 2 2 2 17 38" xfId="4819" xr:uid="{A8628487-90EF-4B6F-88DE-D92EC5C7F23A}"/>
    <cellStyle name="Normal 2 2 2 17 4 11" xfId="4820" xr:uid="{D082D3DC-A75F-4905-A79B-5CB1D388863F}"/>
    <cellStyle name="Normal 2 2 2 17 4 2 2" xfId="4821" xr:uid="{2B325A0D-4A48-4BDA-861A-8E0A93BF8B69}"/>
    <cellStyle name="Normal 2 2 2 17 4 2 6" xfId="4822" xr:uid="{6E0FEB6C-85F8-4C77-BA87-535D5C3AD4DF}"/>
    <cellStyle name="Normal 2 2 2 17 4 3 2" xfId="4823" xr:uid="{874FDB6F-082A-4C26-91DD-47A7ADD63FA0}"/>
    <cellStyle name="Normal 2 2 2 17 4 3 4" xfId="4824" xr:uid="{4008B992-E7A1-4346-9B85-8732F1960B2D}"/>
    <cellStyle name="Normal 2 2 2 17 4 3 6" xfId="4825" xr:uid="{C4DF648B-2B47-47BB-B07C-8D3E97EB4798}"/>
    <cellStyle name="Normal 2 2 2 17 4 4 2" xfId="4826" xr:uid="{D9A8ED64-6862-42AB-8582-BB3E5F3B882C}"/>
    <cellStyle name="Normal 2 2 2 17 4 4 4" xfId="4827" xr:uid="{C0C6A69E-85DD-43FC-945C-C82DC99384BB}"/>
    <cellStyle name="Normal 2 2 2 17 4 4 6" xfId="4828" xr:uid="{D3CC6259-94CC-4C15-B11C-88765BBF16BE}"/>
    <cellStyle name="Normal 2 2 2 17 4 5 2" xfId="4829" xr:uid="{62390EA3-5B3D-4186-ABE5-15564F04A2D9}"/>
    <cellStyle name="Normal 2 2 2 17 4 5 4" xfId="4830" xr:uid="{B77874C9-2F24-4799-9096-47A5F203A3CA}"/>
    <cellStyle name="Normal 2 2 2 17 4 5 6" xfId="4831" xr:uid="{F4016AD7-9EE9-43BF-84EA-1BC7101F1FC0}"/>
    <cellStyle name="Normal 2 2 2 17 4 6 2" xfId="4832" xr:uid="{37E1E5BE-CDA8-4195-BF3F-44D7C9115544}"/>
    <cellStyle name="Normal 2 2 2 17 4 6 4" xfId="4833" xr:uid="{F55C4ED4-58B3-410C-BD52-1BE0E0C6815E}"/>
    <cellStyle name="Normal 2 2 2 17 4 6 6" xfId="4834" xr:uid="{205E4A53-547B-454C-A7F1-5D3C1894ECE2}"/>
    <cellStyle name="Normal 2 2 2 17 4 7 2" xfId="4835" xr:uid="{BE452474-1D25-4EF1-8513-058199293028}"/>
    <cellStyle name="Normal 2 2 2 17 4 7 4" xfId="4836" xr:uid="{ECCF80B9-D174-418C-BD52-FAF98282332B}"/>
    <cellStyle name="Normal 2 2 2 17 4 7 6" xfId="4837" xr:uid="{60863243-EF53-4A4A-B7CF-A356CAB62D19}"/>
    <cellStyle name="Normal 2 2 2 17 4 8 2" xfId="4838" xr:uid="{555AFBC6-28B8-4196-B057-C32ED89D8D6D}"/>
    <cellStyle name="Normal 2 2 2 17 4 8 4" xfId="4839" xr:uid="{08E62A13-A2C7-44C6-879D-48B80774F7AD}"/>
    <cellStyle name="Normal 2 2 2 17 4 8 6" xfId="4840" xr:uid="{02CBAED5-4974-422B-8398-B053E0BB6296}"/>
    <cellStyle name="Normal 2 2 2 17 40" xfId="4841" xr:uid="{6D911152-5ABE-4181-AFC9-DB334321B819}"/>
    <cellStyle name="Normal 2 2 2 17 42" xfId="4842" xr:uid="{9AEC97FB-F2DD-41FE-938D-F52B06A587C1}"/>
    <cellStyle name="Normal 2 2 2 17 44" xfId="4843" xr:uid="{9D640259-152A-42E6-BECD-7E3578AB3766}"/>
    <cellStyle name="Normal 2 2 2 17 46" xfId="4844" xr:uid="{27B276F0-01A8-4122-8DBB-16F1BE2CEEC2}"/>
    <cellStyle name="Normal 2 2 2 17 48" xfId="4845" xr:uid="{147C872C-F669-4C4C-8876-D3C9D0EB73F5}"/>
    <cellStyle name="Normal 2 2 2 17 5 10" xfId="4846" xr:uid="{F7DE4AC4-1F22-409C-8AD1-B357E0B421CD}"/>
    <cellStyle name="Normal 2 2 2 17 5 12" xfId="4847" xr:uid="{413715FE-B08C-4E4B-A7C7-5DF7FF918076}"/>
    <cellStyle name="Normal 2 2 2 17 5 2" xfId="4848" xr:uid="{E41EFD0F-693C-4CCC-BDC1-F14B6EDCE68C}"/>
    <cellStyle name="Normal 2 2 2 17 5 2 3" xfId="4849" xr:uid="{861D3BB5-4996-4963-A64D-DC58F0D5AB6B}"/>
    <cellStyle name="Normal 2 2 2 17 5 2 5" xfId="4850" xr:uid="{AA22BB0F-514F-4B8E-B4AC-9DE16F99D849}"/>
    <cellStyle name="Normal 2 2 2 17 5 2 6" xfId="4851" xr:uid="{F00B32B0-639E-4A3E-BCE5-FD2BBC9709BB}"/>
    <cellStyle name="Normal 2 2 2 17 5 3" xfId="4852" xr:uid="{97B78ABB-F725-4058-9FD3-8B1A0E145928}"/>
    <cellStyle name="Normal 2 2 2 17 5 3 2" xfId="4853" xr:uid="{35234A00-C2EC-46B6-92B7-A37A89BFADB3}"/>
    <cellStyle name="Normal 2 2 2 17 5 3 3" xfId="4854" xr:uid="{FD487A81-61DA-4A11-BCDF-8AD78AC592FF}"/>
    <cellStyle name="Normal 2 2 2 17 5 3 5" xfId="4855" xr:uid="{D0904CB2-2063-4D7E-A02B-4DA5D9080C88}"/>
    <cellStyle name="Normal 2 2 2 17 5 3 6" xfId="4856" xr:uid="{2DF8B06E-23FF-47E2-AF38-8C1512BB28FB}"/>
    <cellStyle name="Normal 2 2 2 17 5 4" xfId="4857" xr:uid="{E67D06A1-332B-487C-9A9E-1DCA555082C1}"/>
    <cellStyle name="Normal 2 2 2 17 5 4 2" xfId="4858" xr:uid="{FDDA7987-FF10-40B7-9309-B19EAB1A90C0}"/>
    <cellStyle name="Normal 2 2 2 17 5 4 3" xfId="4859" xr:uid="{A32A6269-A751-497C-9202-A779D008A54D}"/>
    <cellStyle name="Normal 2 2 2 17 5 4 4" xfId="4860" xr:uid="{B963F71D-B73A-4EC9-999F-2AF8B4F66764}"/>
    <cellStyle name="Normal 2 2 2 17 5 5" xfId="4861" xr:uid="{CE7D10C6-6E07-40CD-9654-4EA19B2CD2D5}"/>
    <cellStyle name="Normal 2 2 2 17 5 5 2" xfId="4862" xr:uid="{A05722E3-987C-441D-B472-5E43D1F3B850}"/>
    <cellStyle name="Normal 2 2 2 17 5 5 3" xfId="4863" xr:uid="{C03CF0E2-84C6-4FB5-8787-BFE22FFF78C5}"/>
    <cellStyle name="Normal 2 2 2 17 5 5 4" xfId="4864" xr:uid="{2E54F1D5-28E9-453D-A124-079E448BB446}"/>
    <cellStyle name="Normal 2 2 2 17 5 5 5" xfId="4865" xr:uid="{797977F0-8886-485F-BCBE-4FB2CAEAD799}"/>
    <cellStyle name="Normal 2 2 2 17 5 5 6" xfId="4866" xr:uid="{987E7A2A-27FB-4BEB-8A63-3CA7746D1665}"/>
    <cellStyle name="Normal 2 2 2 17 5 6 2" xfId="4867" xr:uid="{1A724E18-C26C-42F5-99FF-EE98AFD93D64}"/>
    <cellStyle name="Normal 2 2 2 17 5 6 3" xfId="4868" xr:uid="{BB5264D3-9C42-4982-A968-127958F781DB}"/>
    <cellStyle name="Normal 2 2 2 17 5 6 4" xfId="4869" xr:uid="{178472A0-2701-4DC7-A559-580356BC5CBA}"/>
    <cellStyle name="Normal 2 2 2 17 5 6 5" xfId="4870" xr:uid="{802E78DA-8A90-4046-A423-FCC2B122A1A7}"/>
    <cellStyle name="Normal 2 2 2 17 5 6 6" xfId="4871" xr:uid="{9392A24E-4F17-46D1-A2D4-51C35A173083}"/>
    <cellStyle name="Normal 2 2 2 17 5 7" xfId="4872" xr:uid="{D56CEAD9-C9BC-455C-8CAB-D0C857E11A87}"/>
    <cellStyle name="Normal 2 2 2 17 5 7 2" xfId="4873" xr:uid="{9554AA74-B1F1-4480-9545-B4A078EA4D35}"/>
    <cellStyle name="Normal 2 2 2 17 5 7 3" xfId="4874" xr:uid="{1D5E5EBD-5A79-45D6-9B42-8BD5F7E876B1}"/>
    <cellStyle name="Normal 2 2 2 17 5 7 4" xfId="4875" xr:uid="{74A20316-DEF0-4392-A843-6E860110572E}"/>
    <cellStyle name="Normal 2 2 2 17 5 7 5" xfId="4876" xr:uid="{5E0B3D1D-DB69-48B8-8684-DAE4EC5973FD}"/>
    <cellStyle name="Normal 2 2 2 17 5 8" xfId="4877" xr:uid="{C2917F8F-01C5-4771-B55F-E3AD2FBC9CD9}"/>
    <cellStyle name="Normal 2 2 2 17 5 8 3" xfId="4878" xr:uid="{7D36FEBF-C8CA-4F7C-BA02-E283B75CBC63}"/>
    <cellStyle name="Normal 2 2 2 17 5 8 4" xfId="4879" xr:uid="{3F02744F-8948-41F0-B50F-38FDB651298E}"/>
    <cellStyle name="Normal 2 2 2 17 5 8 6" xfId="4880" xr:uid="{DD991F1D-A680-4EA1-BFF6-69245A2E4D01}"/>
    <cellStyle name="Normal 2 2 2 17 6" xfId="4881" xr:uid="{ED375BD8-6D05-4D5A-81C7-EC8C92AFF8E8}"/>
    <cellStyle name="Normal 2 2 2 17 6 10" xfId="4882" xr:uid="{465EF2EF-CA0C-46FC-AFD4-B805A6FCC8A0}"/>
    <cellStyle name="Normal 2 2 2 17 6 11" xfId="4883" xr:uid="{53BBB1B4-28D0-4183-A674-0A72DD236CEE}"/>
    <cellStyle name="Normal 2 2 2 17 6 12" xfId="4884" xr:uid="{FEE03B78-8209-451E-AD0A-257B37248AA2}"/>
    <cellStyle name="Normal 2 2 2 17 6 13" xfId="4885" xr:uid="{21D30113-C98B-4FA1-97F0-0AB0715B618D}"/>
    <cellStyle name="Normal 2 2 2 17 6 2" xfId="4886" xr:uid="{41C064D3-B1A0-4C34-8C76-B9895BAEE15F}"/>
    <cellStyle name="Normal 2 2 2 17 6 2 2" xfId="4887" xr:uid="{11E370E4-254E-4E58-AF3C-A84A2C0F6B9B}"/>
    <cellStyle name="Normal 2 2 2 17 6 2 3" xfId="4888" xr:uid="{795FDB57-C75B-4F9A-A564-F374172F2D4C}"/>
    <cellStyle name="Normal 2 2 2 17 6 2 4" xfId="4889" xr:uid="{F3CBD760-9154-4534-B8E5-ECE84130AC79}"/>
    <cellStyle name="Normal 2 2 2 17 6 2 5" xfId="4890" xr:uid="{8338D0F4-D7C6-4F7B-938E-BDB290060091}"/>
    <cellStyle name="Normal 2 2 2 17 6 2 6" xfId="4891" xr:uid="{C8354D64-B647-4AFE-8AF1-8CC3054A857C}"/>
    <cellStyle name="Normal 2 2 2 17 6 3" xfId="4892" xr:uid="{17CD208F-A44D-4F57-B9A8-A487A72752D6}"/>
    <cellStyle name="Normal 2 2 2 17 6 3 2" xfId="4893" xr:uid="{3678ACAA-C0D8-4D81-A334-64A98F9E7E41}"/>
    <cellStyle name="Normal 2 2 2 17 6 3 3" xfId="4894" xr:uid="{63CF4773-AAED-44CD-89D5-516AD2F2E3E8}"/>
    <cellStyle name="Normal 2 2 2 17 6 3 4" xfId="4895" xr:uid="{43955BBA-391E-426F-AEA3-907E045BBB50}"/>
    <cellStyle name="Normal 2 2 2 17 6 3 5" xfId="4896" xr:uid="{6E8D1EC3-3190-4069-B629-5C91893CCD25}"/>
    <cellStyle name="Normal 2 2 2 17 6 3 6" xfId="4897" xr:uid="{9D31BAA7-7AFC-4E45-8974-3D91F735266F}"/>
    <cellStyle name="Normal 2 2 2 17 6 4 2" xfId="4898" xr:uid="{BF39E7A2-9091-4814-9F5F-8E38E9431594}"/>
    <cellStyle name="Normal 2 2 2 17 6 4 3" xfId="4899" xr:uid="{C34953F5-8F74-423B-8DBA-1A3844BB1F48}"/>
    <cellStyle name="Normal 2 2 2 17 6 4 4" xfId="4900" xr:uid="{B721BF27-278E-4DD4-AF06-E6C233F3691F}"/>
    <cellStyle name="Normal 2 2 2 17 6 4 5" xfId="4901" xr:uid="{F9555CD7-AA99-4929-80DD-ED8EDD3F5591}"/>
    <cellStyle name="Normal 2 2 2 17 6 4 6" xfId="4902" xr:uid="{DE36413F-82B6-4A46-B87F-F4F8D4582587}"/>
    <cellStyle name="Normal 2 2 2 17 6 5 2" xfId="4903" xr:uid="{24A551EF-1483-429A-AB74-752BD0F3DD26}"/>
    <cellStyle name="Normal 2 2 2 17 6 5 3" xfId="4904" xr:uid="{39BCD024-2D94-4588-B3CD-1C102433CCD7}"/>
    <cellStyle name="Normal 2 2 2 17 6 5 4" xfId="4905" xr:uid="{EE032118-A864-4CF9-BEE1-9E7CFD34D30D}"/>
    <cellStyle name="Normal 2 2 2 17 6 5 5" xfId="4906" xr:uid="{E63FCDCA-A8CF-4012-A53B-13F2C49DBDA1}"/>
    <cellStyle name="Normal 2 2 2 17 6 5 6" xfId="4907" xr:uid="{847FB47E-AFAE-4B82-9E74-77486DE6450A}"/>
    <cellStyle name="Normal 2 2 2 17 6 6" xfId="4908" xr:uid="{FC1D1E5C-C363-4892-BA51-64AAC035C4DE}"/>
    <cellStyle name="Normal 2 2 2 17 6 6 3" xfId="4909" xr:uid="{F6FCE153-662B-4ED2-84C6-A304E0F815C8}"/>
    <cellStyle name="Normal 2 2 2 17 6 6 4" xfId="4910" xr:uid="{A2AEC59F-F731-4492-8081-AE819C30D2B6}"/>
    <cellStyle name="Normal 2 2 2 17 6 6 5" xfId="4911" xr:uid="{C542E0C6-D9E0-4B4F-8F76-5AB1F9EEF473}"/>
    <cellStyle name="Normal 2 2 2 17 6 6 6" xfId="4912" xr:uid="{A9E017D0-60D0-4391-B4F4-F85493077559}"/>
    <cellStyle name="Normal 2 2 2 17 6 7" xfId="4913" xr:uid="{9CADC506-A910-4890-BB34-F0BF39E00668}"/>
    <cellStyle name="Normal 2 2 2 17 6 7 2" xfId="4914" xr:uid="{BFB41B04-A829-4294-97D2-E40822BAC6FD}"/>
    <cellStyle name="Normal 2 2 2 17 6 7 4" xfId="4915" xr:uid="{8720C806-7750-401D-86A8-AC8F53A3213C}"/>
    <cellStyle name="Normal 2 2 2 17 6 7 5" xfId="4916" xr:uid="{868D325D-DD30-4882-9D94-FA80B6CD4640}"/>
    <cellStyle name="Normal 2 2 2 17 6 7 6" xfId="4917" xr:uid="{C08C0AEE-8058-4AA3-A72F-9C04722D161F}"/>
    <cellStyle name="Normal 2 2 2 17 6 8" xfId="4918" xr:uid="{CC41E770-999C-49F1-B767-E05A9C879EC2}"/>
    <cellStyle name="Normal 2 2 2 17 6 8 2" xfId="4919" xr:uid="{1F0A0FF4-79FF-46FB-8A93-3CC0A4213DFF}"/>
    <cellStyle name="Normal 2 2 2 17 6 8 3" xfId="4920" xr:uid="{2DEBDB65-B74C-443B-BA1E-B68E81E53CDA}"/>
    <cellStyle name="Normal 2 2 2 17 6 8 4" xfId="4921" xr:uid="{F2BD105A-6B9D-429E-A55E-9A9916BDE819}"/>
    <cellStyle name="Normal 2 2 2 17 6 8 5" xfId="4922" xr:uid="{CC41448C-B090-477B-8F6F-F56B39804355}"/>
    <cellStyle name="Normal 2 2 2 17 6 8 6" xfId="4923" xr:uid="{D77D6C77-AD8D-4040-A258-7A753E113EBB}"/>
    <cellStyle name="Normal 2 2 2 17 6 9" xfId="4924" xr:uid="{E790055D-F645-4749-BD02-48EFDF717AA4}"/>
    <cellStyle name="Normal 2 2 2 17 7" xfId="4925" xr:uid="{64E19D82-EE68-49FF-9F1F-13795B203A76}"/>
    <cellStyle name="Normal 2 2 2 17 7 10" xfId="4926" xr:uid="{AA2B5EDF-C1D5-4F68-835F-87A1AC468CF7}"/>
    <cellStyle name="Normal 2 2 2 17 7 11" xfId="4927" xr:uid="{00844398-37FC-4F25-B448-1DB36C43D961}"/>
    <cellStyle name="Normal 2 2 2 17 7 12" xfId="4928" xr:uid="{30C4A697-5342-4979-A643-19858DF4024D}"/>
    <cellStyle name="Normal 2 2 2 17 7 13" xfId="4929" xr:uid="{A1CF3CE3-00E2-46D2-BABA-ECA225CC0984}"/>
    <cellStyle name="Normal 2 2 2 17 7 2" xfId="4930" xr:uid="{A64C5580-BCEF-4F35-9C8A-B04FA1B74F47}"/>
    <cellStyle name="Normal 2 2 2 17 7 2 2" xfId="4931" xr:uid="{1647F44D-BEA7-41BE-9F6D-7647843C4D5B}"/>
    <cellStyle name="Normal 2 2 2 17 7 2 3" xfId="4932" xr:uid="{81360ED9-099C-4959-BAFF-74D49C97253C}"/>
    <cellStyle name="Normal 2 2 2 17 7 2 4" xfId="4933" xr:uid="{C50C3B6E-6108-4D8A-AD51-F9F1B1ACFD15}"/>
    <cellStyle name="Normal 2 2 2 17 7 2 5" xfId="4934" xr:uid="{3A37A2C6-6B89-46E5-8F0A-47972A34387B}"/>
    <cellStyle name="Normal 2 2 2 17 7 2 6" xfId="4935" xr:uid="{11B546EC-8FBC-4CE3-A734-C00C88915F54}"/>
    <cellStyle name="Normal 2 2 2 17 7 3" xfId="4936" xr:uid="{5406D840-51F9-42D7-A782-87EC0719D5FC}"/>
    <cellStyle name="Normal 2 2 2 17 7 3 2" xfId="4937" xr:uid="{0AB705D2-4600-4D96-A3AB-2284C46260A8}"/>
    <cellStyle name="Normal 2 2 2 17 7 3 3" xfId="4938" xr:uid="{4CFB398F-BF13-40F3-AAA0-DDDEBA909D5A}"/>
    <cellStyle name="Normal 2 2 2 17 7 3 4" xfId="4939" xr:uid="{EE41DF0E-C57E-4526-ABA1-AC60BBCB26D6}"/>
    <cellStyle name="Normal 2 2 2 17 7 3 5" xfId="4940" xr:uid="{9118D8C5-6E4A-4E38-BAB8-595D08C68283}"/>
    <cellStyle name="Normal 2 2 2 17 7 3 6" xfId="4941" xr:uid="{CFBA44F4-EE91-49CE-993D-F9A8C0F8A080}"/>
    <cellStyle name="Normal 2 2 2 17 7 4" xfId="4942" xr:uid="{E7DB1CE4-DDC4-4736-AE35-9A730BFBE7B8}"/>
    <cellStyle name="Normal 2 2 2 17 7 4 2" xfId="4943" xr:uid="{F79D60E4-9789-435C-8FA8-06F0F6AB13ED}"/>
    <cellStyle name="Normal 2 2 2 17 7 4 3" xfId="4944" xr:uid="{8DFC0BDF-5423-4303-9061-4C5498D97892}"/>
    <cellStyle name="Normal 2 2 2 17 7 4 4" xfId="4945" xr:uid="{2DA3BC50-8AC4-420B-9C65-E628695F942C}"/>
    <cellStyle name="Normal 2 2 2 17 7 4 5" xfId="4946" xr:uid="{A18BB8B1-B6C6-4ADC-BAF2-D3D5081C7AFD}"/>
    <cellStyle name="Normal 2 2 2 17 7 4 6" xfId="4947" xr:uid="{525801DB-BED5-4FAE-BD8D-4EC40D60D7A4}"/>
    <cellStyle name="Normal 2 2 2 17 7 5" xfId="4948" xr:uid="{F220FED8-E003-48D3-8D9A-216157A14583}"/>
    <cellStyle name="Normal 2 2 2 17 7 5 2" xfId="4949" xr:uid="{FC5A05F8-5423-400D-A6DF-085817F16D90}"/>
    <cellStyle name="Normal 2 2 2 17 7 5 3" xfId="4950" xr:uid="{17309A0B-9C72-4B72-973C-8AF36AF33C5E}"/>
    <cellStyle name="Normal 2 2 2 17 7 5 4" xfId="4951" xr:uid="{424E0BC4-D78B-4A13-B80C-9EC695174490}"/>
    <cellStyle name="Normal 2 2 2 17 7 5 5" xfId="4952" xr:uid="{AC13BB95-5F95-4AC8-AEC5-C06FE2C8E827}"/>
    <cellStyle name="Normal 2 2 2 17 7 5 6" xfId="4953" xr:uid="{11DAEE6B-78ED-44C2-BC33-D77AE0533749}"/>
    <cellStyle name="Normal 2 2 2 17 7 6" xfId="4954" xr:uid="{7A587BF4-4B18-42DD-B8AE-1CFAE986A0E9}"/>
    <cellStyle name="Normal 2 2 2 17 7 6 2" xfId="4955" xr:uid="{57B550F7-B2EC-4F13-91B5-C72B1DD1B0F4}"/>
    <cellStyle name="Normal 2 2 2 17 7 6 3" xfId="4956" xr:uid="{5951CF67-2E0C-4BE7-AE28-EF6C9A37084B}"/>
    <cellStyle name="Normal 2 2 2 17 7 6 4" xfId="4957" xr:uid="{5976E0E1-A259-4949-90BA-AD932B223322}"/>
    <cellStyle name="Normal 2 2 2 17 7 6 5" xfId="4958" xr:uid="{0F831A4F-192C-4A0B-9576-B6FEA16BC7D4}"/>
    <cellStyle name="Normal 2 2 2 17 7 6 6" xfId="4959" xr:uid="{0896567E-902D-4574-A021-6EC70A75E729}"/>
    <cellStyle name="Normal 2 2 2 17 7 7" xfId="4960" xr:uid="{4BF1C635-A639-4ECD-9253-085A0CED3B8D}"/>
    <cellStyle name="Normal 2 2 2 17 7 7 2" xfId="4961" xr:uid="{E7288298-3BA5-4059-A39C-7056FD2ED279}"/>
    <cellStyle name="Normal 2 2 2 17 7 7 3" xfId="4962" xr:uid="{AF90765F-6F9A-4B8D-83F2-1A5FA9619E31}"/>
    <cellStyle name="Normal 2 2 2 17 7 7 4" xfId="4963" xr:uid="{35C1F8EA-88A6-401A-89E7-4CF1D32D4ACC}"/>
    <cellStyle name="Normal 2 2 2 17 7 7 5" xfId="4964" xr:uid="{2F24C65A-421B-457D-9387-C658929EFCD0}"/>
    <cellStyle name="Normal 2 2 2 17 7 7 6" xfId="4965" xr:uid="{23393751-BBFE-4E8C-8900-0FCA7FE651FE}"/>
    <cellStyle name="Normal 2 2 2 17 7 8" xfId="4966" xr:uid="{F4E4F22F-5A98-48B0-A271-4FF3B76E364D}"/>
    <cellStyle name="Normal 2 2 2 17 7 8 2" xfId="4967" xr:uid="{D12335A3-A926-4504-9873-51F9131163A9}"/>
    <cellStyle name="Normal 2 2 2 17 7 8 3" xfId="4968" xr:uid="{56CA1662-4D1B-49E9-9F22-F47D2C5AF697}"/>
    <cellStyle name="Normal 2 2 2 17 7 8 4" xfId="4969" xr:uid="{D8DFD46B-1801-4753-A024-A2EEC8357B4B}"/>
    <cellStyle name="Normal 2 2 2 17 7 8 5" xfId="4970" xr:uid="{952E3E80-CBE3-4830-86D5-F32FADEB36D6}"/>
    <cellStyle name="Normal 2 2 2 17 7 8 6" xfId="4971" xr:uid="{31ED7A9D-973E-4AE1-B5E3-EBFB38171C60}"/>
    <cellStyle name="Normal 2 2 2 17 7 9" xfId="4972" xr:uid="{C3C3AE81-9246-4B63-90BB-AB610F3A650D}"/>
    <cellStyle name="Normal 2 2 2 17 8" xfId="4973" xr:uid="{FDF02205-A292-4082-88B4-CFA2AAA5EC5C}"/>
    <cellStyle name="Normal 2 2 2 17 8 10" xfId="4974" xr:uid="{C27FC436-E466-4CFE-B660-AC8BCED6E9AE}"/>
    <cellStyle name="Normal 2 2 2 17 8 11" xfId="4975" xr:uid="{93284FEF-7892-4A22-8418-FB62D29CE229}"/>
    <cellStyle name="Normal 2 2 2 17 8 12" xfId="4976" xr:uid="{FE3A3CDB-F89B-412E-A4C9-8B5D7D295962}"/>
    <cellStyle name="Normal 2 2 2 17 8 13" xfId="4977" xr:uid="{C5EC1460-A144-4FDE-BBC8-A3556507ED97}"/>
    <cellStyle name="Normal 2 2 2 17 8 2" xfId="4978" xr:uid="{E7D97D77-6EF5-4F83-B46E-2C69B4A60372}"/>
    <cellStyle name="Normal 2 2 2 17 8 2 2" xfId="4979" xr:uid="{D85BBFCB-8504-4261-ADB4-847B672B8B04}"/>
    <cellStyle name="Normal 2 2 2 17 8 2 3" xfId="4980" xr:uid="{EE4C04E9-CF10-46AC-B7E6-B5C830412605}"/>
    <cellStyle name="Normal 2 2 2 17 8 2 4" xfId="4981" xr:uid="{F129F510-95B8-416D-8855-4146CDD4DED5}"/>
    <cellStyle name="Normal 2 2 2 17 8 2 5" xfId="4982" xr:uid="{A453A53D-0922-491E-AEEE-457AAFC167D0}"/>
    <cellStyle name="Normal 2 2 2 17 8 2 6" xfId="4983" xr:uid="{2C688AB0-6F93-47F5-A8E5-439862C01D01}"/>
    <cellStyle name="Normal 2 2 2 17 8 3" xfId="4984" xr:uid="{2A531A2D-2B86-4E9F-973C-99AA02467E81}"/>
    <cellStyle name="Normal 2 2 2 17 8 3 2" xfId="4985" xr:uid="{03817949-0E2D-4681-ADC3-04FA3D318F5C}"/>
    <cellStyle name="Normal 2 2 2 17 8 3 3" xfId="4986" xr:uid="{FD51774F-B465-4D3D-BF13-DF9B9BD648FC}"/>
    <cellStyle name="Normal 2 2 2 17 8 3 4" xfId="4987" xr:uid="{F0219596-CB01-4942-B33C-33DBC4E0BA20}"/>
    <cellStyle name="Normal 2 2 2 17 8 3 5" xfId="4988" xr:uid="{1F81A081-D44F-4B8B-B6DA-81CF233881F2}"/>
    <cellStyle name="Normal 2 2 2 17 8 3 6" xfId="4989" xr:uid="{09B6ACC1-8877-483A-B996-794FA6F6FB94}"/>
    <cellStyle name="Normal 2 2 2 17 8 4" xfId="4990" xr:uid="{758734B8-8982-4041-A8EE-86CA3B58CC5B}"/>
    <cellStyle name="Normal 2 2 2 17 8 4 2" xfId="4991" xr:uid="{CB3CA2D5-A1D8-424C-A775-082EA96D05B1}"/>
    <cellStyle name="Normal 2 2 2 17 8 4 3" xfId="4992" xr:uid="{D1A368C6-D4FA-4E82-9F94-1C69CB2F322E}"/>
    <cellStyle name="Normal 2 2 2 17 8 4 4" xfId="4993" xr:uid="{A43285B7-78F5-4AC6-AD32-CB60E3EE12C2}"/>
    <cellStyle name="Normal 2 2 2 17 8 4 6" xfId="4994" xr:uid="{71ACC084-1EA2-4487-BE27-A7DBF634D37B}"/>
    <cellStyle name="Normal 2 2 2 17 8 5" xfId="4995" xr:uid="{AFBA8010-6760-49BB-B181-5B26C8DD41EE}"/>
    <cellStyle name="Normal 2 2 2 17 8 5 2" xfId="4996" xr:uid="{722263A0-9140-4EF8-9635-478C18672369}"/>
    <cellStyle name="Normal 2 2 2 17 8 5 3" xfId="4997" xr:uid="{E5145E65-FFD2-4B78-89B9-AEA625254FBF}"/>
    <cellStyle name="Normal 2 2 2 17 8 5 4" xfId="4998" xr:uid="{E18B0820-E5EF-4384-B246-87EC98FA9304}"/>
    <cellStyle name="Normal 2 2 2 17 8 5 5" xfId="4999" xr:uid="{B8BB977E-650E-415C-AD3F-7E636ABE5579}"/>
    <cellStyle name="Normal 2 2 2 17 8 5 6" xfId="5000" xr:uid="{9CEB314B-2569-495C-8ACD-E0D587533ACA}"/>
    <cellStyle name="Normal 2 2 2 17 8 6" xfId="5001" xr:uid="{4B694F1E-33FD-4436-AFC7-BF3380583A11}"/>
    <cellStyle name="Normal 2 2 2 17 8 6 2" xfId="5002" xr:uid="{91E9BDD3-EE1A-4852-B591-9BEA543BAF24}"/>
    <cellStyle name="Normal 2 2 2 17 8 6 3" xfId="5003" xr:uid="{8D8588DA-1E04-4045-BE46-3595EA0B4A1B}"/>
    <cellStyle name="Normal 2 2 2 17 8 6 4" xfId="5004" xr:uid="{A15B8643-57A7-404C-82E9-9AA6EA77C064}"/>
    <cellStyle name="Normal 2 2 2 17 8 6 5" xfId="5005" xr:uid="{305F54D1-2AA4-47A1-B894-69C02C539AA9}"/>
    <cellStyle name="Normal 2 2 2 17 8 6 6" xfId="5006" xr:uid="{A0436768-559F-49FD-8360-EBE7624D785F}"/>
    <cellStyle name="Normal 2 2 2 17 8 7 2" xfId="5007" xr:uid="{17F5BCFC-1162-484D-A867-B142AC1A296F}"/>
    <cellStyle name="Normal 2 2 2 17 8 7 3" xfId="5008" xr:uid="{DC85B2FD-0313-4539-819E-6B8A4868E50F}"/>
    <cellStyle name="Normal 2 2 2 17 8 7 4" xfId="5009" xr:uid="{2A8EDA0E-A642-49BD-AD02-74F2FD589D1C}"/>
    <cellStyle name="Normal 2 2 2 17 8 7 5" xfId="5010" xr:uid="{FC0C6400-E0FB-4CD4-8E97-A915B4EAB5AD}"/>
    <cellStyle name="Normal 2 2 2 17 8 7 6" xfId="5011" xr:uid="{692D12B3-F801-4260-907B-6B8CD3FFFAB5}"/>
    <cellStyle name="Normal 2 2 2 17 8 8" xfId="5012" xr:uid="{37D715A0-5871-42CF-B3F4-A43C08B42409}"/>
    <cellStyle name="Normal 2 2 2 17 8 8 2" xfId="5013" xr:uid="{804F6BBC-AA03-4133-B8F0-B56D797037F0}"/>
    <cellStyle name="Normal 2 2 2 17 8 8 3" xfId="5014" xr:uid="{94040928-8CE9-4022-A545-9FEFD7A3396C}"/>
    <cellStyle name="Normal 2 2 2 17 8 8 4" xfId="5015" xr:uid="{B55CFE76-F87E-4FFF-8BD7-247025340A14}"/>
    <cellStyle name="Normal 2 2 2 17 8 8 5" xfId="5016" xr:uid="{7B72E45E-2D00-4235-BC42-1295CA1D545D}"/>
    <cellStyle name="Normal 2 2 2 17 8 8 6" xfId="5017" xr:uid="{B3F61442-80BB-4AF0-9867-064EA5434817}"/>
    <cellStyle name="Normal 2 2 2 17 8 9" xfId="5018" xr:uid="{E8BEAC3B-5347-44F7-9FFA-22360CDDFC3B}"/>
    <cellStyle name="Normal 2 2 2 17 9" xfId="5019" xr:uid="{558FE22B-F33F-4112-B43C-FAAFC2A1AC71}"/>
    <cellStyle name="Normal 2 2 2 17 9 10" xfId="5020" xr:uid="{34E2D651-E54A-4A3D-98EA-85EFA739F149}"/>
    <cellStyle name="Normal 2 2 2 17 9 11" xfId="5021" xr:uid="{9D8BC172-9792-4050-9BCB-30002C8E55CA}"/>
    <cellStyle name="Normal 2 2 2 17 9 12" xfId="5022" xr:uid="{074FDDF9-934A-4255-8FA3-E6E6226B95D9}"/>
    <cellStyle name="Normal 2 2 2 17 9 13" xfId="5023" xr:uid="{6F713DB3-1B54-4494-A831-52F112CB3D18}"/>
    <cellStyle name="Normal 2 2 2 17 9 2" xfId="5024" xr:uid="{22012D36-1F4E-457D-AB58-A20C7BCEA260}"/>
    <cellStyle name="Normal 2 2 2 17 9 2 2" xfId="5025" xr:uid="{7BDEB9CA-E395-4422-A4E8-E5354A61A6F5}"/>
    <cellStyle name="Normal 2 2 2 17 9 2 3" xfId="5026" xr:uid="{1157D43D-CEB0-4B3E-855D-322201CBAF09}"/>
    <cellStyle name="Normal 2 2 2 17 9 2 4" xfId="5027" xr:uid="{06091185-67D7-4A32-AE66-9D5AD198C394}"/>
    <cellStyle name="Normal 2 2 2 17 9 2 5" xfId="5028" xr:uid="{E29F6E38-41AA-4A7F-89F0-5531E9F7FC1D}"/>
    <cellStyle name="Normal 2 2 2 17 9 2 6" xfId="5029" xr:uid="{F6AF0C42-E9A0-4E9F-B1EC-024108224C3F}"/>
    <cellStyle name="Normal 2 2 2 17 9 3" xfId="5030" xr:uid="{A27960BA-3DE1-4CE9-8254-B105DCD47F7A}"/>
    <cellStyle name="Normal 2 2 2 17 9 3 2" xfId="5031" xr:uid="{A7E4BC1A-39C7-40D0-83AD-A586FCB77A2E}"/>
    <cellStyle name="Normal 2 2 2 17 9 3 3" xfId="5032" xr:uid="{2A157611-0304-4EAF-BDD1-FF822A78FCD6}"/>
    <cellStyle name="Normal 2 2 2 17 9 3 4" xfId="5033" xr:uid="{AC4F4EA4-DE85-450D-956F-7A5549B4EF11}"/>
    <cellStyle name="Normal 2 2 2 17 9 3 5" xfId="5034" xr:uid="{B8492B7B-7303-4EC4-9EA9-87F7F922B52F}"/>
    <cellStyle name="Normal 2 2 2 17 9 3 6" xfId="5035" xr:uid="{E8417580-4417-4A63-A99A-06355BFB2BD4}"/>
    <cellStyle name="Normal 2 2 2 17 9 4" xfId="5036" xr:uid="{8EA0B49C-EA31-4236-86AC-E7AD8EB2DC25}"/>
    <cellStyle name="Normal 2 2 2 17 9 4 2" xfId="5037" xr:uid="{DEE15E11-EA25-4CDD-928E-60F0EB91AAE7}"/>
    <cellStyle name="Normal 2 2 2 17 9 4 3" xfId="5038" xr:uid="{1E8F9A2C-A7C4-4087-988B-4EDCE294B77D}"/>
    <cellStyle name="Normal 2 2 2 17 9 4 4" xfId="5039" xr:uid="{8F4F132F-B9DB-4237-B934-B6E85425DA6A}"/>
    <cellStyle name="Normal 2 2 2 17 9 4 5" xfId="5040" xr:uid="{4B61E1DE-1A82-48E6-87DD-EEFAC445DE8E}"/>
    <cellStyle name="Normal 2 2 2 17 9 4 6" xfId="5041" xr:uid="{2ED4388D-D773-41FE-8797-4B3FBB6015D8}"/>
    <cellStyle name="Normal 2 2 2 17 9 5 2" xfId="5042" xr:uid="{4957F863-F549-42AA-BC37-6FF5FB2D132D}"/>
    <cellStyle name="Normal 2 2 2 17 9 5 3" xfId="5043" xr:uid="{107CF096-59A0-4AD5-8C5A-34F6C006D6AC}"/>
    <cellStyle name="Normal 2 2 2 17 9 5 4" xfId="5044" xr:uid="{C149F71E-8366-4A48-AD64-2DE04F9E0D47}"/>
    <cellStyle name="Normal 2 2 2 17 9 5 5" xfId="5045" xr:uid="{A90CD296-72A2-4AD2-96DE-080583FFFE04}"/>
    <cellStyle name="Normal 2 2 2 17 9 5 6" xfId="5046" xr:uid="{F8AE70AF-3643-4738-964B-09BB29AE628F}"/>
    <cellStyle name="Normal 2 2 2 17 9 6" xfId="5047" xr:uid="{01291CDF-9ED5-4A91-BF5A-16FA5DD586E1}"/>
    <cellStyle name="Normal 2 2 2 17 9 6 2" xfId="5048" xr:uid="{4DD3FD8E-5EB4-48B9-BCEF-89CFE96BA0FD}"/>
    <cellStyle name="Normal 2 2 2 17 9 6 3" xfId="5049" xr:uid="{1255292D-637D-43D0-A0FC-E4E58FE28A00}"/>
    <cellStyle name="Normal 2 2 2 17 9 6 4" xfId="5050" xr:uid="{C446FD88-7676-4326-93D7-0407C7B61A3C}"/>
    <cellStyle name="Normal 2 2 2 17 9 6 5" xfId="5051" xr:uid="{80607798-FCB7-486F-9BAC-DB6B869A077E}"/>
    <cellStyle name="Normal 2 2 2 17 9 6 6" xfId="5052" xr:uid="{5FE65DA6-EA9D-456A-8228-3D4DE3A5EA03}"/>
    <cellStyle name="Normal 2 2 2 17 9 7" xfId="5053" xr:uid="{514A5F09-5AF0-4BEA-A4B1-79F54E0C13F2}"/>
    <cellStyle name="Normal 2 2 2 17 9 7 2" xfId="5054" xr:uid="{87B990F1-7360-447D-8DBE-FD1A28A060C9}"/>
    <cellStyle name="Normal 2 2 2 17 9 7 3" xfId="5055" xr:uid="{C49827E0-DACA-4322-9A35-2A072F0A6DC6}"/>
    <cellStyle name="Normal 2 2 2 17 9 7 4" xfId="5056" xr:uid="{200BEB88-AB7F-4729-B601-182EEF3E39DC}"/>
    <cellStyle name="Normal 2 2 2 17 9 7 5" xfId="5057" xr:uid="{CF81BC13-8210-4D88-B49B-76E9A49E3769}"/>
    <cellStyle name="Normal 2 2 2 17 9 7 6" xfId="5058" xr:uid="{FF8ED2AF-2E8B-4B34-AA4B-49C7F7DF4673}"/>
    <cellStyle name="Normal 2 2 2 17 9 8" xfId="5059" xr:uid="{892C2CD5-F671-48B2-A9AA-40BF10C40DAD}"/>
    <cellStyle name="Normal 2 2 2 17 9 8 2" xfId="5060" xr:uid="{A57ABD98-8F80-4E7C-9265-BAA0E9513CE3}"/>
    <cellStyle name="Normal 2 2 2 17 9 8 3" xfId="5061" xr:uid="{2229AA81-97B9-4CF2-9882-2A442A7379AE}"/>
    <cellStyle name="Normal 2 2 2 17 9 8 4" xfId="5062" xr:uid="{45DC7E36-4C74-48BF-9E1E-92A431E48CCD}"/>
    <cellStyle name="Normal 2 2 2 17 9 8 5" xfId="5063" xr:uid="{D7DE5005-A694-4636-98CF-7E04925BA6FB}"/>
    <cellStyle name="Normal 2 2 2 17 9 8 6" xfId="5064" xr:uid="{435ECDC0-8A06-4818-8D1E-B0EEC2B7D928}"/>
    <cellStyle name="Normal 2 2 2 17 9 9" xfId="5065" xr:uid="{30F66B5A-31EB-43D5-AA07-D3B61825F58B}"/>
    <cellStyle name="Normal 2 2 2 18" xfId="5066" xr:uid="{27DBA1C6-32DA-4D51-8E68-E82EA265CEE7}"/>
    <cellStyle name="Normal 2 2 2 18 10" xfId="5067" xr:uid="{90D03339-AEDD-425F-94A1-148231E518D9}"/>
    <cellStyle name="Normal 2 2 2 18 11" xfId="5068" xr:uid="{9E8E314B-61A1-42CC-ABF0-F6D0E48EFCB1}"/>
    <cellStyle name="Normal 2 2 2 18 12" xfId="5069" xr:uid="{9FE738E0-D46C-4933-9364-CE96E3C7C6B3}"/>
    <cellStyle name="Normal 2 2 2 18 13" xfId="5070" xr:uid="{D27F4161-D947-4FB6-9241-4D2CC96915ED}"/>
    <cellStyle name="Normal 2 2 2 18 14" xfId="5071" xr:uid="{BD2088EB-4A1F-4612-B777-46CDCE099491}"/>
    <cellStyle name="Normal 2 2 2 18 2" xfId="5072" xr:uid="{C97B8AA0-E622-42E9-8EF6-660EEA533AB2}"/>
    <cellStyle name="Normal 2 2 2 18 2 2" xfId="5073" xr:uid="{3765A514-290F-4C65-AE08-B92740FF4634}"/>
    <cellStyle name="Normal 2 2 2 18 2 3" xfId="5074" xr:uid="{FC6D542E-55E4-444D-B8C2-6EC27016A4F9}"/>
    <cellStyle name="Normal 2 2 2 18 2 4" xfId="5075" xr:uid="{F5C18CFA-29EF-4FA3-9D3C-F0031C1CC534}"/>
    <cellStyle name="Normal 2 2 2 18 2 5" xfId="5076" xr:uid="{3270F9AE-E128-40F9-BC63-F641970F4EB8}"/>
    <cellStyle name="Normal 2 2 2 18 2 6" xfId="5077" xr:uid="{06C0AB56-DC14-43D1-9F60-B4FC6EA3B5B5}"/>
    <cellStyle name="Normal 2 2 2 18 3" xfId="5078" xr:uid="{63CBBC14-F928-4139-9889-87FC00C51A77}"/>
    <cellStyle name="Normal 2 2 2 18 3 2" xfId="5079" xr:uid="{4B882117-C1E6-49D0-BB7C-35EBD60A95BA}"/>
    <cellStyle name="Normal 2 2 2 18 3 3" xfId="5080" xr:uid="{2F76F097-5860-431E-9AA8-880BD6D7A092}"/>
    <cellStyle name="Normal 2 2 2 18 3 4" xfId="5081" xr:uid="{5591AFEA-4D67-47AF-903C-14F91F727F73}"/>
    <cellStyle name="Normal 2 2 2 18 3 5" xfId="5082" xr:uid="{DA805A0F-9B6E-4B3F-8DCF-5F739CE88D13}"/>
    <cellStyle name="Normal 2 2 2 18 3 6" xfId="5083" xr:uid="{9056E2D2-E5D3-41C5-B87B-D3D5AD5ED387}"/>
    <cellStyle name="Normal 2 2 2 18 4" xfId="5084" xr:uid="{8BEA8ED1-3CE7-4D3D-BA4D-CE8B43E6CDEB}"/>
    <cellStyle name="Normal 2 2 2 18 4 2" xfId="5085" xr:uid="{F894F243-C2E1-463E-8597-7AA4AA9CE680}"/>
    <cellStyle name="Normal 2 2 2 18 4 3" xfId="5086" xr:uid="{B8568F81-BCFB-40DC-B55A-186E32E4F511}"/>
    <cellStyle name="Normal 2 2 2 18 4 4" xfId="5087" xr:uid="{4F9D940A-8513-46B6-9617-307B4DB7C508}"/>
    <cellStyle name="Normal 2 2 2 18 4 5" xfId="5088" xr:uid="{575F4141-3085-49A7-BBE3-B0B0389494FB}"/>
    <cellStyle name="Normal 2 2 2 18 4 6" xfId="5089" xr:uid="{3D7D6049-710C-44F5-8363-89C81AB38875}"/>
    <cellStyle name="Normal 2 2 2 18 5 2" xfId="5090" xr:uid="{B436122F-0E75-4114-8975-E443A383D804}"/>
    <cellStyle name="Normal 2 2 2 18 5 3" xfId="5091" xr:uid="{224906A4-7741-4AD2-B959-A12DFE9897FA}"/>
    <cellStyle name="Normal 2 2 2 18 5 4" xfId="5092" xr:uid="{CF2760CC-C1AB-4555-A1C8-45BF4EACA9B7}"/>
    <cellStyle name="Normal 2 2 2 18 5 5" xfId="5093" xr:uid="{F08381FC-539E-40B5-A7E3-D4AA280A61C5}"/>
    <cellStyle name="Normal 2 2 2 18 5 6" xfId="5094" xr:uid="{333929DE-ECFC-49FF-8587-D86461DAA2F8}"/>
    <cellStyle name="Normal 2 2 2 18 6" xfId="5095" xr:uid="{08F61963-C83F-455C-BF85-C9593B59C27C}"/>
    <cellStyle name="Normal 2 2 2 18 6 2" xfId="5096" xr:uid="{33CF62B9-8CE0-494C-867B-83DFAAF328B5}"/>
    <cellStyle name="Normal 2 2 2 18 6 3" xfId="5097" xr:uid="{E418F7D5-80AC-45CA-86CD-8B4788FEA3D5}"/>
    <cellStyle name="Normal 2 2 2 18 6 4" xfId="5098" xr:uid="{DBF1D4BE-CDDA-411C-8282-FFC00C36C506}"/>
    <cellStyle name="Normal 2 2 2 18 6 5" xfId="5099" xr:uid="{500EC45A-5E1A-4AE7-B421-6A6B9F2369D8}"/>
    <cellStyle name="Normal 2 2 2 18 6 6" xfId="5100" xr:uid="{45968F4F-FFF6-42F6-BDD1-4CDDF295D978}"/>
    <cellStyle name="Normal 2 2 2 18 7" xfId="5101" xr:uid="{51D158ED-F951-440E-93B2-25F52DB7E4B0}"/>
    <cellStyle name="Normal 2 2 2 18 7 2" xfId="5102" xr:uid="{DC6CA92F-59ED-4039-B4B1-F4E0F031B742}"/>
    <cellStyle name="Normal 2 2 2 18 7 3" xfId="5103" xr:uid="{7F91B54E-458B-4AFB-A55B-6560D746C10B}"/>
    <cellStyle name="Normal 2 2 2 18 7 4" xfId="5104" xr:uid="{7447C20F-03E2-466C-948B-3D3E9D788FE9}"/>
    <cellStyle name="Normal 2 2 2 18 7 5" xfId="5105" xr:uid="{152C2D09-DD0C-4BCF-B705-3BF5E1EE4A78}"/>
    <cellStyle name="Normal 2 2 2 18 7 6" xfId="5106" xr:uid="{D3CDBADC-D3F6-434A-A7A1-49E9D3681B87}"/>
    <cellStyle name="Normal 2 2 2 18 8" xfId="5107" xr:uid="{1A7641AA-30C0-45C9-AF2A-3655A88B2CE0}"/>
    <cellStyle name="Normal 2 2 2 18 8 2" xfId="5108" xr:uid="{F26A34B8-72EF-4129-ADEC-5861E2CFD2CB}"/>
    <cellStyle name="Normal 2 2 2 18 8 3" xfId="5109" xr:uid="{DC5BECDD-FF24-47B3-90FA-F226A766246E}"/>
    <cellStyle name="Normal 2 2 2 18 8 4" xfId="5110" xr:uid="{B6E9735C-0D0D-464F-80FA-14FD0504EEF4}"/>
    <cellStyle name="Normal 2 2 2 18 8 5" xfId="5111" xr:uid="{517C9ADD-C09D-4385-A180-ECA0228329A0}"/>
    <cellStyle name="Normal 2 2 2 18 8 6" xfId="5112" xr:uid="{A6E78E0F-2A82-4098-BEF5-26C0E92B9833}"/>
    <cellStyle name="Normal 2 2 2 18 9" xfId="5113" xr:uid="{0ACAAA39-4F53-4D6B-9924-1D0BFB9B0BC1}"/>
    <cellStyle name="Normal 2 2 2 19" xfId="5114" xr:uid="{995185EE-4F6A-43CA-B3CC-63E189121E42}"/>
    <cellStyle name="Normal 2 2 2 19 10" xfId="5115" xr:uid="{AB514340-ECF0-4AC1-9389-35598E5AFB7A}"/>
    <cellStyle name="Normal 2 2 2 19 11" xfId="5116" xr:uid="{232BABE2-003E-4FC7-B15B-A062CA7BCED3}"/>
    <cellStyle name="Normal 2 2 2 19 12" xfId="5117" xr:uid="{7E8041FA-0B1D-43E3-A753-1333311566B8}"/>
    <cellStyle name="Normal 2 2 2 19 13" xfId="5118" xr:uid="{ABAFDE40-883B-4521-BC6F-7C50D6898DC7}"/>
    <cellStyle name="Normal 2 2 2 19 14" xfId="5119" xr:uid="{F3BE8E4A-5551-408C-A2BA-E96A07F4EEE9}"/>
    <cellStyle name="Normal 2 2 2 19 2" xfId="5120" xr:uid="{6CB0C4CC-9E0D-4D57-BB72-BC425B183285}"/>
    <cellStyle name="Normal 2 2 2 19 2 2" xfId="5121" xr:uid="{2B2713C0-212E-4CA2-9982-44BA8F8E2901}"/>
    <cellStyle name="Normal 2 2 2 19 2 3" xfId="5122" xr:uid="{2B61A513-1B63-4452-B0C2-81E90CBDE383}"/>
    <cellStyle name="Normal 2 2 2 19 2 4" xfId="5123" xr:uid="{49CA162F-15A7-43B1-8125-A314B84B0C5F}"/>
    <cellStyle name="Normal 2 2 2 19 2 5" xfId="5124" xr:uid="{888FE674-015B-4554-A627-86AA58F45918}"/>
    <cellStyle name="Normal 2 2 2 19 2 6" xfId="5125" xr:uid="{DB1819F1-F0C2-444D-AA89-2D438FB415C5}"/>
    <cellStyle name="Normal 2 2 2 19 3" xfId="5126" xr:uid="{58ED3C76-42B3-4871-B349-5C60477E4F98}"/>
    <cellStyle name="Normal 2 2 2 19 3 2" xfId="5127" xr:uid="{8D2100B2-7896-4164-ACCB-644A7EC0662C}"/>
    <cellStyle name="Normal 2 2 2 19 3 3" xfId="5128" xr:uid="{2759E60E-6026-42E2-BCD0-D2D64DD98FBC}"/>
    <cellStyle name="Normal 2 2 2 19 3 4" xfId="5129" xr:uid="{D8D3747D-CA8E-4722-9A47-8365C3928343}"/>
    <cellStyle name="Normal 2 2 2 19 3 5" xfId="5130" xr:uid="{36C494AE-2C85-4C71-8966-41D38D5985B3}"/>
    <cellStyle name="Normal 2 2 2 19 3 6" xfId="5131" xr:uid="{BD0437EB-D307-446E-85C4-9431665A4742}"/>
    <cellStyle name="Normal 2 2 2 19 4" xfId="5132" xr:uid="{E3E2D70B-5E12-4CED-A7C9-9E4666991A40}"/>
    <cellStyle name="Normal 2 2 2 19 4 2" xfId="5133" xr:uid="{A6E2B1DC-736D-451F-8D92-D61B4F3EE586}"/>
    <cellStyle name="Normal 2 2 2 19 4 3" xfId="5134" xr:uid="{EA33B667-7579-4A2D-964E-F949B3CB9481}"/>
    <cellStyle name="Normal 2 2 2 19 4 4" xfId="5135" xr:uid="{8F0B9397-2CC0-42CA-A8CD-52E138C3CB22}"/>
    <cellStyle name="Normal 2 2 2 19 4 5" xfId="5136" xr:uid="{D5F71014-216F-4F7F-9836-B01365A6A908}"/>
    <cellStyle name="Normal 2 2 2 19 4 6" xfId="5137" xr:uid="{3E19A23F-445A-4B2C-89C1-DFAE2556BD6A}"/>
    <cellStyle name="Normal 2 2 2 19 5" xfId="5138" xr:uid="{AD2AF0D5-2570-4124-BBC3-8A5251826F41}"/>
    <cellStyle name="Normal 2 2 2 19 5 2" xfId="5139" xr:uid="{1C15865F-9073-4199-A0E2-313752DED209}"/>
    <cellStyle name="Normal 2 2 2 19 5 3" xfId="5140" xr:uid="{AF69938B-5BAB-4D70-B1E5-4305C8579567}"/>
    <cellStyle name="Normal 2 2 2 19 5 4" xfId="5141" xr:uid="{FEE2BCC9-C219-4DA8-9B3E-57B15635FA9A}"/>
    <cellStyle name="Normal 2 2 2 19 5 5" xfId="5142" xr:uid="{96BC5285-E967-4AE1-B834-23E617B970D7}"/>
    <cellStyle name="Normal 2 2 2 19 5 6" xfId="5143" xr:uid="{A2985988-8D93-4945-927C-2C87E526E06C}"/>
    <cellStyle name="Normal 2 2 2 19 6" xfId="5144" xr:uid="{C7CEE9E5-F896-4C87-A510-3A8A2AC419DA}"/>
    <cellStyle name="Normal 2 2 2 19 6 2" xfId="5145" xr:uid="{83E86D9B-C264-4659-B817-C835FB9DEAB2}"/>
    <cellStyle name="Normal 2 2 2 19 6 3" xfId="5146" xr:uid="{FEBB9721-041D-4287-989B-CC5377BCB0E3}"/>
    <cellStyle name="Normal 2 2 2 19 6 4" xfId="5147" xr:uid="{774E4971-EDC0-4F6C-94B8-A8E8E307A917}"/>
    <cellStyle name="Normal 2 2 2 19 6 5" xfId="5148" xr:uid="{C0343339-ED19-4DFB-B022-82E91703A2F8}"/>
    <cellStyle name="Normal 2 2 2 19 6 6" xfId="5149" xr:uid="{447FBB0E-43A5-43BD-84D2-FFF67C1885AD}"/>
    <cellStyle name="Normal 2 2 2 19 7" xfId="5150" xr:uid="{B07607B4-B303-4B5F-AFD5-5DF31385AAF8}"/>
    <cellStyle name="Normal 2 2 2 19 7 2" xfId="5151" xr:uid="{A35BE615-2D4C-4E83-8E8D-04EC069D49A6}"/>
    <cellStyle name="Normal 2 2 2 19 7 3" xfId="5152" xr:uid="{8F9D5915-BA4F-46E0-881F-B513C2BF0AE1}"/>
    <cellStyle name="Normal 2 2 2 19 7 4" xfId="5153" xr:uid="{806731C4-3C3F-4626-AF48-CB430FA90981}"/>
    <cellStyle name="Normal 2 2 2 19 7 5" xfId="5154" xr:uid="{4ABF14EF-FA82-45A2-ABC8-8564C7342429}"/>
    <cellStyle name="Normal 2 2 2 19 7 6" xfId="5155" xr:uid="{60FBD859-B15E-45C2-92B2-7363AEDD5221}"/>
    <cellStyle name="Normal 2 2 2 19 8" xfId="5156" xr:uid="{932A1799-9E7E-4929-864C-49345C85F541}"/>
    <cellStyle name="Normal 2 2 2 19 8 2" xfId="5157" xr:uid="{5003DEF6-B95D-492C-ACAE-09EFA18D6D15}"/>
    <cellStyle name="Normal 2 2 2 19 8 3" xfId="5158" xr:uid="{5F2870A8-0C92-4E9C-80CF-857E280D5BE5}"/>
    <cellStyle name="Normal 2 2 2 19 8 4" xfId="5159" xr:uid="{93B49D9E-B631-4572-99C6-4EAA8587A1B6}"/>
    <cellStyle name="Normal 2 2 2 19 8 5" xfId="5160" xr:uid="{5299F681-E89F-4478-B5D4-FF31D74858BF}"/>
    <cellStyle name="Normal 2 2 2 19 8 6" xfId="5161" xr:uid="{3AF8FB70-9553-44A7-B6C0-F3B773084592}"/>
    <cellStyle name="Normal 2 2 2 19 9" xfId="5162" xr:uid="{92B41DAB-3852-4A99-A0B5-F2B62AE9AB87}"/>
    <cellStyle name="Normal 2 2 2 2" xfId="5163" xr:uid="{7123FF79-A8D0-48BA-983E-4D10E83801EA}"/>
    <cellStyle name="Normal 2 2 2 2 10" xfId="5164" xr:uid="{0C7E465F-92CE-4222-9CCF-E2E887BC21B6}"/>
    <cellStyle name="Normal 2 2 2 2 11" xfId="5165" xr:uid="{5E2010C3-89F3-449C-92F3-8B9480DF70BA}"/>
    <cellStyle name="Normal 2 2 2 2 12" xfId="5166" xr:uid="{CC2DDCAC-1004-429F-85D6-0D0E856C26F2}"/>
    <cellStyle name="Normal 2 2 2 2 12 10" xfId="5167" xr:uid="{3EB642ED-4CAF-4278-AEF3-D3B0A09AFD3E}"/>
    <cellStyle name="Normal 2 2 2 2 12 11" xfId="5168" xr:uid="{EBF36884-0F57-46BA-977E-1BC00BB4400D}"/>
    <cellStyle name="Normal 2 2 2 2 12 12" xfId="5169" xr:uid="{D9BAA97A-5EB4-436B-8FEE-32C1C37D41C5}"/>
    <cellStyle name="Normal 2 2 2 2 12 13" xfId="5170" xr:uid="{59F2464A-8E7A-49E3-955F-46484C4DD8F4}"/>
    <cellStyle name="Normal 2 2 2 2 12 2" xfId="5171" xr:uid="{8253D98D-BC44-4785-9F3A-27583BB493CF}"/>
    <cellStyle name="Normal 2 2 2 2 12 2 2" xfId="5172" xr:uid="{3E7B2FCD-CD64-4D09-B6F5-6D09E52FE2B8}"/>
    <cellStyle name="Normal 2 2 2 2 12 2 3" xfId="5173" xr:uid="{E441C0D1-0631-427A-BC8B-4C928405BD8E}"/>
    <cellStyle name="Normal 2 2 2 2 12 2 4" xfId="5174" xr:uid="{5402208A-7033-4BC9-93BA-DFD5D377D3CB}"/>
    <cellStyle name="Normal 2 2 2 2 12 2 5" xfId="5175" xr:uid="{8DD60871-89BC-49C1-BAA8-3500099E15F3}"/>
    <cellStyle name="Normal 2 2 2 2 12 2 6" xfId="5176" xr:uid="{7085E450-4523-468B-AD4D-0A3E23C7EAE8}"/>
    <cellStyle name="Normal 2 2 2 2 12 3" xfId="5177" xr:uid="{5F615968-0AD8-4860-BF59-00E6052CF031}"/>
    <cellStyle name="Normal 2 2 2 2 12 3 2" xfId="5178" xr:uid="{18612683-60A6-47F4-9874-4B1532D51F1A}"/>
    <cellStyle name="Normal 2 2 2 2 12 3 3" xfId="5179" xr:uid="{3AF10BBA-F58A-4616-9340-51D714DA8043}"/>
    <cellStyle name="Normal 2 2 2 2 12 3 4" xfId="5180" xr:uid="{D5B79457-8DBC-419C-A383-E42F7CA5772C}"/>
    <cellStyle name="Normal 2 2 2 2 12 3 5" xfId="5181" xr:uid="{FD43A94C-D61C-4DC7-9D7A-46A4D049F885}"/>
    <cellStyle name="Normal 2 2 2 2 12 3 6" xfId="5182" xr:uid="{F9F969DB-D36B-4099-8078-B5D9B007072D}"/>
    <cellStyle name="Normal 2 2 2 2 12 4" xfId="5183" xr:uid="{D253C247-3AD2-4801-8720-921EF8E24A35}"/>
    <cellStyle name="Normal 2 2 2 2 12 4 2" xfId="5184" xr:uid="{1442392F-C9C8-48E3-B163-2601C9D7F57D}"/>
    <cellStyle name="Normal 2 2 2 2 12 4 3" xfId="5185" xr:uid="{5F00B4F4-6BEF-46D3-BEB4-C5A56960287A}"/>
    <cellStyle name="Normal 2 2 2 2 12 4 4" xfId="5186" xr:uid="{F2B38763-1395-46F2-87A3-C610CE4DAFAA}"/>
    <cellStyle name="Normal 2 2 2 2 12 4 5" xfId="5187" xr:uid="{D557C8CF-5E78-4258-A6D0-ECC3669B3210}"/>
    <cellStyle name="Normal 2 2 2 2 12 4 6" xfId="5188" xr:uid="{3E0F1EE7-23D1-4B7E-BFEF-1490E59CACC7}"/>
    <cellStyle name="Normal 2 2 2 2 12 5" xfId="5189" xr:uid="{9BB426B7-8F2F-48CE-91B6-9815732B50B8}"/>
    <cellStyle name="Normal 2 2 2 2 12 5 2" xfId="5190" xr:uid="{725C08F0-FD03-4710-9995-7E237399ADD3}"/>
    <cellStyle name="Normal 2 2 2 2 12 5 3" xfId="5191" xr:uid="{E29FE8C4-6F2C-4DFA-AA4A-56304D12DC19}"/>
    <cellStyle name="Normal 2 2 2 2 12 5 4" xfId="5192" xr:uid="{16989673-4E2D-4404-A20F-D11ED905B337}"/>
    <cellStyle name="Normal 2 2 2 2 12 5 5" xfId="5193" xr:uid="{49F33D1B-7A51-4F54-89BC-02388D03A705}"/>
    <cellStyle name="Normal 2 2 2 2 12 5 6" xfId="5194" xr:uid="{A3EE2FC0-2FA3-4CFD-8193-F1DCC258F5E5}"/>
    <cellStyle name="Normal 2 2 2 2 12 6" xfId="5195" xr:uid="{7A86719B-E958-40E7-970A-2CE89BE5A154}"/>
    <cellStyle name="Normal 2 2 2 2 12 6 2" xfId="5196" xr:uid="{6F566082-AD3E-4254-ADC4-4417B87FA2AB}"/>
    <cellStyle name="Normal 2 2 2 2 12 6 3" xfId="5197" xr:uid="{5A67FBA3-9802-4EC4-ADF1-530E081C5237}"/>
    <cellStyle name="Normal 2 2 2 2 12 6 4" xfId="5198" xr:uid="{7CEB685A-9385-4258-AEE4-E6730E2FEC70}"/>
    <cellStyle name="Normal 2 2 2 2 12 6 5" xfId="5199" xr:uid="{D850AC70-A5DD-4923-B990-2FFE9691CB10}"/>
    <cellStyle name="Normal 2 2 2 2 12 6 6" xfId="5200" xr:uid="{BCD79A36-4C91-4E6D-8CF3-2B1F45CAF0F6}"/>
    <cellStyle name="Normal 2 2 2 2 12 7" xfId="5201" xr:uid="{209C3BFF-B6F4-4523-9355-C28711DCFFE3}"/>
    <cellStyle name="Normal 2 2 2 2 12 7 2" xfId="5202" xr:uid="{A25486F4-CBAB-4709-8C27-CD79AB103D96}"/>
    <cellStyle name="Normal 2 2 2 2 12 7 3" xfId="5203" xr:uid="{F093E9F6-22C3-4C2F-BBAF-BC3DAB141FDF}"/>
    <cellStyle name="Normal 2 2 2 2 12 7 4" xfId="5204" xr:uid="{730BA0C3-B5E7-4EAD-B37B-50E2224A450E}"/>
    <cellStyle name="Normal 2 2 2 2 12 7 5" xfId="5205" xr:uid="{A5A93299-CDBA-4D36-B286-EB691816A67E}"/>
    <cellStyle name="Normal 2 2 2 2 12 7 6" xfId="5206" xr:uid="{BDB5D613-3207-4BE9-9858-A2ED2CC40715}"/>
    <cellStyle name="Normal 2 2 2 2 12 8" xfId="5207" xr:uid="{5A5A2B00-ECA4-4F5F-890D-FD14A45B28EA}"/>
    <cellStyle name="Normal 2 2 2 2 12 8 2" xfId="5208" xr:uid="{A5DC2BE8-DF91-412A-B23D-17BC5A92384E}"/>
    <cellStyle name="Normal 2 2 2 2 12 8 3" xfId="5209" xr:uid="{F05985E0-F743-4EF5-87F4-FE3150EAC9D5}"/>
    <cellStyle name="Normal 2 2 2 2 12 8 4" xfId="5210" xr:uid="{E429B950-C892-4490-8C42-3DD79898DEBC}"/>
    <cellStyle name="Normal 2 2 2 2 12 8 5" xfId="5211" xr:uid="{F4E8D1ED-17EE-42AD-AD06-EB39FB6D8707}"/>
    <cellStyle name="Normal 2 2 2 2 12 8 6" xfId="5212" xr:uid="{2785BBBD-548F-43E8-949A-8B1D1B2CE364}"/>
    <cellStyle name="Normal 2 2 2 2 12 9" xfId="5213" xr:uid="{986A47F6-924E-4FE1-81AD-D6C004C23E22}"/>
    <cellStyle name="Normal 2 2 2 2 13" xfId="5214" xr:uid="{9ECE72CD-B640-4257-A8E6-204333F68259}"/>
    <cellStyle name="Normal 2 2 2 2 13 10" xfId="5215" xr:uid="{BFD26B6D-9FC6-4323-9F15-44A44DBEF401}"/>
    <cellStyle name="Normal 2 2 2 2 13 11" xfId="5216" xr:uid="{83C86917-C56E-4595-907C-5BD91A307221}"/>
    <cellStyle name="Normal 2 2 2 2 13 12" xfId="5217" xr:uid="{64E19423-CC92-4504-946D-AB1D9568FE11}"/>
    <cellStyle name="Normal 2 2 2 2 13 13" xfId="5218" xr:uid="{FE352384-1D43-48E0-86AA-5F0BE5291006}"/>
    <cellStyle name="Normal 2 2 2 2 13 2" xfId="5219" xr:uid="{32446AAF-44A6-4F55-A813-E4BE37CDAE4A}"/>
    <cellStyle name="Normal 2 2 2 2 13 2 2" xfId="5220" xr:uid="{80A186A2-2BFB-4B6E-928F-8A17266E070C}"/>
    <cellStyle name="Normal 2 2 2 2 13 2 3" xfId="5221" xr:uid="{068EFD05-A86A-4D70-8E0C-278AF8E5B0DF}"/>
    <cellStyle name="Normal 2 2 2 2 13 2 4" xfId="5222" xr:uid="{1C060BDB-2413-4065-B4CA-9B64B5C67871}"/>
    <cellStyle name="Normal 2 2 2 2 13 2 5" xfId="5223" xr:uid="{67EF2FDD-342A-4367-8638-0FC114B53B3C}"/>
    <cellStyle name="Normal 2 2 2 2 13 2 6" xfId="5224" xr:uid="{DE0CDA49-13AC-468E-9CA1-CD089590A074}"/>
    <cellStyle name="Normal 2 2 2 2 13 3" xfId="5225" xr:uid="{19E7E363-E26D-4FA7-99F0-2817FC366E23}"/>
    <cellStyle name="Normal 2 2 2 2 13 3 2" xfId="5226" xr:uid="{8FE223DE-012E-483E-8C50-059D435172FF}"/>
    <cellStyle name="Normal 2 2 2 2 13 3 3" xfId="5227" xr:uid="{B997BE0B-1327-4B72-AAB2-F4032FC66962}"/>
    <cellStyle name="Normal 2 2 2 2 13 3 4" xfId="5228" xr:uid="{9781C507-1895-4AF3-BCC9-649143C0044C}"/>
    <cellStyle name="Normal 2 2 2 2 13 3 5" xfId="5229" xr:uid="{09748DAE-76EE-4970-B9F5-0AE4E8305F9B}"/>
    <cellStyle name="Normal 2 2 2 2 13 3 6" xfId="5230" xr:uid="{0656A04F-A23E-4027-A752-B4CA407F7C9E}"/>
    <cellStyle name="Normal 2 2 2 2 13 4" xfId="5231" xr:uid="{FA6E3E99-B362-406F-859F-BD6C62D0A457}"/>
    <cellStyle name="Normal 2 2 2 2 13 4 2" xfId="5232" xr:uid="{65D1458F-927D-47E0-B5B6-DE913E450318}"/>
    <cellStyle name="Normal 2 2 2 2 13 4 3" xfId="5233" xr:uid="{FFFF663B-D83A-4DF5-8831-0ECBBF21E42A}"/>
    <cellStyle name="Normal 2 2 2 2 13 4 4" xfId="5234" xr:uid="{4FEE0BFA-3DFE-4A04-842B-D558A20E0628}"/>
    <cellStyle name="Normal 2 2 2 2 13 4 5" xfId="5235" xr:uid="{A5BA767C-3FB5-4D1B-A5F1-0CB737F833E6}"/>
    <cellStyle name="Normal 2 2 2 2 13 4 6" xfId="5236" xr:uid="{204A9E65-F835-42B4-9C67-82A2C9A96A37}"/>
    <cellStyle name="Normal 2 2 2 2 13 5" xfId="5237" xr:uid="{BAEC71D0-BDD7-421A-9754-F4BC5CFC4633}"/>
    <cellStyle name="Normal 2 2 2 2 13 5 2" xfId="5238" xr:uid="{21D341EE-0E3C-4AB0-99EA-D4F532D925FF}"/>
    <cellStyle name="Normal 2 2 2 2 13 5 3" xfId="5239" xr:uid="{738F2793-5380-4D36-800D-27664A6B2AB4}"/>
    <cellStyle name="Normal 2 2 2 2 13 5 4" xfId="5240" xr:uid="{37EAB6B5-B5B4-408A-9818-E3E5C5952EE7}"/>
    <cellStyle name="Normal 2 2 2 2 13 5 5" xfId="5241" xr:uid="{B483386C-F02D-4F70-BC03-A2D006D9DB19}"/>
    <cellStyle name="Normal 2 2 2 2 13 5 6" xfId="5242" xr:uid="{508D4395-566D-4901-ABCE-A9921800B512}"/>
    <cellStyle name="Normal 2 2 2 2 13 6" xfId="5243" xr:uid="{8979E856-5CA1-4338-8302-A6C45715BE48}"/>
    <cellStyle name="Normal 2 2 2 2 13 6 2" xfId="5244" xr:uid="{ED9E30E5-209E-45EB-9842-BBBC299E2CFB}"/>
    <cellStyle name="Normal 2 2 2 2 13 6 3" xfId="5245" xr:uid="{BFD0C80D-0ACE-49BE-BBEC-E839D9D6F05E}"/>
    <cellStyle name="Normal 2 2 2 2 13 6 4" xfId="5246" xr:uid="{3385A432-7233-4373-A18F-1B8CA0D0DDAD}"/>
    <cellStyle name="Normal 2 2 2 2 13 6 5" xfId="5247" xr:uid="{CC1B6EA4-17AB-4918-AC8F-E436C6CE3898}"/>
    <cellStyle name="Normal 2 2 2 2 13 6 6" xfId="5248" xr:uid="{819114A0-F90A-432A-8AC3-C7012C4D9A31}"/>
    <cellStyle name="Normal 2 2 2 2 13 7" xfId="5249" xr:uid="{8CA74A70-A26A-4D10-B5BE-56AFC5D0F58F}"/>
    <cellStyle name="Normal 2 2 2 2 13 7 2" xfId="5250" xr:uid="{F59D2768-06F5-48E2-ABCA-EE8AFCF67841}"/>
    <cellStyle name="Normal 2 2 2 2 13 7 3" xfId="5251" xr:uid="{5450EBE7-AEA2-4AA1-B148-E1DC5C341D7A}"/>
    <cellStyle name="Normal 2 2 2 2 13 7 4" xfId="5252" xr:uid="{85F32CCE-3AAD-40BB-8C0F-FCB88811D0AF}"/>
    <cellStyle name="Normal 2 2 2 2 13 7 5" xfId="5253" xr:uid="{6B0FCD27-A7A7-45AF-9408-0BF05B363A17}"/>
    <cellStyle name="Normal 2 2 2 2 13 7 6" xfId="5254" xr:uid="{2799FC14-B07B-43B8-B3E0-6DD542D8AC34}"/>
    <cellStyle name="Normal 2 2 2 2 13 8" xfId="5255" xr:uid="{542FB606-3CBA-4AC8-953B-D82596AA2B25}"/>
    <cellStyle name="Normal 2 2 2 2 13 8 2" xfId="5256" xr:uid="{A06F1614-78A3-4C94-835D-8650DDC25E95}"/>
    <cellStyle name="Normal 2 2 2 2 13 8 3" xfId="5257" xr:uid="{55D6ECB3-0AA8-4217-A678-556E6BBE16EA}"/>
    <cellStyle name="Normal 2 2 2 2 13 8 4" xfId="5258" xr:uid="{B9F36394-FE2E-4281-A7FD-FDF9BBD1DA60}"/>
    <cellStyle name="Normal 2 2 2 2 13 8 5" xfId="5259" xr:uid="{10E6CD80-08B8-44DD-91A0-D3F0066D1CDC}"/>
    <cellStyle name="Normal 2 2 2 2 13 8 6" xfId="5260" xr:uid="{946F769C-76C4-4B61-9F81-A91E32117BD2}"/>
    <cellStyle name="Normal 2 2 2 2 13 9" xfId="5261" xr:uid="{080D8A78-6D2D-478E-9CD9-261CF4419326}"/>
    <cellStyle name="Normal 2 2 2 2 14" xfId="5262" xr:uid="{929237CC-7AF5-4873-B65A-13E64FA57B89}"/>
    <cellStyle name="Normal 2 2 2 2 14 10" xfId="5263" xr:uid="{6D4B0763-A86C-4CE5-A68F-13895805E411}"/>
    <cellStyle name="Normal 2 2 2 2 14 11" xfId="5264" xr:uid="{98DEE8CB-01E1-47B8-B651-AD9E8A5A281B}"/>
    <cellStyle name="Normal 2 2 2 2 14 12" xfId="5265" xr:uid="{92ABF4DF-C06E-4765-BEE4-7F7F6B8D75B1}"/>
    <cellStyle name="Normal 2 2 2 2 14 13" xfId="5266" xr:uid="{5A2DDD3D-E6E8-45BC-A20D-9114D2C264C9}"/>
    <cellStyle name="Normal 2 2 2 2 14 2" xfId="5267" xr:uid="{68DF6B58-C05B-4C02-A75F-C16E48DE6F7A}"/>
    <cellStyle name="Normal 2 2 2 2 14 2 2" xfId="5268" xr:uid="{5DFC5DD9-D26F-4A1E-A698-A5209585B07B}"/>
    <cellStyle name="Normal 2 2 2 2 14 2 3" xfId="5269" xr:uid="{DA02F291-DA38-496B-B0F4-9BEF11C91E1B}"/>
    <cellStyle name="Normal 2 2 2 2 14 2 4" xfId="5270" xr:uid="{E8F1B915-2794-496E-9424-88C81148BE2F}"/>
    <cellStyle name="Normal 2 2 2 2 14 2 5" xfId="5271" xr:uid="{B824A1D0-8021-4DA8-A758-F90343D1E8B7}"/>
    <cellStyle name="Normal 2 2 2 2 14 2 6" xfId="5272" xr:uid="{26FF03CD-26D9-4783-91CB-9D290547FDB0}"/>
    <cellStyle name="Normal 2 2 2 2 14 3" xfId="5273" xr:uid="{85D7C370-9832-438B-80B2-A41F3246AD3D}"/>
    <cellStyle name="Normal 2 2 2 2 14 3 2" xfId="5274" xr:uid="{F53A0687-9EAE-45F2-9BDD-1BF5DED9D6E0}"/>
    <cellStyle name="Normal 2 2 2 2 14 3 3" xfId="5275" xr:uid="{99244D4E-7A86-4A69-8169-7642FFFC2EDA}"/>
    <cellStyle name="Normal 2 2 2 2 14 3 4" xfId="5276" xr:uid="{C12C9050-86E4-47AB-B1A7-F575EF7E094A}"/>
    <cellStyle name="Normal 2 2 2 2 14 3 5" xfId="5277" xr:uid="{BA7D9781-054C-4C55-9BAB-B53EEBE33B12}"/>
    <cellStyle name="Normal 2 2 2 2 14 3 6" xfId="5278" xr:uid="{1C5A2830-7157-41E6-BECE-E451126F2F2C}"/>
    <cellStyle name="Normal 2 2 2 2 14 4" xfId="5279" xr:uid="{819684D1-E503-49E6-8E03-6B4047B5B27C}"/>
    <cellStyle name="Normal 2 2 2 2 14 4 2" xfId="5280" xr:uid="{F5611A23-335D-495E-99C6-1F59FAF0DD51}"/>
    <cellStyle name="Normal 2 2 2 2 14 4 3" xfId="5281" xr:uid="{EE5CC60B-0B8D-41FC-9364-9480DA88BBB8}"/>
    <cellStyle name="Normal 2 2 2 2 14 4 4" xfId="5282" xr:uid="{6F775CBF-81E1-4C18-A05E-0D92E078D25C}"/>
    <cellStyle name="Normal 2 2 2 2 14 4 5" xfId="5283" xr:uid="{F14F7ECD-0478-4E2C-BBFD-C4B2B7225547}"/>
    <cellStyle name="Normal 2 2 2 2 14 4 6" xfId="5284" xr:uid="{9BD13C57-C8C3-4625-8AF6-7B0DF83A7E95}"/>
    <cellStyle name="Normal 2 2 2 2 14 5" xfId="5285" xr:uid="{4C332079-D84B-45CD-AB8B-53EA92596D4C}"/>
    <cellStyle name="Normal 2 2 2 2 14 5 3" xfId="5286" xr:uid="{9F9B4FED-EA33-4F21-85D9-6A802034770F}"/>
    <cellStyle name="Normal 2 2 2 2 14 5 4" xfId="5287" xr:uid="{E2B62EF5-13D2-422C-A615-8EC346316477}"/>
    <cellStyle name="Normal 2 2 2 2 14 5 5" xfId="5288" xr:uid="{B7036C17-E995-4594-81B1-B1C72F70C74C}"/>
    <cellStyle name="Normal 2 2 2 2 14 5 6" xfId="5289" xr:uid="{F0C91E31-F4FD-466E-9A3A-F41F1FD92739}"/>
    <cellStyle name="Normal 2 2 2 2 14 6" xfId="5290" xr:uid="{9CDE8EE5-A0CE-4127-A258-D33731397B34}"/>
    <cellStyle name="Normal 2 2 2 2 14 6 2" xfId="5291" xr:uid="{E6EB19EC-5866-4492-A98A-E0FF238A92CB}"/>
    <cellStyle name="Normal 2 2 2 2 14 6 3" xfId="5292" xr:uid="{E7F64BCD-7AE7-4BAC-B8C5-E02BBF79EBDA}"/>
    <cellStyle name="Normal 2 2 2 2 14 6 4" xfId="5293" xr:uid="{19356656-6214-4FCC-BC27-E5230DF0AB82}"/>
    <cellStyle name="Normal 2 2 2 2 14 7" xfId="5294" xr:uid="{8D67AD34-A18C-471B-B8E7-51534A75867D}"/>
    <cellStyle name="Normal 2 2 2 2 14 7 3" xfId="5295" xr:uid="{F8878FF3-B5F6-460A-97D5-5097134F3B9C}"/>
    <cellStyle name="Normal 2 2 2 2 14 7 5" xfId="5296" xr:uid="{2085EB8C-F48A-48C8-91E6-EE6550928570}"/>
    <cellStyle name="Normal 2 2 2 2 14 8" xfId="5297" xr:uid="{54A0D5FC-EA44-4805-AEF0-0F3F4C5723BD}"/>
    <cellStyle name="Normal 2 2 2 2 14 8 3" xfId="5298" xr:uid="{361DFA4D-4D70-4A94-8FB3-C33C63432582}"/>
    <cellStyle name="Normal 2 2 2 2 14 8 5" xfId="5299" xr:uid="{A1B4D386-579E-4937-8FA3-06FFFCF34605}"/>
    <cellStyle name="Normal 2 2 2 2 14 9" xfId="5300" xr:uid="{AF9BA6C9-B909-4503-A861-6D2BA1E749A6}"/>
    <cellStyle name="Normal 2 2 2 2 15 10" xfId="5301" xr:uid="{57DF1E2B-3306-4003-85AA-EAA0A9B9E064}"/>
    <cellStyle name="Normal 2 2 2 2 15 12" xfId="5302" xr:uid="{8F5AA9B0-1142-4670-959F-72B0E7247FB1}"/>
    <cellStyle name="Normal 2 2 2 2 15 2" xfId="5303" xr:uid="{B6016D1C-883A-4AEE-8527-8F669EB4802B}"/>
    <cellStyle name="Normal 2 2 2 2 15 2 3" xfId="5304" xr:uid="{07114C07-F48C-45F2-B591-FC0EE7E7F783}"/>
    <cellStyle name="Normal 2 2 2 2 15 2 5" xfId="5305" xr:uid="{3256162B-C888-4154-A2E3-F81B096CBE5C}"/>
    <cellStyle name="Normal 2 2 2 2 15 3" xfId="5306" xr:uid="{A917EDE9-BEA9-4390-B284-FE8FEDB015A3}"/>
    <cellStyle name="Normal 2 2 2 2 15 3 2" xfId="5307" xr:uid="{BC6ACF82-69D5-4252-A4AB-C98488641A6B}"/>
    <cellStyle name="Normal 2 2 2 2 15 3 3" xfId="5308" xr:uid="{6D0A33E6-0E4E-4495-94DD-DE75CC17BB5E}"/>
    <cellStyle name="Normal 2 2 2 2 15 3 4" xfId="5309" xr:uid="{A173FCB6-04C0-407D-B4B4-E1B6A0085E1D}"/>
    <cellStyle name="Normal 2 2 2 2 15 3 5" xfId="5310" xr:uid="{F8E18BE6-DB95-4C57-9159-59210EE47B32}"/>
    <cellStyle name="Normal 2 2 2 2 15 3 6" xfId="5311" xr:uid="{6B31A92A-0847-4DC1-A4AB-60A4E6F8DE2A}"/>
    <cellStyle name="Normal 2 2 2 2 15 4" xfId="5312" xr:uid="{791B8858-56A5-467C-B2FB-FB0B859B4307}"/>
    <cellStyle name="Normal 2 2 2 2 15 4 2" xfId="5313" xr:uid="{5E5B58A6-EEC1-4559-A7A4-609338A2CC71}"/>
    <cellStyle name="Normal 2 2 2 2 15 4 3" xfId="5314" xr:uid="{E3A0A7A1-C98E-4F5F-870C-0FDD6B89DE97}"/>
    <cellStyle name="Normal 2 2 2 2 15 4 4" xfId="5315" xr:uid="{FD55B1C7-77E5-401B-931B-6FA5B77040F4}"/>
    <cellStyle name="Normal 2 2 2 2 15 4 5" xfId="5316" xr:uid="{CF841F93-3C38-48C5-A407-9DFEAF103A30}"/>
    <cellStyle name="Normal 2 2 2 2 15 4 6" xfId="5317" xr:uid="{61650B88-4BDB-406F-A922-EBD439503CA0}"/>
    <cellStyle name="Normal 2 2 2 2 15 5" xfId="5318" xr:uid="{5C16F4BA-7812-4CE5-9DB1-95B285D0B13B}"/>
    <cellStyle name="Normal 2 2 2 2 15 5 2" xfId="5319" xr:uid="{A0BC6FF5-FF9F-4BA1-9A68-BC67F9134D17}"/>
    <cellStyle name="Normal 2 2 2 2 15 5 3" xfId="5320" xr:uid="{26C98B94-5B30-4313-A2B1-F90D791824A7}"/>
    <cellStyle name="Normal 2 2 2 2 15 5 4" xfId="5321" xr:uid="{C788BF4D-1C85-4DB3-8850-FB13C4807449}"/>
    <cellStyle name="Normal 2 2 2 2 15 5 5" xfId="5322" xr:uid="{4A551074-4FF3-4C78-BAE0-C12CBA5B045B}"/>
    <cellStyle name="Normal 2 2 2 2 15 5 6" xfId="5323" xr:uid="{6C2CD415-17C3-4D15-90F7-805045C8AF48}"/>
    <cellStyle name="Normal 2 2 2 2 15 6" xfId="5324" xr:uid="{907AF5AF-B12A-44C5-AB78-64A44A5E77A6}"/>
    <cellStyle name="Normal 2 2 2 2 15 6 2" xfId="5325" xr:uid="{C35084DF-E3CE-4F3F-8E69-B980E6CEA8F8}"/>
    <cellStyle name="Normal 2 2 2 2 15 6 3" xfId="5326" xr:uid="{AB485C2A-2ED3-428D-BFF8-B2286060FC7A}"/>
    <cellStyle name="Normal 2 2 2 2 15 6 4" xfId="5327" xr:uid="{9C5625C3-8584-4C3C-8050-24933AD642C0}"/>
    <cellStyle name="Normal 2 2 2 2 15 6 5" xfId="5328" xr:uid="{4AAFC6A7-86CF-449F-A0B3-DA0EFAC5E57E}"/>
    <cellStyle name="Normal 2 2 2 2 15 6 6" xfId="5329" xr:uid="{E7376EFF-4F32-44C4-B0ED-0F2479F9AB60}"/>
    <cellStyle name="Normal 2 2 2 2 15 7 2" xfId="5330" xr:uid="{4EB7E3E9-AFB1-4CCB-AB3F-396DBE226B37}"/>
    <cellStyle name="Normal 2 2 2 2 15 7 4" xfId="5331" xr:uid="{258D4899-8965-46B7-A8ED-F5A7B2BE7DC4}"/>
    <cellStyle name="Normal 2 2 2 2 15 8" xfId="5332" xr:uid="{BFA776EC-8B79-4C98-A388-6F42CC014D88}"/>
    <cellStyle name="Normal 2 2 2 2 15 8 3" xfId="5333" xr:uid="{2E3061A5-1A3F-4D64-B4BF-E519385870CD}"/>
    <cellStyle name="Normal 2 2 2 2 15 8 5" xfId="5334" xr:uid="{9F893E7C-D2CE-4346-A39E-110892591157}"/>
    <cellStyle name="Normal 2 2 2 2 15 9" xfId="5335" xr:uid="{A6C19E88-1855-4DD4-AACA-87A9CA3AC7DC}"/>
    <cellStyle name="Normal 2 2 2 2 16 10" xfId="5336" xr:uid="{BBAD02AE-CC8D-456C-9224-B8FFFB5F5D03}"/>
    <cellStyle name="Normal 2 2 2 2 16 12" xfId="5337" xr:uid="{9343D20E-A8BF-48FB-84B7-D83F6101C42A}"/>
    <cellStyle name="Normal 2 2 2 2 16 2" xfId="5338" xr:uid="{0A203A8D-2342-4538-931A-8DE8062AA854}"/>
    <cellStyle name="Normal 2 2 2 2 16 2 3" xfId="5339" xr:uid="{23737289-983F-4842-9A63-7EB5BB208C85}"/>
    <cellStyle name="Normal 2 2 2 2 16 2 5" xfId="5340" xr:uid="{4BE02C11-F5FF-4C84-9277-00FE24EE7E2C}"/>
    <cellStyle name="Normal 2 2 2 2 16 3" xfId="5341" xr:uid="{6DB3D817-D5D6-4EC1-94CE-A20607582A36}"/>
    <cellStyle name="Normal 2 2 2 2 16 3 3" xfId="5342" xr:uid="{1DDCBE83-AAD3-425A-A43B-A1DA1C708D85}"/>
    <cellStyle name="Normal 2 2 2 2 16 3 5" xfId="5343" xr:uid="{C6899C15-E2A3-41F8-A0DC-922C801B3F8F}"/>
    <cellStyle name="Normal 2 2 2 2 16 4" xfId="5344" xr:uid="{8E2C412F-B4D3-4D5D-A1F7-7A94037738D8}"/>
    <cellStyle name="Normal 2 2 2 2 16 4 3" xfId="5345" xr:uid="{C5CC819B-FDD9-4FD1-A92F-8B98639332D5}"/>
    <cellStyle name="Normal 2 2 2 2 16 4 5" xfId="5346" xr:uid="{A359FCDB-A9E5-4940-BC28-CA1C952ED564}"/>
    <cellStyle name="Normal 2 2 2 2 16 5" xfId="5347" xr:uid="{1ECA2048-BFAB-46EC-9CA5-CE04E7E0E8DA}"/>
    <cellStyle name="Normal 2 2 2 2 16 5 3" xfId="5348" xr:uid="{B25A2CE8-C357-42D4-AF0C-3D80102373C8}"/>
    <cellStyle name="Normal 2 2 2 2 16 5 5" xfId="5349" xr:uid="{469955E2-D33F-4192-9B48-0090ACF9AA5E}"/>
    <cellStyle name="Normal 2 2 2 2 16 6" xfId="5350" xr:uid="{BD06C27F-C0D3-40E7-949D-5327E9C1B0B2}"/>
    <cellStyle name="Normal 2 2 2 2 16 6 3" xfId="5351" xr:uid="{57E6460E-8C0A-4295-B491-7DB90B96FD40}"/>
    <cellStyle name="Normal 2 2 2 2 16 6 5" xfId="5352" xr:uid="{E1592E2C-8832-4E1B-A962-BB2F4D250656}"/>
    <cellStyle name="Normal 2 2 2 2 16 7" xfId="5353" xr:uid="{3E1D739B-3D5B-4176-B7DF-2F9C1DB491FD}"/>
    <cellStyle name="Normal 2 2 2 2 16 7 3" xfId="5354" xr:uid="{0599ECE0-E272-42B4-9A76-91470920FD77}"/>
    <cellStyle name="Normal 2 2 2 2 16 7 5" xfId="5355" xr:uid="{01345EE9-926E-4937-B699-F0CEA26205DD}"/>
    <cellStyle name="Normal 2 2 2 2 16 8 2" xfId="5356" xr:uid="{5240B4FE-3852-4773-B28F-F7D2CACF78F0}"/>
    <cellStyle name="Normal 2 2 2 2 16 8 4" xfId="5357" xr:uid="{B7672D25-4902-4A4D-8DBF-4CF216CDA20A}"/>
    <cellStyle name="Normal 2 2 2 2 16 8 6" xfId="5358" xr:uid="{1ADD2A0F-FEB0-4109-888E-4906399146FA}"/>
    <cellStyle name="Normal 2 2 2 2 17" xfId="5359" xr:uid="{5C06A833-E8D2-4F3C-A85A-47A1B2E7CC94}"/>
    <cellStyle name="Normal 2 2 2 2 17 11" xfId="5360" xr:uid="{F53FBEB6-095C-48ED-81D6-B7C534A39A4A}"/>
    <cellStyle name="Normal 2 2 2 2 17 12 2" xfId="5361" xr:uid="{E05B9142-82C4-4B3C-9AD9-B6FC6C6B6883}"/>
    <cellStyle name="Normal 2 2 2 2 17 12 4" xfId="5362" xr:uid="{6589E854-04E4-4EC4-B142-8315DDAD6C53}"/>
    <cellStyle name="Normal 2 2 2 2 17 12 6" xfId="5363" xr:uid="{4849E7F5-1D8A-48C5-9EDE-EFB03C46642A}"/>
    <cellStyle name="Normal 2 2 2 2 17 13 2" xfId="5364" xr:uid="{F24198B0-26C6-4123-A53D-91CD86239DC7}"/>
    <cellStyle name="Normal 2 2 2 2 17 13 4" xfId="5365" xr:uid="{5110BF1E-B573-4F57-A3F3-252279570D0E}"/>
    <cellStyle name="Normal 2 2 2 2 17 13 6" xfId="5366" xr:uid="{554A6D2A-6F84-4A87-A773-E13FFCCAC23E}"/>
    <cellStyle name="Normal 2 2 2 2 17 14 2" xfId="5367" xr:uid="{12B1E1EF-1A1B-46C5-9226-C2E2710E6BEC}"/>
    <cellStyle name="Normal 2 2 2 2 17 14 4" xfId="5368" xr:uid="{DE32571D-DEDC-4997-8B7D-5804ED92B9C2}"/>
    <cellStyle name="Normal 2 2 2 2 17 14 6" xfId="5369" xr:uid="{6134DAC6-1967-4CA2-9C9E-A5605CE9B1A3}"/>
    <cellStyle name="Normal 2 2 2 2 17 15 2" xfId="5370" xr:uid="{A6A3CD24-F83F-4494-A067-7E007189EEAD}"/>
    <cellStyle name="Normal 2 2 2 2 17 15 4" xfId="5371" xr:uid="{1286D69B-9750-4693-8C69-82B43C447E66}"/>
    <cellStyle name="Normal 2 2 2 2 17 15 6" xfId="5372" xr:uid="{1CFC57CF-FBA3-4107-8924-B5EEA0F1AC3A}"/>
    <cellStyle name="Normal 2 2 2 2 17 16 2" xfId="5373" xr:uid="{A2F4CD54-FEB0-4D2F-AF34-00922F64E8F8}"/>
    <cellStyle name="Normal 2 2 2 2 17 16 4" xfId="5374" xr:uid="{C59F571F-8577-46D7-9FBE-D28CFA75422E}"/>
    <cellStyle name="Normal 2 2 2 2 17 16 6" xfId="5375" xr:uid="{0AA297AA-5757-4B05-9FE0-517825776508}"/>
    <cellStyle name="Normal 2 2 2 2 17 17 2" xfId="5376" xr:uid="{72DAB2AA-F840-489C-AD59-82B4F6B8FBC9}"/>
    <cellStyle name="Normal 2 2 2 2 17 17 4" xfId="5377" xr:uid="{A4EDCE37-3F44-48FA-9B0A-3C628A63E465}"/>
    <cellStyle name="Normal 2 2 2 2 17 17 6" xfId="5378" xr:uid="{9A3D23FC-4DD7-47C3-8B82-A297DDFC729D}"/>
    <cellStyle name="Normal 2 2 2 2 17 18 4" xfId="5379" xr:uid="{EB13C7B8-07BF-428C-B5C0-ED47F5E4A1E1}"/>
    <cellStyle name="Normal 2 2 2 2 17 18 6" xfId="5380" xr:uid="{3D922B97-E48A-4869-BDF1-A91E08E0FB2D}"/>
    <cellStyle name="Normal 2 2 2 2 17 2" xfId="5381" xr:uid="{36EF7C82-2FA3-4E54-8BEA-9D6DD6F536F5}"/>
    <cellStyle name="Normal 2 2 2 2 17 21" xfId="5382" xr:uid="{1D7BE904-4B51-4F53-9C23-0459BFC90615}"/>
    <cellStyle name="Normal 2 2 2 2 17 23" xfId="5383" xr:uid="{19A9C18B-45EB-486B-9912-DE80E6F78064}"/>
    <cellStyle name="Normal 2 2 2 2 17 4" xfId="5384" xr:uid="{02AD7030-E19C-4A67-9A61-D60CA37BC400}"/>
    <cellStyle name="Normal 2 2 2 2 17 6" xfId="5385" xr:uid="{8E33F7A4-8BE3-4A40-8A1A-4B695F094A70}"/>
    <cellStyle name="Normal 2 2 2 2 17 8" xfId="5386" xr:uid="{754E2E31-9EBF-4702-B4A2-1289BB3F61FA}"/>
    <cellStyle name="Normal 2 2 2 2 18" xfId="5387" xr:uid="{49914F97-969A-4E37-88D7-B2304EAC10E2}"/>
    <cellStyle name="Normal 2 2 2 2 18 2 2" xfId="5388" xr:uid="{7F944190-9530-481A-A9A3-3529F4D0351A}"/>
    <cellStyle name="Normal 2 2 2 2 18 2 3" xfId="5389" xr:uid="{42E3EB35-4307-4FE8-941B-E257EBAD9B09}"/>
    <cellStyle name="Normal 2 2 2 2 18 3 2" xfId="5390" xr:uid="{6AF729BB-4098-40EF-A3AF-2ED1F08AA83F}"/>
    <cellStyle name="Normal 2 2 2 2 19 2" xfId="5391" xr:uid="{C526861E-2974-46FF-A90E-AB4C837E1F85}"/>
    <cellStyle name="Normal 2 2 2 2 2 10" xfId="5392" xr:uid="{462E1EB7-EDCA-468C-97D8-D9D8D814F117}"/>
    <cellStyle name="Normal 2 2 2 2 2 11 10" xfId="5393" xr:uid="{5D1ABEBF-B66F-4543-8FFB-654D1BBD78C7}"/>
    <cellStyle name="Normal 2 2 2 2 2 11 10 11" xfId="5394" xr:uid="{3D34EA4C-DC55-4CB7-88BE-5CD251769D6E}"/>
    <cellStyle name="Normal 2 2 2 2 2 11 10 13" xfId="5395" xr:uid="{541A1D47-D4A3-41A2-9589-DF9377F6F6C3}"/>
    <cellStyle name="Normal 2 2 2 2 2 11 10 2 2" xfId="5396" xr:uid="{A003E63A-E2CC-499E-9D2F-B4645B11E5DA}"/>
    <cellStyle name="Normal 2 2 2 2 2 11 10 2 4" xfId="5397" xr:uid="{FA5FA31F-279B-4F19-9B6A-D8EBD3B4A980}"/>
    <cellStyle name="Normal 2 2 2 2 2 11 10 2 6" xfId="5398" xr:uid="{0AC5CFA0-FC63-4733-B086-65452CD6D220}"/>
    <cellStyle name="Normal 2 2 2 2 2 11 10 3 2" xfId="5399" xr:uid="{3266A2FE-4DB0-43F8-AC15-307D8CA5B902}"/>
    <cellStyle name="Normal 2 2 2 2 2 11 10 3 4" xfId="5400" xr:uid="{83EF8ECA-6842-46E0-9946-0FAA3E220F4E}"/>
    <cellStyle name="Normal 2 2 2 2 2 11 10 3 6" xfId="5401" xr:uid="{D5726CCE-D653-4502-84A2-2EDD104E392E}"/>
    <cellStyle name="Normal 2 2 2 2 2 11 10 4 3" xfId="5402" xr:uid="{A9285BFE-E5ED-481C-8D87-7C271AF2F07B}"/>
    <cellStyle name="Normal 2 2 2 2 2 11 10 4 6" xfId="5403" xr:uid="{1A4D2ACE-3B09-436D-9DD2-DA411C43F398}"/>
    <cellStyle name="Normal 2 2 2 2 2 11 10 5 2" xfId="5404" xr:uid="{4446F40F-BDDE-4A77-8549-503E72096F6E}"/>
    <cellStyle name="Normal 2 2 2 2 2 11 10 5 4" xfId="5405" xr:uid="{9B72B1D4-C14D-4753-A70D-C2C91DD885B8}"/>
    <cellStyle name="Normal 2 2 2 2 2 11 10 5 6" xfId="5406" xr:uid="{F6811C7B-0BCD-4253-A498-5BC860DC7F99}"/>
    <cellStyle name="Normal 2 2 2 2 2 11 10 6 2" xfId="5407" xr:uid="{AD0D4280-FB2E-4029-846F-7C5DE548A10E}"/>
    <cellStyle name="Normal 2 2 2 2 2 11 10 6 5" xfId="5408" xr:uid="{D73C9024-7D03-456C-A44B-3C30C84827EB}"/>
    <cellStyle name="Normal 2 2 2 2 2 11 10 7" xfId="5409" xr:uid="{475D4671-0D10-4A6D-BC46-4C0982FF2AEA}"/>
    <cellStyle name="Normal 2 2 2 2 2 11 10 7 3" xfId="5410" xr:uid="{9AEA205D-4E13-44E1-B04D-9EAAEB27180F}"/>
    <cellStyle name="Normal 2 2 2 2 2 11 10 7 6" xfId="5411" xr:uid="{CF6E6515-D0A2-4CE6-8995-6FEF34E660A0}"/>
    <cellStyle name="Normal 2 2 2 2 2 11 10 8 2" xfId="5412" xr:uid="{862E5FBB-470B-49C1-9B0A-FCDDFB1C3CC2}"/>
    <cellStyle name="Normal 2 2 2 2 2 11 10 8 5" xfId="5413" xr:uid="{C8B2F4AC-130E-4158-9C7C-CCBE0ADC4EA9}"/>
    <cellStyle name="Normal 2 2 2 2 2 11 10 9" xfId="5414" xr:uid="{FD6B230C-1D1C-4FC7-85E9-E3A9F9DF1D07}"/>
    <cellStyle name="Normal 2 2 2 2 2 11 11 10" xfId="5415" xr:uid="{96C6BAA7-B630-4C41-B7BF-3043B747AC84}"/>
    <cellStyle name="Normal 2 2 2 2 2 11 11 12" xfId="5416" xr:uid="{DBC90ACE-1A3F-448B-BA06-D98B41F40299}"/>
    <cellStyle name="Normal 2 2 2 2 2 11 11 2" xfId="5417" xr:uid="{5F228F0C-ED46-4439-8465-5F6133712017}"/>
    <cellStyle name="Normal 2 2 2 2 2 11 11 2 3" xfId="5418" xr:uid="{A994E02B-32FC-49A6-B369-A3E94A4C8225}"/>
    <cellStyle name="Normal 2 2 2 2 2 11 11 2 5" xfId="5419" xr:uid="{46EB3D7D-13BB-4E7C-93FA-C6DA9599CAD4}"/>
    <cellStyle name="Normal 2 2 2 2 2 11 11 3" xfId="5420" xr:uid="{C559177A-928B-4729-ABF4-DDE319AA92FB}"/>
    <cellStyle name="Normal 2 2 2 2 2 11 11 3 3" xfId="5421" xr:uid="{C6FFBC27-96B9-4587-A05D-0C470A168FE7}"/>
    <cellStyle name="Normal 2 2 2 2 2 11 11 3 5" xfId="5422" xr:uid="{BBD4050E-4DA8-4B2D-9684-97B1A3349AC8}"/>
    <cellStyle name="Normal 2 2 2 2 2 11 11 4" xfId="5423" xr:uid="{C50E5EB7-7C91-4EAD-9248-9870DC00681A}"/>
    <cellStyle name="Normal 2 2 2 2 2 11 11 4 3" xfId="5424" xr:uid="{092D65E7-EB3B-4E8D-A6CF-248C420877C2}"/>
    <cellStyle name="Normal 2 2 2 2 2 11 11 4 6" xfId="5425" xr:uid="{7635BED0-A5AD-4302-B789-12B76FB41AAD}"/>
    <cellStyle name="Normal 2 2 2 2 2 11 11 5 2" xfId="5426" xr:uid="{012B8649-0DB3-44F5-8200-FB24319F10AA}"/>
    <cellStyle name="Normal 2 2 2 2 2 11 11 5 4" xfId="5427" xr:uid="{6DC32B96-E16A-41DB-8821-2BA58772E26E}"/>
    <cellStyle name="Normal 2 2 2 2 2 11 11 5 6" xfId="5428" xr:uid="{8B33CC00-162C-4981-9720-6A9FBBCF5E85}"/>
    <cellStyle name="Normal 2 2 2 2 2 11 11 6 2" xfId="5429" xr:uid="{C6BE99AE-021A-4BB8-962D-95C21B83A178}"/>
    <cellStyle name="Normal 2 2 2 2 2 11 11 6 4" xfId="5430" xr:uid="{BA812F7D-8887-4E1A-B9FA-F170FBA07D21}"/>
    <cellStyle name="Normal 2 2 2 2 2 11 11 6 6" xfId="5431" xr:uid="{2BE38BFD-83E8-4F1E-9B99-03F7F77FC34D}"/>
    <cellStyle name="Normal 2 2 2 2 2 11 11 7 2" xfId="5432" xr:uid="{D2DB6BBE-2684-4FD1-B552-FC0E9F0FCED0}"/>
    <cellStyle name="Normal 2 2 2 2 2 11 11 7 4" xfId="5433" xr:uid="{B7D66BE7-4B8E-434B-BE25-2949C2B39407}"/>
    <cellStyle name="Normal 2 2 2 2 2 11 11 7 6" xfId="5434" xr:uid="{77DEC892-6B3E-45FD-9E5A-286CAD1105CB}"/>
    <cellStyle name="Normal 2 2 2 2 2 11 11 8 3" xfId="5435" xr:uid="{7F3D235D-A2C3-4BF7-BBA7-4AC1EFC8F524}"/>
    <cellStyle name="Normal 2 2 2 2 2 11 11 9" xfId="5436" xr:uid="{8511FFCA-E7CB-4951-807C-42FDC1D44188}"/>
    <cellStyle name="Normal 2 2 2 2 2 11 2 12" xfId="5437" xr:uid="{91862A57-84FF-4AB0-B607-0DA387F68FC9}"/>
    <cellStyle name="Normal 2 2 2 2 2 11 2 2 3" xfId="5438" xr:uid="{703195F4-941A-4192-A3C4-247D381C9080}"/>
    <cellStyle name="Normal 2 2 2 2 2 11 2 2 6" xfId="5439" xr:uid="{F7DE36FB-7B07-4CC8-805B-389AC2F625DE}"/>
    <cellStyle name="Normal 2 2 2 2 2 11 2 3 3" xfId="5440" xr:uid="{B9CEAD92-E17C-4217-9FC7-4B3C856CA537}"/>
    <cellStyle name="Normal 2 2 2 2 2 11 2 3 5" xfId="5441" xr:uid="{9A701065-E4C5-420B-A39C-CB2F8D17891C}"/>
    <cellStyle name="Normal 2 2 2 2 2 11 2 4" xfId="5442" xr:uid="{13B8A834-0C81-4FBC-8304-C527F7C8C363}"/>
    <cellStyle name="Normal 2 2 2 2 2 11 2 4 3" xfId="5443" xr:uid="{17293F3C-B4A1-412F-9176-1B7C0D2CEEE0}"/>
    <cellStyle name="Normal 2 2 2 2 2 11 2 4 5" xfId="5444" xr:uid="{930444DB-9D49-46BA-B9B5-60867BEA3644}"/>
    <cellStyle name="Normal 2 2 2 2 2 11 2 5" xfId="5445" xr:uid="{5F42EA1A-BB35-48BB-ADAF-1FB66F2B24E1}"/>
    <cellStyle name="Normal 2 2 2 2 2 11 2 5 3" xfId="5446" xr:uid="{60235D51-933C-4CA8-A068-924BA7C1E557}"/>
    <cellStyle name="Normal 2 2 2 2 2 11 2 5 4" xfId="5447" xr:uid="{031BBBE1-946A-4B68-A9FA-BF3749B18E8D}"/>
    <cellStyle name="Normal 2 2 2 2 2 11 2 5 5" xfId="5448" xr:uid="{8C822C8D-E64F-4279-B03C-165B77247A63}"/>
    <cellStyle name="Normal 2 2 2 2 2 11 2 5 6" xfId="5449" xr:uid="{EE45B485-BB17-4C5D-BF44-1AA7CBE7285D}"/>
    <cellStyle name="Normal 2 2 2 2 2 11 2 6" xfId="5450" xr:uid="{DD30DF62-B679-45BF-9744-065796D69250}"/>
    <cellStyle name="Normal 2 2 2 2 2 11 2 6 3" xfId="5451" xr:uid="{FCA8BCB2-08AF-4499-BB80-1F41C345C6F4}"/>
    <cellStyle name="Normal 2 2 2 2 2 11 2 6 6" xfId="5452" xr:uid="{21C25428-D0A7-4417-9C8B-FAFDC8D6E224}"/>
    <cellStyle name="Normal 2 2 2 2 2 11 2 7 3" xfId="5453" xr:uid="{9C34B2F6-E814-4D70-81FC-024B60BE2AF7}"/>
    <cellStyle name="Normal 2 2 2 2 2 11 2 7 5" xfId="5454" xr:uid="{8FE8FE55-FCFE-4543-B5FE-CE8F6563837F}"/>
    <cellStyle name="Normal 2 2 2 2 2 11 2 8 3" xfId="5455" xr:uid="{F7784A0A-1442-4BBD-808B-3DED50EEFE01}"/>
    <cellStyle name="Normal 2 2 2 2 2 11 2 8 6" xfId="5456" xr:uid="{33914A20-B8B1-4707-8C00-452E219B761E}"/>
    <cellStyle name="Normal 2 2 2 2 2 11 3 10" xfId="5457" xr:uid="{3A28E614-EB92-493C-B45E-E61981ADE237}"/>
    <cellStyle name="Normal 2 2 2 2 2 11 3 12" xfId="5458" xr:uid="{EECE2C1F-BCD9-4740-8A88-079C3C80CD22}"/>
    <cellStyle name="Normal 2 2 2 2 2 11 3 2" xfId="5459" xr:uid="{BD3E0654-D9C4-4D59-B3BC-233DC576D44A}"/>
    <cellStyle name="Normal 2 2 2 2 2 11 3 2 3" xfId="5460" xr:uid="{92506F32-24DB-47AE-BE22-D43BFF119066}"/>
    <cellStyle name="Normal 2 2 2 2 2 11 3 2 5" xfId="5461" xr:uid="{2C7147AC-7BAA-450C-9FBB-280BFE4F4251}"/>
    <cellStyle name="Normal 2 2 2 2 2 11 3 3" xfId="5462" xr:uid="{B7FA0BAB-0121-49C1-A233-3B1688F1B9DD}"/>
    <cellStyle name="Normal 2 2 2 2 2 11 3 3 3" xfId="5463" xr:uid="{319C8A9F-3DF6-43FB-AAB1-FF4E44F38716}"/>
    <cellStyle name="Normal 2 2 2 2 2 11 3 3 5" xfId="5464" xr:uid="{9C4FD667-0312-42C4-B2CC-47324D101AD1}"/>
    <cellStyle name="Normal 2 2 2 2 2 11 3 4" xfId="5465" xr:uid="{40C36094-DC06-4ABD-95F0-E950A50BA8D9}"/>
    <cellStyle name="Normal 2 2 2 2 2 11 3 4 3" xfId="5466" xr:uid="{9DFBCBAD-88B1-4BC9-A1C8-09884734F7FB}"/>
    <cellStyle name="Normal 2 2 2 2 2 11 3 4 5" xfId="5467" xr:uid="{452087D1-8386-4DE1-8D1A-7B9CBB538918}"/>
    <cellStyle name="Normal 2 2 2 2 2 11 3 5" xfId="5468" xr:uid="{A12545DD-E6EE-4DBC-BCA4-2658370E9A1E}"/>
    <cellStyle name="Normal 2 2 2 2 2 11 3 5 3" xfId="5469" xr:uid="{91FE4AA0-FF8B-4869-9146-490BDC711594}"/>
    <cellStyle name="Normal 2 2 2 2 2 11 3 5 5" xfId="5470" xr:uid="{8E50E4DB-E8C8-4FE9-AA63-8E46477AD313}"/>
    <cellStyle name="Normal 2 2 2 2 2 11 3 6" xfId="5471" xr:uid="{2E1ED67D-928E-48C3-8333-95FB3CFC740F}"/>
    <cellStyle name="Normal 2 2 2 2 2 11 3 6 3" xfId="5472" xr:uid="{167140B8-B13E-422E-A061-744824D1EEAE}"/>
    <cellStyle name="Normal 2 2 2 2 2 11 3 6 5" xfId="5473" xr:uid="{F4FD2646-64DB-4D8A-8157-48621D696DBA}"/>
    <cellStyle name="Normal 2 2 2 2 2 11 3 7" xfId="5474" xr:uid="{2CC23BCA-9E5D-47BB-A8BA-06AB62F91EF5}"/>
    <cellStyle name="Normal 2 2 2 2 2 11 3 7 3" xfId="5475" xr:uid="{A9ACE7D7-44B9-4822-B5A5-78A940184C74}"/>
    <cellStyle name="Normal 2 2 2 2 2 11 3 7 5" xfId="5476" xr:uid="{5FC685A6-3282-42F3-BB07-7B2F3E7DAFBD}"/>
    <cellStyle name="Normal 2 2 2 2 2 11 3 8" xfId="5477" xr:uid="{8D1D10FB-C3E2-48E6-B33F-A74652C1D115}"/>
    <cellStyle name="Normal 2 2 2 2 2 11 3 8 3" xfId="5478" xr:uid="{D64AA32D-2302-42C7-9712-A27CCBF084B0}"/>
    <cellStyle name="Normal 2 2 2 2 2 11 3 8 5" xfId="5479" xr:uid="{FEA54B0A-6D62-4476-B64A-A107652DF352}"/>
    <cellStyle name="Normal 2 2 2 2 2 11 3 9" xfId="5480" xr:uid="{C9BB8DE7-62F6-4851-A581-40B6C10D76BF}"/>
    <cellStyle name="Normal 2 2 2 2 2 11 4 10" xfId="5481" xr:uid="{769003DF-C81B-492B-A712-DB0D71EEE42B}"/>
    <cellStyle name="Normal 2 2 2 2 2 11 4 12" xfId="5482" xr:uid="{03530A22-854A-4E37-9F29-244CAAA25AE7}"/>
    <cellStyle name="Normal 2 2 2 2 2 11 4 2" xfId="5483" xr:uid="{DE5D43CB-79AE-4E8C-B526-3AFA8B64EC9D}"/>
    <cellStyle name="Normal 2 2 2 2 2 11 4 2 3" xfId="5484" xr:uid="{A493A4F1-DC75-49EC-A240-E6071282EB0F}"/>
    <cellStyle name="Normal 2 2 2 2 2 11 4 2 5" xfId="5485" xr:uid="{2E1E6581-9AD4-4D6F-AB21-3BB39A3682ED}"/>
    <cellStyle name="Normal 2 2 2 2 2 11 4 3" xfId="5486" xr:uid="{75A9F390-FD32-4F73-979F-045D3FBE0835}"/>
    <cellStyle name="Normal 2 2 2 2 2 11 4 3 3" xfId="5487" xr:uid="{651E8BE5-CD0A-464A-BF57-7774C3FA4EFE}"/>
    <cellStyle name="Normal 2 2 2 2 2 11 4 3 5" xfId="5488" xr:uid="{215D6D92-76BB-4825-A700-D6CE5256B37F}"/>
    <cellStyle name="Normal 2 2 2 2 2 11 4 4" xfId="5489" xr:uid="{4C2FDEF7-6B81-4EB6-8DB4-2692185535B7}"/>
    <cellStyle name="Normal 2 2 2 2 2 11 4 4 3" xfId="5490" xr:uid="{B11A6887-070B-4A97-A4E3-D0579D89A897}"/>
    <cellStyle name="Normal 2 2 2 2 2 11 4 4 5" xfId="5491" xr:uid="{F37D1F51-FC3F-4D82-A3BD-DB522A261CD8}"/>
    <cellStyle name="Normal 2 2 2 2 2 11 4 5" xfId="5492" xr:uid="{2A97D967-13A8-45B1-8E6F-7C2110932B1F}"/>
    <cellStyle name="Normal 2 2 2 2 2 11 4 5 3" xfId="5493" xr:uid="{BC1E9222-C5D5-4012-B236-71B1F608AF0D}"/>
    <cellStyle name="Normal 2 2 2 2 2 11 4 5 5" xfId="5494" xr:uid="{3E733A22-4E5B-4D08-88C7-2D0B349D16E4}"/>
    <cellStyle name="Normal 2 2 2 2 2 11 4 6" xfId="5495" xr:uid="{4956E853-F833-4E1D-9831-9B6097F33D70}"/>
    <cellStyle name="Normal 2 2 2 2 2 11 4 6 3" xfId="5496" xr:uid="{6F98EA58-2381-4259-BE76-C1DB2B262C39}"/>
    <cellStyle name="Normal 2 2 2 2 2 11 4 6 5" xfId="5497" xr:uid="{8BE6318E-017B-4B0E-8B39-8B02C763BF4B}"/>
    <cellStyle name="Normal 2 2 2 2 2 11 4 7" xfId="5498" xr:uid="{2B1F18D7-9854-4AA6-ACE9-9A2F416ADB7B}"/>
    <cellStyle name="Normal 2 2 2 2 2 11 4 7 3" xfId="5499" xr:uid="{4AAAD2EE-8E8E-44B9-86A2-4F43C639357E}"/>
    <cellStyle name="Normal 2 2 2 2 2 11 4 7 5" xfId="5500" xr:uid="{B9FA04FD-DA00-4CF5-B222-A11EE99044A5}"/>
    <cellStyle name="Normal 2 2 2 2 2 11 4 8" xfId="5501" xr:uid="{0AEEC55C-44C8-4AFA-8E98-475CBE4DC61F}"/>
    <cellStyle name="Normal 2 2 2 2 2 11 4 8 3" xfId="5502" xr:uid="{41F768A3-5838-4050-B0F3-C9165E75391A}"/>
    <cellStyle name="Normal 2 2 2 2 2 11 4 8 5" xfId="5503" xr:uid="{E3BDC213-8CF0-40F6-AA19-7D6BF4B0E986}"/>
    <cellStyle name="Normal 2 2 2 2 2 11 4 9" xfId="5504" xr:uid="{6A94BBE4-BED4-4F01-BA96-82DFBDC4AC36}"/>
    <cellStyle name="Normal 2 2 2 2 2 11 5 10" xfId="5505" xr:uid="{FB0EEA58-59B7-42C1-886C-FDB72FC3F9E5}"/>
    <cellStyle name="Normal 2 2 2 2 2 11 5 12" xfId="5506" xr:uid="{BD96A62E-DBF9-44D6-B243-831E01292434}"/>
    <cellStyle name="Normal 2 2 2 2 2 11 5 2" xfId="5507" xr:uid="{65BCF3E8-BDDF-48CA-9D47-5321C79AFF56}"/>
    <cellStyle name="Normal 2 2 2 2 2 11 5 2 3" xfId="5508" xr:uid="{02785132-7820-411A-82D9-BDA849A68F21}"/>
    <cellStyle name="Normal 2 2 2 2 2 11 5 2 5" xfId="5509" xr:uid="{55917CA3-FAD3-4AE1-878F-CAA7A5C4DD62}"/>
    <cellStyle name="Normal 2 2 2 2 2 11 5 3" xfId="5510" xr:uid="{EC514DA2-AB1A-422A-9E87-CABD5A65D4BC}"/>
    <cellStyle name="Normal 2 2 2 2 2 11 5 3 3" xfId="5511" xr:uid="{349C7309-0C70-4849-9513-022C7F16988F}"/>
    <cellStyle name="Normal 2 2 2 2 2 11 5 3 5" xfId="5512" xr:uid="{8AEA3B21-4047-4D76-98C5-207CDA1CCA6A}"/>
    <cellStyle name="Normal 2 2 2 2 2 11 5 4" xfId="5513" xr:uid="{9C0C7EEB-F1AC-4CE4-B061-730F4634A5BB}"/>
    <cellStyle name="Normal 2 2 2 2 2 11 5 4 3" xfId="5514" xr:uid="{93CAAEB5-02E6-42AD-8F94-EFBB52E9F32D}"/>
    <cellStyle name="Normal 2 2 2 2 2 11 5 4 5" xfId="5515" xr:uid="{B36042F2-E9BF-4F81-B10C-7B755716FD93}"/>
    <cellStyle name="Normal 2 2 2 2 2 11 5 5" xfId="5516" xr:uid="{D2A2B868-85FA-4486-B7A7-CF974852279F}"/>
    <cellStyle name="Normal 2 2 2 2 2 11 5 5 3" xfId="5517" xr:uid="{0C062061-5D2A-44D2-8386-D1BB22E40738}"/>
    <cellStyle name="Normal 2 2 2 2 2 11 5 5 5" xfId="5518" xr:uid="{FE800233-B319-4576-8060-C43C58F52E43}"/>
    <cellStyle name="Normal 2 2 2 2 2 11 5 6" xfId="5519" xr:uid="{9DC699F2-BA3A-4C6F-87E8-DD6B52575858}"/>
    <cellStyle name="Normal 2 2 2 2 2 11 5 6 3" xfId="5520" xr:uid="{12ABE8C6-73C6-400B-8930-12BC9D8CF82E}"/>
    <cellStyle name="Normal 2 2 2 2 2 11 5 6 5" xfId="5521" xr:uid="{49DD85EF-D8B1-44D5-9909-BA065948DBD2}"/>
    <cellStyle name="Normal 2 2 2 2 2 11 5 7" xfId="5522" xr:uid="{9AB2F95B-33CA-45A8-88A8-E8C1FBB9C3CB}"/>
    <cellStyle name="Normal 2 2 2 2 2 11 5 7 3" xfId="5523" xr:uid="{701C2A1C-11D1-4F12-AA6F-7A01EB01BFA0}"/>
    <cellStyle name="Normal 2 2 2 2 2 11 5 7 5" xfId="5524" xr:uid="{07E989AB-D796-4BEE-A46B-713DE800E27D}"/>
    <cellStyle name="Normal 2 2 2 2 2 11 5 8" xfId="5525" xr:uid="{A6BB69E2-13A9-4BE9-BC8D-11F29E5F0346}"/>
    <cellStyle name="Normal 2 2 2 2 2 11 5 8 3" xfId="5526" xr:uid="{4653FD69-415A-4001-83F0-1A18801DCDDB}"/>
    <cellStyle name="Normal 2 2 2 2 2 11 5 8 5" xfId="5527" xr:uid="{5CA412B2-EAB8-4D20-BDAE-6349104D9D80}"/>
    <cellStyle name="Normal 2 2 2 2 2 11 5 9" xfId="5528" xr:uid="{47CFF051-6DA1-480A-BC14-A8C070F6B92E}"/>
    <cellStyle name="Normal 2 2 2 2 2 11 6 10" xfId="5529" xr:uid="{39E49B8A-1741-4871-9E10-37CADC1061EE}"/>
    <cellStyle name="Normal 2 2 2 2 2 11 6 12" xfId="5530" xr:uid="{AF7A5AEC-2031-4DEF-B18A-A37921457655}"/>
    <cellStyle name="Normal 2 2 2 2 2 11 6 2" xfId="5531" xr:uid="{6DD8F5F5-B195-400D-B02E-D45826F7DF39}"/>
    <cellStyle name="Normal 2 2 2 2 2 11 6 2 3" xfId="5532" xr:uid="{49172731-929B-468C-BAD5-570355B05005}"/>
    <cellStyle name="Normal 2 2 2 2 2 11 6 2 5" xfId="5533" xr:uid="{4656C35E-BE73-48BB-BA7D-710B2F601D97}"/>
    <cellStyle name="Normal 2 2 2 2 2 11 6 3" xfId="5534" xr:uid="{8F2D13E6-7089-4B4A-BCFA-4A29747D4BDA}"/>
    <cellStyle name="Normal 2 2 2 2 2 11 6 3 3" xfId="5535" xr:uid="{14DDFACA-C8DF-4717-8A14-6CF9906838D7}"/>
    <cellStyle name="Normal 2 2 2 2 2 11 6 3 5" xfId="5536" xr:uid="{D0E38B2B-51E1-42C4-9AA4-6A1E581E7BD3}"/>
    <cellStyle name="Normal 2 2 2 2 2 11 6 4" xfId="5537" xr:uid="{63D162D8-B755-420C-8E90-758CEE02E550}"/>
    <cellStyle name="Normal 2 2 2 2 2 11 6 4 2" xfId="5538" xr:uid="{096A299A-FC18-4D5D-B6FC-2626269EFAE4}"/>
    <cellStyle name="Normal 2 2 2 2 2 11 6 4 3" xfId="5539" xr:uid="{5C5531CD-B816-4892-BBA7-D00C335B9AE3}"/>
    <cellStyle name="Normal 2 2 2 2 2 11 6 4 4" xfId="5540" xr:uid="{9038D43B-2AC8-4133-9898-25570DAC4CEB}"/>
    <cellStyle name="Normal 2 2 2 2 2 11 6 4 5" xfId="5541" xr:uid="{58B8462B-B729-4321-B55C-DC7782509342}"/>
    <cellStyle name="Normal 2 2 2 2 2 11 6 4 6" xfId="5542" xr:uid="{306B0454-1B2D-4D56-BFF7-D9DAE360D201}"/>
    <cellStyle name="Normal 2 2 2 2 2 11 6 5" xfId="5543" xr:uid="{112DB82C-4AAA-4F29-8FBB-3BE549B12A08}"/>
    <cellStyle name="Normal 2 2 2 2 2 11 6 5 2" xfId="5544" xr:uid="{B23894B3-82AA-4441-8FAE-CD68F72074B9}"/>
    <cellStyle name="Normal 2 2 2 2 2 11 6 5 3" xfId="5545" xr:uid="{3F4DD3AF-9600-41D7-9DDD-13C294AA7ACE}"/>
    <cellStyle name="Normal 2 2 2 2 2 11 6 5 4" xfId="5546" xr:uid="{BF42297F-3C4E-4517-B6C5-76CB38F25181}"/>
    <cellStyle name="Normal 2 2 2 2 2 11 6 5 5" xfId="5547" xr:uid="{CB2F6889-D738-4B90-B5AB-9DAD8684098F}"/>
    <cellStyle name="Normal 2 2 2 2 2 11 6 5 6" xfId="5548" xr:uid="{597D1C75-9AB6-4E94-80E1-9C0DD290F9DD}"/>
    <cellStyle name="Normal 2 2 2 2 2 11 6 6" xfId="5549" xr:uid="{3259C309-E6FB-4F7D-BD75-63ADA8E6FD7D}"/>
    <cellStyle name="Normal 2 2 2 2 2 11 6 6 2" xfId="5550" xr:uid="{59BF6930-2C66-4327-A8AB-B6ED62D864CE}"/>
    <cellStyle name="Normal 2 2 2 2 2 11 6 6 3" xfId="5551" xr:uid="{49658CAD-B897-4C2F-BC49-46BE462F6C19}"/>
    <cellStyle name="Normal 2 2 2 2 2 11 6 6 4" xfId="5552" xr:uid="{39A57EED-F6C6-407C-96C0-8F5940B7BD2E}"/>
    <cellStyle name="Normal 2 2 2 2 2 11 6 6 5" xfId="5553" xr:uid="{D43F8C18-1A01-4AAC-8149-03B0ACAB49CA}"/>
    <cellStyle name="Normal 2 2 2 2 2 11 6 6 6" xfId="5554" xr:uid="{A400516A-9F89-4A2E-B803-83F00E727389}"/>
    <cellStyle name="Normal 2 2 2 2 2 11 6 7" xfId="5555" xr:uid="{D08969EB-9A23-424B-8841-087CCD7928B9}"/>
    <cellStyle name="Normal 2 2 2 2 2 11 6 7 2" xfId="5556" xr:uid="{2469009A-E0AC-4E08-B948-F0D2DCFF0D4B}"/>
    <cellStyle name="Normal 2 2 2 2 2 11 6 7 3" xfId="5557" xr:uid="{5A88DFC2-7429-468A-937D-C46E6F52C91F}"/>
    <cellStyle name="Normal 2 2 2 2 2 11 6 7 4" xfId="5558" xr:uid="{B4AB83B5-3EF3-4CA9-806B-7D358DF4E0E9}"/>
    <cellStyle name="Normal 2 2 2 2 2 11 6 7 5" xfId="5559" xr:uid="{8DE59059-8485-4923-AA22-B482FAAAB5B1}"/>
    <cellStyle name="Normal 2 2 2 2 2 11 6 7 6" xfId="5560" xr:uid="{026CFC6F-EA0D-46A4-A24A-D8F1EEFB797F}"/>
    <cellStyle name="Normal 2 2 2 2 2 11 6 8" xfId="5561" xr:uid="{5C0CCFE5-075B-426A-9788-570A62B0FB5C}"/>
    <cellStyle name="Normal 2 2 2 2 2 11 6 8 2" xfId="5562" xr:uid="{4A8BF119-38F1-4294-95D6-8A07D0C32453}"/>
    <cellStyle name="Normal 2 2 2 2 2 11 6 8 3" xfId="5563" xr:uid="{387C3096-0041-4187-ACF6-FAC85896362C}"/>
    <cellStyle name="Normal 2 2 2 2 2 11 6 8 4" xfId="5564" xr:uid="{B05DDD81-C5C1-425F-B44D-E5824F36D3EB}"/>
    <cellStyle name="Normal 2 2 2 2 2 11 6 8 5" xfId="5565" xr:uid="{0B615273-2983-4685-A2C9-61CD06FAD606}"/>
    <cellStyle name="Normal 2 2 2 2 2 11 6 8 6" xfId="5566" xr:uid="{1AE37E89-DC2C-4C36-826C-C6F9318C2905}"/>
    <cellStyle name="Normal 2 2 2 2 2 11 6 9" xfId="5567" xr:uid="{D9403B11-8988-49DF-8FAD-3FD37E087D74}"/>
    <cellStyle name="Normal 2 2 2 2 2 11 7" xfId="5568" xr:uid="{B4990BBC-63BD-4EAE-B8B5-B0EC6B06F5DD}"/>
    <cellStyle name="Normal 2 2 2 2 2 11 7 10" xfId="5569" xr:uid="{6B2BA38A-86AD-462C-A928-31DFD55F016D}"/>
    <cellStyle name="Normal 2 2 2 2 2 11 7 11" xfId="5570" xr:uid="{8596905E-E154-4C82-9BA0-5AAD4164C94C}"/>
    <cellStyle name="Normal 2 2 2 2 2 11 7 12" xfId="5571" xr:uid="{F29C3D7E-E1E9-4F92-8DD6-A9C67A33F0D2}"/>
    <cellStyle name="Normal 2 2 2 2 2 11 7 13" xfId="5572" xr:uid="{533CE6E2-1A90-4E7D-9A23-C88DD134926D}"/>
    <cellStyle name="Normal 2 2 2 2 2 11 7 2" xfId="5573" xr:uid="{3D471793-5617-40DA-8E58-5AE69BDF1345}"/>
    <cellStyle name="Normal 2 2 2 2 2 11 7 2 2" xfId="5574" xr:uid="{DCA9E1C4-F371-4428-8F1D-7646B7ADA89B}"/>
    <cellStyle name="Normal 2 2 2 2 2 11 7 2 3" xfId="5575" xr:uid="{E08CCB88-CF1B-4637-AC46-8C3A51C8275A}"/>
    <cellStyle name="Normal 2 2 2 2 2 11 7 2 4" xfId="5576" xr:uid="{562C6C4E-872C-4145-BCA3-6B9DB48F24F9}"/>
    <cellStyle name="Normal 2 2 2 2 2 11 7 2 5" xfId="5577" xr:uid="{11E7CA79-1DF1-4F52-B2CD-F70F4B02E4E8}"/>
    <cellStyle name="Normal 2 2 2 2 2 11 7 2 6" xfId="5578" xr:uid="{493BD609-E136-4454-91F6-AFA075BB65FC}"/>
    <cellStyle name="Normal 2 2 2 2 2 11 7 3" xfId="5579" xr:uid="{F86EAA05-EF6A-4EBF-B063-964D79EF021B}"/>
    <cellStyle name="Normal 2 2 2 2 2 11 7 3 2" xfId="5580" xr:uid="{679AEC30-E88A-4B01-822A-AF82234EAD30}"/>
    <cellStyle name="Normal 2 2 2 2 2 11 7 3 3" xfId="5581" xr:uid="{655DB37C-5A0D-4EDC-96E8-5E127F26776E}"/>
    <cellStyle name="Normal 2 2 2 2 2 11 7 3 4" xfId="5582" xr:uid="{FF5E2F27-BCF2-4C00-B99B-1C5A83D8F7A6}"/>
    <cellStyle name="Normal 2 2 2 2 2 11 7 3 5" xfId="5583" xr:uid="{9B41A78A-E963-48A5-A90B-A5C51999BB2F}"/>
    <cellStyle name="Normal 2 2 2 2 2 11 7 3 6" xfId="5584" xr:uid="{84378EC1-01F0-406B-B2A9-2D10A2B8FA9A}"/>
    <cellStyle name="Normal 2 2 2 2 2 11 7 4" xfId="5585" xr:uid="{E6A55D9A-D1E7-43A0-A9D8-4DE4E6BAB5D8}"/>
    <cellStyle name="Normal 2 2 2 2 2 11 7 4 2" xfId="5586" xr:uid="{0BFD1F19-A0FD-45B0-AA0E-1544E6880302}"/>
    <cellStyle name="Normal 2 2 2 2 2 11 7 4 3" xfId="5587" xr:uid="{94AA294A-4986-48B0-A279-34A1A05A1D1E}"/>
    <cellStyle name="Normal 2 2 2 2 2 11 7 4 4" xfId="5588" xr:uid="{FC8C9335-7DD7-4173-864A-2E5CF8108A5C}"/>
    <cellStyle name="Normal 2 2 2 2 2 11 7 4 5" xfId="5589" xr:uid="{5BCE8C9F-2B71-4B0D-8DEF-AA0068F99D41}"/>
    <cellStyle name="Normal 2 2 2 2 2 11 7 4 6" xfId="5590" xr:uid="{524753FB-84D0-4DFA-93C6-F77AD5B447C5}"/>
    <cellStyle name="Normal 2 2 2 2 2 11 7 5" xfId="5591" xr:uid="{C227B72D-A073-4469-A3E3-C37A27037DDD}"/>
    <cellStyle name="Normal 2 2 2 2 2 11 7 5 2" xfId="5592" xr:uid="{CF7F0ECA-756A-493F-A50D-BA6A717A9D31}"/>
    <cellStyle name="Normal 2 2 2 2 2 11 7 5 3" xfId="5593" xr:uid="{BBD97A9D-391F-4586-994C-A4CCDDF1E9CC}"/>
    <cellStyle name="Normal 2 2 2 2 2 11 7 5 4" xfId="5594" xr:uid="{FD81845F-76D0-42A7-A60A-C3677C2E1D66}"/>
    <cellStyle name="Normal 2 2 2 2 2 11 7 5 5" xfId="5595" xr:uid="{A863108A-3363-4523-8138-32F8EFE7C96C}"/>
    <cellStyle name="Normal 2 2 2 2 2 11 7 5 6" xfId="5596" xr:uid="{7CE087CF-5D2D-48FD-8C5A-5C1841919751}"/>
    <cellStyle name="Normal 2 2 2 2 2 11 7 6" xfId="5597" xr:uid="{9DAFA7E9-5241-49C1-A091-2E1A73444CC3}"/>
    <cellStyle name="Normal 2 2 2 2 2 11 7 6 2" xfId="5598" xr:uid="{39AEDEDB-0F6F-45D8-AA9A-4F8DE90D5733}"/>
    <cellStyle name="Normal 2 2 2 2 2 11 7 6 3" xfId="5599" xr:uid="{0EB262D0-44A3-4C8B-A061-2A3BAD1900B4}"/>
    <cellStyle name="Normal 2 2 2 2 2 11 7 6 4" xfId="5600" xr:uid="{17038D49-58B4-4CC1-984B-C5E65E707336}"/>
    <cellStyle name="Normal 2 2 2 2 2 11 7 6 5" xfId="5601" xr:uid="{9527CB0A-F2B9-4249-8F9E-0F11089B0D64}"/>
    <cellStyle name="Normal 2 2 2 2 2 11 7 6 6" xfId="5602" xr:uid="{A5213EE9-2C39-4526-9721-B53A0F7077F1}"/>
    <cellStyle name="Normal 2 2 2 2 2 11 7 7" xfId="5603" xr:uid="{040F3004-92B5-4E62-9E1D-39738C27C9D9}"/>
    <cellStyle name="Normal 2 2 2 2 2 11 7 7 2" xfId="5604" xr:uid="{DF33C459-BAAD-480B-BA87-4AA89B8AED5C}"/>
    <cellStyle name="Normal 2 2 2 2 2 11 7 7 3" xfId="5605" xr:uid="{FC9CD258-40AE-4996-BDD1-7D23AAE1A250}"/>
    <cellStyle name="Normal 2 2 2 2 2 11 7 7 4" xfId="5606" xr:uid="{C8DBAFAE-C0D8-4DBD-B870-C300E60E3254}"/>
    <cellStyle name="Normal 2 2 2 2 2 11 7 7 5" xfId="5607" xr:uid="{5FD08DC1-3A79-483F-B7F3-62B1FFB198EC}"/>
    <cellStyle name="Normal 2 2 2 2 2 11 7 7 6" xfId="5608" xr:uid="{1728DCD2-F287-4FE8-B3E0-275B132F95B2}"/>
    <cellStyle name="Normal 2 2 2 2 2 11 7 8" xfId="5609" xr:uid="{A88AD07F-41F0-4DB0-9087-3A87017A1942}"/>
    <cellStyle name="Normal 2 2 2 2 2 11 7 8 2" xfId="5610" xr:uid="{B2A8F072-1768-4F6B-96D2-30F23275EAFD}"/>
    <cellStyle name="Normal 2 2 2 2 2 11 7 8 3" xfId="5611" xr:uid="{38277992-5F0F-45A4-95F5-9C4635D77078}"/>
    <cellStyle name="Normal 2 2 2 2 2 11 7 8 4" xfId="5612" xr:uid="{67384885-7851-4C89-BD43-A45749E689B1}"/>
    <cellStyle name="Normal 2 2 2 2 2 11 7 8 5" xfId="5613" xr:uid="{8E4DF8DD-9FCB-4928-9061-25B04E9046AF}"/>
    <cellStyle name="Normal 2 2 2 2 2 11 7 8 6" xfId="5614" xr:uid="{43C5B665-B9FF-4A33-AC0F-E5F5C956A16E}"/>
    <cellStyle name="Normal 2 2 2 2 2 11 7 9" xfId="5615" xr:uid="{74D4D45B-B1E7-4E3E-A9F3-E26E3C58BD80}"/>
    <cellStyle name="Normal 2 2 2 2 2 11 8" xfId="5616" xr:uid="{6F3E35ED-7C93-48ED-BA9A-8FCB22338182}"/>
    <cellStyle name="Normal 2 2 2 2 2 11 8 10" xfId="5617" xr:uid="{4F506D60-F5A9-4C4B-AA3E-29E12C0B291C}"/>
    <cellStyle name="Normal 2 2 2 2 2 11 8 11" xfId="5618" xr:uid="{BD6A6A56-B756-4BEB-81B5-8B34A643AED1}"/>
    <cellStyle name="Normal 2 2 2 2 2 11 8 12" xfId="5619" xr:uid="{CDBF4092-35B6-418A-915B-0AD5DB1E87A3}"/>
    <cellStyle name="Normal 2 2 2 2 2 11 8 13" xfId="5620" xr:uid="{A73E6F1E-6D99-4D5F-BAEE-0FB34690AE39}"/>
    <cellStyle name="Normal 2 2 2 2 2 11 8 2" xfId="5621" xr:uid="{58564434-020D-4148-90A0-A24DED24237A}"/>
    <cellStyle name="Normal 2 2 2 2 2 11 8 2 2" xfId="5622" xr:uid="{C534463B-130A-4D80-938A-6B1F6E1C64B0}"/>
    <cellStyle name="Normal 2 2 2 2 2 11 8 2 3" xfId="5623" xr:uid="{D89BDEE3-2953-44A0-B0E0-5319DE58787C}"/>
    <cellStyle name="Normal 2 2 2 2 2 11 8 2 4" xfId="5624" xr:uid="{BFB0D6A8-A395-446E-B582-2DE79EC2962A}"/>
    <cellStyle name="Normal 2 2 2 2 2 11 8 2 5" xfId="5625" xr:uid="{B7555D46-41D5-4879-9E42-059CAFC09EB0}"/>
    <cellStyle name="Normal 2 2 2 2 2 11 8 2 6" xfId="5626" xr:uid="{B598A054-2B11-41F7-82AD-CE3585B28F20}"/>
    <cellStyle name="Normal 2 2 2 2 2 11 8 3" xfId="5627" xr:uid="{E3030D0F-6A49-4A62-84AB-DB2846DFDF24}"/>
    <cellStyle name="Normal 2 2 2 2 2 11 8 3 2" xfId="5628" xr:uid="{992CEBA5-F6DA-4BF5-A2E5-8DDE5EF51E72}"/>
    <cellStyle name="Normal 2 2 2 2 2 11 8 3 3" xfId="5629" xr:uid="{9EB9C58C-B466-46DE-BF57-5AD88932E59F}"/>
    <cellStyle name="Normal 2 2 2 2 2 11 8 3 4" xfId="5630" xr:uid="{D1CA919B-D2C1-42F9-A0D3-213E819530DE}"/>
    <cellStyle name="Normal 2 2 2 2 2 11 8 3 5" xfId="5631" xr:uid="{EE8F784A-518C-4839-90D3-E204F1F501EA}"/>
    <cellStyle name="Normal 2 2 2 2 2 11 8 3 6" xfId="5632" xr:uid="{C215DF82-C3A9-4A34-8A33-30329457C6EB}"/>
    <cellStyle name="Normal 2 2 2 2 2 11 8 4" xfId="5633" xr:uid="{5829AF5E-55F5-44E5-B20A-9DAE7EE9F959}"/>
    <cellStyle name="Normal 2 2 2 2 2 11 8 4 2" xfId="5634" xr:uid="{5E2B4FB3-AA7E-436D-9B13-F285D9F50903}"/>
    <cellStyle name="Normal 2 2 2 2 2 11 8 4 3" xfId="5635" xr:uid="{C62F23EA-F5C5-4FAC-BC17-6EC1363D8F65}"/>
    <cellStyle name="Normal 2 2 2 2 2 11 8 4 4" xfId="5636" xr:uid="{0AE6D98D-62B3-4579-B6CF-F88E00CB39FB}"/>
    <cellStyle name="Normal 2 2 2 2 2 11 8 4 5" xfId="5637" xr:uid="{C0AB8580-CA5C-4445-A6DA-F481A0830DBF}"/>
    <cellStyle name="Normal 2 2 2 2 2 11 8 4 6" xfId="5638" xr:uid="{DAACFF48-6AB2-4C48-9705-719AD21B163B}"/>
    <cellStyle name="Normal 2 2 2 2 2 11 8 5" xfId="5639" xr:uid="{42E6791E-B218-44CD-BCC3-5BB8750E9805}"/>
    <cellStyle name="Normal 2 2 2 2 2 11 8 5 2" xfId="5640" xr:uid="{1FEB526A-0F5F-4A2B-8496-2F386B1BDB06}"/>
    <cellStyle name="Normal 2 2 2 2 2 11 8 5 3" xfId="5641" xr:uid="{65E3BD15-9338-4DA5-93FB-A1341BBE7F0E}"/>
    <cellStyle name="Normal 2 2 2 2 2 11 8 5 4" xfId="5642" xr:uid="{AA44F7FD-2B7E-469C-8B44-B77ED4A02BA0}"/>
    <cellStyle name="Normal 2 2 2 2 2 11 8 5 5" xfId="5643" xr:uid="{5945949F-E70F-478A-BDCA-6AE4E08F24D5}"/>
    <cellStyle name="Normal 2 2 2 2 2 11 8 5 6" xfId="5644" xr:uid="{D727370C-8689-4A1E-835D-E8DD527A0A26}"/>
    <cellStyle name="Normal 2 2 2 2 2 11 8 6" xfId="5645" xr:uid="{1FB89A9E-BAA0-4BB2-B3CA-C941964CDD4F}"/>
    <cellStyle name="Normal 2 2 2 2 2 11 8 6 2" xfId="5646" xr:uid="{83F7873C-E83C-4711-AA01-CEE60AC8E46A}"/>
    <cellStyle name="Normal 2 2 2 2 2 11 8 6 3" xfId="5647" xr:uid="{88BC3F8D-29C8-4BC3-834F-676E0C9E1585}"/>
    <cellStyle name="Normal 2 2 2 2 2 11 8 6 4" xfId="5648" xr:uid="{535720A7-8418-460C-A745-BA295B8D3774}"/>
    <cellStyle name="Normal 2 2 2 2 2 11 8 6 5" xfId="5649" xr:uid="{8F50D442-3DA4-415D-84CA-FB88318758E4}"/>
    <cellStyle name="Normal 2 2 2 2 2 11 8 6 6" xfId="5650" xr:uid="{A23DED6D-CBFB-46A1-8C7D-B519B5365B76}"/>
    <cellStyle name="Normal 2 2 2 2 2 11 8 7" xfId="5651" xr:uid="{B65E768D-FD38-4534-8621-DC2A532697FE}"/>
    <cellStyle name="Normal 2 2 2 2 2 11 8 7 2" xfId="5652" xr:uid="{00887123-5ED8-4FB0-AD0C-F38A9A4F317F}"/>
    <cellStyle name="Normal 2 2 2 2 2 11 8 7 3" xfId="5653" xr:uid="{2A96E334-654D-4CF1-823B-ECCC0766B002}"/>
    <cellStyle name="Normal 2 2 2 2 2 11 8 7 4" xfId="5654" xr:uid="{2114810C-5B0B-4CC1-B486-2ACC0CDFD7B8}"/>
    <cellStyle name="Normal 2 2 2 2 2 11 8 7 5" xfId="5655" xr:uid="{FFD7E4E7-C8DB-4E84-B29E-8886469D61BB}"/>
    <cellStyle name="Normal 2 2 2 2 2 11 8 7 6" xfId="5656" xr:uid="{6ED8F33D-F6ED-4CC6-A8AE-29377E34D11A}"/>
    <cellStyle name="Normal 2 2 2 2 2 11 8 8" xfId="5657" xr:uid="{0A77A3A6-0B40-47BC-A0BF-BB5DAC689ACB}"/>
    <cellStyle name="Normal 2 2 2 2 2 11 8 8 2" xfId="5658" xr:uid="{DF4CEE67-81EE-407B-93EC-E3EAE34EB851}"/>
    <cellStyle name="Normal 2 2 2 2 2 11 8 8 3" xfId="5659" xr:uid="{811D59AC-855F-491C-8A6C-C57E5F66D045}"/>
    <cellStyle name="Normal 2 2 2 2 2 11 8 8 4" xfId="5660" xr:uid="{B2362F70-0800-4141-ADFC-56778B37FBB3}"/>
    <cellStyle name="Normal 2 2 2 2 2 11 8 8 5" xfId="5661" xr:uid="{A94E335C-64BD-420E-A01A-2000335093D9}"/>
    <cellStyle name="Normal 2 2 2 2 2 11 8 8 6" xfId="5662" xr:uid="{B90B4DC9-04D7-4205-A507-552E288F3C90}"/>
    <cellStyle name="Normal 2 2 2 2 2 11 8 9" xfId="5663" xr:uid="{6FC3ED9D-59A7-436A-8B30-207AEF85810C}"/>
    <cellStyle name="Normal 2 2 2 2 2 11 9" xfId="5664" xr:uid="{9D3E9576-61A6-4BEC-BF08-85AE2D534E85}"/>
    <cellStyle name="Normal 2 2 2 2 2 11 9 10" xfId="5665" xr:uid="{DA79DB35-0EB3-49C5-880A-3398747FCC0C}"/>
    <cellStyle name="Normal 2 2 2 2 2 11 9 11" xfId="5666" xr:uid="{B2C61FF5-EE81-4E66-81AF-97A3CCB18701}"/>
    <cellStyle name="Normal 2 2 2 2 2 11 9 12" xfId="5667" xr:uid="{13017442-5B88-4357-815E-0D544BEC3F4A}"/>
    <cellStyle name="Normal 2 2 2 2 2 11 9 13" xfId="5668" xr:uid="{EB7BD35C-A973-41FA-879C-BAB5C28F4DE9}"/>
    <cellStyle name="Normal 2 2 2 2 2 11 9 2" xfId="5669" xr:uid="{C8F7BF66-3D5D-4E38-AFDA-FEE43D881E00}"/>
    <cellStyle name="Normal 2 2 2 2 2 11 9 2 2" xfId="5670" xr:uid="{B95B28C8-1BD8-445D-A8D1-112E6860CA94}"/>
    <cellStyle name="Normal 2 2 2 2 2 11 9 2 3" xfId="5671" xr:uid="{B6CFD852-9231-449C-8861-7A397BE68181}"/>
    <cellStyle name="Normal 2 2 2 2 2 11 9 2 4" xfId="5672" xr:uid="{108E4BF7-50D3-479E-BC16-53D7F7C88BEE}"/>
    <cellStyle name="Normal 2 2 2 2 2 11 9 2 5" xfId="5673" xr:uid="{731C9A77-1FDE-45C0-AA9D-445F9771882C}"/>
    <cellStyle name="Normal 2 2 2 2 2 11 9 3" xfId="5674" xr:uid="{BC5DD079-D2F5-43B8-9B57-4844683A902C}"/>
    <cellStyle name="Normal 2 2 2 2 2 11 9 3 2" xfId="5675" xr:uid="{99B9762D-EC38-4859-B47D-25BD4AD8BB57}"/>
    <cellStyle name="Normal 2 2 2 2 2 11 9 3 3" xfId="5676" xr:uid="{9D8D19A4-C1FF-4665-8420-EABDC0E8D978}"/>
    <cellStyle name="Normal 2 2 2 2 2 11 9 3 4" xfId="5677" xr:uid="{9FFF543B-4FA8-4DC3-91E2-9EBC96248C56}"/>
    <cellStyle name="Normal 2 2 2 2 2 11 9 3 5" xfId="5678" xr:uid="{9CE81F11-F0F9-4286-A948-A94D2B076984}"/>
    <cellStyle name="Normal 2 2 2 2 2 11 9 3 6" xfId="5679" xr:uid="{DFE97E68-F962-4B50-AD6F-B8D5F7CAB631}"/>
    <cellStyle name="Normal 2 2 2 2 2 11 9 4" xfId="5680" xr:uid="{4C59ADCE-5A9D-43F4-A4A4-FFBE12B0AF33}"/>
    <cellStyle name="Normal 2 2 2 2 2 11 9 4 2" xfId="5681" xr:uid="{52F61293-4537-41AC-BFC8-D1AEAAB42A2F}"/>
    <cellStyle name="Normal 2 2 2 2 2 11 9 4 3" xfId="5682" xr:uid="{04F4B6CD-99C7-406A-80E8-848388635245}"/>
    <cellStyle name="Normal 2 2 2 2 2 11 9 4 4" xfId="5683" xr:uid="{F3159B2E-353D-4C4D-8C73-BF84E9328029}"/>
    <cellStyle name="Normal 2 2 2 2 2 11 9 4 5" xfId="5684" xr:uid="{D6A3ED68-4252-4517-92FB-C520377630FE}"/>
    <cellStyle name="Normal 2 2 2 2 2 11 9 4 6" xfId="5685" xr:uid="{BD9B2A7A-BB19-4514-9602-2E38CACFA038}"/>
    <cellStyle name="Normal 2 2 2 2 2 11 9 5" xfId="5686" xr:uid="{067368FE-16E1-4188-A7BA-48F171A3ECE5}"/>
    <cellStyle name="Normal 2 2 2 2 2 11 9 5 2" xfId="5687" xr:uid="{E4C41EC8-7D9A-49A1-8309-CFCE86577CB8}"/>
    <cellStyle name="Normal 2 2 2 2 2 11 9 5 3" xfId="5688" xr:uid="{D80FA49D-1220-411B-87DC-0133228BAEAA}"/>
    <cellStyle name="Normal 2 2 2 2 2 11 9 5 4" xfId="5689" xr:uid="{A6CEAD1D-B04F-4592-A8DD-C2BC4E877467}"/>
    <cellStyle name="Normal 2 2 2 2 2 11 9 5 5" xfId="5690" xr:uid="{7DFB692D-D028-4FF2-8820-736C989D2E0E}"/>
    <cellStyle name="Normal 2 2 2 2 2 11 9 5 6" xfId="5691" xr:uid="{5E2D3EBB-367D-4A42-B761-BC4FD22D0012}"/>
    <cellStyle name="Normal 2 2 2 2 2 11 9 6" xfId="5692" xr:uid="{412275D2-B93A-4523-85C0-36195834DA0C}"/>
    <cellStyle name="Normal 2 2 2 2 2 11 9 6 2" xfId="5693" xr:uid="{E9597B21-64BD-49A2-A350-9C9DB6C6A286}"/>
    <cellStyle name="Normal 2 2 2 2 2 11 9 6 3" xfId="5694" xr:uid="{F8EC98CE-936A-4E9D-9C07-7B0E07881086}"/>
    <cellStyle name="Normal 2 2 2 2 2 11 9 6 4" xfId="5695" xr:uid="{FF7966B7-E22C-41D7-A5EB-913B188B5AF9}"/>
    <cellStyle name="Normal 2 2 2 2 2 11 9 6 5" xfId="5696" xr:uid="{EB7FB920-A522-4680-9CB8-EDF7AB4B104C}"/>
    <cellStyle name="Normal 2 2 2 2 2 11 9 6 6" xfId="5697" xr:uid="{9E5E808F-4F3A-4599-ABC0-C14D4BE08D50}"/>
    <cellStyle name="Normal 2 2 2 2 2 11 9 7" xfId="5698" xr:uid="{4316BC08-1EAA-4AFC-852E-DA9E7FA6FBC1}"/>
    <cellStyle name="Normal 2 2 2 2 2 11 9 7 2" xfId="5699" xr:uid="{ED87F7AA-5C9C-4668-A90C-1229A68C91BE}"/>
    <cellStyle name="Normal 2 2 2 2 2 11 9 7 3" xfId="5700" xr:uid="{C75FC15A-FBD2-4F00-91DF-79D0B4A79F1F}"/>
    <cellStyle name="Normal 2 2 2 2 2 11 9 7 4" xfId="5701" xr:uid="{E4D5A9E4-C506-44AD-A0CF-15301EE972E7}"/>
    <cellStyle name="Normal 2 2 2 2 2 11 9 7 5" xfId="5702" xr:uid="{2540C5E6-1749-4445-95B8-FBEDD9309955}"/>
    <cellStyle name="Normal 2 2 2 2 2 11 9 7 6" xfId="5703" xr:uid="{CB098773-056D-4FC2-9CA2-21D49EC34962}"/>
    <cellStyle name="Normal 2 2 2 2 2 11 9 8" xfId="5704" xr:uid="{68E5988E-A868-4C3D-BBBF-27ACC1A0BCB8}"/>
    <cellStyle name="Normal 2 2 2 2 2 11 9 8 2" xfId="5705" xr:uid="{7CD872C4-6A50-4653-A3F1-348B5501C6C6}"/>
    <cellStyle name="Normal 2 2 2 2 2 11 9 8 3" xfId="5706" xr:uid="{B6429988-49D1-4CA8-91AB-1A6623A5A671}"/>
    <cellStyle name="Normal 2 2 2 2 2 11 9 8 4" xfId="5707" xr:uid="{E3C8E8C6-BCAB-4385-9FAD-30D111708279}"/>
    <cellStyle name="Normal 2 2 2 2 2 11 9 8 5" xfId="5708" xr:uid="{1B0D03E0-F5A2-43FE-A2B7-76DD9ED15CE0}"/>
    <cellStyle name="Normal 2 2 2 2 2 11 9 8 6" xfId="5709" xr:uid="{1C44E77B-95A8-462D-B005-BC7C740B4AA9}"/>
    <cellStyle name="Normal 2 2 2 2 2 11 9 9" xfId="5710" xr:uid="{6A7CCD2F-048F-49B7-911B-7D1852384834}"/>
    <cellStyle name="Normal 2 2 2 2 2 12" xfId="5711" xr:uid="{30C3B07C-94DB-4BC6-88C7-CFF392B99926}"/>
    <cellStyle name="Normal 2 2 2 2 2 12 10" xfId="5712" xr:uid="{A5C29BDD-48FA-4787-9209-62A3DE5E2AD4}"/>
    <cellStyle name="Normal 2 2 2 2 2 12 11" xfId="5713" xr:uid="{48CF7E76-1840-4CAE-85A9-AF6079C66B47}"/>
    <cellStyle name="Normal 2 2 2 2 2 12 12" xfId="5714" xr:uid="{92B0A024-1735-457A-BA2D-0112585B7A52}"/>
    <cellStyle name="Normal 2 2 2 2 2 12 13" xfId="5715" xr:uid="{A391A0FC-A952-49ED-8CFB-30261B69E507}"/>
    <cellStyle name="Normal 2 2 2 2 2 12 2" xfId="5716" xr:uid="{D562E938-9297-4BBE-8849-EF68994062C7}"/>
    <cellStyle name="Normal 2 2 2 2 2 12 2 2" xfId="5717" xr:uid="{E3248B78-3F8D-4AA3-800E-5229043D71BA}"/>
    <cellStyle name="Normal 2 2 2 2 2 12 2 3" xfId="5718" xr:uid="{0D22543A-34D7-4510-8FA9-983337235371}"/>
    <cellStyle name="Normal 2 2 2 2 2 12 2 4" xfId="5719" xr:uid="{8DF5F259-A7FC-45A7-B265-6F263569D68E}"/>
    <cellStyle name="Normal 2 2 2 2 2 12 2 5" xfId="5720" xr:uid="{B8715AF3-6779-4587-A4B3-165CCA0C9E1A}"/>
    <cellStyle name="Normal 2 2 2 2 2 12 2 6" xfId="5721" xr:uid="{0D5873A1-CDFD-4031-A811-D6BA11D3F9D5}"/>
    <cellStyle name="Normal 2 2 2 2 2 12 3" xfId="5722" xr:uid="{DA9C52D2-EC5F-4209-B4A9-0B4B496DD5AB}"/>
    <cellStyle name="Normal 2 2 2 2 2 12 3 2" xfId="5723" xr:uid="{4DAF9655-6002-4730-B539-2FBD3D4C89A4}"/>
    <cellStyle name="Normal 2 2 2 2 2 12 3 3" xfId="5724" xr:uid="{F8EE64AD-D733-4CD8-8B1D-76BFAEB1E8FC}"/>
    <cellStyle name="Normal 2 2 2 2 2 12 3 4" xfId="5725" xr:uid="{8BA852F2-F611-463B-87CE-4C14E6041731}"/>
    <cellStyle name="Normal 2 2 2 2 2 12 3 5" xfId="5726" xr:uid="{E0CDF97E-830A-4555-B7BB-4A76F512129E}"/>
    <cellStyle name="Normal 2 2 2 2 2 12 3 6" xfId="5727" xr:uid="{4B5377CC-2B97-4101-BE10-9A34CDDF4D9B}"/>
    <cellStyle name="Normal 2 2 2 2 2 12 4" xfId="5728" xr:uid="{7C3C2A84-B550-466E-B34B-6BE540C914B4}"/>
    <cellStyle name="Normal 2 2 2 2 2 12 4 2" xfId="5729" xr:uid="{9598D1E8-37C7-436A-994A-527E5C6F9544}"/>
    <cellStyle name="Normal 2 2 2 2 2 12 4 3" xfId="5730" xr:uid="{CBABC489-5F79-48BE-83F6-2B13D79ED246}"/>
    <cellStyle name="Normal 2 2 2 2 2 12 4 4" xfId="5731" xr:uid="{E5FF36B8-B8E7-4549-8383-8A1297E7B1FE}"/>
    <cellStyle name="Normal 2 2 2 2 2 12 4 5" xfId="5732" xr:uid="{DD6421BE-8E9C-4BE8-B565-E5B5212B209D}"/>
    <cellStyle name="Normal 2 2 2 2 2 12 4 6" xfId="5733" xr:uid="{9C2DE288-7473-405C-8B1D-88A3250D43E9}"/>
    <cellStyle name="Normal 2 2 2 2 2 12 5" xfId="5734" xr:uid="{AA9A3857-5931-4699-9578-F1BCE4798A99}"/>
    <cellStyle name="Normal 2 2 2 2 2 12 5 2" xfId="5735" xr:uid="{12CDAB29-D920-4470-81D0-119DAB495A96}"/>
    <cellStyle name="Normal 2 2 2 2 2 12 5 3" xfId="5736" xr:uid="{214A0E9B-A3CA-45EC-B81D-60ED3933FDC2}"/>
    <cellStyle name="Normal 2 2 2 2 2 12 5 4" xfId="5737" xr:uid="{F32967A8-F22E-43F1-B51C-06365F729564}"/>
    <cellStyle name="Normal 2 2 2 2 2 12 5 5" xfId="5738" xr:uid="{5B1A52D0-2D9C-4996-A16F-BB7FACD784B7}"/>
    <cellStyle name="Normal 2 2 2 2 2 12 5 6" xfId="5739" xr:uid="{1567FBFD-7901-4518-8945-CAC80EE0E247}"/>
    <cellStyle name="Normal 2 2 2 2 2 12 6" xfId="5740" xr:uid="{1E5A3744-068B-4479-B1E6-45ABBA252E20}"/>
    <cellStyle name="Normal 2 2 2 2 2 12 6 2" xfId="5741" xr:uid="{BB5D7B79-3192-4ECC-8168-AA0C1D3B2796}"/>
    <cellStyle name="Normal 2 2 2 2 2 12 6 3" xfId="5742" xr:uid="{C0E74B26-38DF-463D-9AE5-D533C0F5DEAC}"/>
    <cellStyle name="Normal 2 2 2 2 2 12 6 4" xfId="5743" xr:uid="{46975CA0-07B6-43DE-AA56-AA15E9700EC3}"/>
    <cellStyle name="Normal 2 2 2 2 2 12 6 5" xfId="5744" xr:uid="{8E35DF1D-66C9-45E6-AD95-EF7E50308D9F}"/>
    <cellStyle name="Normal 2 2 2 2 2 12 6 6" xfId="5745" xr:uid="{1ABE4F9C-9F05-4F01-8529-CEC820783798}"/>
    <cellStyle name="Normal 2 2 2 2 2 12 7" xfId="5746" xr:uid="{D175F901-140D-4D41-AF2B-2EB2183CA849}"/>
    <cellStyle name="Normal 2 2 2 2 2 12 7 2" xfId="5747" xr:uid="{DF8E835C-569A-4BC6-BAB3-E638B2CA4C76}"/>
    <cellStyle name="Normal 2 2 2 2 2 12 7 4" xfId="5748" xr:uid="{204017F4-68A9-4754-9BC3-71AB7EB6A3E3}"/>
    <cellStyle name="Normal 2 2 2 2 2 12 7 6" xfId="5749" xr:uid="{5336271F-B7E6-48A2-A038-25CAFB6E518A}"/>
    <cellStyle name="Normal 2 2 2 2 2 12 8 2" xfId="5750" xr:uid="{30E35290-7F90-4F6B-A15D-F1247B69F302}"/>
    <cellStyle name="Normal 2 2 2 2 2 12 8 4" xfId="5751" xr:uid="{E8B2CA8B-5C92-446C-9351-E2E09049D891}"/>
    <cellStyle name="Normal 2 2 2 2 2 12 8 6" xfId="5752" xr:uid="{733BA834-13DB-4F1D-8334-C67336C8D517}"/>
    <cellStyle name="Normal 2 2 2 2 2 13" xfId="5753" xr:uid="{6FB700EB-7C4E-4F04-AABA-6A7CAC538615}"/>
    <cellStyle name="Normal 2 2 2 2 2 13 11" xfId="5754" xr:uid="{ECD23926-73DA-41FC-8DAF-6070C2A9E522}"/>
    <cellStyle name="Normal 2 2 2 2 2 13 13" xfId="5755" xr:uid="{3A3AA8F2-34A5-4033-9DE6-BF505167F802}"/>
    <cellStyle name="Normal 2 2 2 2 2 13 2" xfId="5756" xr:uid="{92F1C350-F0EF-4777-977D-627A5919BA71}"/>
    <cellStyle name="Normal 2 2 2 2 2 13 2 2" xfId="5757" xr:uid="{E3A99859-2589-4889-9C46-8D4ABEA711D3}"/>
    <cellStyle name="Normal 2 2 2 2 2 13 2 3" xfId="5758" xr:uid="{FE8BAABA-B6C9-436F-9E01-05B9D0D65652}"/>
    <cellStyle name="Normal 2 2 2 2 2 13 2 5" xfId="5759" xr:uid="{121C2E95-50AB-400D-8707-42245CFFCD73}"/>
    <cellStyle name="Normal 2 2 2 2 2 13 3" xfId="5760" xr:uid="{79993C46-8CFC-4DD3-84D1-5781687F5216}"/>
    <cellStyle name="Normal 2 2 2 2 2 13 3 2" xfId="5761" xr:uid="{73EA511C-FF46-47C0-90CA-1C0D813FB865}"/>
    <cellStyle name="Normal 2 2 2 2 2 13 3 3" xfId="5762" xr:uid="{96D77F56-3B74-4470-A1E0-D357B36107B6}"/>
    <cellStyle name="Normal 2 2 2 2 2 13 3 4" xfId="5763" xr:uid="{AF5A73CE-7A77-4475-8D20-A54C6DC66867}"/>
    <cellStyle name="Normal 2 2 2 2 2 13 3 5" xfId="5764" xr:uid="{4A66FC3A-329D-4F7C-A6EA-209729F7552C}"/>
    <cellStyle name="Normal 2 2 2 2 2 13 3 6" xfId="5765" xr:uid="{FE7D2923-D5A2-4B4E-B9C2-7F8F5F2D2102}"/>
    <cellStyle name="Normal 2 2 2 2 2 13 4 2" xfId="5766" xr:uid="{2AD77395-B345-4CC4-99C3-B92AF12F9B69}"/>
    <cellStyle name="Normal 2 2 2 2 2 13 4 3" xfId="5767" xr:uid="{861EDD66-ABF2-4BFC-B959-4C8B3E42B991}"/>
    <cellStyle name="Normal 2 2 2 2 2 13 4 4" xfId="5768" xr:uid="{B03C2FD0-7F0A-4946-8F6D-F7D6E89E9422}"/>
    <cellStyle name="Normal 2 2 2 2 2 13 4 5" xfId="5769" xr:uid="{1C1EFCE4-8EEC-47CC-9E8B-30DD7D829478}"/>
    <cellStyle name="Normal 2 2 2 2 2 13 4 6" xfId="5770" xr:uid="{D26D1FAC-FDBD-4D5D-9D64-DD86F4F1B4A2}"/>
    <cellStyle name="Normal 2 2 2 2 2 13 5 2" xfId="5771" xr:uid="{FBEC88CC-0870-4895-9536-CDC3281610C5}"/>
    <cellStyle name="Normal 2 2 2 2 2 13 5 4" xfId="5772" xr:uid="{0CCC07C8-241C-4D05-8052-E7209775F48B}"/>
    <cellStyle name="Normal 2 2 2 2 2 13 5 6" xfId="5773" xr:uid="{5C91FF53-804D-4F26-9260-A90BF97E4AC7}"/>
    <cellStyle name="Normal 2 2 2 2 2 13 6 2" xfId="5774" xr:uid="{30679867-E9C1-4BA5-ABEC-5FD3B50D4A5D}"/>
    <cellStyle name="Normal 2 2 2 2 2 13 6 3" xfId="5775" xr:uid="{34E03BA9-1806-4E65-A3AB-78BC530CCAC2}"/>
    <cellStyle name="Normal 2 2 2 2 2 13 6 4" xfId="5776" xr:uid="{6B3FC6D2-D080-4C0B-8CE0-B7AC7E665001}"/>
    <cellStyle name="Normal 2 2 2 2 2 13 6 6" xfId="5777" xr:uid="{BCAA967F-A70A-42CA-B7A7-10B749F622F1}"/>
    <cellStyle name="Normal 2 2 2 2 2 13 7 2" xfId="5778" xr:uid="{6C814302-64A8-4EA0-9184-9504E2F45911}"/>
    <cellStyle name="Normal 2 2 2 2 2 13 7 4" xfId="5779" xr:uid="{0F1D78E1-A539-421D-B1C2-8C2655F84B54}"/>
    <cellStyle name="Normal 2 2 2 2 2 13 7 6" xfId="5780" xr:uid="{6E352415-A572-4794-B835-95ACBD6F33B6}"/>
    <cellStyle name="Normal 2 2 2 2 2 13 8" xfId="5781" xr:uid="{E90D30A2-BE32-4178-A097-A7FD014F8DE8}"/>
    <cellStyle name="Normal 2 2 2 2 2 13 8 2" xfId="5782" xr:uid="{76E04C2B-9E91-4A9C-B3D3-ABAC31206E43}"/>
    <cellStyle name="Normal 2 2 2 2 2 13 8 5" xfId="5783" xr:uid="{220FB2D5-3FEE-474C-828C-D2A2F61B27B4}"/>
    <cellStyle name="Normal 2 2 2 2 2 13 9" xfId="5784" xr:uid="{665A5D79-5597-43A1-BCA5-321FD09FB6A4}"/>
    <cellStyle name="Normal 2 2 2 2 2 14 10" xfId="5785" xr:uid="{B6DBC678-51D3-4369-9530-8C7D2D319FA2}"/>
    <cellStyle name="Normal 2 2 2 2 2 14 12" xfId="5786" xr:uid="{61584208-5D7D-4F0F-9B28-80F95AF527CF}"/>
    <cellStyle name="Normal 2 2 2 2 2 14 2" xfId="5787" xr:uid="{F94FA468-1756-4DC6-83B2-B8C4FC720810}"/>
    <cellStyle name="Normal 2 2 2 2 2 14 2 3" xfId="5788" xr:uid="{4B10C3AD-968C-43AA-A734-BC6F52BFFA7A}"/>
    <cellStyle name="Normal 2 2 2 2 2 14 3" xfId="5789" xr:uid="{CC4A1CC5-79A7-48C4-AA84-1055C120C567}"/>
    <cellStyle name="Normal 2 2 2 2 2 14 3 3" xfId="5790" xr:uid="{97A6B373-AD24-45DD-8E50-08111665AD81}"/>
    <cellStyle name="Normal 2 2 2 2 2 14 3 5" xfId="5791" xr:uid="{9AA93A33-3D46-4D7A-9C60-29CB45E5293B}"/>
    <cellStyle name="Normal 2 2 2 2 2 14 4" xfId="5792" xr:uid="{004F90DF-FD93-41BD-906B-6CB1D8B34FC2}"/>
    <cellStyle name="Normal 2 2 2 2 2 14 4 3" xfId="5793" xr:uid="{ED30BD1E-88CB-4938-8D59-C7A76C021A14}"/>
    <cellStyle name="Normal 2 2 2 2 2 14 4 5" xfId="5794" xr:uid="{B2314AFA-AD39-4FE1-954C-64BB4431F64A}"/>
    <cellStyle name="Normal 2 2 2 2 2 14 5 3" xfId="5795" xr:uid="{28527E62-2149-4C55-A89B-AE5FFD43185C}"/>
    <cellStyle name="Normal 2 2 2 2 2 14 5 5" xfId="5796" xr:uid="{5CD4A025-356A-4D64-9305-B024D0B5180F}"/>
    <cellStyle name="Normal 2 2 2 2 2 14 5 6" xfId="5797" xr:uid="{653F2335-39D2-47E0-ABF5-41B1B8AE1F7D}"/>
    <cellStyle name="Normal 2 2 2 2 2 14 6" xfId="5798" xr:uid="{6829E7F6-5C3B-4FF6-880E-7694B0784C40}"/>
    <cellStyle name="Normal 2 2 2 2 2 14 6 2" xfId="5799" xr:uid="{07FAF2E0-255D-496D-82B9-FAF44396219D}"/>
    <cellStyle name="Normal 2 2 2 2 2 14 6 3" xfId="5800" xr:uid="{E1A757DD-9C8E-42D6-992C-3E07F3DC9710}"/>
    <cellStyle name="Normal 2 2 2 2 2 14 6 4" xfId="5801" xr:uid="{63B11C11-C705-401D-A3D2-0DE5557A28CB}"/>
    <cellStyle name="Normal 2 2 2 2 2 14 6 5" xfId="5802" xr:uid="{39245768-3CD3-457B-AF3F-6E1E5DC39FFF}"/>
    <cellStyle name="Normal 2 2 2 2 2 14 6 6" xfId="5803" xr:uid="{7F82F4D6-30D7-44FC-9F58-12B1102D4545}"/>
    <cellStyle name="Normal 2 2 2 2 2 14 7" xfId="5804" xr:uid="{F85BBC75-02B1-475A-8CC9-63841F6F8C7A}"/>
    <cellStyle name="Normal 2 2 2 2 2 14 7 3" xfId="5805" xr:uid="{F605D364-ACEB-41A6-AAF9-63C6FE35427C}"/>
    <cellStyle name="Normal 2 2 2 2 2 14 7 5" xfId="5806" xr:uid="{36C8F46B-10EC-46B1-98F0-1EA3AE82A678}"/>
    <cellStyle name="Normal 2 2 2 2 2 14 8" xfId="5807" xr:uid="{6FF2C939-DABE-442C-BD7C-1EF7DA7A2176}"/>
    <cellStyle name="Normal 2 2 2 2 2 14 8 3" xfId="5808" xr:uid="{6F0E5FB4-0118-4126-9DED-0877C81ABC66}"/>
    <cellStyle name="Normal 2 2 2 2 2 14 8 5" xfId="5809" xr:uid="{8FFDDD9D-57CE-45C5-B15D-84D4A89AEA4E}"/>
    <cellStyle name="Normal 2 2 2 2 2 15" xfId="5810" xr:uid="{DD9AE818-74E7-445C-9D18-6216B352C0E6}"/>
    <cellStyle name="Normal 2 2 2 2 2 15 11" xfId="5811" xr:uid="{A497ADB9-6C1C-4915-B156-AA134C89D9EA}"/>
    <cellStyle name="Normal 2 2 2 2 2 15 12" xfId="5812" xr:uid="{14EB864B-51BE-43B4-B8F1-1CD4A3CBC460}"/>
    <cellStyle name="Normal 2 2 2 2 2 15 13" xfId="5813" xr:uid="{EB283037-9BC9-4F6B-A03B-6DF16AD179B6}"/>
    <cellStyle name="Normal 2 2 2 2 2 15 2" xfId="5814" xr:uid="{85D37D0D-D869-4756-BB43-9C978A5385B4}"/>
    <cellStyle name="Normal 2 2 2 2 2 15 2 2" xfId="5815" xr:uid="{07D904C8-DD5D-4EB1-9C88-85A09836D6A8}"/>
    <cellStyle name="Normal 2 2 2 2 2 15 2 4" xfId="5816" xr:uid="{492046FC-328E-4082-882C-5DB32A307CB3}"/>
    <cellStyle name="Normal 2 2 2 2 2 15 2 5" xfId="5817" xr:uid="{7467EB91-6661-4FB9-AB8E-3A86523D31D4}"/>
    <cellStyle name="Normal 2 2 2 2 2 15 2 6" xfId="5818" xr:uid="{7EF148E2-CA4D-4F56-A4CC-764F1E12157B}"/>
    <cellStyle name="Normal 2 2 2 2 2 15 3" xfId="5819" xr:uid="{B4673551-C31B-4EAA-83DE-84023C00BC4A}"/>
    <cellStyle name="Normal 2 2 2 2 2 15 3 2" xfId="5820" xr:uid="{3531913B-CDF1-4581-AC15-E20720D20A71}"/>
    <cellStyle name="Normal 2 2 2 2 2 15 3 3" xfId="5821" xr:uid="{04A2C7E4-40B2-4271-B526-A34C95DA29A3}"/>
    <cellStyle name="Normal 2 2 2 2 2 15 3 4" xfId="5822" xr:uid="{2D8F5DB0-ABCC-4818-943C-260789111EDC}"/>
    <cellStyle name="Normal 2 2 2 2 2 15 3 5" xfId="5823" xr:uid="{F4DE8831-3492-4EFC-A45F-AC8C67A900B1}"/>
    <cellStyle name="Normal 2 2 2 2 2 15 3 6" xfId="5824" xr:uid="{B74630A4-FB20-48AA-B66E-5F497A231A83}"/>
    <cellStyle name="Normal 2 2 2 2 2 15 4" xfId="5825" xr:uid="{E52558EE-A00B-480B-AEA7-30E61DFFC73D}"/>
    <cellStyle name="Normal 2 2 2 2 2 15 4 3" xfId="5826" xr:uid="{27E784C7-2578-445F-A823-FF63917EE396}"/>
    <cellStyle name="Normal 2 2 2 2 2 15 4 4" xfId="5827" xr:uid="{63577331-685D-43F6-9AD8-19E7462D9AE7}"/>
    <cellStyle name="Normal 2 2 2 2 2 15 4 5" xfId="5828" xr:uid="{6B994B6C-81EB-4852-85B2-5741062AF4E7}"/>
    <cellStyle name="Normal 2 2 2 2 2 15 4 6" xfId="5829" xr:uid="{5F846CB7-6FC3-4C4F-9DE8-FCD825C7F2E6}"/>
    <cellStyle name="Normal 2 2 2 2 2 15 5" xfId="5830" xr:uid="{30DA2097-9B5A-4F99-89B4-0D7BF1BF7BF8}"/>
    <cellStyle name="Normal 2 2 2 2 2 15 5 3" xfId="5831" xr:uid="{5855824C-80E0-4D03-B738-E2734E309FD1}"/>
    <cellStyle name="Normal 2 2 2 2 2 15 5 5" xfId="5832" xr:uid="{B9484A40-A0C0-44C7-8CA9-3425C038B691}"/>
    <cellStyle name="Normal 2 2 2 2 2 15 6" xfId="5833" xr:uid="{AADFCD6B-CB6C-49DA-B15D-4026ACD2B96B}"/>
    <cellStyle name="Normal 2 2 2 2 2 15 6 3" xfId="5834" xr:uid="{8A3221A9-E2D8-4CD7-B05A-742A2BE8B32A}"/>
    <cellStyle name="Normal 2 2 2 2 2 15 6 4" xfId="5835" xr:uid="{B9207B9E-CFEF-4901-946D-CE04D0459CE6}"/>
    <cellStyle name="Normal 2 2 2 2 2 15 6 5" xfId="5836" xr:uid="{60030731-F00B-49AF-87F5-828BFD3DFF00}"/>
    <cellStyle name="Normal 2 2 2 2 2 15 7" xfId="5837" xr:uid="{BF0FC298-79F1-41A4-8BC6-E9C4DA7D7231}"/>
    <cellStyle name="Normal 2 2 2 2 2 15 7 3" xfId="5838" xr:uid="{E9E825F0-C907-4A2E-97B3-2F039C2E7796}"/>
    <cellStyle name="Normal 2 2 2 2 2 15 7 5" xfId="5839" xr:uid="{421F3F86-6DAD-48DD-9B2C-50F2478DF585}"/>
    <cellStyle name="Normal 2 2 2 2 2 15 8" xfId="5840" xr:uid="{FD4E5856-6615-4D2D-B22A-D8AEE8935E13}"/>
    <cellStyle name="Normal 2 2 2 2 2 15 8 2" xfId="5841" xr:uid="{5D332FAF-AB28-48F3-9A30-3CF5B1E21AD1}"/>
    <cellStyle name="Normal 2 2 2 2 2 15 8 3" xfId="5842" xr:uid="{9AB5941D-95C5-4EE2-94ED-222FD788951F}"/>
    <cellStyle name="Normal 2 2 2 2 2 15 8 5" xfId="5843" xr:uid="{79CFC445-A0C1-4715-99DF-942F583AAB0A}"/>
    <cellStyle name="Normal 2 2 2 2 2 15 8 6" xfId="5844" xr:uid="{780525E2-B6A3-48CC-9328-1D5793BB82DB}"/>
    <cellStyle name="Normal 2 2 2 2 2 15 9" xfId="5845" xr:uid="{34E2FD3B-4831-4447-B52C-A95BC6EDD6D6}"/>
    <cellStyle name="Normal 2 2 2 2 2 16" xfId="5846" xr:uid="{082FEA9C-A2A8-4D86-9459-FBBD15260BC9}"/>
    <cellStyle name="Normal 2 2 2 2 2 16 10" xfId="5847" xr:uid="{C59E4DB9-FCD6-4EF2-8166-92899FAC7E5A}"/>
    <cellStyle name="Normal 2 2 2 2 2 16 11" xfId="5848" xr:uid="{E6D05907-3F2F-46E0-835F-F4C3016251C6}"/>
    <cellStyle name="Normal 2 2 2 2 2 16 13" xfId="5849" xr:uid="{670FC107-8D81-44AF-9849-28C2ABFEE515}"/>
    <cellStyle name="Normal 2 2 2 2 2 16 2" xfId="5850" xr:uid="{42749A60-0E72-4334-B56C-DEA94D755FC8}"/>
    <cellStyle name="Normal 2 2 2 2 2 16 2 2" xfId="5851" xr:uid="{56D7749E-22A7-4592-B499-996C571565D4}"/>
    <cellStyle name="Normal 2 2 2 2 2 16 2 3" xfId="5852" xr:uid="{E0DE7EFD-0382-4AB0-AB66-14B8C4C2BF35}"/>
    <cellStyle name="Normal 2 2 2 2 2 16 2 4" xfId="5853" xr:uid="{D193EEF7-A3A9-4117-A9AD-6738A63927FA}"/>
    <cellStyle name="Normal 2 2 2 2 2 16 2 5" xfId="5854" xr:uid="{3E2C386E-9BE0-4D56-83BC-7F287A8509F6}"/>
    <cellStyle name="Normal 2 2 2 2 2 16 3" xfId="5855" xr:uid="{7690D074-EEAD-4912-A612-41A6939EE775}"/>
    <cellStyle name="Normal 2 2 2 2 2 16 3 2" xfId="5856" xr:uid="{950669F8-3F3F-48EC-8A17-B0CA91B95623}"/>
    <cellStyle name="Normal 2 2 2 2 2 16 3 3" xfId="5857" xr:uid="{B44472A1-C7DA-452D-8E66-E081F61B3073}"/>
    <cellStyle name="Normal 2 2 2 2 2 16 3 4" xfId="5858" xr:uid="{54A7FD3E-5DA6-4043-A408-255833580556}"/>
    <cellStyle name="Normal 2 2 2 2 2 16 3 5" xfId="5859" xr:uid="{D57118F3-903E-4664-A69A-40072239AF45}"/>
    <cellStyle name="Normal 2 2 2 2 2 16 3 6" xfId="5860" xr:uid="{1EC5C0C0-5762-4C88-A698-74F2D85EB454}"/>
    <cellStyle name="Normal 2 2 2 2 2 16 4" xfId="5861" xr:uid="{4C6128B4-79B9-4FD2-B9BB-6315968FB6D6}"/>
    <cellStyle name="Normal 2 2 2 2 2 16 4 2" xfId="5862" xr:uid="{1E65C916-44D1-410B-9B99-8A31DD3D2877}"/>
    <cellStyle name="Normal 2 2 2 2 2 16 4 3" xfId="5863" xr:uid="{C6DCDCD4-EEE5-4E1E-B2BB-104A276F0DF1}"/>
    <cellStyle name="Normal 2 2 2 2 2 16 4 4" xfId="5864" xr:uid="{68C86419-B110-4AA5-842A-45552ECCC2D6}"/>
    <cellStyle name="Normal 2 2 2 2 2 16 4 5" xfId="5865" xr:uid="{9EA13D14-556E-4298-ADD7-EFBCEDBCABA4}"/>
    <cellStyle name="Normal 2 2 2 2 2 16 4 6" xfId="5866" xr:uid="{02447408-E003-4FBB-9F00-24C97333BF66}"/>
    <cellStyle name="Normal 2 2 2 2 2 16 5" xfId="5867" xr:uid="{0C9C4377-B17E-43FA-B2F6-E9F6AAD8F34C}"/>
    <cellStyle name="Normal 2 2 2 2 2 16 5 2" xfId="5868" xr:uid="{6D565240-1528-44E4-AE99-4C0F74F243F4}"/>
    <cellStyle name="Normal 2 2 2 2 2 16 5 3" xfId="5869" xr:uid="{254930EF-D583-4EBA-B68F-5A5EA8F16BE6}"/>
    <cellStyle name="Normal 2 2 2 2 2 16 5 4" xfId="5870" xr:uid="{D74D080C-DC5F-4E61-A93B-095A4C242684}"/>
    <cellStyle name="Normal 2 2 2 2 2 16 5 5" xfId="5871" xr:uid="{F7EA2B25-0847-4F0A-8F51-7703B48AFE41}"/>
    <cellStyle name="Normal 2 2 2 2 2 16 5 6" xfId="5872" xr:uid="{7EF37C69-9D5B-4F79-93F8-32008D526648}"/>
    <cellStyle name="Normal 2 2 2 2 2 16 6" xfId="5873" xr:uid="{CF889270-C1BF-415A-8A48-889EE281F371}"/>
    <cellStyle name="Normal 2 2 2 2 2 16 6 3" xfId="5874" xr:uid="{785C8A36-E791-4FF1-9FBE-77B278B067E5}"/>
    <cellStyle name="Normal 2 2 2 2 2 16 6 4" xfId="5875" xr:uid="{5CB033E9-C371-49B1-B554-ABA44C4FBF88}"/>
    <cellStyle name="Normal 2 2 2 2 2 16 6 5" xfId="5876" xr:uid="{9551FEF4-EC33-449F-916D-3E388C8F6DC2}"/>
    <cellStyle name="Normal 2 2 2 2 2 16 6 6" xfId="5877" xr:uid="{975A7CA7-2383-4A54-B166-CAEBF320FD22}"/>
    <cellStyle name="Normal 2 2 2 2 2 16 7" xfId="5878" xr:uid="{7788FB3E-B21B-4DD2-B73D-2093A6AAA045}"/>
    <cellStyle name="Normal 2 2 2 2 2 16 7 3" xfId="5879" xr:uid="{ECAD5E04-C940-454F-9539-C01A17DEAEE5}"/>
    <cellStyle name="Normal 2 2 2 2 2 16 7 6" xfId="5880" xr:uid="{BA5BC1D6-50A8-4FD6-8C5C-04D9EE2C2CBE}"/>
    <cellStyle name="Normal 2 2 2 2 2 16 8 4" xfId="5881" xr:uid="{9F258A7F-D7C2-4C3F-8305-8B4A99D54501}"/>
    <cellStyle name="Normal 2 2 2 2 2 17" xfId="5882" xr:uid="{4B270BB3-2B33-45B1-9437-7E15FBA827B7}"/>
    <cellStyle name="Normal 2 2 2 2 2 17 11" xfId="5883" xr:uid="{05A6154C-DC2B-46E3-854F-D925C567581E}"/>
    <cellStyle name="Normal 2 2 2 2 2 17 13" xfId="5884" xr:uid="{CE4422FE-71B3-42D7-8784-40739743CD50}"/>
    <cellStyle name="Normal 2 2 2 2 2 17 2 4" xfId="5885" xr:uid="{CB159A17-22C8-4A20-AD10-EF807182F8A0}"/>
    <cellStyle name="Normal 2 2 2 2 2 17 3 2" xfId="5886" xr:uid="{90804D30-7D11-448E-90C2-2F6D74305D21}"/>
    <cellStyle name="Normal 2 2 2 2 2 17 3 4" xfId="5887" xr:uid="{97D1E46A-7BE4-4E6B-AB33-AE1130DEDCC4}"/>
    <cellStyle name="Normal 2 2 2 2 2 17 3 6" xfId="5888" xr:uid="{06F3C0D9-7691-4FD6-8214-13BE6069F85C}"/>
    <cellStyle name="Normal 2 2 2 2 2 17 4 2" xfId="5889" xr:uid="{5161BD5E-DBEC-486D-9F8B-0948518E4EC1}"/>
    <cellStyle name="Normal 2 2 2 2 2 17 4 4" xfId="5890" xr:uid="{6631207D-1563-48C9-A274-757395122669}"/>
    <cellStyle name="Normal 2 2 2 2 2 17 5 2" xfId="5891" xr:uid="{6E62A7DD-2129-4987-A719-B4A8D3D327F0}"/>
    <cellStyle name="Normal 2 2 2 2 2 17 5 4" xfId="5892" xr:uid="{41F268E0-6B7A-4446-A130-8DC9F8F45B5F}"/>
    <cellStyle name="Normal 2 2 2 2 2 17 5 6" xfId="5893" xr:uid="{47B87700-D274-4ACD-B204-F77CFB9BCC20}"/>
    <cellStyle name="Normal 2 2 2 2 2 17 6 2" xfId="5894" xr:uid="{F643D5EB-3EEE-4E53-BFCF-B23DEC713F14}"/>
    <cellStyle name="Normal 2 2 2 2 2 17 6 4" xfId="5895" xr:uid="{48D48CB9-02BF-420C-A5B9-8963D7D532B4}"/>
    <cellStyle name="Normal 2 2 2 2 2 17 6 6" xfId="5896" xr:uid="{2F3DCACD-61E0-417F-901F-90CBC0202F4C}"/>
    <cellStyle name="Normal 2 2 2 2 2 17 7 4" xfId="5897" xr:uid="{59ED86B4-6A44-45E2-BBD3-07E04DF2F048}"/>
    <cellStyle name="Normal 2 2 2 2 2 17 7 6" xfId="5898" xr:uid="{85077F5E-764E-431A-B0D2-760C1E5746DC}"/>
    <cellStyle name="Normal 2 2 2 2 2 17 8 2" xfId="5899" xr:uid="{3C304EE2-653C-4A50-A5BA-9D863C55449B}"/>
    <cellStyle name="Normal 2 2 2 2 2 17 8 4" xfId="5900" xr:uid="{86E6230B-E753-42F9-9FDF-96E24A585F0D}"/>
    <cellStyle name="Normal 2 2 2 2 2 17 8 6" xfId="5901" xr:uid="{1488423D-9C25-463F-AA09-A90E43B0CF9E}"/>
    <cellStyle name="Normal 2 2 2 2 2 18" xfId="5902" xr:uid="{F2D45E34-23B3-44AA-A2B2-C1E7C3CF9C75}"/>
    <cellStyle name="Normal 2 2 2 2 2 18 13" xfId="5903" xr:uid="{E8649F1F-1019-48EC-95F0-797A5656B0CC}"/>
    <cellStyle name="Normal 2 2 2 2 2 18 2 2" xfId="5904" xr:uid="{9178E349-968E-45D8-AEB0-F0C251A91346}"/>
    <cellStyle name="Normal 2 2 2 2 2 18 2 3" xfId="5905" xr:uid="{F9EC04A5-7815-47B3-80EF-3D9A56D3174A}"/>
    <cellStyle name="Normal 2 2 2 2 2 18 2 5" xfId="5906" xr:uid="{17AA22A8-BE26-438E-BAA1-9578B5298A57}"/>
    <cellStyle name="Normal 2 2 2 2 2 18 3" xfId="5907" xr:uid="{C0EF462C-B508-40DD-80AB-173286780403}"/>
    <cellStyle name="Normal 2 2 2 2 2 18 3 3" xfId="5908" xr:uid="{05F250D4-F0E4-448F-A634-A1357EA1C2E6}"/>
    <cellStyle name="Normal 2 2 2 2 2 18 3 5" xfId="5909" xr:uid="{B5E185B4-C8DC-4EB8-9400-B9CB138291BF}"/>
    <cellStyle name="Normal 2 2 2 2 2 18 4" xfId="5910" xr:uid="{A5AA067A-59FE-40AD-B5C1-1D4CB1E2420A}"/>
    <cellStyle name="Normal 2 2 2 2 2 18 4 3" xfId="5911" xr:uid="{A99F9942-8901-476A-981E-2FABB89240EA}"/>
    <cellStyle name="Normal 2 2 2 2 2 18 4 5" xfId="5912" xr:uid="{9916EE73-56CF-45BD-B0BA-D3BBE1955A0B}"/>
    <cellStyle name="Normal 2 2 2 2 2 18 5" xfId="5913" xr:uid="{3375EDA0-EAC8-471B-96A4-777D72F501CD}"/>
    <cellStyle name="Normal 2 2 2 2 2 18 5 3" xfId="5914" xr:uid="{18DE64DC-3B2B-482D-85BE-4C7197CEABB8}"/>
    <cellStyle name="Normal 2 2 2 2 2 18 5 5" xfId="5915" xr:uid="{B5782632-BE44-4F6D-A0E3-9426AC46C91C}"/>
    <cellStyle name="Normal 2 2 2 2 2 18 6" xfId="5916" xr:uid="{86D15A45-6D5E-40A3-827B-5D6DD1E5012C}"/>
    <cellStyle name="Normal 2 2 2 2 2 18 6 3" xfId="5917" xr:uid="{A9F5498A-BC62-4D26-9744-7C47649C1FC9}"/>
    <cellStyle name="Normal 2 2 2 2 2 18 6 5" xfId="5918" xr:uid="{5B942AF6-E04E-4927-8D89-408C8D1C30EB}"/>
    <cellStyle name="Normal 2 2 2 2 2 18 7" xfId="5919" xr:uid="{C10F9A7B-C528-4BDE-BF29-41AE872EFB96}"/>
    <cellStyle name="Normal 2 2 2 2 2 18 7 3" xfId="5920" xr:uid="{DA10883C-4F49-476A-9745-A0BB1CE0809C}"/>
    <cellStyle name="Normal 2 2 2 2 2 18 7 5" xfId="5921" xr:uid="{0BB05AD5-ADFA-4ED3-913E-7543FCAA115F}"/>
    <cellStyle name="Normal 2 2 2 2 2 18 8 2" xfId="5922" xr:uid="{50AFE1BC-6657-468B-AA8F-CC71A4BA39CF}"/>
    <cellStyle name="Normal 2 2 2 2 2 18 8 4" xfId="5923" xr:uid="{BB283BE9-EE71-4750-A876-315021A40D81}"/>
    <cellStyle name="Normal 2 2 2 2 2 18 8 6" xfId="5924" xr:uid="{D6B29159-D823-417B-B2B0-3C3F3372779F}"/>
    <cellStyle name="Normal 2 2 2 2 2 19" xfId="5925" xr:uid="{1E95B26C-CFBB-45D3-A749-F92A40B04D35}"/>
    <cellStyle name="Normal 2 2 2 2 2 19 10" xfId="5926" xr:uid="{9A14462C-7B1B-4B2C-8409-A9205B7F845C}"/>
    <cellStyle name="Normal 2 2 2 2 2 19 13" xfId="5927" xr:uid="{F9AEE17F-1370-4071-9EC5-9D209F257A61}"/>
    <cellStyle name="Normal 2 2 2 2 2 19 2 4" xfId="5928" xr:uid="{19AA9B8A-27DA-4825-A07A-539DBCB8149D}"/>
    <cellStyle name="Normal 2 2 2 2 2 19 3 2" xfId="5929" xr:uid="{8CF27805-845A-4538-A9C2-E017EE4625CC}"/>
    <cellStyle name="Normal 2 2 2 2 2 19 3 6" xfId="5930" xr:uid="{F1E20B02-9DC4-4EB9-9FF7-A7C8F6CB5488}"/>
    <cellStyle name="Normal 2 2 2 2 2 19 4 2" xfId="5931" xr:uid="{77CD44CC-639A-47DD-9577-A307BDFD03BA}"/>
    <cellStyle name="Normal 2 2 2 2 2 19 4 4" xfId="5932" xr:uid="{7E371CD0-A362-4B0D-A65D-02EC2881D893}"/>
    <cellStyle name="Normal 2 2 2 2 2 19 5" xfId="5933" xr:uid="{A5B1F3E7-BE7F-47B6-A67A-8D0C0CB86FB9}"/>
    <cellStyle name="Normal 2 2 2 2 2 19 5 5" xfId="5934" xr:uid="{65F227E4-B81B-4A0A-A17A-E66F6858372C}"/>
    <cellStyle name="Normal 2 2 2 2 2 19 6 3" xfId="5935" xr:uid="{98BFB9FE-52AA-447D-BFC1-90EC2D2A749B}"/>
    <cellStyle name="Normal 2 2 2 2 2 19 7" xfId="5936" xr:uid="{086D8B25-A420-4A7A-AEFA-7272311D3140}"/>
    <cellStyle name="Normal 2 2 2 2 2 19 7 3" xfId="5937" xr:uid="{74A5CCF5-F11F-4943-BD9F-509FD4BDCCB0}"/>
    <cellStyle name="Normal 2 2 2 2 2 19 7 5" xfId="5938" xr:uid="{8BC27071-5153-4957-A795-203AB7B0D18C}"/>
    <cellStyle name="Normal 2 2 2 2 2 19 8 3" xfId="5939" xr:uid="{3F7CEB5E-0619-48A3-A8D5-CCEC7E422E45}"/>
    <cellStyle name="Normal 2 2 2 2 2 19 8 6" xfId="5940" xr:uid="{2DFA5748-8C61-4713-9692-85C7EE41FBF8}"/>
    <cellStyle name="Normal 2 2 2 2 2 2 11" xfId="5941" xr:uid="{7CA52ABC-4A15-4BAF-A942-74A5496FBC07}"/>
    <cellStyle name="Normal 2 2 2 2 2 2 15" xfId="5942" xr:uid="{544459B6-828F-497D-9AED-D4EA7A083784}"/>
    <cellStyle name="Normal 2 2 2 2 2 2 19" xfId="5943" xr:uid="{06859BBB-7C7F-485E-A44E-FCC90F02A73A}"/>
    <cellStyle name="Normal 2 2 2 2 2 2 19 13" xfId="5944" xr:uid="{8DD175BA-27DA-48DE-91AD-8C400E738FD8}"/>
    <cellStyle name="Normal 2 2 2 2 2 2 19 3" xfId="5945" xr:uid="{E2F98F89-E46C-499C-9E20-9A7AB6D4DCB9}"/>
    <cellStyle name="Normal 2 2 2 2 2 2 19 3 5" xfId="5946" xr:uid="{7696C5AA-9567-40CD-9C6D-9F01986ADF68}"/>
    <cellStyle name="Normal 2 2 2 2 2 2 19 4 3" xfId="5947" xr:uid="{80B2B9AC-7761-491E-A3D0-E33F611D689A}"/>
    <cellStyle name="Normal 2 2 2 2 2 2 19 5" xfId="5948" xr:uid="{992411DD-3C55-4D27-AEC3-0FDA2655A61A}"/>
    <cellStyle name="Normal 2 2 2 2 2 2 19 5 3" xfId="5949" xr:uid="{96863EFE-5FF8-4F60-8399-8D2D2EB45F8F}"/>
    <cellStyle name="Normal 2 2 2 2 2 2 19 5 5" xfId="5950" xr:uid="{FCC74E30-8BAF-408A-98E3-C7DB5A82C3E6}"/>
    <cellStyle name="Normal 2 2 2 2 2 2 19 6 3" xfId="5951" xr:uid="{D7B4779E-F9AA-4230-A81B-AD03B8EB8999}"/>
    <cellStyle name="Normal 2 2 2 2 2 2 19 6 5" xfId="5952" xr:uid="{57C9EE31-6BAB-4B9D-B631-158797F23154}"/>
    <cellStyle name="Normal 2 2 2 2 2 2 19 7" xfId="5953" xr:uid="{2D75EC51-5C84-451D-A1EE-5AF52CDC565A}"/>
    <cellStyle name="Normal 2 2 2 2 2 2 19 7 2" xfId="5954" xr:uid="{0DC67CD5-4C4B-4CFA-BADF-8F19E5C76D02}"/>
    <cellStyle name="Normal 2 2 2 2 2 2 19 7 4" xfId="5955" xr:uid="{CCE740B1-B895-4491-BD26-B3D16EEEAD01}"/>
    <cellStyle name="Normal 2 2 2 2 2 2 19 7 6" xfId="5956" xr:uid="{16AE392B-A4C0-4D31-BED3-D270C1968531}"/>
    <cellStyle name="Normal 2 2 2 2 2 2 19 8 2" xfId="5957" xr:uid="{F3D35E15-1B13-4061-A1AA-C8349E317EF7}"/>
    <cellStyle name="Normal 2 2 2 2 2 2 19 8 5" xfId="5958" xr:uid="{283C5E58-D9A8-42A1-9D14-D8E06DEC9F8C}"/>
    <cellStyle name="Normal 2 2 2 2 2 2 19 9" xfId="5959" xr:uid="{8042455A-0AF0-471E-8B35-E895668B8818}"/>
    <cellStyle name="Normal 2 2 2 2 2 2 2 10 10" xfId="5960" xr:uid="{51C99A8E-42D8-4D2E-848F-7695FA3AE8FB}"/>
    <cellStyle name="Normal 2 2 2 2 2 2 2 10 2 2" xfId="5961" xr:uid="{4CCEB689-BF37-4921-8304-295FA92EA292}"/>
    <cellStyle name="Normal 2 2 2 2 2 2 2 10 2 6" xfId="5962" xr:uid="{DB860A2F-E330-4971-B3A8-705C74BFB3AD}"/>
    <cellStyle name="Normal 2 2 2 2 2 2 2 10 3 2" xfId="5963" xr:uid="{7CB2A2EF-B02A-4226-9764-79442690F631}"/>
    <cellStyle name="Normal 2 2 2 2 2 2 2 10 3 4" xfId="5964" xr:uid="{3E6DC058-A8B9-434E-BED9-576D1D6A39E8}"/>
    <cellStyle name="Normal 2 2 2 2 2 2 2 10 3 6" xfId="5965" xr:uid="{69216AD9-C774-49A7-8C6C-816EC002C72E}"/>
    <cellStyle name="Normal 2 2 2 2 2 2 2 10 4 2" xfId="5966" xr:uid="{36D14926-E73E-4A1D-8F37-91BE85E86795}"/>
    <cellStyle name="Normal 2 2 2 2 2 2 2 10 4 4" xfId="5967" xr:uid="{0E29FB24-2461-4352-B796-B1AC6936AB4A}"/>
    <cellStyle name="Normal 2 2 2 2 2 2 2 10 4 6" xfId="5968" xr:uid="{ED03CE6B-EE4C-4D0E-BAEC-B8B640D45DF9}"/>
    <cellStyle name="Normal 2 2 2 2 2 2 2 10 5 2" xfId="5969" xr:uid="{C3B5C592-E0B9-4C49-9FB0-64696CEC0FE0}"/>
    <cellStyle name="Normal 2 2 2 2 2 2 2 10 5 6" xfId="5970" xr:uid="{F107C207-88F7-4C02-8E4A-0399AC749A87}"/>
    <cellStyle name="Normal 2 2 2 2 2 2 2 10 6 2" xfId="5971" xr:uid="{1CE972D7-6376-439C-90D2-C3751BB738BC}"/>
    <cellStyle name="Normal 2 2 2 2 2 2 2 10 6 4" xfId="5972" xr:uid="{91222F41-C725-4068-A6EF-30017CD0B83F}"/>
    <cellStyle name="Normal 2 2 2 2 2 2 2 10 6 6" xfId="5973" xr:uid="{C0179C76-5D03-4F60-B4EC-2B8B165F8A9D}"/>
    <cellStyle name="Normal 2 2 2 2 2 2 2 10 7 2" xfId="5974" xr:uid="{D6B23EDA-E449-476F-B080-3B8C9B910250}"/>
    <cellStyle name="Normal 2 2 2 2 2 2 2 10 8 2" xfId="5975" xr:uid="{1A3BEF68-099A-445B-B368-9B0F4E126DD8}"/>
    <cellStyle name="Normal 2 2 2 2 2 2 2 10 8 6" xfId="5976" xr:uid="{00A5A296-E499-43EE-8D3C-F71CE795EF74}"/>
    <cellStyle name="Normal 2 2 2 2 2 2 2 11 12" xfId="5977" xr:uid="{BEFC0729-41CF-45E1-BAFF-DF26E9E67D35}"/>
    <cellStyle name="Normal 2 2 2 2 2 2 2 11 2 3" xfId="5978" xr:uid="{561E08D6-2A75-4052-A9ED-3AD1C623288D}"/>
    <cellStyle name="Normal 2 2 2 2 2 2 2 11 2 5" xfId="5979" xr:uid="{3D25613E-13C7-40B4-91D5-8E0B7E19229A}"/>
    <cellStyle name="Normal 2 2 2 2 2 2 2 11 3" xfId="5980" xr:uid="{92424FF8-0B37-4CE6-8C60-1D5DC848C81E}"/>
    <cellStyle name="Normal 2 2 2 2 2 2 2 11 3 5" xfId="5981" xr:uid="{0B765E3C-3AF8-417E-BA16-BF2780F97FD2}"/>
    <cellStyle name="Normal 2 2 2 2 2 2 2 11 4 3" xfId="5982" xr:uid="{6977508F-A2FA-4547-A111-7CDBB27DA0C8}"/>
    <cellStyle name="Normal 2 2 2 2 2 2 2 11 5" xfId="5983" xr:uid="{E223BF87-5F15-4B0F-9110-A729FE9FC8A9}"/>
    <cellStyle name="Normal 2 2 2 2 2 2 2 11 6" xfId="5984" xr:uid="{65E30D65-ADB3-4A9B-A0C8-00CEB68960EB}"/>
    <cellStyle name="Normal 2 2 2 2 2 2 2 11 6 3" xfId="5985" xr:uid="{20CE7FBB-71F4-4079-88A6-4125927A369F}"/>
    <cellStyle name="Normal 2 2 2 2 2 2 2 11 6 5" xfId="5986" xr:uid="{BEFE5DB4-9F2B-4099-A974-E4366956B34B}"/>
    <cellStyle name="Normal 2 2 2 2 2 2 2 11 7 3" xfId="5987" xr:uid="{7F449ECA-88DB-4C27-8A86-EDDF4D2E9403}"/>
    <cellStyle name="Normal 2 2 2 2 2 2 2 11 7 5" xfId="5988" xr:uid="{70CFC2D0-D4CA-4CE1-ABAB-6376393C9AC5}"/>
    <cellStyle name="Normal 2 2 2 2 2 2 2 11 8 3" xfId="5989" xr:uid="{59A0FF5B-5B66-40C8-8294-3F6552E8D24A}"/>
    <cellStyle name="Normal 2 2 2 2 2 2 2 11 9" xfId="5990" xr:uid="{7BDDB418-BB61-44E3-8C90-C8C95F7F109B}"/>
    <cellStyle name="Normal 2 2 2 2 2 2 2 12 11" xfId="5991" xr:uid="{D521F6BA-494C-412F-9E61-E7CA67F2E7FB}"/>
    <cellStyle name="Normal 2 2 2 2 2 2 2 12 2 2" xfId="5992" xr:uid="{FF2E7B0F-AA75-4247-93FA-855E89F0FA28}"/>
    <cellStyle name="Normal 2 2 2 2 2 2 2 12 3 4" xfId="5993" xr:uid="{41A2F681-030E-47D4-BDAC-F8A217F84129}"/>
    <cellStyle name="Normal 2 2 2 2 2 2 2 12 3 6" xfId="5994" xr:uid="{72A2087F-2003-41D5-B468-417EDCD939A7}"/>
    <cellStyle name="Normal 2 2 2 2 2 2 2 12 4 4" xfId="5995" xr:uid="{52382C47-382B-45C7-8BA7-57AAE92F0FD5}"/>
    <cellStyle name="Normal 2 2 2 2 2 2 2 12 5 2" xfId="5996" xr:uid="{685E94A4-F7E8-46F6-8CFE-C1C920FA20E0}"/>
    <cellStyle name="Normal 2 2 2 2 2 2 2 12 5 6" xfId="5997" xr:uid="{D86D1283-42FF-41DC-A880-6A1B5FC96E6B}"/>
    <cellStyle name="Normal 2 2 2 2 2 2 2 12 6 4" xfId="5998" xr:uid="{DB1572F9-B29C-49D6-B9EA-0CD7319A20C8}"/>
    <cellStyle name="Normal 2 2 2 2 2 2 2 12 7 2" xfId="5999" xr:uid="{3AB1B8DF-6AF3-4276-AC76-12074B3657FC}"/>
    <cellStyle name="Normal 2 2 2 2 2 2 2 12 7 4" xfId="6000" xr:uid="{438CA444-8612-48ED-8682-3DDBFB2A24FC}"/>
    <cellStyle name="Normal 2 2 2 2 2 2 2 12 7 6" xfId="6001" xr:uid="{F98DBDB5-7867-4A35-A52B-A9DD97BA092D}"/>
    <cellStyle name="Normal 2 2 2 2 2 2 2 12 8 2" xfId="6002" xr:uid="{9713BC4C-194E-48E4-B3BF-61F4ADDF7970}"/>
    <cellStyle name="Normal 2 2 2 2 2 2 2 12 8 4" xfId="6003" xr:uid="{58C09897-1A39-4E9B-A3E0-455A00530AB7}"/>
    <cellStyle name="Normal 2 2 2 2 2 2 2 12 8 6" xfId="6004" xr:uid="{306DDDDC-0FFA-4AFE-8208-C9295CA78338}"/>
    <cellStyle name="Normal 2 2 2 2 2 2 2 13" xfId="6005" xr:uid="{B797E998-BA48-452A-B9F9-7BD3E6FD00F8}"/>
    <cellStyle name="Normal 2 2 2 2 2 2 2 13 11" xfId="6006" xr:uid="{D8A3056C-F997-49A8-BD8F-FF972F7D8997}"/>
    <cellStyle name="Normal 2 2 2 2 2 2 2 13 13" xfId="6007" xr:uid="{18ABFCDA-CD0B-4EC4-8517-DDFD9C71BABF}"/>
    <cellStyle name="Normal 2 2 2 2 2 2 2 13 2 3" xfId="6008" xr:uid="{09625895-76E4-4947-8120-CD4670CEDF88}"/>
    <cellStyle name="Normal 2 2 2 2 2 2 2 13 2 5" xfId="6009" xr:uid="{2376585C-6619-40D5-83B1-9CBD3847ECEB}"/>
    <cellStyle name="Normal 2 2 2 2 2 2 2 13 3" xfId="6010" xr:uid="{921C8C5F-2079-421D-9F96-11F8D7DCEDAC}"/>
    <cellStyle name="Normal 2 2 2 2 2 2 2 13 3 3" xfId="6011" xr:uid="{DAF7A262-5126-48BE-9C46-97AEB122C668}"/>
    <cellStyle name="Normal 2 2 2 2 2 2 2 13 3 5" xfId="6012" xr:uid="{D4120791-F732-4BDF-98D9-641D48010414}"/>
    <cellStyle name="Normal 2 2 2 2 2 2 2 13 4" xfId="6013" xr:uid="{490CBFE4-1983-41AF-874A-D6AECD9DA9AF}"/>
    <cellStyle name="Normal 2 2 2 2 2 2 2 13 4 3" xfId="6014" xr:uid="{F92FCE9C-1C1C-40C1-9B6E-737D1E0401D6}"/>
    <cellStyle name="Normal 2 2 2 2 2 2 2 13 4 5" xfId="6015" xr:uid="{07F27739-2D1D-4357-8E99-503F1AA59B37}"/>
    <cellStyle name="Normal 2 2 2 2 2 2 2 13 5" xfId="6016" xr:uid="{97FD3D00-C49B-42B9-98BF-0F858ACF0F4E}"/>
    <cellStyle name="Normal 2 2 2 2 2 2 2 13 5 3" xfId="6017" xr:uid="{6024017D-E0FB-43B5-9E71-DDE84C0FA6B1}"/>
    <cellStyle name="Normal 2 2 2 2 2 2 2 13 6" xfId="6018" xr:uid="{4FA7BA9F-9EBD-4898-B913-57A1C0651AB6}"/>
    <cellStyle name="Normal 2 2 2 2 2 2 2 13 6 3" xfId="6019" xr:uid="{E93364AA-5681-457D-932F-9ED83AC313FF}"/>
    <cellStyle name="Normal 2 2 2 2 2 2 2 13 6 5" xfId="6020" xr:uid="{12F38BFF-BF63-4ACC-A392-E0FCD886A111}"/>
    <cellStyle name="Normal 2 2 2 2 2 2 2 13 7" xfId="6021" xr:uid="{80FDA933-A1B3-4376-8DE4-666DDEF232C8}"/>
    <cellStyle name="Normal 2 2 2 2 2 2 2 13 7 3" xfId="6022" xr:uid="{233FCB29-3F37-4DFF-8AAE-B5781E348AAA}"/>
    <cellStyle name="Normal 2 2 2 2 2 2 2 13 8" xfId="6023" xr:uid="{D43BF62D-CCB8-4C75-ABEB-DC89D04C4153}"/>
    <cellStyle name="Normal 2 2 2 2 2 2 2 13 8 5" xfId="6024" xr:uid="{2F5F21AB-C945-4E0E-8327-355A11DEB62C}"/>
    <cellStyle name="Normal 2 2 2 2 2 2 2 15" xfId="6025" xr:uid="{3F7A8DD9-618D-4E18-AB72-CA38404CA053}"/>
    <cellStyle name="Normal 2 2 2 2 2 2 2 19" xfId="6026" xr:uid="{8C35DAE7-9FAF-4DE2-BD4A-751D04FDD080}"/>
    <cellStyle name="Normal 2 2 2 2 2 2 2 2 10" xfId="6027" xr:uid="{0E4A4FA8-D52B-4A96-B88D-CEF2E4D3A467}"/>
    <cellStyle name="Normal 2 2 2 2 2 2 2 2 10 11" xfId="6028" xr:uid="{FFB6B760-5A13-456D-B847-CA4794E93C18}"/>
    <cellStyle name="Normal 2 2 2 2 2 2 2 2 10 13" xfId="6029" xr:uid="{8BE1FE6A-C1C6-4EC7-BA83-063CA693DCE0}"/>
    <cellStyle name="Normal 2 2 2 2 2 2 2 2 10 2 6" xfId="6030" xr:uid="{5BEC7B2A-3975-4A09-9B62-6D78A85D00E5}"/>
    <cellStyle name="Normal 2 2 2 2 2 2 2 2 10 3 4" xfId="6031" xr:uid="{9F040B50-7A6A-4322-BB4C-73C051B1C8FF}"/>
    <cellStyle name="Normal 2 2 2 2 2 2 2 2 10 4 2" xfId="6032" xr:uid="{EB0E10B4-ABFF-4E28-9BB1-E020E606BD32}"/>
    <cellStyle name="Normal 2 2 2 2 2 2 2 2 10 4 6" xfId="6033" xr:uid="{17AEB853-6009-46AC-BC18-6151AF28C560}"/>
    <cellStyle name="Normal 2 2 2 2 2 2 2 2 10 5 2" xfId="6034" xr:uid="{4F3E5DAC-4476-4C85-B6BD-F9C341170375}"/>
    <cellStyle name="Normal 2 2 2 2 2 2 2 2 10 5 6" xfId="6035" xr:uid="{3E097A23-3315-45BE-BA41-765F4705D3E3}"/>
    <cellStyle name="Normal 2 2 2 2 2 2 2 2 10 6 4" xfId="6036" xr:uid="{764D1DD4-5E6E-4BC1-99E8-FAF6712E6651}"/>
    <cellStyle name="Normal 2 2 2 2 2 2 2 2 10 7 2" xfId="6037" xr:uid="{8334DE0A-B594-4784-B95C-4E5566FE13D0}"/>
    <cellStyle name="Normal 2 2 2 2 2 2 2 2 10 7 6" xfId="6038" xr:uid="{EC5A4ECA-F9B0-40BE-8D9E-F2BBA0A874C0}"/>
    <cellStyle name="Normal 2 2 2 2 2 2 2 2 10 8 4" xfId="6039" xr:uid="{140EAFB2-6096-4FD5-A018-46554FC19DC5}"/>
    <cellStyle name="Normal 2 2 2 2 2 2 2 2 11" xfId="6040" xr:uid="{EBFC59F9-2615-427F-B5DE-8D588647B650}"/>
    <cellStyle name="Normal 2 2 2 2 2 2 2 2 11 2 4" xfId="6041" xr:uid="{5A0EE8B2-CE56-4A5D-BD69-011386DE7ADB}"/>
    <cellStyle name="Normal 2 2 2 2 2 2 2 2 11 3 2" xfId="6042" xr:uid="{15CDFC50-72A0-46C7-9F03-DD40D675E678}"/>
    <cellStyle name="Normal 2 2 2 2 2 2 2 2 11 3 6" xfId="6043" xr:uid="{E14CD576-868C-4457-8E0A-C8C6961DD948}"/>
    <cellStyle name="Normal 2 2 2 2 2 2 2 2 11 4 4" xfId="6044" xr:uid="{43718845-394F-4D6C-807A-8BD23284378A}"/>
    <cellStyle name="Normal 2 2 2 2 2 2 2 2 11 5 2" xfId="6045" xr:uid="{9D99C441-65FF-4A78-BB78-C6B3200FB7CB}"/>
    <cellStyle name="Normal 2 2 2 2 2 2 2 2 11 5 4" xfId="6046" xr:uid="{A3AA3946-CC27-4D5C-880E-BE5E2BE9DAA0}"/>
    <cellStyle name="Normal 2 2 2 2 2 2 2 2 11 6 6" xfId="6047" xr:uid="{4F2B1E27-CFF6-461D-B07F-1ECB18965610}"/>
    <cellStyle name="Normal 2 2 2 2 2 2 2 2 11 7 4" xfId="6048" xr:uid="{F596A6DF-620D-439B-85BE-0F77896F9031}"/>
    <cellStyle name="Normal 2 2 2 2 2 2 2 2 11 8 2" xfId="6049" xr:uid="{8D676999-B02F-474D-8547-B0BAA9EB77C2}"/>
    <cellStyle name="Normal 2 2 2 2 2 2 2 2 11 8 5" xfId="6050" xr:uid="{ADCF4713-4128-443F-AD33-40F5AC3EEF13}"/>
    <cellStyle name="Normal 2 2 2 2 2 2 2 2 12 10" xfId="6051" xr:uid="{4ACA3BFE-D3B2-4EA8-B15C-3DD3BB44CE0A}"/>
    <cellStyle name="Normal 2 2 2 2 2 2 2 2 12 4" xfId="6052" xr:uid="{AD864EBE-B46D-430F-B355-BBB5775C77E5}"/>
    <cellStyle name="Normal 2 2 2 2 2 2 2 2 12 8" xfId="6053" xr:uid="{6C202E31-0292-4C2A-8EF7-EC0E6E870EBC}"/>
    <cellStyle name="Normal 2 2 2 2 2 2 2 2 15" xfId="6054" xr:uid="{5A680176-365A-40E5-9F40-85C61C685F19}"/>
    <cellStyle name="Normal 2 2 2 2 2 2 2 2 19" xfId="6055" xr:uid="{A7BB8F6B-F76D-4E88-8E72-487916FCBD77}"/>
    <cellStyle name="Normal 2 2 2 2 2 2 2 2 2 10 3" xfId="6056" xr:uid="{4EDDB2D7-C4FF-4D75-97FC-DC43BBC2F9A4}"/>
    <cellStyle name="Normal 2 2 2 2 2 2 2 2 2 11" xfId="6057" xr:uid="{B554BD2E-5BAB-4AB4-8E3C-769FF37B5853}"/>
    <cellStyle name="Normal 2 2 2 2 2 2 2 2 2 11 5" xfId="6058" xr:uid="{0A3333AC-1C86-4B97-AFCD-DB73CBA1F2FD}"/>
    <cellStyle name="Normal 2 2 2 2 2 2 2 2 2 12 3" xfId="6059" xr:uid="{C554E205-9D50-41BE-8084-8EC8AAE4A155}"/>
    <cellStyle name="Normal 2 2 2 2 2 2 2 2 2 13" xfId="6060" xr:uid="{51E939FF-7413-4398-805D-421E10F05642}"/>
    <cellStyle name="Normal 2 2 2 2 2 2 2 2 2 13 5" xfId="6061" xr:uid="{4A96DC98-9207-4C30-8715-1822AE23A33E}"/>
    <cellStyle name="Normal 2 2 2 2 2 2 2 2 2 14 3" xfId="6062" xr:uid="{7C58B5B2-4A21-429B-809E-548D7E02CD40}"/>
    <cellStyle name="Normal 2 2 2 2 2 2 2 2 2 15" xfId="6063" xr:uid="{EC9C7144-B2FE-4548-BF2B-D2D0DE7DCF81}"/>
    <cellStyle name="Normal 2 2 2 2 2 2 2 2 2 15 5" xfId="6064" xr:uid="{AD061372-8F6B-4866-AB4D-718A0D0678DF}"/>
    <cellStyle name="Normal 2 2 2 2 2 2 2 2 2 16 3" xfId="6065" xr:uid="{D993EC05-C740-4514-8401-7D54D8A4C5B1}"/>
    <cellStyle name="Normal 2 2 2 2 2 2 2 2 2 17" xfId="6066" xr:uid="{6FEE8E25-1DB3-4E86-B619-A99D57045F1C}"/>
    <cellStyle name="Normal 2 2 2 2 2 2 2 2 2 17 5" xfId="6067" xr:uid="{DAB94A6E-1F2B-402F-875C-82E97EF5E0E2}"/>
    <cellStyle name="Normal 2 2 2 2 2 2 2 2 2 2" xfId="6068" xr:uid="{D4829524-D87E-48BC-9345-4BA2F139812A}"/>
    <cellStyle name="Normal 2 2 2 2 2 2 2 2 2 2 13" xfId="6069" xr:uid="{6C900E4D-7876-4A58-84D9-9A0321C1D04A}"/>
    <cellStyle name="Normal 2 2 2 2 2 2 2 2 2 2 17" xfId="6070" xr:uid="{0576B0E3-4676-49F8-A078-76E12216483A}"/>
    <cellStyle name="Normal 2 2 2 2 2 2 2 2 2 2 2 10" xfId="6071" xr:uid="{B24FD4A2-764E-4AED-B0F2-1F19E665B10F}"/>
    <cellStyle name="Normal 2 2 2 2 2 2 2 2 2 2 2 10 5" xfId="6072" xr:uid="{10052F0E-FCD4-4661-8D05-5A27D53B89E4}"/>
    <cellStyle name="Normal 2 2 2 2 2 2 2 2 2 2 2 11 2" xfId="6073" xr:uid="{8035513D-4823-42D0-8000-C7824085E768}"/>
    <cellStyle name="Normal 2 2 2 2 2 2 2 2 2 2 2 11 6" xfId="6074" xr:uid="{079456D3-3B8E-4EAD-8B6A-05E919285106}"/>
    <cellStyle name="Normal 2 2 2 2 2 2 2 2 2 2 2 12 4" xfId="6075" xr:uid="{5C2FB820-61F3-4AF7-8D87-2ACE72248BD9}"/>
    <cellStyle name="Normal 2 2 2 2 2 2 2 2 2 2 2 13 2" xfId="6076" xr:uid="{857F08CB-D192-46DF-B74A-1398C23D3987}"/>
    <cellStyle name="Normal 2 2 2 2 2 2 2 2 2 2 2 13 6" xfId="6077" xr:uid="{F90F62E4-67AD-4CD9-ADD6-A7A8DCD9C9A7}"/>
    <cellStyle name="Normal 2 2 2 2 2 2 2 2 2 2 2 14 4" xfId="6078" xr:uid="{920B44DC-8F0B-49E6-84ED-B597B050DF90}"/>
    <cellStyle name="Normal 2 2 2 2 2 2 2 2 2 2 2 15 2" xfId="6079" xr:uid="{67BBEC15-23F2-4B8D-A92D-50CB73987A1D}"/>
    <cellStyle name="Normal 2 2 2 2 2 2 2 2 2 2 2 15 6" xfId="6080" xr:uid="{11808084-744A-4C43-8F50-C2EBD0AAC430}"/>
    <cellStyle name="Normal 2 2 2 2 2 2 2 2 2 2 2 16 4" xfId="6081" xr:uid="{2BA44CF2-BF19-48A4-8A2F-06362FE1C861}"/>
    <cellStyle name="Normal 2 2 2 2 2 2 2 2 2 2 2 17 2" xfId="6082" xr:uid="{B9DE3AC1-05EC-48F1-9D4E-95C04EDD1711}"/>
    <cellStyle name="Normal 2 2 2 2 2 2 2 2 2 2 2 17 6" xfId="6083" xr:uid="{F5860D23-5D5A-4957-9EB4-A2ABFEB4E059}"/>
    <cellStyle name="Normal 2 2 2 2 2 2 2 2 2 2 2 18 4" xfId="6084" xr:uid="{EE9F6303-945C-481D-A1F2-A077A80FA6EE}"/>
    <cellStyle name="Normal 2 2 2 2 2 2 2 2 2 2 2 19 2" xfId="6085" xr:uid="{9E14A1D2-BCC7-49CC-83D5-F0D6EBBA7FE3}"/>
    <cellStyle name="Normal 2 2 2 2 2 2 2 2 2 2 2 19 6" xfId="6086" xr:uid="{A2AD6E64-5D89-469D-9956-D3A655F42E2B}"/>
    <cellStyle name="Normal 2 2 2 2 2 2 2 2 2 2 2 2 12" xfId="6087" xr:uid="{192A2255-8308-40C6-B938-CD36F558A9E5}"/>
    <cellStyle name="Normal 2 2 2 2 2 2 2 2 2 2 2 2 2" xfId="6088" xr:uid="{A6FB538B-EFB3-410F-8AEC-1E23F90FE561}"/>
    <cellStyle name="Normal 2 2 2 2 2 2 2 2 2 2 2 2 2 13" xfId="6089" xr:uid="{0DE64A90-51A0-4F3D-8047-B19C9BBA0ED9}"/>
    <cellStyle name="Normal 2 2 2 2 2 2 2 2 2 2 2 2 2 2 11" xfId="6090" xr:uid="{5CD636F9-7C51-4A9E-8D86-2D5067D0A15C}"/>
    <cellStyle name="Normal 2 2 2 2 2 2 2 2 2 2 2 2 2 2 2" xfId="6091" xr:uid="{DEEC3DD2-D4DA-4079-ACDD-47022A1E4CA5}"/>
    <cellStyle name="Normal 2 2 2 2 2 2 2 2 2 2 2 2 2 2 2 13" xfId="6092" xr:uid="{C1666A07-E375-4AD9-8B4E-45F027B6837D}"/>
    <cellStyle name="Normal 2 2 2 2 2 2 2 2 2 2 2 2 2 2 2 2 11" xfId="6093" xr:uid="{895CDF69-3F7C-4D52-B0A3-80A0DF6A5119}"/>
    <cellStyle name="Normal 2 2 2 2 2 2 2 2 2 2 2 2 2 2 2 2 2 3" xfId="6094" xr:uid="{10A8801D-7D7D-40C9-ACB7-62BA37BF408E}"/>
    <cellStyle name="Normal 2 2 2 2 2 2 2 2 2 2 2 2 2 2 2 2 2 7" xfId="6095" xr:uid="{002E1AD3-7F53-455B-807E-3878FE7424AF}"/>
    <cellStyle name="Normal 2 2 2 2 2 2 2 2 2 2 2 2 2 2 2 2 3" xfId="6096" xr:uid="{7FEEDE82-E33A-449B-99BA-0BC5A42F73C1}"/>
    <cellStyle name="Normal 2 2 2 2 2 2 2 2 2 2 2 2 2 2 2 2 5 3" xfId="6097" xr:uid="{55BBD8DE-9709-46B1-B2D3-2752E7500455}"/>
    <cellStyle name="Normal 2 2 2 2 2 2 2 2 2 2 2 2 2 2 2 2 9" xfId="6098" xr:uid="{2208ABA9-9505-41BD-8CB9-BFA8E722030B}"/>
    <cellStyle name="Normal 2 2 2 2 2 2 2 2 2 2 2 2 2 2 2 6" xfId="6099" xr:uid="{B29EE57E-139F-4C35-8C99-BEA487B9E265}"/>
    <cellStyle name="Normal 2 2 2 2 2 2 2 2 2 2 2 2 2 2 2 6 3" xfId="6100" xr:uid="{1323EEDE-7E61-423B-BB00-1D4AC7580897}"/>
    <cellStyle name="Normal 2 2 2 2 2 2 2 2 2 2 2 2 2 2 2 6 7" xfId="6101" xr:uid="{475DEB09-A316-45F7-8B31-227236970042}"/>
    <cellStyle name="Normal 2 2 2 2 2 2 2 2 2 2 2 2 2 2 2 8" xfId="6102" xr:uid="{08C0594D-E076-4305-A7F6-A524639D6941}"/>
    <cellStyle name="Normal 2 2 2 2 2 2 2 2 2 2 2 2 2 2 3" xfId="6103" xr:uid="{BC2B571C-4FB4-468C-ACE9-B67DA8B0D7AE}"/>
    <cellStyle name="Normal 2 2 2 2 2 2 2 2 2 2 2 2 2 2 3 2 2" xfId="6104" xr:uid="{BEA6814D-F537-40F2-8055-146BA515CA96}"/>
    <cellStyle name="Normal 2 2 2 2 2 2 2 2 2 2 2 2 2 2 3 2 4" xfId="6105" xr:uid="{9C463E8A-D9E6-4511-852D-1B48F61F7C78}"/>
    <cellStyle name="Normal 2 2 2 2 2 2 2 2 2 2 2 2 2 2 3 2 8" xfId="6106" xr:uid="{0E49CDCF-5072-4F9C-9CCF-A4191ADD0757}"/>
    <cellStyle name="Normal 2 2 2 2 2 2 2 2 2 2 2 2 2 2 3 5" xfId="6107" xr:uid="{B4135757-22A2-49CB-A7E0-B060ADFE1C25}"/>
    <cellStyle name="Normal 2 2 2 2 2 2 2 2 2 2 2 2 2 2 3 7" xfId="6108" xr:uid="{C70C1B0E-E2EE-43EE-A27A-561BEF93C054}"/>
    <cellStyle name="Normal 2 2 2 2 2 2 2 2 2 2 2 2 2 2 6" xfId="6109" xr:uid="{DC67B28F-8E0A-4F7A-A747-7D80CF8112D4}"/>
    <cellStyle name="Normal 2 2 2 2 2 2 2 2 2 2 2 2 2 2 6 3" xfId="6110" xr:uid="{DAE9D30B-FAC8-46CE-89DE-DF9B130D54CE}"/>
    <cellStyle name="Normal 2 2 2 2 2 2 2 2 2 2 2 2 2 2 6 7" xfId="6111" xr:uid="{0D7EB04C-3E2A-4FCA-9024-DA95BFA47904}"/>
    <cellStyle name="Normal 2 2 2 2 2 2 2 2 2 2 2 2 2 2 8" xfId="6112" xr:uid="{69F43A0F-C584-42B8-BFE1-75EF7C03C490}"/>
    <cellStyle name="Normal 2 2 2 2 2 2 2 2 2 2 2 2 2 3" xfId="6113" xr:uid="{B439CB87-C67E-4738-A15B-D0D69488D8CC}"/>
    <cellStyle name="Normal 2 2 2 2 2 2 2 2 2 2 2 2 2 3 2 2" xfId="6114" xr:uid="{C7183B6E-D96E-4A43-868A-7A0B2FBFEC9A}"/>
    <cellStyle name="Normal 2 2 2 2 2 2 2 2 2 2 2 2 2 3 2 4" xfId="6115" xr:uid="{324F3E14-1ED4-4C0A-A012-621AA0A63915}"/>
    <cellStyle name="Normal 2 2 2 2 2 2 2 2 2 2 2 2 2 3 2 8" xfId="6116" xr:uid="{C1BA146C-C349-49FB-B443-085BFADED2D7}"/>
    <cellStyle name="Normal 2 2 2 2 2 2 2 2 2 2 2 2 2 3 5" xfId="6117" xr:uid="{FFE36CD9-F472-46EC-B915-E7E71F2305C0}"/>
    <cellStyle name="Normal 2 2 2 2 2 2 2 2 2 2 2 2 2 3 7" xfId="6118" xr:uid="{093621F6-3ECE-4605-9E31-5B54D7831FEB}"/>
    <cellStyle name="Normal 2 2 2 2 2 2 2 2 2 2 2 2 2 4" xfId="6119" xr:uid="{D493FE25-29E0-4DFE-AAAB-B77BC683B929}"/>
    <cellStyle name="Normal 2 2 2 2 2 2 2 2 2 2 2 2 2 6 2 2" xfId="6120" xr:uid="{E1AB0747-7129-4A78-A887-3BB12900DC6B}"/>
    <cellStyle name="Normal 2 2 2 2 2 2 2 2 2 2 2 2 2 6 5" xfId="6121" xr:uid="{0BF7C8CF-37E6-4502-9776-5F1C9A4AC834}"/>
    <cellStyle name="Normal 2 2 2 2 2 2 2 2 2 2 2 2 2 6 9" xfId="6122" xr:uid="{B52ED3C7-6A9A-480F-8D61-D75D68B18099}"/>
    <cellStyle name="Normal 2 2 2 2 2 2 2 2 2 2 2 2 2 8 3" xfId="6123" xr:uid="{B6AB8A1D-4A03-4306-B86C-37167ED8190F}"/>
    <cellStyle name="Normal 2 2 2 2 2 2 2 2 2 2 2 2 3 3" xfId="6124" xr:uid="{5A3B033C-DF28-4179-A81F-DFA358697E60}"/>
    <cellStyle name="Normal 2 2 2 2 2 2 2 2 2 2 2 2 4" xfId="6125" xr:uid="{9D242FD5-E73E-4754-AD3A-445CE2C04512}"/>
    <cellStyle name="Normal 2 2 2 2 2 2 2 2 2 2 2 2 4 2 2" xfId="6126" xr:uid="{60EA47BF-13CF-4A3A-83C1-99DD552E6C4D}"/>
    <cellStyle name="Normal 2 2 2 2 2 2 2 2 2 2 2 2 4 2 4" xfId="6127" xr:uid="{AEAE5328-A531-4E45-AE43-DEDD7A9C2087}"/>
    <cellStyle name="Normal 2 2 2 2 2 2 2 2 2 2 2 2 4 2 8" xfId="6128" xr:uid="{AE58AED7-9F69-4308-B4C6-7D9A975F79E6}"/>
    <cellStyle name="Normal 2 2 2 2 2 2 2 2 2 2 2 2 4 5" xfId="6129" xr:uid="{9E5F4352-86BC-408C-8AD1-E5DEF830AD4D}"/>
    <cellStyle name="Normal 2 2 2 2 2 2 2 2 2 2 2 2 4 7" xfId="6130" xr:uid="{A3C823A4-EBF7-4A46-B990-3FE9CAE48D07}"/>
    <cellStyle name="Normal 2 2 2 2 2 2 2 2 2 2 2 2 6" xfId="6131" xr:uid="{85137AA6-2119-4BFE-8731-FBF12B913EA6}"/>
    <cellStyle name="Normal 2 2 2 2 2 2 2 2 2 2 2 2 7 2 3" xfId="6132" xr:uid="{E80F661B-BC91-4499-B515-9BDE9262B9DD}"/>
    <cellStyle name="Normal 2 2 2 2 2 2 2 2 2 2 2 2 7 6" xfId="6133" xr:uid="{EFEE1332-2CF5-408C-AEFA-A6E5CAC00D79}"/>
    <cellStyle name="Normal 2 2 2 2 2 2 2 2 2 2 2 2 8" xfId="6134" xr:uid="{141F24E0-E1A5-4CC2-BEB1-38A871B9A24D}"/>
    <cellStyle name="Normal 2 2 2 2 2 2 2 2 2 2 2 20" xfId="6135" xr:uid="{ED6B1368-C134-43AB-92F3-939E280B0123}"/>
    <cellStyle name="Normal 2 2 2 2 2 2 2 2 2 2 2 20 5" xfId="6136" xr:uid="{8F03F916-E11C-4C6F-A0AA-17F9C5435F1D}"/>
    <cellStyle name="Normal 2 2 2 2 2 2 2 2 2 2 2 21 3" xfId="6137" xr:uid="{2DE0A2FC-AA38-46F3-970B-F8B818D4AD05}"/>
    <cellStyle name="Normal 2 2 2 2 2 2 2 2 2 2 2 22" xfId="6138" xr:uid="{7626B899-42C8-4135-AD7B-7FAB00AFAC41}"/>
    <cellStyle name="Normal 2 2 2 2 2 2 2 2 2 2 2 22 5" xfId="6139" xr:uid="{B28A0E7C-06A2-4354-B0D6-127F455E6DE2}"/>
    <cellStyle name="Normal 2 2 2 2 2 2 2 2 2 2 2 23 2 2" xfId="6140" xr:uid="{41DF569C-E4B8-4C1A-BE0F-8F08F8E128FE}"/>
    <cellStyle name="Normal 2 2 2 2 2 2 2 2 2 2 2 23 2 6" xfId="6141" xr:uid="{3E5CE4A5-557B-4383-90F5-0593FAD156FB}"/>
    <cellStyle name="Normal 2 2 2 2 2 2 2 2 2 2 2 24 11" xfId="6142" xr:uid="{1271DEBF-24ED-4157-9E25-E6C9B39E676A}"/>
    <cellStyle name="Normal 2 2 2 2 2 2 2 2 2 2 2 24 2 2 3" xfId="6143" xr:uid="{0C8AB6E2-2D66-45C2-B4C9-691C688DC2BB}"/>
    <cellStyle name="Normal 2 2 2 2 2 2 2 2 2 2 2 24 2 6" xfId="6144" xr:uid="{D4C316E0-E80E-4148-B37E-11C2F8306BDE}"/>
    <cellStyle name="Normal 2 2 2 2 2 2 2 2 2 2 2 24 3" xfId="6145" xr:uid="{07278D75-13EC-46BE-B16C-181126064998}"/>
    <cellStyle name="Normal 2 2 2 2 2 2 2 2 2 2 2 24 5 3" xfId="6146" xr:uid="{5AD17AC2-60D2-429A-8A67-68295F6E2067}"/>
    <cellStyle name="Normal 2 2 2 2 2 2 2 2 2 2 2 24 9" xfId="6147" xr:uid="{98BA4239-908B-4238-AA10-FAC4FAFCD6AF}"/>
    <cellStyle name="Normal 2 2 2 2 2 2 2 2 2 2 2 27 2" xfId="6148" xr:uid="{E28CA41B-25F7-48FE-AD9C-3A5D1F58D834}"/>
    <cellStyle name="Normal 2 2 2 2 2 2 2 2 2 2 2 27 4" xfId="6149" xr:uid="{EDC6FC36-D07A-4AE7-9ED0-BB4F1312DDAB}"/>
    <cellStyle name="Normal 2 2 2 2 2 2 2 2 2 2 2 27 8" xfId="6150" xr:uid="{C3089794-2009-4854-82EC-77DAA8C506F2}"/>
    <cellStyle name="Normal 2 2 2 2 2 2 2 2 2 2 2 29 2" xfId="6151" xr:uid="{79816392-868F-4369-8A2D-49BE990CBB6F}"/>
    <cellStyle name="Normal 2 2 2 2 2 2 2 2 2 2 2 3 3" xfId="6152" xr:uid="{63D2FFDA-4291-431A-A6D3-42BF4EA62463}"/>
    <cellStyle name="Normal 2 2 2 2 2 2 2 2 2 2 2 30" xfId="6153" xr:uid="{597041B3-FD20-42BE-BE2F-A8EF3B5C74C2}"/>
    <cellStyle name="Normal 2 2 2 2 2 2 2 2 2 2 2 34" xfId="6154" xr:uid="{EC64FCC4-5643-4E8C-B8BB-CABEF1A7550D}"/>
    <cellStyle name="Normal 2 2 2 2 2 2 2 2 2 2 2 4 3" xfId="6155" xr:uid="{96867EFE-6E56-4977-B351-2EA74F89B579}"/>
    <cellStyle name="Normal 2 2 2 2 2 2 2 2 2 2 2 5" xfId="6156" xr:uid="{B6008935-53EA-41F8-979A-F551D49DCF66}"/>
    <cellStyle name="Normal 2 2 2 2 2 2 2 2 2 2 2 5 5" xfId="6157" xr:uid="{F365ABD9-8BF9-4767-B978-7C69A0192170}"/>
    <cellStyle name="Normal 2 2 2 2 2 2 2 2 2 2 2 6 3" xfId="6158" xr:uid="{F7B7F406-0C7A-4D57-8796-0CFE3099F471}"/>
    <cellStyle name="Normal 2 2 2 2 2 2 2 2 2 2 2 7" xfId="6159" xr:uid="{1132960A-2D75-4CC6-99B3-54CF3FB31D71}"/>
    <cellStyle name="Normal 2 2 2 2 2 2 2 2 2 2 2 7 5" xfId="6160" xr:uid="{2262CEAA-F158-41E8-A9F4-A0B7B35418D4}"/>
    <cellStyle name="Normal 2 2 2 2 2 2 2 2 2 2 2 8 3" xfId="6161" xr:uid="{2FB7BDC1-9674-4285-98EE-899A4AA79591}"/>
    <cellStyle name="Normal 2 2 2 2 2 2 2 2 2 2 2 9" xfId="6162" xr:uid="{6514339D-D067-4B3B-AC12-37A8F93C1E7F}"/>
    <cellStyle name="Normal 2 2 2 2 2 2 2 2 2 2 2 9 5" xfId="6163" xr:uid="{1A01C304-735D-472F-A596-C72C1A601406}"/>
    <cellStyle name="Normal 2 2 2 2 2 2 2 2 2 2 22" xfId="6164" xr:uid="{A4D4A4FD-D52D-412C-9F74-EE4C6E6C6585}"/>
    <cellStyle name="Normal 2 2 2 2 2 2 2 2 2 2 25" xfId="6165" xr:uid="{C0B800B2-AD91-4CF0-9A90-066E52F2CD2E}"/>
    <cellStyle name="Normal 2 2 2 2 2 2 2 2 2 2 27 3" xfId="6166" xr:uid="{7F7550DC-EF7C-4044-B75D-BF594ED0E490}"/>
    <cellStyle name="Normal 2 2 2 2 2 2 2 2 2 2 27 7" xfId="6167" xr:uid="{609B15DC-0235-4C35-B6E4-7A4ABFC8CF8F}"/>
    <cellStyle name="Normal 2 2 2 2 2 2 2 2 2 2 28 11" xfId="6168" xr:uid="{5C1FDA02-4976-481D-8845-E96A9CC794C5}"/>
    <cellStyle name="Normal 2 2 2 2 2 2 2 2 2 2 28 2 2" xfId="6169" xr:uid="{74130200-167E-4F86-8023-E2A51F71B20E}"/>
    <cellStyle name="Normal 2 2 2 2 2 2 2 2 2 2 28 2 2 3" xfId="6170" xr:uid="{C23313CD-0B0F-431E-A1D1-4E05A7EBB281}"/>
    <cellStyle name="Normal 2 2 2 2 2 2 2 2 2 2 28 2 4" xfId="6171" xr:uid="{8E35BDAC-638F-4A02-A5FE-60080A1E6CF1}"/>
    <cellStyle name="Normal 2 2 2 2 2 2 2 2 2 2 28 2 6" xfId="6172" xr:uid="{39AAE6D7-8D9F-4EF8-B6C9-C357A05D1A83}"/>
    <cellStyle name="Normal 2 2 2 2 2 2 2 2 2 2 28 2 8" xfId="6173" xr:uid="{31EBD1DF-17C5-4768-9B7C-CB2A7EAE4C7B}"/>
    <cellStyle name="Normal 2 2 2 2 2 2 2 2 2 2 28 3" xfId="6174" xr:uid="{E76A2663-A763-44C7-B464-0F4FD512E579}"/>
    <cellStyle name="Normal 2 2 2 2 2 2 2 2 2 2 28 5" xfId="6175" xr:uid="{3DD476FB-2EB5-43E5-8082-F31C3D0D1E36}"/>
    <cellStyle name="Normal 2 2 2 2 2 2 2 2 2 2 28 5 3" xfId="6176" xr:uid="{C7D70630-5817-4ED4-BBF5-4E50B11AC822}"/>
    <cellStyle name="Normal 2 2 2 2 2 2 2 2 2 2 28 7" xfId="6177" xr:uid="{698A0053-FB16-41ED-992D-1B53514561A8}"/>
    <cellStyle name="Normal 2 2 2 2 2 2 2 2 2 2 28 9" xfId="6178" xr:uid="{A84D46FE-C3E3-47D9-B34E-F80EF299F890}"/>
    <cellStyle name="Normal 2 2 2 2 2 2 2 2 2 2 3" xfId="6179" xr:uid="{BAC4C287-EDE7-41DF-81F2-4605B2F2D00D}"/>
    <cellStyle name="Normal 2 2 2 2 2 2 2 2 2 2 3 3" xfId="6180" xr:uid="{6C29EC2B-A39E-4734-AE17-6BC314B8685D}"/>
    <cellStyle name="Normal 2 2 2 2 2 2 2 2 2 2 3 5" xfId="6181" xr:uid="{4A89A27F-51D0-4FA2-B8D5-F0CCDABB156B}"/>
    <cellStyle name="Normal 2 2 2 2 2 2 2 2 2 2 30" xfId="6182" xr:uid="{0769157B-462B-4365-A17F-DDF7CAB63865}"/>
    <cellStyle name="Normal 2 2 2 2 2 2 2 2 2 2 31 2" xfId="6183" xr:uid="{3DF513E4-EEC3-405C-A754-2273A185604E}"/>
    <cellStyle name="Normal 2 2 2 2 2 2 2 2 2 2 31 2 3" xfId="6184" xr:uid="{6C44317E-8CD8-4093-908E-5C1E0119E603}"/>
    <cellStyle name="Normal 2 2 2 2 2 2 2 2 2 2 31 4" xfId="6185" xr:uid="{7E913C0B-1080-40BA-A979-8A749D2F09BA}"/>
    <cellStyle name="Normal 2 2 2 2 2 2 2 2 2 2 31 6" xfId="6186" xr:uid="{C8C71006-8C22-4F31-82C4-0956A0E30D0E}"/>
    <cellStyle name="Normal 2 2 2 2 2 2 2 2 2 2 31 8" xfId="6187" xr:uid="{18975DBC-DACA-4E47-A93F-990FEC3491F9}"/>
    <cellStyle name="Normal 2 2 2 2 2 2 2 2 2 2 32" xfId="6188" xr:uid="{74724FAD-7794-40E5-84A9-3D006F806A25}"/>
    <cellStyle name="Normal 2 2 2 2 2 2 2 2 2 2 33 2" xfId="6189" xr:uid="{939E5BA2-EAF0-467C-8B1A-6F048DA8F972}"/>
    <cellStyle name="Normal 2 2 2 2 2 2 2 2 2 2 34" xfId="6190" xr:uid="{14D8940E-5867-4E2F-B9F4-A0708F15432E}"/>
    <cellStyle name="Normal 2 2 2 2 2 2 2 2 2 2 36" xfId="6191" xr:uid="{A01E2B28-8F59-40B6-8EC8-5921259BF71A}"/>
    <cellStyle name="Normal 2 2 2 2 2 2 2 2 2 2 38" xfId="6192" xr:uid="{6567A2EF-B5B9-48F8-9540-3A6583E30BF3}"/>
    <cellStyle name="Normal 2 2 2 2 2 2 2 2 2 2 4" xfId="6193" xr:uid="{2919C8DE-AFC2-489E-8362-39C56FB81E15}"/>
    <cellStyle name="Normal 2 2 2 2 2 2 2 2 2 2 4 3" xfId="6194" xr:uid="{01510828-6F3C-4C44-93DF-FFE1CCED9A96}"/>
    <cellStyle name="Normal 2 2 2 2 2 2 2 2 2 2 4 5" xfId="6195" xr:uid="{44E81334-6608-4DE4-A84B-229674F1E398}"/>
    <cellStyle name="Normal 2 2 2 2 2 2 2 2 2 2 5" xfId="6196" xr:uid="{29D13B39-2745-4DFC-B02C-34C8D499003D}"/>
    <cellStyle name="Normal 2 2 2 2 2 2 2 2 2 2 5 3" xfId="6197" xr:uid="{C1AEDF1B-96FA-4C1C-98AF-64E237BFB4D9}"/>
    <cellStyle name="Normal 2 2 2 2 2 2 2 2 2 2 5 5" xfId="6198" xr:uid="{CC050CAC-52FD-4053-9993-168620083602}"/>
    <cellStyle name="Normal 2 2 2 2 2 2 2 2 2 2 6" xfId="6199" xr:uid="{E5D12F6E-6095-403A-A034-6BE7D3553920}"/>
    <cellStyle name="Normal 2 2 2 2 2 2 2 2 2 2 6 3" xfId="6200" xr:uid="{7EB868A5-798F-4F69-93B2-4956DD75B74B}"/>
    <cellStyle name="Normal 2 2 2 2 2 2 2 2 2 2 6 5" xfId="6201" xr:uid="{5CF9B641-63D5-4661-838A-AAA1EAFC4DB3}"/>
    <cellStyle name="Normal 2 2 2 2 2 2 2 2 2 2 7" xfId="6202" xr:uid="{E64BF731-4170-4D34-80A8-F5B6018A6887}"/>
    <cellStyle name="Normal 2 2 2 2 2 2 2 2 2 2 7 2 2" xfId="6203" xr:uid="{7ECEEEA2-DC71-419C-BC9A-1831F27D9343}"/>
    <cellStyle name="Normal 2 2 2 2 2 2 2 2 2 2 7 2 2 3" xfId="6204" xr:uid="{B4E7D729-8999-40A6-86BB-A88D7FB21F51}"/>
    <cellStyle name="Normal 2 2 2 2 2 2 2 2 2 2 7 2 2 5" xfId="6205" xr:uid="{B5C8BD4E-5FCE-4177-9713-DC5330CDEFDF}"/>
    <cellStyle name="Normal 2 2 2 2 2 2 2 2 2 2 7 2 2 7" xfId="6206" xr:uid="{4F47B46A-0FF7-4412-96B2-74506A43DF1C}"/>
    <cellStyle name="Normal 2 2 2 2 2 2 2 2 2 2 7 4" xfId="6207" xr:uid="{75264B25-7C9D-41C7-B640-AA0305CC568D}"/>
    <cellStyle name="Normal 2 2 2 2 2 2 2 2 2 2 7 6" xfId="6208" xr:uid="{BCCE82DC-4CBC-47F1-9965-971E08051609}"/>
    <cellStyle name="Normal 2 2 2 2 2 2 2 2 2 2 7 8" xfId="6209" xr:uid="{7855A802-3937-4681-A0AC-5911428EC2BE}"/>
    <cellStyle name="Normal 2 2 2 2 2 2 2 2 2 2 9" xfId="6210" xr:uid="{3A2EECF8-B08D-49C4-8D60-406108F92F99}"/>
    <cellStyle name="Normal 2 2 2 2 2 2 2 2 2 21" xfId="6211" xr:uid="{FF6EB1A2-9DD1-4D82-9857-2227837CEE3E}"/>
    <cellStyle name="Normal 2 2 2 2 2 2 2 2 2 22 2" xfId="6212" xr:uid="{13004B5C-8643-4BF6-A98D-6BFCFF7E4A51}"/>
    <cellStyle name="Normal 2 2 2 2 2 2 2 2 2 22 2 2 2" xfId="6213" xr:uid="{C338EB1D-9E96-4945-B2B9-F2D95EB0E6F6}"/>
    <cellStyle name="Normal 2 2 2 2 2 2 2 2 2 22 2 2 2 3" xfId="6214" xr:uid="{CD85986B-81CA-4DE4-A0DA-68AF586452BE}"/>
    <cellStyle name="Normal 2 2 2 2 2 2 2 2 2 22 2 2 2 5" xfId="6215" xr:uid="{47372718-2124-4952-82D5-E7C35F056FAF}"/>
    <cellStyle name="Normal 2 2 2 2 2 2 2 2 2 22 2 3" xfId="6216" xr:uid="{6C42A5FD-1FE1-4A56-924B-9B58655DA079}"/>
    <cellStyle name="Normal 2 2 2 2 2 2 2 2 2 22 2 5" xfId="6217" xr:uid="{F4063DE6-DDD2-4A53-B68E-BAFD25E0D22F}"/>
    <cellStyle name="Normal 2 2 2 2 2 2 2 2 2 22 2 7" xfId="6218" xr:uid="{F0C19E0F-4E00-4433-BCD7-F9388520E535}"/>
    <cellStyle name="Normal 2 2 2 2 2 2 2 2 2 22 3 2" xfId="6219" xr:uid="{1E77F551-2E4E-4F31-BC70-C61FDF3CF6AA}"/>
    <cellStyle name="Normal 2 2 2 2 2 2 2 2 2 22 3 4" xfId="6220" xr:uid="{A8EF9695-E123-4563-AD39-9785A09DC03B}"/>
    <cellStyle name="Normal 2 2 2 2 2 2 2 2 2 22 3 6" xfId="6221" xr:uid="{4456A67D-38CF-497C-A511-AB59AE6BE469}"/>
    <cellStyle name="Normal 2 2 2 2 2 2 2 2 2 23 2" xfId="6222" xr:uid="{28D6FA4E-A938-43AE-819B-E97A83784F8F}"/>
    <cellStyle name="Normal 2 2 2 2 2 2 2 2 2 23 4" xfId="6223" xr:uid="{649510B1-DFD6-4479-9378-F71132C13125}"/>
    <cellStyle name="Normal 2 2 2 2 2 2 2 2 2 23 6" xfId="6224" xr:uid="{00032FA9-7219-4F91-A2C9-458BB8CBC35A}"/>
    <cellStyle name="Normal 2 2 2 2 2 2 2 2 2 24 2" xfId="6225" xr:uid="{B20AAED8-72B0-421B-8953-049025147266}"/>
    <cellStyle name="Normal 2 2 2 2 2 2 2 2 2 24 4" xfId="6226" xr:uid="{D0BF5EEE-E846-4DEF-A79C-3F583D1AD176}"/>
    <cellStyle name="Normal 2 2 2 2 2 2 2 2 2 24 6" xfId="6227" xr:uid="{EE680120-F7E6-4872-BBC1-7E11D4A1E97E}"/>
    <cellStyle name="Normal 2 2 2 2 2 2 2 2 2 25 2" xfId="6228" xr:uid="{40DF4C59-3C46-4FBD-8B3B-D0D3EACA2DFD}"/>
    <cellStyle name="Normal 2 2 2 2 2 2 2 2 2 25 4" xfId="6229" xr:uid="{301777AB-2E36-44BE-B869-BD160FFCA110}"/>
    <cellStyle name="Normal 2 2 2 2 2 2 2 2 2 25 6" xfId="6230" xr:uid="{6938C998-DEF2-442D-969F-D563F4497354}"/>
    <cellStyle name="Normal 2 2 2 2 2 2 2 2 2 26 2" xfId="6231" xr:uid="{C0AB1E4C-7BB7-45C1-97C8-36C2D7E40228}"/>
    <cellStyle name="Normal 2 2 2 2 2 2 2 2 2 26 4" xfId="6232" xr:uid="{A54E2ABA-69AD-4820-8CB1-0E4C6B1FAB80}"/>
    <cellStyle name="Normal 2 2 2 2 2 2 2 2 2 26 6" xfId="6233" xr:uid="{8133B45D-46F4-4BF6-8B6C-ADED3ED7A48B}"/>
    <cellStyle name="Normal 2 2 2 2 2 2 2 2 2 27 2" xfId="6234" xr:uid="{D7012928-C7F3-457A-97CF-C57E46EB67C6}"/>
    <cellStyle name="Normal 2 2 2 2 2 2 2 2 2 27 4" xfId="6235" xr:uid="{B2173225-0AED-4475-A92E-491EEC694887}"/>
    <cellStyle name="Normal 2 2 2 2 2 2 2 2 2 27 6" xfId="6236" xr:uid="{2A1B155B-479D-438B-8000-F0BC6B254E5E}"/>
    <cellStyle name="Normal 2 2 2 2 2 2 2 2 2 28 2" xfId="6237" xr:uid="{FA40DCDA-F3A2-4D10-9B83-B01C2B37097F}"/>
    <cellStyle name="Normal 2 2 2 2 2 2 2 2 2 28 4" xfId="6238" xr:uid="{0D4A1BF2-47A3-4D2D-BFCE-F2A0506FC849}"/>
    <cellStyle name="Normal 2 2 2 2 2 2 2 2 2 28 6" xfId="6239" xr:uid="{B99F0489-E85B-48E0-A787-142EB2F1DD04}"/>
    <cellStyle name="Normal 2 2 2 2 2 2 2 2 2 29 2" xfId="6240" xr:uid="{DE21C3E9-A769-4B78-959E-4AEE0E44A6C4}"/>
    <cellStyle name="Normal 2 2 2 2 2 2 2 2 2 29 4" xfId="6241" xr:uid="{D374D932-38BB-4B92-86A1-315572796BB9}"/>
    <cellStyle name="Normal 2 2 2 2 2 2 2 2 2 29 6" xfId="6242" xr:uid="{6EF1F5CD-DC9F-4DA6-A109-0D76E4AF3C64}"/>
    <cellStyle name="Normal 2 2 2 2 2 2 2 2 2 3 2" xfId="6243" xr:uid="{3B8E779D-12BB-4C06-89C6-E1712D1CA718}"/>
    <cellStyle name="Normal 2 2 2 2 2 2 2 2 2 3 4" xfId="6244" xr:uid="{2314D66D-F2DF-46ED-AE4D-4F29A7BEE0A8}"/>
    <cellStyle name="Normal 2 2 2 2 2 2 2 2 2 3 6" xfId="6245" xr:uid="{557A2732-AB5B-4E1A-87FF-BC0192EA191B}"/>
    <cellStyle name="Normal 2 2 2 2 2 2 2 2 2 30 2" xfId="6246" xr:uid="{7CC4025D-EC90-407F-B4C5-FF5267B5E4D6}"/>
    <cellStyle name="Normal 2 2 2 2 2 2 2 2 2 30 4" xfId="6247" xr:uid="{4E0ECD8A-DA22-4C60-8A29-5443FED7B1BA}"/>
    <cellStyle name="Normal 2 2 2 2 2 2 2 2 2 30 6" xfId="6248" xr:uid="{84D01E5D-1DBF-4F0E-998E-BB6420B2B653}"/>
    <cellStyle name="Normal 2 2 2 2 2 2 2 2 2 31 2" xfId="6249" xr:uid="{268DDF14-350A-437F-9287-8C8BD15F2282}"/>
    <cellStyle name="Normal 2 2 2 2 2 2 2 2 2 31 4" xfId="6250" xr:uid="{DBF0DBC4-2B3A-4171-9021-5238271A669F}"/>
    <cellStyle name="Normal 2 2 2 2 2 2 2 2 2 31 6" xfId="6251" xr:uid="{777792C8-B536-4258-A928-464F0791577F}"/>
    <cellStyle name="Normal 2 2 2 2 2 2 2 2 2 32 2" xfId="6252" xr:uid="{B877E4F5-5998-42E6-BCC6-441340FF2526}"/>
    <cellStyle name="Normal 2 2 2 2 2 2 2 2 2 32 4" xfId="6253" xr:uid="{8CC3FA67-54FC-4DDF-8D48-C1345860639F}"/>
    <cellStyle name="Normal 2 2 2 2 2 2 2 2 2 32 6" xfId="6254" xr:uid="{7760E1CB-A651-4CFF-99F1-A3EB5A22102A}"/>
    <cellStyle name="Normal 2 2 2 2 2 2 2 2 2 33 2" xfId="6255" xr:uid="{2522463E-15DE-4084-A5BD-86559D06DF58}"/>
    <cellStyle name="Normal 2 2 2 2 2 2 2 2 2 33 4" xfId="6256" xr:uid="{AECDDF0E-BE8A-41FE-92B2-3EE8C70CF800}"/>
    <cellStyle name="Normal 2 2 2 2 2 2 2 2 2 33 6" xfId="6257" xr:uid="{6C85C224-2560-4A5D-956B-9B10A4756B44}"/>
    <cellStyle name="Normal 2 2 2 2 2 2 2 2 2 34 2" xfId="6258" xr:uid="{684C754A-F77B-4FBD-9B73-69DCB1A0BF67}"/>
    <cellStyle name="Normal 2 2 2 2 2 2 2 2 2 34 4" xfId="6259" xr:uid="{121A6CB2-14A0-4490-A4FC-1BF9078FA677}"/>
    <cellStyle name="Normal 2 2 2 2 2 2 2 2 2 34 6" xfId="6260" xr:uid="{FF1B9E14-89AD-4F15-9A88-BB2080209579}"/>
    <cellStyle name="Normal 2 2 2 2 2 2 2 2 2 35 2" xfId="6261" xr:uid="{0CB2C65D-EE78-47DA-8DEA-5CB4114F5DAB}"/>
    <cellStyle name="Normal 2 2 2 2 2 2 2 2 2 35 4" xfId="6262" xr:uid="{3D88C25D-F78E-4606-A515-848312C85D2D}"/>
    <cellStyle name="Normal 2 2 2 2 2 2 2 2 2 35 6" xfId="6263" xr:uid="{F17B1727-9B1D-499B-887B-835527BE60C9}"/>
    <cellStyle name="Normal 2 2 2 2 2 2 2 2 2 36 2" xfId="6264" xr:uid="{3D21E0F8-5490-4C60-BBE9-ABE6077DDA6A}"/>
    <cellStyle name="Normal 2 2 2 2 2 2 2 2 2 36 4" xfId="6265" xr:uid="{EFF5E620-8F05-4DAD-8213-8993620AE8F4}"/>
    <cellStyle name="Normal 2 2 2 2 2 2 2 2 2 36 6" xfId="6266" xr:uid="{64A3C26E-3AF0-43CE-BC75-59F9563725EA}"/>
    <cellStyle name="Normal 2 2 2 2 2 2 2 2 2 37 2" xfId="6267" xr:uid="{58363F52-A19B-4623-BF6D-5E83A503062E}"/>
    <cellStyle name="Normal 2 2 2 2 2 2 2 2 2 37 4" xfId="6268" xr:uid="{D2C20672-DC7A-44CC-AB0B-113C62F23C19}"/>
    <cellStyle name="Normal 2 2 2 2 2 2 2 2 2 37 6" xfId="6269" xr:uid="{84033C86-CDC1-4455-BD1D-B9E3A9346E8E}"/>
    <cellStyle name="Normal 2 2 2 2 2 2 2 2 2 38 3" xfId="6270" xr:uid="{6F0FFFC4-FFDF-4DFC-A920-A8C52194C283}"/>
    <cellStyle name="Normal 2 2 2 2 2 2 2 2 2 38 5" xfId="6271" xr:uid="{587E5640-697B-47A7-AA4A-65123F4765A9}"/>
    <cellStyle name="Normal 2 2 2 2 2 2 2 2 2 39" xfId="6272" xr:uid="{AD265751-D77A-4018-B9E7-A5C430BA1EA7}"/>
    <cellStyle name="Normal 2 2 2 2 2 2 2 2 2 39 4" xfId="6273" xr:uid="{9CB507ED-6F3D-480A-A5CA-9A9542B767A1}"/>
    <cellStyle name="Normal 2 2 2 2 2 2 2 2 2 39 6" xfId="6274" xr:uid="{3F2CFA38-1883-4220-8C6F-B3DF8552FC76}"/>
    <cellStyle name="Normal 2 2 2 2 2 2 2 2 2 4 2" xfId="6275" xr:uid="{99C85064-8827-4D72-92A4-A5755BBF48BE}"/>
    <cellStyle name="Normal 2 2 2 2 2 2 2 2 2 4 4" xfId="6276" xr:uid="{27567B87-C209-446A-88B7-6793A0590274}"/>
    <cellStyle name="Normal 2 2 2 2 2 2 2 2 2 4 6" xfId="6277" xr:uid="{29CF9042-7F36-4293-AD8F-A8CF20481B6B}"/>
    <cellStyle name="Normal 2 2 2 2 2 2 2 2 2 40 2" xfId="6278" xr:uid="{923439DB-4EF4-44D8-823D-65F2BF9A12BF}"/>
    <cellStyle name="Normal 2 2 2 2 2 2 2 2 2 40 4" xfId="6279" xr:uid="{F5DBFD49-B7CD-48FB-994B-2974F7E82D13}"/>
    <cellStyle name="Normal 2 2 2 2 2 2 2 2 2 40 6" xfId="6280" xr:uid="{978E2D05-0092-402F-AF90-F7FC7544A97A}"/>
    <cellStyle name="Normal 2 2 2 2 2 2 2 2 2 41 2" xfId="6281" xr:uid="{D09F8047-727C-4521-8BED-136F13463A9C}"/>
    <cellStyle name="Normal 2 2 2 2 2 2 2 2 2 41 4" xfId="6282" xr:uid="{8644B9FC-65CE-4F6F-9359-AAC0287DCCEE}"/>
    <cellStyle name="Normal 2 2 2 2 2 2 2 2 2 41 6" xfId="6283" xr:uid="{E5F55A6A-48DA-4474-AEDD-F779C29A64B9}"/>
    <cellStyle name="Normal 2 2 2 2 2 2 2 2 2 42 2" xfId="6284" xr:uid="{F6130E65-E172-4744-93F2-00B593F72890}"/>
    <cellStyle name="Normal 2 2 2 2 2 2 2 2 2 42 2 3" xfId="6285" xr:uid="{308BA0FC-31EE-46C0-ADAD-19DF65AFEF96}"/>
    <cellStyle name="Normal 2 2 2 2 2 2 2 2 2 42 2 5" xfId="6286" xr:uid="{B2EDE659-F324-4626-BF23-33DB9CD7D4C3}"/>
    <cellStyle name="Normal 2 2 2 2 2 2 2 2 2 43" xfId="6287" xr:uid="{C5B7FAB7-6B1E-4A35-84AF-ED1B104F5C38}"/>
    <cellStyle name="Normal 2 2 2 2 2 2 2 2 2 43 11" xfId="6288" xr:uid="{A73E8720-9D65-4098-8BB2-A52DFF156108}"/>
    <cellStyle name="Normal 2 2 2 2 2 2 2 2 2 43 2 2" xfId="6289" xr:uid="{A2DAF235-F168-49A8-97FB-BF2890298292}"/>
    <cellStyle name="Normal 2 2 2 2 2 2 2 2 2 43 2 2 3" xfId="6290" xr:uid="{DFB2A243-D0D4-4868-BB36-8A298EBA9045}"/>
    <cellStyle name="Normal 2 2 2 2 2 2 2 2 2 43 2 4" xfId="6291" xr:uid="{79F1FD74-6D89-4A0F-9FC6-287C7355F17B}"/>
    <cellStyle name="Normal 2 2 2 2 2 2 2 2 2 43 2 6" xfId="6292" xr:uid="{32A42FF2-579B-4B66-9CCF-64873F0DFC0E}"/>
    <cellStyle name="Normal 2 2 2 2 2 2 2 2 2 43 2 8" xfId="6293" xr:uid="{F433D480-F4D1-4FB1-A727-45C2FB2F189C}"/>
    <cellStyle name="Normal 2 2 2 2 2 2 2 2 2 43 3" xfId="6294" xr:uid="{D2410312-5951-44A9-BFBD-BCE2E486AA17}"/>
    <cellStyle name="Normal 2 2 2 2 2 2 2 2 2 43 5" xfId="6295" xr:uid="{7712BD14-7BAC-4F34-9C8F-EA70FAB61817}"/>
    <cellStyle name="Normal 2 2 2 2 2 2 2 2 2 43 5 3" xfId="6296" xr:uid="{4539A205-EA25-42B1-AF2B-724F499215CE}"/>
    <cellStyle name="Normal 2 2 2 2 2 2 2 2 2 43 7" xfId="6297" xr:uid="{E389D25F-CCDF-4A35-9C33-F1D5F0385A32}"/>
    <cellStyle name="Normal 2 2 2 2 2 2 2 2 2 43 9" xfId="6298" xr:uid="{7A91ECF1-1660-47B7-BDA4-5136D0FAB760}"/>
    <cellStyle name="Normal 2 2 2 2 2 2 2 2 2 45" xfId="6299" xr:uid="{2C46F252-0AFD-4403-B7EA-705413536BF6}"/>
    <cellStyle name="Normal 2 2 2 2 2 2 2 2 2 46 2" xfId="6300" xr:uid="{D6B89FB9-79D6-42CB-A934-A2D3D7969667}"/>
    <cellStyle name="Normal 2 2 2 2 2 2 2 2 2 46 2 3" xfId="6301" xr:uid="{D326BE20-B117-45CC-8F0D-837FB0853768}"/>
    <cellStyle name="Normal 2 2 2 2 2 2 2 2 2 46 4" xfId="6302" xr:uid="{CFDAFE35-F5B3-4B20-9C14-A195DEA0B1D7}"/>
    <cellStyle name="Normal 2 2 2 2 2 2 2 2 2 46 6" xfId="6303" xr:uid="{9483FCB8-DEF9-4C34-821F-EB3CA15A4E45}"/>
    <cellStyle name="Normal 2 2 2 2 2 2 2 2 2 46 8" xfId="6304" xr:uid="{D07BDDC4-A1CF-42CB-8753-22370A954E8F}"/>
    <cellStyle name="Normal 2 2 2 2 2 2 2 2 2 47" xfId="6305" xr:uid="{A1077991-AD99-44B4-B024-974B35152FBB}"/>
    <cellStyle name="Normal 2 2 2 2 2 2 2 2 2 48 2" xfId="6306" xr:uid="{650F60B7-339D-414E-9355-1B416797F438}"/>
    <cellStyle name="Normal 2 2 2 2 2 2 2 2 2 49" xfId="6307" xr:uid="{3949CCA7-D4FE-4F1F-B37D-EF0D22C8FD6B}"/>
    <cellStyle name="Normal 2 2 2 2 2 2 2 2 2 5 2" xfId="6308" xr:uid="{9E7CFD17-9947-4330-8370-957AD4F00551}"/>
    <cellStyle name="Normal 2 2 2 2 2 2 2 2 2 5 4" xfId="6309" xr:uid="{56BB5A30-149C-43C5-A578-EA37677021D1}"/>
    <cellStyle name="Normal 2 2 2 2 2 2 2 2 2 5 6" xfId="6310" xr:uid="{B846A027-4E45-4A69-AF6F-CA3C9D2CF718}"/>
    <cellStyle name="Normal 2 2 2 2 2 2 2 2 2 51" xfId="6311" xr:uid="{524FF026-C590-4150-A23F-EAA16E091599}"/>
    <cellStyle name="Normal 2 2 2 2 2 2 2 2 2 53" xfId="6312" xr:uid="{DBD6A345-CB31-46C7-8233-5EFDA9A086C7}"/>
    <cellStyle name="Normal 2 2 2 2 2 2 2 2 2 6" xfId="6313" xr:uid="{A65F2E20-6605-475B-A1CE-216DC546071C}"/>
    <cellStyle name="Normal 2 2 2 2 2 2 2 2 2 6 3" xfId="6314" xr:uid="{AA1BD58B-9EAD-4AA8-B782-F824E782BFCE}"/>
    <cellStyle name="Normal 2 2 2 2 2 2 2 2 2 6 5" xfId="6315" xr:uid="{2879C92C-4144-4AD4-84FB-CA6376ABB4D3}"/>
    <cellStyle name="Normal 2 2 2 2 2 2 2 2 2 7" xfId="6316" xr:uid="{E5A15A9F-E776-4BD8-AB5D-1F0248A0DD40}"/>
    <cellStyle name="Normal 2 2 2 2 2 2 2 2 2 7 3" xfId="6317" xr:uid="{B0413C9F-1521-48D9-98EE-E74C05A4345B}"/>
    <cellStyle name="Normal 2 2 2 2 2 2 2 2 2 7 5" xfId="6318" xr:uid="{B70CFFB4-5DDC-494A-982E-B9327F7B91C1}"/>
    <cellStyle name="Normal 2 2 2 2 2 2 2 2 2 8" xfId="6319" xr:uid="{E2055EED-FB7A-42FE-8A2B-DF7F2812BC8A}"/>
    <cellStyle name="Normal 2 2 2 2 2 2 2 2 2 8 5" xfId="6320" xr:uid="{2233E639-68FD-4B40-A853-132A94262661}"/>
    <cellStyle name="Normal 2 2 2 2 2 2 2 2 2 9 2" xfId="6321" xr:uid="{62490837-E1F3-49FC-B693-C8A96B04F715}"/>
    <cellStyle name="Normal 2 2 2 2 2 2 2 2 2 9 4" xfId="6322" xr:uid="{36D46B15-0EE5-40C7-88E7-5D8F7EBC346C}"/>
    <cellStyle name="Normal 2 2 2 2 2 2 2 2 2 9 6" xfId="6323" xr:uid="{6DF34526-84A8-49C7-A731-C15C270BCA88}"/>
    <cellStyle name="Normal 2 2 2 2 2 2 2 2 21" xfId="6324" xr:uid="{220A4478-ACBD-4977-8900-2454431A1642}"/>
    <cellStyle name="Normal 2 2 2 2 2 2 2 2 23" xfId="6325" xr:uid="{A2BDB461-B797-4CC9-9648-3E6C1D348633}"/>
    <cellStyle name="Normal 2 2 2 2 2 2 2 2 25" xfId="6326" xr:uid="{17228C9A-862F-460F-8D5B-0AEDAD4EC752}"/>
    <cellStyle name="Normal 2 2 2 2 2 2 2 2 27" xfId="6327" xr:uid="{7C003F9E-A788-4E58-B89E-978C41D3A4F3}"/>
    <cellStyle name="Normal 2 2 2 2 2 2 2 2 27 3" xfId="6328" xr:uid="{80078FA7-1DF5-422B-9FA0-F37A0C7B08B1}"/>
    <cellStyle name="Normal 2 2 2 2 2 2 2 2 27 5" xfId="6329" xr:uid="{F2EAB739-D76D-49D5-A89C-925C8174342B}"/>
    <cellStyle name="Normal 2 2 2 2 2 2 2 2 28" xfId="6330" xr:uid="{93B710A6-C9AE-4BC7-97E9-03310770FB6F}"/>
    <cellStyle name="Normal 2 2 2 2 2 2 2 2 28 3" xfId="6331" xr:uid="{1B420A38-34AA-4FA3-B95F-3E127228D836}"/>
    <cellStyle name="Normal 2 2 2 2 2 2 2 2 28 5" xfId="6332" xr:uid="{76211EF9-943D-42B0-A6A3-E992461857E7}"/>
    <cellStyle name="Normal 2 2 2 2 2 2 2 2 29" xfId="6333" xr:uid="{CCF7EBC3-8761-4AF9-AC67-25EA8B116D45}"/>
    <cellStyle name="Normal 2 2 2 2 2 2 2 2 29 3" xfId="6334" xr:uid="{2BBFE5D8-80ED-4CFC-B315-9F29113AC33F}"/>
    <cellStyle name="Normal 2 2 2 2 2 2 2 2 29 5" xfId="6335" xr:uid="{2553688B-17E3-459A-B8EE-CA569036EC7E}"/>
    <cellStyle name="Normal 2 2 2 2 2 2 2 2 3" xfId="6336" xr:uid="{122DF01F-0454-489F-B4BA-C8F34A2EABBB}"/>
    <cellStyle name="Normal 2 2 2 2 2 2 2 2 3 11" xfId="6337" xr:uid="{2DF33FEF-E1D7-4E02-8238-2A0460AA50D1}"/>
    <cellStyle name="Normal 2 2 2 2 2 2 2 2 3 13" xfId="6338" xr:uid="{514A90EF-F281-4993-AB2A-02B3D955F37D}"/>
    <cellStyle name="Normal 2 2 2 2 2 2 2 2 3 2 2" xfId="6339" xr:uid="{61D72CDE-89F1-4708-B548-423D1F3478D1}"/>
    <cellStyle name="Normal 2 2 2 2 2 2 2 2 3 2 4" xfId="6340" xr:uid="{7E8B2098-6658-4D0B-A536-2DBBB6199DCC}"/>
    <cellStyle name="Normal 2 2 2 2 2 2 2 2 3 2 6" xfId="6341" xr:uid="{5CDAAA91-A125-48F1-8A00-B83F013C241F}"/>
    <cellStyle name="Normal 2 2 2 2 2 2 2 2 3 3 2" xfId="6342" xr:uid="{312B4EEF-487B-4AB4-BD5D-AD7FD7F38882}"/>
    <cellStyle name="Normal 2 2 2 2 2 2 2 2 3 3 4" xfId="6343" xr:uid="{1F6FE8B1-2C4E-4886-8880-537F75B154E0}"/>
    <cellStyle name="Normal 2 2 2 2 2 2 2 2 3 3 6" xfId="6344" xr:uid="{4D298DD5-07B9-4CC6-A565-EB69EAEC1CE8}"/>
    <cellStyle name="Normal 2 2 2 2 2 2 2 2 3 4 2" xfId="6345" xr:uid="{633705B2-1C04-49AE-B7C3-E9714D07ADF5}"/>
    <cellStyle name="Normal 2 2 2 2 2 2 2 2 3 4 4" xfId="6346" xr:uid="{30E1FD35-F247-427F-9144-1C17C08EA9B2}"/>
    <cellStyle name="Normal 2 2 2 2 2 2 2 2 3 4 6" xfId="6347" xr:uid="{70806238-6B85-46CF-A922-8BD1E3CF1C54}"/>
    <cellStyle name="Normal 2 2 2 2 2 2 2 2 3 5 2" xfId="6348" xr:uid="{F19D2ADD-7A39-4B4B-824F-8C334C74A21A}"/>
    <cellStyle name="Normal 2 2 2 2 2 2 2 2 3 5 4" xfId="6349" xr:uid="{85AD377B-EF0A-4975-9481-ADB6D18F10C3}"/>
    <cellStyle name="Normal 2 2 2 2 2 2 2 2 3 5 6" xfId="6350" xr:uid="{3B8D7AEC-10C5-4F4E-9832-8D01BD3BD20D}"/>
    <cellStyle name="Normal 2 2 2 2 2 2 2 2 3 6 2" xfId="6351" xr:uid="{738A902C-9CA3-4551-863E-A59EC0411BC7}"/>
    <cellStyle name="Normal 2 2 2 2 2 2 2 2 3 6 4" xfId="6352" xr:uid="{40E5CF13-D044-469D-B110-E92BED7353A1}"/>
    <cellStyle name="Normal 2 2 2 2 2 2 2 2 3 6 6" xfId="6353" xr:uid="{005AC04E-7297-453C-BA5B-97B16CF62CB0}"/>
    <cellStyle name="Normal 2 2 2 2 2 2 2 2 3 7 2" xfId="6354" xr:uid="{AB29EA4B-4914-4661-8FF9-29A6921A4966}"/>
    <cellStyle name="Normal 2 2 2 2 2 2 2 2 3 7 4" xfId="6355" xr:uid="{DA27A195-3CD3-4414-B1FA-785ECD51FF42}"/>
    <cellStyle name="Normal 2 2 2 2 2 2 2 2 3 7 6" xfId="6356" xr:uid="{20871D53-7690-4836-9FB9-7F10D0D4D222}"/>
    <cellStyle name="Normal 2 2 2 2 2 2 2 2 3 8 2" xfId="6357" xr:uid="{251AA225-345C-420C-A590-F6E1ECA51C0E}"/>
    <cellStyle name="Normal 2 2 2 2 2 2 2 2 3 8 4" xfId="6358" xr:uid="{B603AC5F-C4F9-4574-90DE-A78D0DADE2F6}"/>
    <cellStyle name="Normal 2 2 2 2 2 2 2 2 3 8 6" xfId="6359" xr:uid="{B972DF99-BA7E-4E69-8058-E9964DAE1AED}"/>
    <cellStyle name="Normal 2 2 2 2 2 2 2 2 30" xfId="6360" xr:uid="{6044E6A3-360F-4592-A28D-F62646DAF158}"/>
    <cellStyle name="Normal 2 2 2 2 2 2 2 2 30 3" xfId="6361" xr:uid="{187C2C0B-E646-464E-8EFE-B8922FD7E253}"/>
    <cellStyle name="Normal 2 2 2 2 2 2 2 2 30 5" xfId="6362" xr:uid="{DBED104E-6F54-48BF-AEF3-F7DDA3852D8F}"/>
    <cellStyle name="Normal 2 2 2 2 2 2 2 2 31" xfId="6363" xr:uid="{636E2CC7-E2DF-4F05-AA37-5550DD04D94B}"/>
    <cellStyle name="Normal 2 2 2 2 2 2 2 2 31 2 2" xfId="6364" xr:uid="{E13A8D14-42C3-494D-BE71-FA2D3B0AA327}"/>
    <cellStyle name="Normal 2 2 2 2 2 2 2 2 31 2 2 3" xfId="6365" xr:uid="{4AA06F9A-9F3B-4610-9AA9-8BD6D4114585}"/>
    <cellStyle name="Normal 2 2 2 2 2 2 2 2 31 2 2 5" xfId="6366" xr:uid="{A436C1B2-78C1-4468-817B-7B0EB7964F67}"/>
    <cellStyle name="Normal 2 2 2 2 2 2 2 2 31 2 2 7" xfId="6367" xr:uid="{EC4A75AB-2824-4244-97C8-E4E29A5EDFBA}"/>
    <cellStyle name="Normal 2 2 2 2 2 2 2 2 31 4" xfId="6368" xr:uid="{A073D462-3A5B-4D47-A274-92DB123F74BF}"/>
    <cellStyle name="Normal 2 2 2 2 2 2 2 2 31 6" xfId="6369" xr:uid="{C8516AF8-F74F-4019-B58E-DB99BA5017D4}"/>
    <cellStyle name="Normal 2 2 2 2 2 2 2 2 31 8" xfId="6370" xr:uid="{32B565FC-C08E-475D-BE5C-09B40303AA04}"/>
    <cellStyle name="Normal 2 2 2 2 2 2 2 2 33" xfId="6371" xr:uid="{56D2AB38-E6B9-461B-9BB6-20EB1DDC35E5}"/>
    <cellStyle name="Normal 2 2 2 2 2 2 2 2 35" xfId="6372" xr:uid="{51801D57-D39C-40E9-A16A-E4B58DF88A25}"/>
    <cellStyle name="Normal 2 2 2 2 2 2 2 2 37" xfId="6373" xr:uid="{B752856F-8C88-4210-BE54-D20EEEFABFB9}"/>
    <cellStyle name="Normal 2 2 2 2 2 2 2 2 39" xfId="6374" xr:uid="{519050BF-CECA-41AA-96B4-1FB6652C8088}"/>
    <cellStyle name="Normal 2 2 2 2 2 2 2 2 4 10" xfId="6375" xr:uid="{62A41646-F22E-4559-B536-08FC249469F4}"/>
    <cellStyle name="Normal 2 2 2 2 2 2 2 2 4 12" xfId="6376" xr:uid="{668DE50C-7EF5-4DEF-AE33-17D1F852035B}"/>
    <cellStyle name="Normal 2 2 2 2 2 2 2 2 4 2" xfId="6377" xr:uid="{1E22D812-FC00-4317-B9D7-F004F65C1E75}"/>
    <cellStyle name="Normal 2 2 2 2 2 2 2 2 4 2 3" xfId="6378" xr:uid="{FD241591-6181-416E-8657-3155B8264B9A}"/>
    <cellStyle name="Normal 2 2 2 2 2 2 2 2 4 2 5" xfId="6379" xr:uid="{86ACCD19-4017-4E7F-B41A-6B10B339F91D}"/>
    <cellStyle name="Normal 2 2 2 2 2 2 2 2 4 3" xfId="6380" xr:uid="{510A90A3-166D-4F9C-853B-2AD14E68708C}"/>
    <cellStyle name="Normal 2 2 2 2 2 2 2 2 4 3 3" xfId="6381" xr:uid="{C7104366-F6F9-4D45-AA04-47C986CA392E}"/>
    <cellStyle name="Normal 2 2 2 2 2 2 2 2 4 3 5" xfId="6382" xr:uid="{3CF34AAD-FCAD-412A-BEC6-1D17E569225F}"/>
    <cellStyle name="Normal 2 2 2 2 2 2 2 2 4 4 3" xfId="6383" xr:uid="{17D51E82-6BCD-49B2-AF20-ACFE9248FDA3}"/>
    <cellStyle name="Normal 2 2 2 2 2 2 2 2 4 5" xfId="6384" xr:uid="{7AB180C6-7797-4971-8074-BDEA7B8D494D}"/>
    <cellStyle name="Normal 2 2 2 2 2 2 2 2 4 5 5" xfId="6385" xr:uid="{0BF8E2C9-9B64-43CB-B881-2656488DEDAC}"/>
    <cellStyle name="Normal 2 2 2 2 2 2 2 2 4 6 3" xfId="6386" xr:uid="{74175F91-FB2F-4863-B569-DC80C347B1F5}"/>
    <cellStyle name="Normal 2 2 2 2 2 2 2 2 4 7" xfId="6387" xr:uid="{BC369C3B-CA88-43DB-A30B-7B7809B7B4B6}"/>
    <cellStyle name="Normal 2 2 2 2 2 2 2 2 4 7 5" xfId="6388" xr:uid="{54786CA1-28BA-4843-AF56-ABCF8CE4096F}"/>
    <cellStyle name="Normal 2 2 2 2 2 2 2 2 4 8 3" xfId="6389" xr:uid="{255B8A05-B458-4681-82AB-C9AFEFC92E34}"/>
    <cellStyle name="Normal 2 2 2 2 2 2 2 2 4 9" xfId="6390" xr:uid="{0C3A0322-966B-4B18-885E-3B26A3A7CDC4}"/>
    <cellStyle name="Normal 2 2 2 2 2 2 2 2 43" xfId="6391" xr:uid="{AFD9A4F1-CC28-4EB1-AAFE-326EFDD6DF6B}"/>
    <cellStyle name="Normal 2 2 2 2 2 2 2 2 47" xfId="6392" xr:uid="{7AFE59E2-5C45-4C16-A129-E38740EA125A}"/>
    <cellStyle name="Normal 2 2 2 2 2 2 2 2 5 10" xfId="6393" xr:uid="{2F78F62D-7E9A-42AD-9C40-A8AE7BDABD89}"/>
    <cellStyle name="Normal 2 2 2 2 2 2 2 2 5 2" xfId="6394" xr:uid="{970D98B0-033E-42C5-92AF-C4C2D2D3D0C4}"/>
    <cellStyle name="Normal 2 2 2 2 2 2 2 2 5 2 5" xfId="6395" xr:uid="{5F1CA86F-4D3F-4F19-A621-4C59333B88D1}"/>
    <cellStyle name="Normal 2 2 2 2 2 2 2 2 5 3 3" xfId="6396" xr:uid="{D63D2A10-79E3-4793-A7A5-A8A5E3303554}"/>
    <cellStyle name="Normal 2 2 2 2 2 2 2 2 5 4" xfId="6397" xr:uid="{35BD1EBF-93EA-405E-9819-84495ED1073C}"/>
    <cellStyle name="Normal 2 2 2 2 2 2 2 2 5 4 5" xfId="6398" xr:uid="{8A5FA6F7-F0EE-4315-844C-A613E313204D}"/>
    <cellStyle name="Normal 2 2 2 2 2 2 2 2 5 5 3" xfId="6399" xr:uid="{075D914F-4B98-4A01-94AF-7C9AFE008F96}"/>
    <cellStyle name="Normal 2 2 2 2 2 2 2 2 5 6" xfId="6400" xr:uid="{5926104D-AAE5-4D21-8449-9B4C0B9F29D9}"/>
    <cellStyle name="Normal 2 2 2 2 2 2 2 2 5 6 5" xfId="6401" xr:uid="{39A44415-5348-4830-A4F4-15DB76208FAE}"/>
    <cellStyle name="Normal 2 2 2 2 2 2 2 2 5 7 3" xfId="6402" xr:uid="{17313A8C-E033-42A9-B075-CE94CAD4265D}"/>
    <cellStyle name="Normal 2 2 2 2 2 2 2 2 5 8" xfId="6403" xr:uid="{07B630C7-7C3C-493A-B672-123C87DC33FC}"/>
    <cellStyle name="Normal 2 2 2 2 2 2 2 2 5 8 5" xfId="6404" xr:uid="{B844194E-170B-428D-9F87-E0CEBF80A8A2}"/>
    <cellStyle name="Normal 2 2 2 2 2 2 2 2 50" xfId="6405" xr:uid="{8750139F-F0A5-45C7-A124-1564D7D5B0B2}"/>
    <cellStyle name="Normal 2 2 2 2 2 2 2 2 51 4" xfId="6406" xr:uid="{E0E1DE16-848B-4F77-B915-5D34C76C8180}"/>
    <cellStyle name="Normal 2 2 2 2 2 2 2 2 52" xfId="6407" xr:uid="{415FBBEE-FA6B-4ABA-BBE3-CD29A0B9B16C}"/>
    <cellStyle name="Normal 2 2 2 2 2 2 2 2 52 2 2" xfId="6408" xr:uid="{765E29B3-FD79-4EDD-9515-A99154F9ECC4}"/>
    <cellStyle name="Normal 2 2 2 2 2 2 2 2 52 2 4" xfId="6409" xr:uid="{44D5658E-570E-433A-9B28-252125799E9F}"/>
    <cellStyle name="Normal 2 2 2 2 2 2 2 2 52 2 8" xfId="6410" xr:uid="{EAC38A28-13E9-4956-9334-004716D9891A}"/>
    <cellStyle name="Normal 2 2 2 2 2 2 2 2 52 5" xfId="6411" xr:uid="{8959C2BB-3F34-439C-8562-7363A9D4B372}"/>
    <cellStyle name="Normal 2 2 2 2 2 2 2 2 52 7" xfId="6412" xr:uid="{480A89AB-C117-4C00-B222-B18556FCB94E}"/>
    <cellStyle name="Normal 2 2 2 2 2 2 2 2 54" xfId="6413" xr:uid="{EB96A872-F749-454B-BE23-639B72217C13}"/>
    <cellStyle name="Normal 2 2 2 2 2 2 2 2 55 2 3" xfId="6414" xr:uid="{EA593784-7510-4A94-8737-F1065219B99B}"/>
    <cellStyle name="Normal 2 2 2 2 2 2 2 2 55 6" xfId="6415" xr:uid="{E1561EEE-18A6-433A-8490-4DD13EDDDDD6}"/>
    <cellStyle name="Normal 2 2 2 2 2 2 2 2 56" xfId="6416" xr:uid="{F06309E2-94A1-4AD3-A7BA-15AD276FB9E3}"/>
    <cellStyle name="Normal 2 2 2 2 2 2 2 2 58" xfId="6417" xr:uid="{01D0B92D-5C99-4DC7-95FE-14EF58CFFAD8}"/>
    <cellStyle name="Normal 2 2 2 2 2 2 2 2 6 12" xfId="6418" xr:uid="{07AE27A0-7FFB-41B5-9681-805808054CC7}"/>
    <cellStyle name="Normal 2 2 2 2 2 2 2 2 6 2 3" xfId="6419" xr:uid="{5C70302A-CC88-42F0-BE9B-88FE48EFD859}"/>
    <cellStyle name="Normal 2 2 2 2 2 2 2 2 6 3" xfId="6420" xr:uid="{07BFF60D-7B0E-4CF4-A5CB-821CA57B65BD}"/>
    <cellStyle name="Normal 2 2 2 2 2 2 2 2 6 3 5" xfId="6421" xr:uid="{2CC85455-2BF1-4772-A09F-B69793F69119}"/>
    <cellStyle name="Normal 2 2 2 2 2 2 2 2 6 4 3" xfId="6422" xr:uid="{499C3B56-0E12-41C4-8E8B-C6BEB0236EB8}"/>
    <cellStyle name="Normal 2 2 2 2 2 2 2 2 6 5" xfId="6423" xr:uid="{BE7B0843-7545-4658-9D1F-A7F58045505F}"/>
    <cellStyle name="Normal 2 2 2 2 2 2 2 2 6 5 5" xfId="6424" xr:uid="{A6297FE4-EDC4-462E-9E1C-191157CC03F1}"/>
    <cellStyle name="Normal 2 2 2 2 2 2 2 2 6 6 3" xfId="6425" xr:uid="{65DADA10-14E1-4B68-97CB-7BD323C86723}"/>
    <cellStyle name="Normal 2 2 2 2 2 2 2 2 6 7" xfId="6426" xr:uid="{993C6C4C-D3E8-4D1A-AB17-D5EA0C0A2C57}"/>
    <cellStyle name="Normal 2 2 2 2 2 2 2 2 6 7 5" xfId="6427" xr:uid="{63D0170F-F3CE-497B-A9AA-EF5BBAE63756}"/>
    <cellStyle name="Normal 2 2 2 2 2 2 2 2 6 8 3" xfId="6428" xr:uid="{E7A53A10-281A-4278-A985-53DB3B729A81}"/>
    <cellStyle name="Normal 2 2 2 2 2 2 2 2 6 9" xfId="6429" xr:uid="{123DFD73-9B9B-4921-9CE2-12F9A9FA3884}"/>
    <cellStyle name="Normal 2 2 2 2 2 2 2 2 63" xfId="6430" xr:uid="{E29D851E-49B7-415F-9714-32F35D77C3F1}"/>
    <cellStyle name="Normal 2 2 2 2 2 2 2 2 7 12" xfId="6431" xr:uid="{3920422C-9354-4697-9B8E-807F4982DF5B}"/>
    <cellStyle name="Normal 2 2 2 2 2 2 2 2 7 2 3" xfId="6432" xr:uid="{BA8F7041-8AFE-4620-A358-F63F5D22F47D}"/>
    <cellStyle name="Normal 2 2 2 2 2 2 2 2 7 3 2" xfId="6433" xr:uid="{06DB30AE-C7D0-4289-9907-24A216B9A429}"/>
    <cellStyle name="Normal 2 2 2 2 2 2 2 2 7 3 6" xfId="6434" xr:uid="{2954CE1F-BAA7-4772-8B43-C971F428E1DC}"/>
    <cellStyle name="Normal 2 2 2 2 2 2 2 2 7 4 4" xfId="6435" xr:uid="{3BD580F3-0F40-41BD-82AD-F7848603A06B}"/>
    <cellStyle name="Normal 2 2 2 2 2 2 2 2 7 5 2" xfId="6436" xr:uid="{980A8D4F-E5B4-4FA0-82EA-5B0FA52400CE}"/>
    <cellStyle name="Normal 2 2 2 2 2 2 2 2 7 5 6" xfId="6437" xr:uid="{D0598163-520C-4FF1-AC78-D7CD7A59ADB4}"/>
    <cellStyle name="Normal 2 2 2 2 2 2 2 2 7 6 4" xfId="6438" xr:uid="{B0ED7F0E-93ED-44C6-87A5-00D4C49BF70B}"/>
    <cellStyle name="Normal 2 2 2 2 2 2 2 2 7 7 2" xfId="6439" xr:uid="{67305CFF-294F-4332-B6C0-063BF2379448}"/>
    <cellStyle name="Normal 2 2 2 2 2 2 2 2 7 7 6" xfId="6440" xr:uid="{C62335B1-D295-48A1-A405-C1C480AF2195}"/>
    <cellStyle name="Normal 2 2 2 2 2 2 2 2 7 8 4" xfId="6441" xr:uid="{FCC20A24-31D0-4852-A958-DF32227EB7A5}"/>
    <cellStyle name="Normal 2 2 2 2 2 2 2 2 8" xfId="6442" xr:uid="{CF7017B9-3602-47EC-88D8-2D7A24280D29}"/>
    <cellStyle name="Normal 2 2 2 2 2 2 2 2 8 13" xfId="6443" xr:uid="{F4D11405-E775-46E3-9054-B8EDA373782D}"/>
    <cellStyle name="Normal 2 2 2 2 2 2 2 2 8 2 4" xfId="6444" xr:uid="{C951836C-1705-44A0-AE4D-A8638A6CE47A}"/>
    <cellStyle name="Normal 2 2 2 2 2 2 2 2 8 3 2" xfId="6445" xr:uid="{18F2E5FF-8307-4CB3-84A1-B612BB527FEE}"/>
    <cellStyle name="Normal 2 2 2 2 2 2 2 2 8 3 6" xfId="6446" xr:uid="{C1416BC5-9364-41C3-8914-4FE14F4B9990}"/>
    <cellStyle name="Normal 2 2 2 2 2 2 2 2 8 4 4" xfId="6447" xr:uid="{1E4C445D-9590-4482-A4A6-D074B5D94072}"/>
    <cellStyle name="Normal 2 2 2 2 2 2 2 2 8 5 2" xfId="6448" xr:uid="{12BEF007-3225-4AAB-A494-7C6603C7D665}"/>
    <cellStyle name="Normal 2 2 2 2 2 2 2 2 8 5 6" xfId="6449" xr:uid="{8A4C0C63-F791-4683-B307-BF50662750BA}"/>
    <cellStyle name="Normal 2 2 2 2 2 2 2 2 8 6 4" xfId="6450" xr:uid="{6BE85C33-43F1-4C52-B4D7-3A704364ACB8}"/>
    <cellStyle name="Normal 2 2 2 2 2 2 2 2 8 7 2" xfId="6451" xr:uid="{5CDF0510-7EEB-4C12-A9FD-C079D5BAF47A}"/>
    <cellStyle name="Normal 2 2 2 2 2 2 2 2 8 7 6" xfId="6452" xr:uid="{9211CAAE-7135-4BE7-8A9A-5F88F1C1E093}"/>
    <cellStyle name="Normal 2 2 2 2 2 2 2 2 8 8 4" xfId="6453" xr:uid="{9F187424-4BEF-4C6D-B756-1B464BDDD9E2}"/>
    <cellStyle name="Normal 2 2 2 2 2 2 2 2 9" xfId="6454" xr:uid="{A5E6E59E-4A42-4D48-9419-A57A656D40BB}"/>
    <cellStyle name="Normal 2 2 2 2 2 2 2 2 9 2 4" xfId="6455" xr:uid="{4451505B-493E-40B4-A454-44E290ABF297}"/>
    <cellStyle name="Normal 2 2 2 2 2 2 2 2 9 3 3" xfId="6456" xr:uid="{B9A1A18C-B48B-4807-9376-95B6625B9733}"/>
    <cellStyle name="Normal 2 2 2 2 2 2 2 2 9 4" xfId="6457" xr:uid="{F79BB58B-9CB7-47F5-80B1-424C19371978}"/>
    <cellStyle name="Normal 2 2 2 2 2 2 2 2 9 4 5" xfId="6458" xr:uid="{BA7B8B7C-F49C-4BD6-B345-DA310EA621F3}"/>
    <cellStyle name="Normal 2 2 2 2 2 2 2 2 9 5 3" xfId="6459" xr:uid="{DB6CB797-FF9B-40DB-9BF6-17A56F70AB37}"/>
    <cellStyle name="Normal 2 2 2 2 2 2 2 2 9 6" xfId="6460" xr:uid="{CD094CE9-32BC-4F7D-A4AC-29A352838029}"/>
    <cellStyle name="Normal 2 2 2 2 2 2 2 2 9 6 5" xfId="6461" xr:uid="{7EC50D0C-F902-4034-BE4D-13AACD1A6103}"/>
    <cellStyle name="Normal 2 2 2 2 2 2 2 2 9 7 3" xfId="6462" xr:uid="{4690D8A5-2E53-4F51-8BE6-93BD9EEA7312}"/>
    <cellStyle name="Normal 2 2 2 2 2 2 2 2 9 8" xfId="6463" xr:uid="{1B14B1E5-55B0-4A70-935E-7AC5F7589683}"/>
    <cellStyle name="Normal 2 2 2 2 2 2 2 2 9 8 5" xfId="6464" xr:uid="{D29E6367-EFA9-41CD-AF9E-6BFED344064B}"/>
    <cellStyle name="Normal 2 2 2 2 2 2 2 21" xfId="6465" xr:uid="{C9032253-1011-4288-A05F-58A83E664B1D}"/>
    <cellStyle name="Normal 2 2 2 2 2 2 2 23 2 2" xfId="6466" xr:uid="{9A74CE1A-FA0B-4FA8-A09B-159D3741D7B1}"/>
    <cellStyle name="Normal 2 2 2 2 2 2 2 23 2 6" xfId="6467" xr:uid="{950BB9EB-6659-4887-B481-44B6BA6B69EA}"/>
    <cellStyle name="Normal 2 2 2 2 2 2 2 23 3 4" xfId="6468" xr:uid="{2D8A87C0-BAFA-45B2-9ED9-6B62AA9497D5}"/>
    <cellStyle name="Normal 2 2 2 2 2 2 2 23 4 2" xfId="6469" xr:uid="{9BB6FDDB-99D6-4785-9B13-4430E361D891}"/>
    <cellStyle name="Normal 2 2 2 2 2 2 2 23 4 6" xfId="6470" xr:uid="{FD50574E-3468-4FB0-96C9-BC7D9814E641}"/>
    <cellStyle name="Normal 2 2 2 2 2 2 2 23 5 4" xfId="6471" xr:uid="{067FF459-0342-49A2-AFC3-465C5DA78666}"/>
    <cellStyle name="Normal 2 2 2 2 2 2 2 23 6 2" xfId="6472" xr:uid="{ACAA4893-1A34-402F-A849-ABC196DA0D6D}"/>
    <cellStyle name="Normal 2 2 2 2 2 2 2 23 6 6" xfId="6473" xr:uid="{A4771C00-009B-4198-BF18-26C1BA1D3210}"/>
    <cellStyle name="Normal 2 2 2 2 2 2 2 24 4" xfId="6474" xr:uid="{32995E3D-AC14-48EC-A741-621508879AA6}"/>
    <cellStyle name="Normal 2 2 2 2 2 2 2 25 2" xfId="6475" xr:uid="{DAA3D6FE-E76D-4780-B15A-3B12903C3F7E}"/>
    <cellStyle name="Normal 2 2 2 2 2 2 2 25 6" xfId="6476" xr:uid="{6EA6EAEA-4DBF-4083-826E-16F49A3B3472}"/>
    <cellStyle name="Normal 2 2 2 2 2 2 2 26 4" xfId="6477" xr:uid="{280AB066-190C-4D27-83E4-3EA8A00A027C}"/>
    <cellStyle name="Normal 2 2 2 2 2 2 2 27 2" xfId="6478" xr:uid="{9225D69F-DCC0-44D3-B672-49090D648838}"/>
    <cellStyle name="Normal 2 2 2 2 2 2 2 27 6" xfId="6479" xr:uid="{DAD4E680-5225-4F41-B473-1FD78246A09A}"/>
    <cellStyle name="Normal 2 2 2 2 2 2 2 28 4" xfId="6480" xr:uid="{93BB9B93-B8F5-44F1-BDEF-23BBE6BD39DE}"/>
    <cellStyle name="Normal 2 2 2 2 2 2 2 29 2" xfId="6481" xr:uid="{F8C1C66A-B30C-4ABF-9730-C6A02A3DBB31}"/>
    <cellStyle name="Normal 2 2 2 2 2 2 2 29 6" xfId="6482" xr:uid="{EAC51BC2-915A-420F-AA9E-E34129FC3D37}"/>
    <cellStyle name="Normal 2 2 2 2 2 2 2 3 12" xfId="6483" xr:uid="{663B72BC-A3FC-45F1-B517-4ABAD35EB618}"/>
    <cellStyle name="Normal 2 2 2 2 2 2 2 3 2 3" xfId="6484" xr:uid="{91141572-6A72-4D15-AFC8-6ECB8EC83AA1}"/>
    <cellStyle name="Normal 2 2 2 2 2 2 2 3 3" xfId="6485" xr:uid="{9AC8BC74-8089-4451-8746-725376DB1A04}"/>
    <cellStyle name="Normal 2 2 2 2 2 2 2 3 3 5" xfId="6486" xr:uid="{811C97CE-D082-4E24-B66E-EFD78C902150}"/>
    <cellStyle name="Normal 2 2 2 2 2 2 2 3 4 3" xfId="6487" xr:uid="{26D5B57C-909C-4A5B-8E3D-F52A810C6691}"/>
    <cellStyle name="Normal 2 2 2 2 2 2 2 3 5" xfId="6488" xr:uid="{270363A1-C5E2-4FEC-B648-C8ADCA6D9BCE}"/>
    <cellStyle name="Normal 2 2 2 2 2 2 2 3 5 5" xfId="6489" xr:uid="{4DF6B9AF-C41D-4381-A4F9-1A21B544BD1F}"/>
    <cellStyle name="Normal 2 2 2 2 2 2 2 3 6 3" xfId="6490" xr:uid="{1DE2ACE2-0AAF-4E3D-8EF8-AAC01D514739}"/>
    <cellStyle name="Normal 2 2 2 2 2 2 2 3 7" xfId="6491" xr:uid="{39F1C12C-E921-432A-846C-BE0B7E9815D9}"/>
    <cellStyle name="Normal 2 2 2 2 2 2 2 3 7 5" xfId="6492" xr:uid="{FEF8DDDB-F220-4E19-B11F-78D911A8038B}"/>
    <cellStyle name="Normal 2 2 2 2 2 2 2 3 8 3" xfId="6493" xr:uid="{3CA91769-0C4C-4E95-8B92-B04AB042EF5E}"/>
    <cellStyle name="Normal 2 2 2 2 2 2 2 3 9" xfId="6494" xr:uid="{E49F4C05-7CA4-400B-A047-D9EF4D7373D7}"/>
    <cellStyle name="Normal 2 2 2 2 2 2 2 30 4" xfId="6495" xr:uid="{A4170219-92A7-48EF-946F-628EC3C15F32}"/>
    <cellStyle name="Normal 2 2 2 2 2 2 2 31 2" xfId="6496" xr:uid="{E8A149DA-9D4D-4423-A094-2D0492539BA2}"/>
    <cellStyle name="Normal 2 2 2 2 2 2 2 31 6" xfId="6497" xr:uid="{EF7AD10E-E427-4C78-80B0-83959C05E873}"/>
    <cellStyle name="Normal 2 2 2 2 2 2 2 32 4" xfId="6498" xr:uid="{8D7D7937-7DEA-4C63-A063-BB9537BC3147}"/>
    <cellStyle name="Normal 2 2 2 2 2 2 2 33 2" xfId="6499" xr:uid="{5249738D-6258-457D-A006-C3118F7C9A89}"/>
    <cellStyle name="Normal 2 2 2 2 2 2 2 33 6" xfId="6500" xr:uid="{411CA9F4-4FBF-4399-A113-07AD0536BBF0}"/>
    <cellStyle name="Normal 2 2 2 2 2 2 2 34 4" xfId="6501" xr:uid="{7988DDD5-88AE-4FF9-8198-60FC9311E449}"/>
    <cellStyle name="Normal 2 2 2 2 2 2 2 35 2" xfId="6502" xr:uid="{DE9F11E8-BB9D-4CE4-95ED-6C3456855261}"/>
    <cellStyle name="Normal 2 2 2 2 2 2 2 35 6" xfId="6503" xr:uid="{D328664C-557D-4B44-9211-5A7DA40F446C}"/>
    <cellStyle name="Normal 2 2 2 2 2 2 2 36 4" xfId="6504" xr:uid="{AF7FB7B4-189B-4DFF-AD1D-37A1BD83E2C6}"/>
    <cellStyle name="Normal 2 2 2 2 2 2 2 37 2" xfId="6505" xr:uid="{87717174-F93E-4BD5-99C0-91FBF09390B4}"/>
    <cellStyle name="Normal 2 2 2 2 2 2 2 37 6" xfId="6506" xr:uid="{3775DE97-5FC8-4F7B-8330-9C953C18B1B3}"/>
    <cellStyle name="Normal 2 2 2 2 2 2 2 4 10" xfId="6507" xr:uid="{3A95BD0F-197A-4D67-A97C-4B14BF8913DF}"/>
    <cellStyle name="Normal 2 2 2 2 2 2 2 4 2" xfId="6508" xr:uid="{FE53BA3C-6802-49B2-ADFF-DDDFC103907C}"/>
    <cellStyle name="Normal 2 2 2 2 2 2 2 4 2 5" xfId="6509" xr:uid="{3297E928-9134-4142-8B6E-78CDF843FD68}"/>
    <cellStyle name="Normal 2 2 2 2 2 2 2 4 3 3" xfId="6510" xr:uid="{39CB2F75-378F-44AD-BC61-998CBAD50A29}"/>
    <cellStyle name="Normal 2 2 2 2 2 2 2 4 4" xfId="6511" xr:uid="{6D40D4CB-EAE7-4333-8EC7-476581972093}"/>
    <cellStyle name="Normal 2 2 2 2 2 2 2 4 4 5" xfId="6512" xr:uid="{88FCF8BE-7D55-43CB-9B84-00C1E2A0482B}"/>
    <cellStyle name="Normal 2 2 2 2 2 2 2 4 5 3" xfId="6513" xr:uid="{86081B21-24C3-4FED-86A7-54FCB034BA0D}"/>
    <cellStyle name="Normal 2 2 2 2 2 2 2 4 6" xfId="6514" xr:uid="{FA286402-8F62-4E58-94CB-821C74E94BA8}"/>
    <cellStyle name="Normal 2 2 2 2 2 2 2 4 6 5" xfId="6515" xr:uid="{B6773A47-0108-4FD0-B0DC-E93C97FDBF3D}"/>
    <cellStyle name="Normal 2 2 2 2 2 2 2 4 7 3" xfId="6516" xr:uid="{AC0A573B-5646-497F-A806-F25B9D5FF308}"/>
    <cellStyle name="Normal 2 2 2 2 2 2 2 4 7 6" xfId="6517" xr:uid="{2DFBD5D7-80F3-418C-A463-F831F1857452}"/>
    <cellStyle name="Normal 2 2 2 2 2 2 2 4 8 2" xfId="6518" xr:uid="{B2827486-0E5A-4582-915F-5AC05A6BD18C}"/>
    <cellStyle name="Normal 2 2 2 2 2 2 2 4 8 4" xfId="6519" xr:uid="{FF96FBA1-A415-4BE7-9FB1-621A79FA0E3D}"/>
    <cellStyle name="Normal 2 2 2 2 2 2 2 4 8 6" xfId="6520" xr:uid="{74EA92D1-FBBF-42E3-ACF3-FF7E732A1437}"/>
    <cellStyle name="Normal 2 2 2 2 2 2 2 40" xfId="6521" xr:uid="{EB51CE19-9BDA-47B3-9FD9-8C9C9D5F35C2}"/>
    <cellStyle name="Normal 2 2 2 2 2 2 2 42" xfId="6522" xr:uid="{7F006DF9-B454-40BD-8FAA-BD9D2DB105D6}"/>
    <cellStyle name="Normal 2 2 2 2 2 2 2 42 2 2" xfId="6523" xr:uid="{42E19DCC-83F6-467D-B989-A699C837B0F5}"/>
    <cellStyle name="Normal 2 2 2 2 2 2 2 42 2 2 2 4" xfId="6524" xr:uid="{D05D422A-7089-40CD-830F-D46128CF2B4E}"/>
    <cellStyle name="Normal 2 2 2 2 2 2 2 42 2 2 2 6" xfId="6525" xr:uid="{64129581-F648-4168-8594-664FB0F5B4D5}"/>
    <cellStyle name="Normal 2 2 2 2 2 2 2 42 2 6" xfId="6526" xr:uid="{F61A0D7D-5FF5-434D-9431-F68CA5685896}"/>
    <cellStyle name="Normal 2 2 2 2 2 2 2 42 3 3" xfId="6527" xr:uid="{BD6031D9-9835-4C0D-A3F6-17BA3C6516CF}"/>
    <cellStyle name="Normal 2 2 2 2 2 2 2 43 2" xfId="6528" xr:uid="{696CDFD9-947A-412E-9E34-D64F4B299944}"/>
    <cellStyle name="Normal 2 2 2 2 2 2 2 43 6" xfId="6529" xr:uid="{88AB832F-62FC-4478-8C6F-6504D15DC1D3}"/>
    <cellStyle name="Normal 2 2 2 2 2 2 2 44 4" xfId="6530" xr:uid="{0B8A537C-524B-417F-A637-5E05AE2D9B7B}"/>
    <cellStyle name="Normal 2 2 2 2 2 2 2 45 2" xfId="6531" xr:uid="{8E79626F-DBA6-4C41-9E3F-3202F7849030}"/>
    <cellStyle name="Normal 2 2 2 2 2 2 2 45 6" xfId="6532" xr:uid="{CF0EBA7C-9A68-4589-BDB7-041DC20547F7}"/>
    <cellStyle name="Normal 2 2 2 2 2 2 2 46 4" xfId="6533" xr:uid="{58ECFC1C-05C2-4238-BBEE-B0A5E85A69DF}"/>
    <cellStyle name="Normal 2 2 2 2 2 2 2 47 2" xfId="6534" xr:uid="{3BB59118-0E9E-45B4-80E5-72D05CD33EEA}"/>
    <cellStyle name="Normal 2 2 2 2 2 2 2 47 6" xfId="6535" xr:uid="{8D9AC985-4522-4FBE-84CD-9AB29E34149E}"/>
    <cellStyle name="Normal 2 2 2 2 2 2 2 48 4" xfId="6536" xr:uid="{83FA9455-25EF-4C66-8165-AE89CC725D55}"/>
    <cellStyle name="Normal 2 2 2 2 2 2 2 49 2" xfId="6537" xr:uid="{8AB70129-0C76-40C8-9A6E-38952260735D}"/>
    <cellStyle name="Normal 2 2 2 2 2 2 2 49 6" xfId="6538" xr:uid="{613FFB68-140D-4BA5-8FEC-8BDE957F24A5}"/>
    <cellStyle name="Normal 2 2 2 2 2 2 2 5 12" xfId="6539" xr:uid="{6E2B2661-3066-4D24-8B96-4979955C9001}"/>
    <cellStyle name="Normal 2 2 2 2 2 2 2 5 2 3" xfId="6540" xr:uid="{317D713A-5C46-42CE-9F52-B55F7D515F20}"/>
    <cellStyle name="Normal 2 2 2 2 2 2 2 5 3" xfId="6541" xr:uid="{DC6F9867-D76A-4332-AC48-20C851AB5566}"/>
    <cellStyle name="Normal 2 2 2 2 2 2 2 5 3 5" xfId="6542" xr:uid="{CDD62438-221A-424D-B823-5AC168BAFC75}"/>
    <cellStyle name="Normal 2 2 2 2 2 2 2 5 4 3" xfId="6543" xr:uid="{D12C494B-06B0-4722-8D93-6F8BAA4EB3B3}"/>
    <cellStyle name="Normal 2 2 2 2 2 2 2 5 4 6" xfId="6544" xr:uid="{B8A8DBC8-7267-420D-B2F8-013E67BEDE1A}"/>
    <cellStyle name="Normal 2 2 2 2 2 2 2 5 5 4" xfId="6545" xr:uid="{589D1BAB-0A23-440D-A75E-5ACDFBD5B82B}"/>
    <cellStyle name="Normal 2 2 2 2 2 2 2 5 6 2" xfId="6546" xr:uid="{8CEA9B4C-C701-4658-9966-9826FD3B6B52}"/>
    <cellStyle name="Normal 2 2 2 2 2 2 2 5 6 4" xfId="6547" xr:uid="{AF3F1C45-A927-4F0C-BD2D-9C658E10592E}"/>
    <cellStyle name="Normal 2 2 2 2 2 2 2 5 6 6" xfId="6548" xr:uid="{BEEE9E1B-B1D8-4B1E-9BF3-DCFFEF3DA790}"/>
    <cellStyle name="Normal 2 2 2 2 2 2 2 5 7 2" xfId="6549" xr:uid="{BA7955CE-0357-45DA-ACC2-A046EDABC4C9}"/>
    <cellStyle name="Normal 2 2 2 2 2 2 2 5 7 4" xfId="6550" xr:uid="{84F8E23B-7B93-4171-9FE2-A622F54D2376}"/>
    <cellStyle name="Normal 2 2 2 2 2 2 2 5 7 6" xfId="6551" xr:uid="{25E6DB7F-E95F-42A4-A64D-65E25B08F2FB}"/>
    <cellStyle name="Normal 2 2 2 2 2 2 2 5 8 2" xfId="6552" xr:uid="{7CEC7FA7-1681-434B-9B45-AD35F2D9CD0D}"/>
    <cellStyle name="Normal 2 2 2 2 2 2 2 5 8 4" xfId="6553" xr:uid="{99100023-84C7-4467-9B79-964EFA889FC9}"/>
    <cellStyle name="Normal 2 2 2 2 2 2 2 5 8 6" xfId="6554" xr:uid="{00AA3D44-1531-4CBD-90AA-EDD2885A3D45}"/>
    <cellStyle name="Normal 2 2 2 2 2 2 2 50" xfId="6555" xr:uid="{9204BC28-20ED-4E46-990C-94E76793260F}"/>
    <cellStyle name="Normal 2 2 2 2 2 2 2 50 3" xfId="6556" xr:uid="{0B35411C-93A9-4C63-BB1E-3CEBF3B47190}"/>
    <cellStyle name="Normal 2 2 2 2 2 2 2 50 5" xfId="6557" xr:uid="{F1F6FA1B-1CEB-4D6E-A8BB-BF0C4EA5A14A}"/>
    <cellStyle name="Normal 2 2 2 2 2 2 2 51" xfId="6558" xr:uid="{AB3D49AB-3896-4D1D-93EE-BE8E76FA9FCD}"/>
    <cellStyle name="Normal 2 2 2 2 2 2 2 51 4" xfId="6559" xr:uid="{31759061-56D5-4B3D-9406-0BB79EEC7D50}"/>
    <cellStyle name="Normal 2 2 2 2 2 2 2 51 6" xfId="6560" xr:uid="{788A1E8A-74DE-4249-8077-20DD20A612E0}"/>
    <cellStyle name="Normal 2 2 2 2 2 2 2 52 2" xfId="6561" xr:uid="{A2196DC9-E6A2-4464-9AFF-3A76658CCD54}"/>
    <cellStyle name="Normal 2 2 2 2 2 2 2 52 5" xfId="6562" xr:uid="{805F80BE-4BAD-4018-8E3F-40D400390E53}"/>
    <cellStyle name="Normal 2 2 2 2 2 2 2 53" xfId="6563" xr:uid="{24CFCBCA-3B35-40D4-AEC9-079217109916}"/>
    <cellStyle name="Normal 2 2 2 2 2 2 2 53 3" xfId="6564" xr:uid="{AE834881-C52D-4667-B6C5-FCA56537D88B}"/>
    <cellStyle name="Normal 2 2 2 2 2 2 2 53 6" xfId="6565" xr:uid="{A607A7EA-B5DB-48E5-B58E-CA04CF67F308}"/>
    <cellStyle name="Normal 2 2 2 2 2 2 2 54 2" xfId="6566" xr:uid="{DC702F0E-70AE-427E-B41D-1E90691D8A56}"/>
    <cellStyle name="Normal 2 2 2 2 2 2 2 54 4" xfId="6567" xr:uid="{5A5924D2-94E2-4284-9D0B-A8AABB9CC96B}"/>
    <cellStyle name="Normal 2 2 2 2 2 2 2 54 6" xfId="6568" xr:uid="{6BD16FC6-7650-49E1-B88B-940819746AE8}"/>
    <cellStyle name="Normal 2 2 2 2 2 2 2 55 2" xfId="6569" xr:uid="{80EAB4C8-B93E-45F7-9A77-24564F9B230C}"/>
    <cellStyle name="Normal 2 2 2 2 2 2 2 55 4" xfId="6570" xr:uid="{EBC052A4-24C9-4338-91DD-0AF4ED67B3D8}"/>
    <cellStyle name="Normal 2 2 2 2 2 2 2 55 6" xfId="6571" xr:uid="{1A56D856-23D1-4590-A56C-95D97B955D1E}"/>
    <cellStyle name="Normal 2 2 2 2 2 2 2 56 2" xfId="6572" xr:uid="{135DDE89-E11B-4002-9E4E-B95E8C3981DE}"/>
    <cellStyle name="Normal 2 2 2 2 2 2 2 56 4" xfId="6573" xr:uid="{8193CD65-159B-480A-8681-9CCD7B3DE5BD}"/>
    <cellStyle name="Normal 2 2 2 2 2 2 2 56 6" xfId="6574" xr:uid="{857F7C63-19BF-46B4-B6C7-70E8D39AD95D}"/>
    <cellStyle name="Normal 2 2 2 2 2 2 2 57 2" xfId="6575" xr:uid="{2FC2FA0C-8C90-4D88-97A6-1EDDFB5C5A4F}"/>
    <cellStyle name="Normal 2 2 2 2 2 2 2 57 4" xfId="6576" xr:uid="{88837A29-7AD2-4BED-8856-25AC9C1D3854}"/>
    <cellStyle name="Normal 2 2 2 2 2 2 2 57 6" xfId="6577" xr:uid="{68E91237-107C-4CD1-9A2E-C25F9E8046A0}"/>
    <cellStyle name="Normal 2 2 2 2 2 2 2 58 2" xfId="6578" xr:uid="{4D0792D7-4CD5-44DD-8D2A-7503A94197E6}"/>
    <cellStyle name="Normal 2 2 2 2 2 2 2 58 4" xfId="6579" xr:uid="{F9D0B309-E73C-4059-B958-0AE6EF74A7DB}"/>
    <cellStyle name="Normal 2 2 2 2 2 2 2 58 6" xfId="6580" xr:uid="{9D1D9525-2B58-4EF5-99F5-6768661528C0}"/>
    <cellStyle name="Normal 2 2 2 2 2 2 2 59 2" xfId="6581" xr:uid="{C1EDF7C4-35EC-4742-B165-454BCD3ABA23}"/>
    <cellStyle name="Normal 2 2 2 2 2 2 2 59 4" xfId="6582" xr:uid="{81928DAE-0CCC-478F-8867-09F74B559740}"/>
    <cellStyle name="Normal 2 2 2 2 2 2 2 59 6" xfId="6583" xr:uid="{B8C59295-0522-40BE-BAB3-96777F85B958}"/>
    <cellStyle name="Normal 2 2 2 2 2 2 2 6 10" xfId="6584" xr:uid="{B2281DB8-D462-4E13-9BD9-0D6EB2A1508A}"/>
    <cellStyle name="Normal 2 2 2 2 2 2 2 6 12" xfId="6585" xr:uid="{7726392D-5F4D-452F-939A-FD7CFD77465A}"/>
    <cellStyle name="Normal 2 2 2 2 2 2 2 6 2" xfId="6586" xr:uid="{6464BBEA-6856-468B-AB81-F79302DB7851}"/>
    <cellStyle name="Normal 2 2 2 2 2 2 2 6 2 3" xfId="6587" xr:uid="{1C5DDFED-7817-4C62-BEBE-7AFC82F87F47}"/>
    <cellStyle name="Normal 2 2 2 2 2 2 2 6 2 5" xfId="6588" xr:uid="{9E34FE4F-41C2-458F-9D65-947E2EE4C989}"/>
    <cellStyle name="Normal 2 2 2 2 2 2 2 6 3" xfId="6589" xr:uid="{0907B300-76E8-4F87-A799-B7F71856A1A2}"/>
    <cellStyle name="Normal 2 2 2 2 2 2 2 6 3 3" xfId="6590" xr:uid="{99C65172-1637-4D8E-9518-9646C119608F}"/>
    <cellStyle name="Normal 2 2 2 2 2 2 2 6 3 5" xfId="6591" xr:uid="{C3B74756-F447-411A-A7DD-0E3B1D8EF214}"/>
    <cellStyle name="Normal 2 2 2 2 2 2 2 6 4" xfId="6592" xr:uid="{3E48C3FD-7565-47D4-AE5B-857475B47048}"/>
    <cellStyle name="Normal 2 2 2 2 2 2 2 6 4 3" xfId="6593" xr:uid="{672E92D6-4F09-43D4-8E03-7E09B0ADF2FC}"/>
    <cellStyle name="Normal 2 2 2 2 2 2 2 6 4 5" xfId="6594" xr:uid="{3DFF7694-1BC8-4017-B9CF-72DA0BA3A51C}"/>
    <cellStyle name="Normal 2 2 2 2 2 2 2 6 5" xfId="6595" xr:uid="{C7C27A76-BEC2-4823-A1DF-2BF068463FFA}"/>
    <cellStyle name="Normal 2 2 2 2 2 2 2 6 5 3" xfId="6596" xr:uid="{4AFCA8F7-E9EB-4A26-B4C2-14D6DAA0E789}"/>
    <cellStyle name="Normal 2 2 2 2 2 2 2 6 6" xfId="6597" xr:uid="{FE0D2542-7A4E-4FFE-8BC8-07B0B8384EF1}"/>
    <cellStyle name="Normal 2 2 2 2 2 2 2 6 6 5" xfId="6598" xr:uid="{610A1CB3-5C86-474F-87E0-EE3566C05D76}"/>
    <cellStyle name="Normal 2 2 2 2 2 2 2 6 7 3" xfId="6599" xr:uid="{8681DFAD-51C0-4CA7-A265-7A924940E3DF}"/>
    <cellStyle name="Normal 2 2 2 2 2 2 2 6 8" xfId="6600" xr:uid="{8AB26478-5D59-4D79-8169-9B1441033D33}"/>
    <cellStyle name="Normal 2 2 2 2 2 2 2 6 8 5" xfId="6601" xr:uid="{CAB6C09A-2366-49FC-88F3-7DB831156324}"/>
    <cellStyle name="Normal 2 2 2 2 2 2 2 60 2" xfId="6602" xr:uid="{9E87ED89-80DA-4F8C-8520-0773290F5A50}"/>
    <cellStyle name="Normal 2 2 2 2 2 2 2 60 6" xfId="6603" xr:uid="{9BFD0478-16B2-4DC7-B2F4-42A2F403A496}"/>
    <cellStyle name="Normal 2 2 2 2 2 2 2 61 4" xfId="6604" xr:uid="{3EE9FBF1-31CC-4FF1-BFAF-3DA56A762DFA}"/>
    <cellStyle name="Normal 2 2 2 2 2 2 2 62 2" xfId="6605" xr:uid="{741BB976-C3B2-4D29-B725-4DF685A024A7}"/>
    <cellStyle name="Normal 2 2 2 2 2 2 2 62 2 5" xfId="6606" xr:uid="{118D6671-EEA3-4CA1-A9A1-E5FBA7AF386D}"/>
    <cellStyle name="Normal 2 2 2 2 2 2 2 63 11" xfId="6607" xr:uid="{BCB6AEC4-5D39-4472-AF65-5E77D9D47EF3}"/>
    <cellStyle name="Normal 2 2 2 2 2 2 2 63 2 2 3" xfId="6608" xr:uid="{EB535901-0EF6-499D-ACBF-B39AD8931C26}"/>
    <cellStyle name="Normal 2 2 2 2 2 2 2 63 2 6" xfId="6609" xr:uid="{46AE4E81-2D7B-480E-B396-26A1D5B6CEE7}"/>
    <cellStyle name="Normal 2 2 2 2 2 2 2 63 3" xfId="6610" xr:uid="{6BC96418-2203-41B0-865F-4D1E27B3AC31}"/>
    <cellStyle name="Normal 2 2 2 2 2 2 2 63 5 3" xfId="6611" xr:uid="{0681427A-C63F-4F31-9D18-ED8B0A36A9FB}"/>
    <cellStyle name="Normal 2 2 2 2 2 2 2 63 9" xfId="6612" xr:uid="{92CA5A33-C402-4C2E-86EE-FB9A0D4079F5}"/>
    <cellStyle name="Normal 2 2 2 2 2 2 2 66 2" xfId="6613" xr:uid="{338FB6C1-AAAA-46F9-BD66-03B5F5569B86}"/>
    <cellStyle name="Normal 2 2 2 2 2 2 2 66 4" xfId="6614" xr:uid="{F180FE96-5CD6-45A8-B501-3D9F84070372}"/>
    <cellStyle name="Normal 2 2 2 2 2 2 2 66 8" xfId="6615" xr:uid="{9C171309-13B8-4CAF-B4D9-169ACABAD051}"/>
    <cellStyle name="Normal 2 2 2 2 2 2 2 68" xfId="6616" xr:uid="{D61A2E1C-781A-4A52-9EE5-77AAC4CEE81B}"/>
    <cellStyle name="Normal 2 2 2 2 2 2 2 7" xfId="6617" xr:uid="{A747FEB2-DA68-472D-A679-15E20D86AA0F}"/>
    <cellStyle name="Normal 2 2 2 2 2 2 2 7 13" xfId="6618" xr:uid="{55E64A0F-B262-48E1-B156-796E71392B04}"/>
    <cellStyle name="Normal 2 2 2 2 2 2 2 7 2 3" xfId="6619" xr:uid="{D0DDC53B-66AF-44DE-9824-2241E53A44ED}"/>
    <cellStyle name="Normal 2 2 2 2 2 2 2 7 3" xfId="6620" xr:uid="{0D55A6E6-DBA3-4AF2-A503-EAD4D5E8FA18}"/>
    <cellStyle name="Normal 2 2 2 2 2 2 2 7 3 5" xfId="6621" xr:uid="{D9FE9FEE-2F17-4D2B-9C99-9DC2553AEF7D}"/>
    <cellStyle name="Normal 2 2 2 2 2 2 2 7 4 3" xfId="6622" xr:uid="{D05598F4-836C-489A-A564-826BD39A1888}"/>
    <cellStyle name="Normal 2 2 2 2 2 2 2 7 5" xfId="6623" xr:uid="{9EC8FF33-7637-4D2D-AA7D-8FFED719C313}"/>
    <cellStyle name="Normal 2 2 2 2 2 2 2 7 5 5" xfId="6624" xr:uid="{230CCD71-A6A2-4266-B0CE-38D111C8A3DF}"/>
    <cellStyle name="Normal 2 2 2 2 2 2 2 7 6 3" xfId="6625" xr:uid="{199DEE22-616E-4120-B300-6B090116A22D}"/>
    <cellStyle name="Normal 2 2 2 2 2 2 2 7 7" xfId="6626" xr:uid="{DC96A662-AA74-4FAB-A53B-59ABA19D19D6}"/>
    <cellStyle name="Normal 2 2 2 2 2 2 2 7 7 5" xfId="6627" xr:uid="{2681EF65-85E9-41EE-A02F-698E27EFFDD3}"/>
    <cellStyle name="Normal 2 2 2 2 2 2 2 7 8 3" xfId="6628" xr:uid="{D49267B8-A37B-4A66-AA0D-89A3CC20BC94}"/>
    <cellStyle name="Normal 2 2 2 2 2 2 2 7 9" xfId="6629" xr:uid="{2722B0F3-DAF7-4F17-B81D-4CE89799523F}"/>
    <cellStyle name="Normal 2 2 2 2 2 2 2 73" xfId="6630" xr:uid="{6308414A-2A7D-43DF-8C53-E4BDA3BB46D8}"/>
    <cellStyle name="Normal 2 2 2 2 2 2 2 8 10" xfId="6631" xr:uid="{E22A469F-2DA5-4293-8BFB-D14960A647F9}"/>
    <cellStyle name="Normal 2 2 2 2 2 2 2 8 2" xfId="6632" xr:uid="{B04E93DB-81DC-4240-940C-40259BB78F17}"/>
    <cellStyle name="Normal 2 2 2 2 2 2 2 8 2 5" xfId="6633" xr:uid="{19A33CE7-33F0-41CD-A5F1-8A3070B7859A}"/>
    <cellStyle name="Normal 2 2 2 2 2 2 2 8 3 3" xfId="6634" xr:uid="{99D3684F-8479-4497-8592-882A9B905B6B}"/>
    <cellStyle name="Normal 2 2 2 2 2 2 2 8 4" xfId="6635" xr:uid="{3193CDA1-B5D8-4878-B21B-F7BDCA4463FD}"/>
    <cellStyle name="Normal 2 2 2 2 2 2 2 8 4 5" xfId="6636" xr:uid="{11C01451-D886-47B6-B5A5-847962269A2D}"/>
    <cellStyle name="Normal 2 2 2 2 2 2 2 8 5 3" xfId="6637" xr:uid="{86E64EED-4EFD-4E72-B975-F2228EDBA43C}"/>
    <cellStyle name="Normal 2 2 2 2 2 2 2 8 6" xfId="6638" xr:uid="{7CC8ADE3-DB1E-4F14-B5D4-42ABD6424495}"/>
    <cellStyle name="Normal 2 2 2 2 2 2 2 8 6 4" xfId="6639" xr:uid="{B3FB431E-F718-4C33-AB93-D620038B0EF8}"/>
    <cellStyle name="Normal 2 2 2 2 2 2 2 8 7 2" xfId="6640" xr:uid="{2CDD4897-E970-46E4-A4E1-60F6C2C4AF8E}"/>
    <cellStyle name="Normal 2 2 2 2 2 2 2 8 7 6" xfId="6641" xr:uid="{FE43DE4F-2C4D-4788-AE41-CCA00B7B2CF7}"/>
    <cellStyle name="Normal 2 2 2 2 2 2 2 8 8 3" xfId="6642" xr:uid="{9284E6C3-93CD-4826-97B0-90C375D3F45A}"/>
    <cellStyle name="Normal 2 2 2 2 2 2 2 8 9" xfId="6643" xr:uid="{4CCD2647-5AB3-4ECB-9637-F96ACFE902CD}"/>
    <cellStyle name="Normal 2 2 2 2 2 2 2 9 12" xfId="6644" xr:uid="{D455C597-B920-45BF-8F9C-94BCE3D931F9}"/>
    <cellStyle name="Normal 2 2 2 2 2 2 2 9 2 3" xfId="6645" xr:uid="{A2CD0DFC-5393-45F3-AE84-75383C46D666}"/>
    <cellStyle name="Normal 2 2 2 2 2 2 2 9 3" xfId="6646" xr:uid="{0539D55D-403D-42BF-A439-ABBC84540189}"/>
    <cellStyle name="Normal 2 2 2 2 2 2 2 9 3 5" xfId="6647" xr:uid="{F1154640-F807-437B-878C-34F82450F0CF}"/>
    <cellStyle name="Normal 2 2 2 2 2 2 2 9 4 3" xfId="6648" xr:uid="{F5B09918-AA36-4549-908F-2D9F52918190}"/>
    <cellStyle name="Normal 2 2 2 2 2 2 2 9 5" xfId="6649" xr:uid="{DDCCD1A4-48B1-45BA-9190-51CF136BFB50}"/>
    <cellStyle name="Normal 2 2 2 2 2 2 2 9 5 5" xfId="6650" xr:uid="{362326DC-BB80-43EC-AA74-8168D16F3631}"/>
    <cellStyle name="Normal 2 2 2 2 2 2 2 9 6 3" xfId="6651" xr:uid="{EE3FC025-5A59-4DC3-8FD7-C198D4181CD4}"/>
    <cellStyle name="Normal 2 2 2 2 2 2 2 9 7" xfId="6652" xr:uid="{44635ED7-4D5A-4ADC-9D4B-09820E10EAD5}"/>
    <cellStyle name="Normal 2 2 2 2 2 2 2 9 7 5" xfId="6653" xr:uid="{57116595-A408-4A62-BB0F-B78F9EE03031}"/>
    <cellStyle name="Normal 2 2 2 2 2 2 2 9 8 3" xfId="6654" xr:uid="{B428FA3E-BE37-4075-A857-96E8791449B3}"/>
    <cellStyle name="Normal 2 2 2 2 2 2 2 9 9" xfId="6655" xr:uid="{26DABD9A-CC08-4F78-A747-64E8B90C656B}"/>
    <cellStyle name="Normal 2 2 2 2 2 2 20 12" xfId="6656" xr:uid="{B8B2EA73-124B-4E35-973A-6E0CC3C83D78}"/>
    <cellStyle name="Normal 2 2 2 2 2 2 20 2 3" xfId="6657" xr:uid="{6A621D7E-68A1-4579-9D0E-3583A2FAA7B5}"/>
    <cellStyle name="Normal 2 2 2 2 2 2 20 3" xfId="6658" xr:uid="{85BEDD14-EAE3-4E0A-B0C3-3F1246853C14}"/>
    <cellStyle name="Normal 2 2 2 2 2 2 20 3 5" xfId="6659" xr:uid="{B7844053-F161-400C-BA80-B0AB1785FDBF}"/>
    <cellStyle name="Normal 2 2 2 2 2 2 20 4 3" xfId="6660" xr:uid="{AAD1D2D1-2C02-4E5B-BF40-12B9F20735E8}"/>
    <cellStyle name="Normal 2 2 2 2 2 2 20 5" xfId="6661" xr:uid="{BA3829DF-08F0-4F6B-9528-BFF7EEDC5B03}"/>
    <cellStyle name="Normal 2 2 2 2 2 2 20 5 4" xfId="6662" xr:uid="{56CC8F06-3458-47F9-AE5A-73090F06CD10}"/>
    <cellStyle name="Normal 2 2 2 2 2 2 20 6 2" xfId="6663" xr:uid="{507A0D63-F800-4B38-8553-B0683A800B37}"/>
    <cellStyle name="Normal 2 2 2 2 2 2 20 6 6" xfId="6664" xr:uid="{7EF6B817-13FA-420C-A025-C5747592FB4E}"/>
    <cellStyle name="Normal 2 2 2 2 2 2 20 7 3" xfId="6665" xr:uid="{506546CC-6F3F-4F5A-870E-A5C9220256BB}"/>
    <cellStyle name="Normal 2 2 2 2 2 2 20 8" xfId="6666" xr:uid="{BFD085FD-DBD7-428D-9D28-2F9EB913820F}"/>
    <cellStyle name="Normal 2 2 2 2 2 2 20 8 5" xfId="6667" xr:uid="{71E8C9AB-B16E-4BC3-A4A1-A3FC28FEB07E}"/>
    <cellStyle name="Normal 2 2 2 2 2 2 21 10" xfId="6668" xr:uid="{2694A64C-A40B-43F4-A142-B95499E82E58}"/>
    <cellStyle name="Normal 2 2 2 2 2 2 21 2" xfId="6669" xr:uid="{7CF39A0D-C222-4D76-AF5E-9EDE7D1C126D}"/>
    <cellStyle name="Normal 2 2 2 2 2 2 21 2 5" xfId="6670" xr:uid="{500E661D-45BF-44B2-86E1-B44C6D41C103}"/>
    <cellStyle name="Normal 2 2 2 2 2 2 21 3 3" xfId="6671" xr:uid="{99EB51D9-B02C-45D2-BB16-CBF748C9778E}"/>
    <cellStyle name="Normal 2 2 2 2 2 2 21 4" xfId="6672" xr:uid="{30924055-E50B-40F5-B949-4D12EF0683C1}"/>
    <cellStyle name="Normal 2 2 2 2 2 2 21 4 5" xfId="6673" xr:uid="{5A025B9D-F2D6-4BED-88C9-566497A3859D}"/>
    <cellStyle name="Normal 2 2 2 2 2 2 21 5 3" xfId="6674" xr:uid="{42D444CC-8106-48B3-A439-7FFEB72BA410}"/>
    <cellStyle name="Normal 2 2 2 2 2 2 21 6" xfId="6675" xr:uid="{4BE7F393-2EF6-4E4F-8671-9C2A230D1860}"/>
    <cellStyle name="Normal 2 2 2 2 2 2 21 6 5" xfId="6676" xr:uid="{99FA47DA-CBA0-4189-A730-9F1CF38BFD95}"/>
    <cellStyle name="Normal 2 2 2 2 2 2 21 7 3" xfId="6677" xr:uid="{33E3C6C5-6944-476A-ACFE-56BE18FDCD72}"/>
    <cellStyle name="Normal 2 2 2 2 2 2 21 8" xfId="6678" xr:uid="{C797D6B0-9165-4F2F-A58E-61C05296EF2B}"/>
    <cellStyle name="Normal 2 2 2 2 2 2 21 8 5" xfId="6679" xr:uid="{4DBC7936-94F7-4F63-920D-7B9C1591327D}"/>
    <cellStyle name="Normal 2 2 2 2 2 2 22 10" xfId="6680" xr:uid="{A6E92E4A-28F2-4F81-8D7D-209E26BD314E}"/>
    <cellStyle name="Normal 2 2 2 2 2 2 22 2" xfId="6681" xr:uid="{E8BA1990-1380-4293-94BD-895FAA855BB5}"/>
    <cellStyle name="Normal 2 2 2 2 2 2 22 2 5" xfId="6682" xr:uid="{4B009A3F-6570-4BEE-9C53-CCF6A0F36E43}"/>
    <cellStyle name="Normal 2 2 2 2 2 2 22 3 3" xfId="6683" xr:uid="{ED6B6CA2-07BD-4416-B0A5-23DB9047805D}"/>
    <cellStyle name="Normal 2 2 2 2 2 2 22 4" xfId="6684" xr:uid="{4FFC0DE8-8857-476D-AD84-270476EFA64E}"/>
    <cellStyle name="Normal 2 2 2 2 2 2 22 4 4" xfId="6685" xr:uid="{7503FE27-E9BF-47CC-B0C8-6A36DDDA5B95}"/>
    <cellStyle name="Normal 2 2 2 2 2 2 22 5 2" xfId="6686" xr:uid="{1B78C350-A1CC-4469-9B30-44D9A244D1EB}"/>
    <cellStyle name="Normal 2 2 2 2 2 2 22 5 6" xfId="6687" xr:uid="{BFC0B4AE-159D-4ACC-81EE-17562D0BD252}"/>
    <cellStyle name="Normal 2 2 2 2 2 2 22 6 3" xfId="6688" xr:uid="{86714C3B-944F-43C0-9FBA-E1BB1788CDBB}"/>
    <cellStyle name="Normal 2 2 2 2 2 2 22 7" xfId="6689" xr:uid="{3DBDB889-47D7-45D0-86A5-C89AEEF0F0AF}"/>
    <cellStyle name="Normal 2 2 2 2 2 2 22 7 5" xfId="6690" xr:uid="{8313E1DE-A25C-4CC8-B84E-5F7B68F147EB}"/>
    <cellStyle name="Normal 2 2 2 2 2 2 22 8 3" xfId="6691" xr:uid="{8F840709-A926-41B4-A7DD-ADCC3D312456}"/>
    <cellStyle name="Normal 2 2 2 2 2 2 22 9" xfId="6692" xr:uid="{22979D28-6601-4A90-ACB1-E6635EF3B85C}"/>
    <cellStyle name="Normal 2 2 2 2 2 2 23 12" xfId="6693" xr:uid="{432F8AF3-0967-4745-8D9A-EE662D98FC23}"/>
    <cellStyle name="Normal 2 2 2 2 2 2 23 2 3" xfId="6694" xr:uid="{A70CFCE8-3E42-4C0D-B2A4-5E33C1EA0EBF}"/>
    <cellStyle name="Normal 2 2 2 2 2 2 23 3" xfId="6695" xr:uid="{CD3447CF-913F-4BCF-9DDD-6473E77318EA}"/>
    <cellStyle name="Normal 2 2 2 2 2 2 23 3 5" xfId="6696" xr:uid="{D2A4644D-190B-4FE5-8CC6-B7B2A0040791}"/>
    <cellStyle name="Normal 2 2 2 2 2 2 23 4 3" xfId="6697" xr:uid="{67D62310-707D-4C98-897E-CC68B108F914}"/>
    <cellStyle name="Normal 2 2 2 2 2 2 23 5" xfId="6698" xr:uid="{EFBE1067-AE79-43BD-A357-259E65996594}"/>
    <cellStyle name="Normal 2 2 2 2 2 2 23 5 5" xfId="6699" xr:uid="{97CDF015-9F22-4C0D-80C4-86C1581781F0}"/>
    <cellStyle name="Normal 2 2 2 2 2 2 23 6 3" xfId="6700" xr:uid="{B8D579E4-9BAF-4A34-865F-5FA4F4B4E8C4}"/>
    <cellStyle name="Normal 2 2 2 2 2 2 23 7" xfId="6701" xr:uid="{1BDD4537-01F6-4BDD-A83F-49C24670F246}"/>
    <cellStyle name="Normal 2 2 2 2 2 2 23 7 5" xfId="6702" xr:uid="{856069CC-CAA8-4F17-9698-A102341BD628}"/>
    <cellStyle name="Normal 2 2 2 2 2 2 23 8 3" xfId="6703" xr:uid="{3DB32996-3C4A-4B49-B79D-30614B93A5AD}"/>
    <cellStyle name="Normal 2 2 2 2 2 2 23 9" xfId="6704" xr:uid="{71658E42-7AC2-4D6B-98D7-1BCA76BF938A}"/>
    <cellStyle name="Normal 2 2 2 2 2 2 24 12" xfId="6705" xr:uid="{84FFD3AF-90B0-4DCB-B8A8-1566697C2716}"/>
    <cellStyle name="Normal 2 2 2 2 2 2 24 2 3" xfId="6706" xr:uid="{074CF037-8394-4377-B58A-06BAEF64C440}"/>
    <cellStyle name="Normal 2 2 2 2 2 2 24 3" xfId="6707" xr:uid="{FCEF3DB6-DA6E-4AB5-9D48-9408AF46EC09}"/>
    <cellStyle name="Normal 2 2 2 2 2 2 24 3 4" xfId="6708" xr:uid="{9F3010F5-6416-45C2-B458-93E4FAFB00EE}"/>
    <cellStyle name="Normal 2 2 2 2 2 2 24 4 2" xfId="6709" xr:uid="{A8894FD2-F8DC-4FD7-981D-A28B68CD7060}"/>
    <cellStyle name="Normal 2 2 2 2 2 2 24 4 6" xfId="6710" xr:uid="{6E2D45A0-5A19-4FA0-BAE4-3A82A16D1B7C}"/>
    <cellStyle name="Normal 2 2 2 2 2 2 24 5 3" xfId="6711" xr:uid="{A33D2382-8ECD-4F32-AA62-ED5A7B61589D}"/>
    <cellStyle name="Normal 2 2 2 2 2 2 24 5 5" xfId="6712" xr:uid="{770D6069-9B70-4427-A996-CD6368D75360}"/>
    <cellStyle name="Normal 2 2 2 2 2 2 24 6" xfId="6713" xr:uid="{D40F67A2-35F2-49FA-B73A-9B985F3A14DC}"/>
    <cellStyle name="Normal 2 2 2 2 2 2 24 6 3" xfId="6714" xr:uid="{A531CE53-8F41-4CD4-993F-973AA7A92A49}"/>
    <cellStyle name="Normal 2 2 2 2 2 2 24 6 5" xfId="6715" xr:uid="{5B7A96BB-F95E-4B3E-88CC-0ECA83145BE1}"/>
    <cellStyle name="Normal 2 2 2 2 2 2 24 7" xfId="6716" xr:uid="{37F80D82-71DC-408A-8D7F-BE8C10132297}"/>
    <cellStyle name="Normal 2 2 2 2 2 2 24 7 3" xfId="6717" xr:uid="{AA127AF0-A551-4861-9646-55012E7E31D0}"/>
    <cellStyle name="Normal 2 2 2 2 2 2 24 7 5" xfId="6718" xr:uid="{2F575011-DE99-4BA4-80F7-28E7CB55634E}"/>
    <cellStyle name="Normal 2 2 2 2 2 2 24 8" xfId="6719" xr:uid="{91695354-5847-4D06-8212-E3C46F559663}"/>
    <cellStyle name="Normal 2 2 2 2 2 2 24 8 3" xfId="6720" xr:uid="{F0983DA0-A930-4C4E-B20C-93CB66DD5D19}"/>
    <cellStyle name="Normal 2 2 2 2 2 2 24 8 5" xfId="6721" xr:uid="{A765EAE4-7156-4DC0-B345-DA2E3E4A282E}"/>
    <cellStyle name="Normal 2 2 2 2 2 2 24 9" xfId="6722" xr:uid="{5330796E-9421-45E9-B06C-A05468276550}"/>
    <cellStyle name="Normal 2 2 2 2 2 2 25 10" xfId="6723" xr:uid="{4C073EB7-6EE0-43FB-ADAC-7EEDC5890E89}"/>
    <cellStyle name="Normal 2 2 2 2 2 2 25 12" xfId="6724" xr:uid="{432E25DD-5F5D-4A81-A6DB-24D5ECC4C9D8}"/>
    <cellStyle name="Normal 2 2 2 2 2 2 25 2" xfId="6725" xr:uid="{04AD991E-3972-40DB-9423-7A3710012F32}"/>
    <cellStyle name="Normal 2 2 2 2 2 2 25 2 3" xfId="6726" xr:uid="{09241594-3E3D-477D-AA64-3926FAFD2D39}"/>
    <cellStyle name="Normal 2 2 2 2 2 2 25 2 5" xfId="6727" xr:uid="{3E771911-C2C9-4F3D-8AE5-537F29852B87}"/>
    <cellStyle name="Normal 2 2 2 2 2 2 25 3" xfId="6728" xr:uid="{F940634C-DF18-490F-92D3-747E9B94676F}"/>
    <cellStyle name="Normal 2 2 2 2 2 2 25 3 3" xfId="6729" xr:uid="{9CC4401F-4E8F-4D3C-B216-6B989BCB79DB}"/>
    <cellStyle name="Normal 2 2 2 2 2 2 25 3 5" xfId="6730" xr:uid="{C2562E06-9E11-4CDC-9A51-4FD215BCC35B}"/>
    <cellStyle name="Normal 2 2 2 2 2 2 25 4" xfId="6731" xr:uid="{2ACEA6D7-C6AE-4EF0-898B-83632E01C3C0}"/>
    <cellStyle name="Normal 2 2 2 2 2 2 25 4 3" xfId="6732" xr:uid="{8BB9CC29-357F-4189-A90D-53DB9C6D1DD7}"/>
    <cellStyle name="Normal 2 2 2 2 2 2 25 4 5" xfId="6733" xr:uid="{1E723A10-0FA0-44C8-9C4E-3BED5D6998CB}"/>
    <cellStyle name="Normal 2 2 2 2 2 2 25 5" xfId="6734" xr:uid="{42ECB0ED-D526-43E9-975C-9D679A2E70E9}"/>
    <cellStyle name="Normal 2 2 2 2 2 2 25 5 3" xfId="6735" xr:uid="{7B7F9D30-4D81-4AB9-9F8F-F2807F68B0A0}"/>
    <cellStyle name="Normal 2 2 2 2 2 2 25 5 5" xfId="6736" xr:uid="{E50B1ADE-3D11-4382-942B-708E6E35BDDC}"/>
    <cellStyle name="Normal 2 2 2 2 2 2 25 6" xfId="6737" xr:uid="{8AA85398-28F7-4ABB-A5FF-5EE3BC5A6E6F}"/>
    <cellStyle name="Normal 2 2 2 2 2 2 25 6 3" xfId="6738" xr:uid="{2A5098A4-7F20-45A4-9C87-F8CFF841317B}"/>
    <cellStyle name="Normal 2 2 2 2 2 2 25 6 5" xfId="6739" xr:uid="{1AF5547E-F926-4A80-B040-8483FC053D1D}"/>
    <cellStyle name="Normal 2 2 2 2 2 2 25 7" xfId="6740" xr:uid="{7ECD6515-1E05-420E-8275-D51621D1917D}"/>
    <cellStyle name="Normal 2 2 2 2 2 2 25 7 3" xfId="6741" xr:uid="{27D83313-DD83-4859-878C-725D33DA3B92}"/>
    <cellStyle name="Normal 2 2 2 2 2 2 25 7 5" xfId="6742" xr:uid="{A6D9D0A1-19CF-4CE7-8575-438040B4BF74}"/>
    <cellStyle name="Normal 2 2 2 2 2 2 25 8" xfId="6743" xr:uid="{6EFE7223-0E5D-47A6-BD2A-E651EB60C398}"/>
    <cellStyle name="Normal 2 2 2 2 2 2 25 8 3" xfId="6744" xr:uid="{5AF5F6A8-6D72-4180-9721-8B8EB02AD5A6}"/>
    <cellStyle name="Normal 2 2 2 2 2 2 25 8 5" xfId="6745" xr:uid="{A90FEDF0-5889-4418-8A77-C3F6312A88BF}"/>
    <cellStyle name="Normal 2 2 2 2 2 2 25 9" xfId="6746" xr:uid="{C0F3CE61-DD58-48F7-B158-3BAC6918A489}"/>
    <cellStyle name="Normal 2 2 2 2 2 2 26 10" xfId="6747" xr:uid="{EF264217-3530-40A5-96B5-82D2BC2BB508}"/>
    <cellStyle name="Normal 2 2 2 2 2 2 26 12" xfId="6748" xr:uid="{060AF63A-22C1-4D47-AD15-962433363024}"/>
    <cellStyle name="Normal 2 2 2 2 2 2 26 2" xfId="6749" xr:uid="{2CE978F7-FFB6-4198-B0F0-E5E68CA004FC}"/>
    <cellStyle name="Normal 2 2 2 2 2 2 26 2 3" xfId="6750" xr:uid="{4169F0AE-9EFF-4D49-BFE2-A636195DCE9B}"/>
    <cellStyle name="Normal 2 2 2 2 2 2 26 2 5" xfId="6751" xr:uid="{5E643570-7A8A-4F93-8C4E-5A59ACF54834}"/>
    <cellStyle name="Normal 2 2 2 2 2 2 26 3" xfId="6752" xr:uid="{BA58215C-5347-4697-83D4-D67456047CE0}"/>
    <cellStyle name="Normal 2 2 2 2 2 2 26 3 3" xfId="6753" xr:uid="{E52B9B55-B356-4D02-A5BB-B2BA4D668472}"/>
    <cellStyle name="Normal 2 2 2 2 2 2 26 3 5" xfId="6754" xr:uid="{433C4CEF-B3EE-420C-A2DD-C1928DBBD8EA}"/>
    <cellStyle name="Normal 2 2 2 2 2 2 26 4" xfId="6755" xr:uid="{E37D13FB-023E-49AB-B6C3-6DC393B74204}"/>
    <cellStyle name="Normal 2 2 2 2 2 2 26 4 3" xfId="6756" xr:uid="{312CB727-BC4C-46B8-ADB5-16A494A7CA8F}"/>
    <cellStyle name="Normal 2 2 2 2 2 2 26 4 5" xfId="6757" xr:uid="{75A51F0E-6BC9-41BB-8052-BE546B8A25BA}"/>
    <cellStyle name="Normal 2 2 2 2 2 2 26 5" xfId="6758" xr:uid="{DCF06811-91AA-4CB4-8C6B-09B09B1E7EEB}"/>
    <cellStyle name="Normal 2 2 2 2 2 2 26 5 3" xfId="6759" xr:uid="{EB04F041-5A8B-4981-AB30-C48C5F961F4E}"/>
    <cellStyle name="Normal 2 2 2 2 2 2 26 6" xfId="6760" xr:uid="{276BD60D-23C7-4702-BEE3-7858E9807124}"/>
    <cellStyle name="Normal 2 2 2 2 2 2 26 6 5" xfId="6761" xr:uid="{E9678AE3-3E16-4BC6-897A-618E1E8182EC}"/>
    <cellStyle name="Normal 2 2 2 2 2 2 26 7 3" xfId="6762" xr:uid="{3EE4B9C2-08D7-41F4-B7E4-599A19DA5A40}"/>
    <cellStyle name="Normal 2 2 2 2 2 2 26 8" xfId="6763" xr:uid="{CE760A85-E2AD-48A7-8347-1BD3D5B6A095}"/>
    <cellStyle name="Normal 2 2 2 2 2 2 26 8 3" xfId="6764" xr:uid="{5478F2B0-1FCA-4824-9544-700222B393A5}"/>
    <cellStyle name="Normal 2 2 2 2 2 2 26 8 5" xfId="6765" xr:uid="{9AC0D1E8-318C-4EBF-91E4-B53EA68F145E}"/>
    <cellStyle name="Normal 2 2 2 2 2 2 26 9" xfId="6766" xr:uid="{89694117-7800-43AA-865E-E61E5A6A0709}"/>
    <cellStyle name="Normal 2 2 2 2 2 2 27 10" xfId="6767" xr:uid="{3388A3EF-06CF-45D7-B0A0-D6552C370A9C}"/>
    <cellStyle name="Normal 2 2 2 2 2 2 27 12" xfId="6768" xr:uid="{AA13FD90-20BF-4AC9-B929-E56BF28CEB6E}"/>
    <cellStyle name="Normal 2 2 2 2 2 2 27 2" xfId="6769" xr:uid="{424AC629-E9CB-46A7-A342-1F65690A65D9}"/>
    <cellStyle name="Normal 2 2 2 2 2 2 27 2 3" xfId="6770" xr:uid="{97706B97-8CD9-4166-9B93-94A080F05523}"/>
    <cellStyle name="Normal 2 2 2 2 2 2 27 2 5" xfId="6771" xr:uid="{474E8C97-F713-443C-B3B6-15B078E083FB}"/>
    <cellStyle name="Normal 2 2 2 2 2 2 27 3" xfId="6772" xr:uid="{43D21417-59B8-4E59-990D-64CB76226C5B}"/>
    <cellStyle name="Normal 2 2 2 2 2 2 27 3 3" xfId="6773" xr:uid="{2C3C3E70-226D-4663-B1C3-1C77A5FD1FF1}"/>
    <cellStyle name="Normal 2 2 2 2 2 2 27 3 5" xfId="6774" xr:uid="{158C181B-B1CA-4EDA-828E-EA31F442E910}"/>
    <cellStyle name="Normal 2 2 2 2 2 2 27 4" xfId="6775" xr:uid="{83B66356-F762-40FC-9CD5-ABD9C80630F4}"/>
    <cellStyle name="Normal 2 2 2 2 2 2 27 4 3" xfId="6776" xr:uid="{43C71993-D4C1-437E-94AA-DDD7687C59AC}"/>
    <cellStyle name="Normal 2 2 2 2 2 2 27 4 5" xfId="6777" xr:uid="{90A58DF1-43A8-4E0B-83EE-6F317428C3C6}"/>
    <cellStyle name="Normal 2 2 2 2 2 2 27 5" xfId="6778" xr:uid="{8B9BB87C-53D4-41A6-BD31-A85005204750}"/>
    <cellStyle name="Normal 2 2 2 2 2 2 27 5 3" xfId="6779" xr:uid="{2EFBFC87-F544-4F12-BF18-8201FCCF02EE}"/>
    <cellStyle name="Normal 2 2 2 2 2 2 27 5 5" xfId="6780" xr:uid="{BB9DB10D-4010-4894-B047-B6498CE97B75}"/>
    <cellStyle name="Normal 2 2 2 2 2 2 27 6" xfId="6781" xr:uid="{B3CB4E08-BEC8-487E-9466-A8663F1CBC03}"/>
    <cellStyle name="Normal 2 2 2 2 2 2 27 6 3" xfId="6782" xr:uid="{BC3F6518-33ED-4887-A085-6B9DC8C46F43}"/>
    <cellStyle name="Normal 2 2 2 2 2 2 27 6 5" xfId="6783" xr:uid="{04A82203-8ED8-4997-8625-67FB6BA4841D}"/>
    <cellStyle name="Normal 2 2 2 2 2 2 27 7" xfId="6784" xr:uid="{C4E52A12-CDF6-4816-86C9-E77F0766EBD1}"/>
    <cellStyle name="Normal 2 2 2 2 2 2 27 7 3" xfId="6785" xr:uid="{14B7B233-DEC3-4FDB-B1ED-2F0F6B4FBB05}"/>
    <cellStyle name="Normal 2 2 2 2 2 2 27 7 5" xfId="6786" xr:uid="{DCE0AF26-46EA-4945-B4B5-8600A55BFDB2}"/>
    <cellStyle name="Normal 2 2 2 2 2 2 27 8" xfId="6787" xr:uid="{4A36C609-0A67-40F3-BC08-7574B6C37A7B}"/>
    <cellStyle name="Normal 2 2 2 2 2 2 27 8 5" xfId="6788" xr:uid="{F1218357-0DC1-4FBD-BD05-56CF2CA9F379}"/>
    <cellStyle name="Normal 2 2 2 2 2 2 28 10" xfId="6789" xr:uid="{04307A5E-2879-40A9-A560-C9DC096ECE6C}"/>
    <cellStyle name="Normal 2 2 2 2 2 2 28 4" xfId="6790" xr:uid="{54354E26-BB56-47A6-8E48-6C19B269A609}"/>
    <cellStyle name="Normal 2 2 2 2 2 2 28 8" xfId="6791" xr:uid="{547EDC80-A4F1-40B6-814E-688AB1415218}"/>
    <cellStyle name="Normal 2 2 2 2 2 2 3 10" xfId="6792" xr:uid="{F7E501DE-C300-49C8-8EB8-F4EEDB7E4ACF}"/>
    <cellStyle name="Normal 2 2 2 2 2 2 3 12" xfId="6793" xr:uid="{85431D3A-E609-44F7-AC64-00584E0DC3C9}"/>
    <cellStyle name="Normal 2 2 2 2 2 2 3 14" xfId="6794" xr:uid="{41993DA6-7FED-4AF0-A346-314DDB78E0FA}"/>
    <cellStyle name="Normal 2 2 2 2 2 2 3 2 2" xfId="6795" xr:uid="{DF3640FB-4C17-4EAC-81D1-FF2F3353CA27}"/>
    <cellStyle name="Normal 2 2 2 2 2 2 3 2 4" xfId="6796" xr:uid="{71F7E4DD-1062-49DE-8EF7-C258506D22DC}"/>
    <cellStyle name="Normal 2 2 2 2 2 2 3 2 6" xfId="6797" xr:uid="{BAAD1F9A-EAF2-4D7A-BC8B-CF4DF2E85501}"/>
    <cellStyle name="Normal 2 2 2 2 2 2 3 3 2" xfId="6798" xr:uid="{DC032EFD-8502-4F8D-B61E-3FC09F479793}"/>
    <cellStyle name="Normal 2 2 2 2 2 2 3 3 4" xfId="6799" xr:uid="{495DE121-7000-4C1F-9746-F736956FEB28}"/>
    <cellStyle name="Normal 2 2 2 2 2 2 3 3 6" xfId="6800" xr:uid="{8174624D-54CB-4990-9293-B11DEDFC7B94}"/>
    <cellStyle name="Normal 2 2 2 2 2 2 3 4 2" xfId="6801" xr:uid="{A8669819-F9CD-4A10-AA15-E14D98F6C6F9}"/>
    <cellStyle name="Normal 2 2 2 2 2 2 3 4 4" xfId="6802" xr:uid="{43F4FAEA-3D9C-445D-A0A2-ED29C4AA75A1}"/>
    <cellStyle name="Normal 2 2 2 2 2 2 3 4 6" xfId="6803" xr:uid="{CCF7F638-97E7-4734-A8A0-502A29C729CA}"/>
    <cellStyle name="Normal 2 2 2 2 2 2 3 5 2" xfId="6804" xr:uid="{7E756BF1-70B4-420C-84C2-C147E14A7A99}"/>
    <cellStyle name="Normal 2 2 2 2 2 2 3 5 4" xfId="6805" xr:uid="{F63A864C-B588-4F58-A2D5-5B402C9D448E}"/>
    <cellStyle name="Normal 2 2 2 2 2 2 3 5 6" xfId="6806" xr:uid="{DAF939CA-FAA1-4B28-8BD4-34D144852884}"/>
    <cellStyle name="Normal 2 2 2 2 2 2 3 6 2" xfId="6807" xr:uid="{56C9BEB8-9B2C-4E9F-9F9A-37D48E9DC2C3}"/>
    <cellStyle name="Normal 2 2 2 2 2 2 3 6 4" xfId="6808" xr:uid="{B46B0F74-8CD0-4908-A71E-3994D04F3E75}"/>
    <cellStyle name="Normal 2 2 2 2 2 2 3 6 6" xfId="6809" xr:uid="{4A0576B5-AB07-4135-B3E8-2D49D4F92CD4}"/>
    <cellStyle name="Normal 2 2 2 2 2 2 3 7 2" xfId="6810" xr:uid="{589FB213-BC32-44EC-A89F-37205CAB35B9}"/>
    <cellStyle name="Normal 2 2 2 2 2 2 3 7 4" xfId="6811" xr:uid="{FF557C45-F16B-4B9F-869F-ECCA68D5663B}"/>
    <cellStyle name="Normal 2 2 2 2 2 2 3 7 6" xfId="6812" xr:uid="{3D055FEB-6C40-455B-9E65-F012C93EF88E}"/>
    <cellStyle name="Normal 2 2 2 2 2 2 3 8 2" xfId="6813" xr:uid="{F0F2BA7F-B455-4123-AEEF-8E2CB5638653}"/>
    <cellStyle name="Normal 2 2 2 2 2 2 3 8 4" xfId="6814" xr:uid="{C30E2C8D-C0AD-4B63-A1F1-83E01F834BF9}"/>
    <cellStyle name="Normal 2 2 2 2 2 2 3 8 6" xfId="6815" xr:uid="{D8A5A94C-4018-40A9-AC22-E10F65E99487}"/>
    <cellStyle name="Normal 2 2 2 2 2 2 30" xfId="6816" xr:uid="{F1D0A8E1-8403-4AD7-A4CE-A51CE745F51E}"/>
    <cellStyle name="Normal 2 2 2 2 2 2 34" xfId="6817" xr:uid="{C518CF4B-668C-4836-B8FD-9FE3B57AB5A0}"/>
    <cellStyle name="Normal 2 2 2 2 2 2 38" xfId="6818" xr:uid="{6C670F97-EC8B-4EF1-A02C-C4153419976B}"/>
    <cellStyle name="Normal 2 2 2 2 2 2 4 11" xfId="6819" xr:uid="{DCDFA034-3CD0-4520-B243-EAE2168F1C52}"/>
    <cellStyle name="Normal 2 2 2 2 2 2 4 2" xfId="6820" xr:uid="{28DC59DB-AC5E-41E5-BD54-43A7C7277550}"/>
    <cellStyle name="Normal 2 2 2 2 2 2 4 2 5" xfId="6821" xr:uid="{22B233EE-D501-42C6-8AE5-7914A204333E}"/>
    <cellStyle name="Normal 2 2 2 2 2 2 4 3" xfId="6822" xr:uid="{7323048E-0274-4877-B798-E73254890395}"/>
    <cellStyle name="Normal 2 2 2 2 2 2 4 3 3" xfId="6823" xr:uid="{18AF465F-22E2-44AC-B1CA-6E09FA4CF3AE}"/>
    <cellStyle name="Normal 2 2 2 2 2 2 4 3 5" xfId="6824" xr:uid="{5B7BA153-BB91-497F-95A0-A86250FC3E8E}"/>
    <cellStyle name="Normal 2 2 2 2 2 2 4 4" xfId="6825" xr:uid="{5D310ADB-0C26-49DD-A45B-457E6D904E42}"/>
    <cellStyle name="Normal 2 2 2 2 2 2 4 4 3" xfId="6826" xr:uid="{3A5F126C-91D6-4543-BAF1-22852A01FB1A}"/>
    <cellStyle name="Normal 2 2 2 2 2 2 4 4 5" xfId="6827" xr:uid="{A41DC9AA-6C23-48AE-B46E-60577EBD2AB1}"/>
    <cellStyle name="Normal 2 2 2 2 2 2 4 5" xfId="6828" xr:uid="{3409ED51-F334-4A88-A68D-0B2D1B9F5A58}"/>
    <cellStyle name="Normal 2 2 2 2 2 2 4 5 3" xfId="6829" xr:uid="{69B5B3DB-5D89-4450-A213-15FBB03BC7CE}"/>
    <cellStyle name="Normal 2 2 2 2 2 2 4 5 5" xfId="6830" xr:uid="{920CC52D-135D-42AD-A481-FD1C79FC4234}"/>
    <cellStyle name="Normal 2 2 2 2 2 2 4 6" xfId="6831" xr:uid="{9840AD0C-8D8A-4373-96A2-4AB8F297D4D0}"/>
    <cellStyle name="Normal 2 2 2 2 2 2 4 6 3" xfId="6832" xr:uid="{663D5179-051B-4AD6-ACE6-1590463F6A46}"/>
    <cellStyle name="Normal 2 2 2 2 2 2 4 6 5" xfId="6833" xr:uid="{626316C0-5C6F-4FE0-B10A-67EBC8168902}"/>
    <cellStyle name="Normal 2 2 2 2 2 2 4 7" xfId="6834" xr:uid="{97CAE69C-3A20-4FD8-B822-2603B35E1E02}"/>
    <cellStyle name="Normal 2 2 2 2 2 2 4 7 3" xfId="6835" xr:uid="{33AB7461-5039-467B-A4BF-C46FC0090087}"/>
    <cellStyle name="Normal 2 2 2 2 2 2 4 7 5" xfId="6836" xr:uid="{32244954-1328-4F64-B57B-A427C89642A8}"/>
    <cellStyle name="Normal 2 2 2 2 2 2 4 8" xfId="6837" xr:uid="{375FFB09-0DB6-4EC5-A34A-34DC3EEFC6AB}"/>
    <cellStyle name="Normal 2 2 2 2 2 2 4 8 3" xfId="6838" xr:uid="{8EEFE072-52D2-4610-8FAF-E4CCF44BAC49}"/>
    <cellStyle name="Normal 2 2 2 2 2 2 4 8 5" xfId="6839" xr:uid="{E10C27CF-1B99-4065-9127-8B696BBE954C}"/>
    <cellStyle name="Normal 2 2 2 2 2 2 4 9" xfId="6840" xr:uid="{D0F65EE3-486C-47D3-9983-ABC697AC4936}"/>
    <cellStyle name="Normal 2 2 2 2 2 2 41" xfId="6841" xr:uid="{99F74949-435C-4F3D-BB52-FF6061C95DA0}"/>
    <cellStyle name="Normal 2 2 2 2 2 2 43" xfId="6842" xr:uid="{8E40F550-A68C-4D1C-948E-7641A62FC3EE}"/>
    <cellStyle name="Normal 2 2 2 2 2 2 43 3" xfId="6843" xr:uid="{3E698C46-BE0F-4124-AF5E-8FCA963B1CCC}"/>
    <cellStyle name="Normal 2 2 2 2 2 2 43 5" xfId="6844" xr:uid="{4D87075A-4F4B-440A-A406-05E40C5DFCB0}"/>
    <cellStyle name="Normal 2 2 2 2 2 2 44" xfId="6845" xr:uid="{391067B4-6BC4-4428-9EC9-5CE81F041F6A}"/>
    <cellStyle name="Normal 2 2 2 2 2 2 44 5" xfId="6846" xr:uid="{171FC8E9-E6A9-4405-9470-3307054D6676}"/>
    <cellStyle name="Normal 2 2 2 2 2 2 45 3" xfId="6847" xr:uid="{CBD2D527-BD79-40BE-9A60-33B0808774B4}"/>
    <cellStyle name="Normal 2 2 2 2 2 2 46" xfId="6848" xr:uid="{9AA9DB6C-3D88-4F4D-8680-6F4A211F99DC}"/>
    <cellStyle name="Normal 2 2 2 2 2 2 46 5" xfId="6849" xr:uid="{1152EAE3-9B0A-4FCC-B7B0-EF34F6D0AC6E}"/>
    <cellStyle name="Normal 2 2 2 2 2 2 47" xfId="6850" xr:uid="{5C8525DE-7B83-4543-BC9D-B1E211BA5B23}"/>
    <cellStyle name="Normal 2 2 2 2 2 2 47 2 2" xfId="6851" xr:uid="{798180E1-A7CE-4AD7-8BA1-8E840A675177}"/>
    <cellStyle name="Normal 2 2 2 2 2 2 47 2 2 3" xfId="6852" xr:uid="{8E83C3E2-5CD8-4768-9784-84A313139A1B}"/>
    <cellStyle name="Normal 2 2 2 2 2 2 47 2 2 5" xfId="6853" xr:uid="{F4D462E9-1911-431D-8791-83389A94389B}"/>
    <cellStyle name="Normal 2 2 2 2 2 2 47 2 2 7" xfId="6854" xr:uid="{4522AE8B-2DB9-4950-A5CE-8431A53CC12B}"/>
    <cellStyle name="Normal 2 2 2 2 2 2 47 4" xfId="6855" xr:uid="{3D657CE6-0DB1-41B9-B38C-C06EF2C48D5F}"/>
    <cellStyle name="Normal 2 2 2 2 2 2 47 6" xfId="6856" xr:uid="{E9700F6F-FD88-4BCC-AC82-96438A21F1B0}"/>
    <cellStyle name="Normal 2 2 2 2 2 2 47 8" xfId="6857" xr:uid="{4DA36890-2E1C-4670-B0C3-EBEB290A0C5C}"/>
    <cellStyle name="Normal 2 2 2 2 2 2 49" xfId="6858" xr:uid="{2C945490-4791-48C6-8C41-16A67E528412}"/>
    <cellStyle name="Normal 2 2 2 2 2 2 5 10" xfId="6859" xr:uid="{2486A7B7-162E-4747-BB4B-CC70C5D26E52}"/>
    <cellStyle name="Normal 2 2 2 2 2 2 5 12" xfId="6860" xr:uid="{0DCDBA12-A271-415C-9489-FF63A207BD2A}"/>
    <cellStyle name="Normal 2 2 2 2 2 2 5 2" xfId="6861" xr:uid="{E3278419-7DF7-4779-BD2B-B374086EB62A}"/>
    <cellStyle name="Normal 2 2 2 2 2 2 5 2 3" xfId="6862" xr:uid="{BE22D9A9-0A8D-4169-B890-E772CD8B9334}"/>
    <cellStyle name="Normal 2 2 2 2 2 2 5 2 5" xfId="6863" xr:uid="{5C54574F-A81F-4068-BC21-C47EBD1D441B}"/>
    <cellStyle name="Normal 2 2 2 2 2 2 5 3" xfId="6864" xr:uid="{DBD82AA9-2EA2-47A5-8E1B-A405AFD31A85}"/>
    <cellStyle name="Normal 2 2 2 2 2 2 5 3 3" xfId="6865" xr:uid="{D915FD86-C9D0-4021-AFDE-991A32ED5FB6}"/>
    <cellStyle name="Normal 2 2 2 2 2 2 5 3 5" xfId="6866" xr:uid="{3ADA765F-8813-462A-9BA5-6DE4BBA9B81B}"/>
    <cellStyle name="Normal 2 2 2 2 2 2 5 4" xfId="6867" xr:uid="{F2B388FF-2408-437A-A179-4B2191E8750E}"/>
    <cellStyle name="Normal 2 2 2 2 2 2 5 4 3" xfId="6868" xr:uid="{469FC360-B10E-4CDB-AA8A-03502EF6A8B1}"/>
    <cellStyle name="Normal 2 2 2 2 2 2 5 4 5" xfId="6869" xr:uid="{F3509171-1A78-4E60-A2CD-374C0193F334}"/>
    <cellStyle name="Normal 2 2 2 2 2 2 5 5" xfId="6870" xr:uid="{0A7D8B80-C57D-4B15-9376-B3C25E4CBCA7}"/>
    <cellStyle name="Normal 2 2 2 2 2 2 5 5 3" xfId="6871" xr:uid="{CBC70869-76BA-4B42-BF54-2E68C8B91476}"/>
    <cellStyle name="Normal 2 2 2 2 2 2 5 5 5" xfId="6872" xr:uid="{13732B64-366B-449E-B26A-F67CEDA370B8}"/>
    <cellStyle name="Normal 2 2 2 2 2 2 5 6" xfId="6873" xr:uid="{955D5628-89D8-4439-A5CF-FB2F29625647}"/>
    <cellStyle name="Normal 2 2 2 2 2 2 5 6 3" xfId="6874" xr:uid="{4383D6E6-1823-4029-AEF9-E9F00BF3DC8C}"/>
    <cellStyle name="Normal 2 2 2 2 2 2 5 6 5" xfId="6875" xr:uid="{F6E12FA9-2DA9-49A3-965A-C9EBA27EFEE8}"/>
    <cellStyle name="Normal 2 2 2 2 2 2 5 7" xfId="6876" xr:uid="{4CF7D91D-0908-4502-B9C0-5C079279657E}"/>
    <cellStyle name="Normal 2 2 2 2 2 2 5 7 3" xfId="6877" xr:uid="{704AC4AA-AE76-42B0-83DC-3B185D342387}"/>
    <cellStyle name="Normal 2 2 2 2 2 2 5 7 5" xfId="6878" xr:uid="{AD44E060-9729-45DE-BE4F-4F04B95D36C9}"/>
    <cellStyle name="Normal 2 2 2 2 2 2 5 8" xfId="6879" xr:uid="{017CDF26-59CD-441F-9970-FE9E7CDF8F98}"/>
    <cellStyle name="Normal 2 2 2 2 2 2 5 8 3" xfId="6880" xr:uid="{66F6CEF0-ECC0-48EC-B04A-2DC210BE6DCF}"/>
    <cellStyle name="Normal 2 2 2 2 2 2 5 8 5" xfId="6881" xr:uid="{15BA0FCD-23C1-4517-8D31-D457CA17F365}"/>
    <cellStyle name="Normal 2 2 2 2 2 2 5 9" xfId="6882" xr:uid="{6AC3B742-15B0-494D-B1CA-92F5806F42E8}"/>
    <cellStyle name="Normal 2 2 2 2 2 2 51" xfId="6883" xr:uid="{96158A6B-1665-49AB-B3F0-FFC5970BB06C}"/>
    <cellStyle name="Normal 2 2 2 2 2 2 53" xfId="6884" xr:uid="{195064ED-C2EE-464F-A264-C60D1C8E541A}"/>
    <cellStyle name="Normal 2 2 2 2 2 2 55" xfId="6885" xr:uid="{B74B7FBE-EB5B-4295-B4FA-EECA45DFEE71}"/>
    <cellStyle name="Normal 2 2 2 2 2 2 57" xfId="6886" xr:uid="{1530C0C9-02E6-41FE-9B99-3D0C414E7977}"/>
    <cellStyle name="Normal 2 2 2 2 2 2 59" xfId="6887" xr:uid="{22158CC9-3DD2-409F-BE0D-BF40FE2864E3}"/>
    <cellStyle name="Normal 2 2 2 2 2 2 6 10" xfId="6888" xr:uid="{2879B32E-21F0-411F-8539-3FCA039B95DA}"/>
    <cellStyle name="Normal 2 2 2 2 2 2 6 12" xfId="6889" xr:uid="{CD32300C-3BD1-4363-8099-F682CED3D835}"/>
    <cellStyle name="Normal 2 2 2 2 2 2 6 2" xfId="6890" xr:uid="{AE906345-A947-4E61-8B0D-1B61ACC3AFEF}"/>
    <cellStyle name="Normal 2 2 2 2 2 2 6 2 3" xfId="6891" xr:uid="{0C063424-69B9-445B-BBA5-2A903BFF641C}"/>
    <cellStyle name="Normal 2 2 2 2 2 2 6 2 5" xfId="6892" xr:uid="{DE70A64F-F632-4C04-A3B0-B790B6819C4E}"/>
    <cellStyle name="Normal 2 2 2 2 2 2 6 3" xfId="6893" xr:uid="{8F00761C-B442-480E-B9D1-CDB46B8C2D0F}"/>
    <cellStyle name="Normal 2 2 2 2 2 2 6 3 3" xfId="6894" xr:uid="{D3EFDBFF-1025-41A0-A45E-24D9ECE714F6}"/>
    <cellStyle name="Normal 2 2 2 2 2 2 6 3 6" xfId="6895" xr:uid="{1F80AD46-3B1B-4F4D-8C8B-32D1BB6256D5}"/>
    <cellStyle name="Normal 2 2 2 2 2 2 6 4 2" xfId="6896" xr:uid="{EC7E14CF-4082-44F7-8764-644575188F35}"/>
    <cellStyle name="Normal 2 2 2 2 2 2 6 4 4" xfId="6897" xr:uid="{2CE1DD88-AB31-4A21-920A-7F04C718CCCE}"/>
    <cellStyle name="Normal 2 2 2 2 2 2 6 4 6" xfId="6898" xr:uid="{3B02CDF2-3C12-4451-9200-51617F72B8A9}"/>
    <cellStyle name="Normal 2 2 2 2 2 2 6 5 2" xfId="6899" xr:uid="{053A567B-7891-4265-A5A1-6B0C9D435E56}"/>
    <cellStyle name="Normal 2 2 2 2 2 2 6 5 4" xfId="6900" xr:uid="{B079E3EB-9B14-4841-B271-0259CA0C775B}"/>
    <cellStyle name="Normal 2 2 2 2 2 2 6 5 6" xfId="6901" xr:uid="{F74BCB2B-F0BA-4459-80B0-8E62CBE79EB9}"/>
    <cellStyle name="Normal 2 2 2 2 2 2 6 6 2" xfId="6902" xr:uid="{9AAD52D6-5D41-4753-8126-5A203ADCAC97}"/>
    <cellStyle name="Normal 2 2 2 2 2 2 6 6 4" xfId="6903" xr:uid="{F920192D-F626-4ED3-8726-32F6F1F2C9A2}"/>
    <cellStyle name="Normal 2 2 2 2 2 2 6 6 6" xfId="6904" xr:uid="{45A2F97A-5923-42B9-BB1F-0F01B2A6B1AA}"/>
    <cellStyle name="Normal 2 2 2 2 2 2 6 7 2" xfId="6905" xr:uid="{24EDEA9C-DFF0-4DB1-8E3B-4F2DF9CD888C}"/>
    <cellStyle name="Normal 2 2 2 2 2 2 6 7 4" xfId="6906" xr:uid="{4BD84579-59CC-4D43-B19F-819B887B6843}"/>
    <cellStyle name="Normal 2 2 2 2 2 2 6 7 6" xfId="6907" xr:uid="{ABC16343-41CF-4C39-B6ED-F48B7A4111E1}"/>
    <cellStyle name="Normal 2 2 2 2 2 2 6 8 2" xfId="6908" xr:uid="{6ABFBF3B-EC77-41A8-BA5E-457C6CE0630D}"/>
    <cellStyle name="Normal 2 2 2 2 2 2 6 8 4" xfId="6909" xr:uid="{F897BA8A-D53B-4D2F-91F2-3BB160816A66}"/>
    <cellStyle name="Normal 2 2 2 2 2 2 6 8 6" xfId="6910" xr:uid="{95D296B8-508D-4C43-AD51-7B13C58A9BDC}"/>
    <cellStyle name="Normal 2 2 2 2 2 2 60" xfId="6911" xr:uid="{5D8CF718-B5CD-43D1-8D19-E871A2B3245E}"/>
    <cellStyle name="Normal 2 2 2 2 2 2 62" xfId="6912" xr:uid="{4249E2ED-F186-406A-966B-E84F74556ECA}"/>
    <cellStyle name="Normal 2 2 2 2 2 2 64" xfId="6913" xr:uid="{82A91EA8-D0D1-40BB-8FE4-FEED19EFB945}"/>
    <cellStyle name="Normal 2 2 2 2 2 2 66" xfId="6914" xr:uid="{F58A70E6-3805-4520-9C36-92C30B977D7E}"/>
    <cellStyle name="Normal 2 2 2 2 2 2 67 2" xfId="6915" xr:uid="{55F2A84D-2898-4134-AEAF-A2633379B09E}"/>
    <cellStyle name="Normal 2 2 2 2 2 2 67 4" xfId="6916" xr:uid="{06D4B0E7-BD09-43F6-AE69-E2677146C1C3}"/>
    <cellStyle name="Normal 2 2 2 2 2 2 67 6" xfId="6917" xr:uid="{F98D5597-1155-4E8E-BA6D-45E3594C4F62}"/>
    <cellStyle name="Normal 2 2 2 2 2 2 68" xfId="6918" xr:uid="{70C3ABAE-A201-4197-8C76-35AB52E7E167}"/>
    <cellStyle name="Normal 2 2 2 2 2 2 68 11" xfId="6919" xr:uid="{1E8B034C-C39B-47D3-829B-A6AFE4877E71}"/>
    <cellStyle name="Normal 2 2 2 2 2 2 68 2 2" xfId="6920" xr:uid="{CD7D5367-1EB1-41FA-BE0C-45177C384C63}"/>
    <cellStyle name="Normal 2 2 2 2 2 2 68 2 2 3" xfId="6921" xr:uid="{15290499-1940-444E-849D-FF7224243EAE}"/>
    <cellStyle name="Normal 2 2 2 2 2 2 68 2 4" xfId="6922" xr:uid="{B56CF6C6-05A5-4003-B347-F4B4457C0EEA}"/>
    <cellStyle name="Normal 2 2 2 2 2 2 68 2 6" xfId="6923" xr:uid="{8FD4FB48-D18C-4DCD-A22A-B3E05599A00A}"/>
    <cellStyle name="Normal 2 2 2 2 2 2 68 2 8" xfId="6924" xr:uid="{57A47753-4478-49B7-9F10-EF9DE509D2A4}"/>
    <cellStyle name="Normal 2 2 2 2 2 2 68 3" xfId="6925" xr:uid="{1CDF9FC2-0AC5-4DF3-8F08-3A94A8220CE6}"/>
    <cellStyle name="Normal 2 2 2 2 2 2 68 5" xfId="6926" xr:uid="{19656781-489A-4DF2-8914-5F70C2B3493B}"/>
    <cellStyle name="Normal 2 2 2 2 2 2 68 5 3" xfId="6927" xr:uid="{39B7D6E6-7524-4BF5-A530-82301A642DF2}"/>
    <cellStyle name="Normal 2 2 2 2 2 2 68 7" xfId="6928" xr:uid="{8F91625E-8001-48A7-B08F-E5884800E7D0}"/>
    <cellStyle name="Normal 2 2 2 2 2 2 68 9" xfId="6929" xr:uid="{B168CE8B-A196-4190-AF46-AD6F0FFAE296}"/>
    <cellStyle name="Normal 2 2 2 2 2 2 7" xfId="6930" xr:uid="{36A52A8E-2261-472C-8333-E4E17D29A935}"/>
    <cellStyle name="Normal 2 2 2 2 2 2 7 11" xfId="6931" xr:uid="{7202D2E2-64DF-4FF8-B1D2-8B4A981DCEC9}"/>
    <cellStyle name="Normal 2 2 2 2 2 2 7 13" xfId="6932" xr:uid="{C1FF73FD-4FB5-4A0F-AF94-D43E3CF56205}"/>
    <cellStyle name="Normal 2 2 2 2 2 2 7 2 2" xfId="6933" xr:uid="{87BA581C-7B23-40F9-AD8F-BBE9A5354618}"/>
    <cellStyle name="Normal 2 2 2 2 2 2 7 2 4" xfId="6934" xr:uid="{5E21DA90-C6DB-438C-A4FA-D33C54F942D7}"/>
    <cellStyle name="Normal 2 2 2 2 2 2 7 2 6" xfId="6935" xr:uid="{FAF8B38D-1520-4335-9FF7-1DBF7CD5CEDA}"/>
    <cellStyle name="Normal 2 2 2 2 2 2 7 3 2" xfId="6936" xr:uid="{D02DDD4D-9DBC-4802-A2BD-50C8ABFA714D}"/>
    <cellStyle name="Normal 2 2 2 2 2 2 7 3 4" xfId="6937" xr:uid="{AA9110CF-CEC7-462A-98E9-A05D6A6B370D}"/>
    <cellStyle name="Normal 2 2 2 2 2 2 7 3 6" xfId="6938" xr:uid="{B74EDC1F-49EB-4A9F-AE6A-00D3D36EFDA3}"/>
    <cellStyle name="Normal 2 2 2 2 2 2 7 4 2" xfId="6939" xr:uid="{510B6EFC-1A0C-4BCD-AEEC-9C24B9092E32}"/>
    <cellStyle name="Normal 2 2 2 2 2 2 7 4 4" xfId="6940" xr:uid="{0871BBE6-2D77-47A6-A4AD-EBE2244529E6}"/>
    <cellStyle name="Normal 2 2 2 2 2 2 7 4 6" xfId="6941" xr:uid="{DA656CF5-FD26-4897-BDE7-5E7848F3E3A6}"/>
    <cellStyle name="Normal 2 2 2 2 2 2 7 5 2" xfId="6942" xr:uid="{7CB905E4-0975-408F-83A9-ACF4BCEA5D4C}"/>
    <cellStyle name="Normal 2 2 2 2 2 2 7 5 4" xfId="6943" xr:uid="{9DECE6FA-0319-4FAD-A7FB-32DF8A2E81F2}"/>
    <cellStyle name="Normal 2 2 2 2 2 2 7 5 6" xfId="6944" xr:uid="{5172EA91-43E0-48F9-B7A5-8C2ED63B4A81}"/>
    <cellStyle name="Normal 2 2 2 2 2 2 7 6 2" xfId="6945" xr:uid="{AA5ED9C6-C68F-4C4E-B762-B3160C63576E}"/>
    <cellStyle name="Normal 2 2 2 2 2 2 7 6 4" xfId="6946" xr:uid="{631A7837-1480-470B-9DDA-D2216DA34374}"/>
    <cellStyle name="Normal 2 2 2 2 2 2 7 6 6" xfId="6947" xr:uid="{37A116AF-0CC6-4FEB-BB99-6F9089734EE9}"/>
    <cellStyle name="Normal 2 2 2 2 2 2 7 7 2" xfId="6948" xr:uid="{08CF18BB-5F6D-4429-BD30-D0C38B8F8181}"/>
    <cellStyle name="Normal 2 2 2 2 2 2 7 7 4" xfId="6949" xr:uid="{0888C169-85C1-4C09-BB32-6422DE147E63}"/>
    <cellStyle name="Normal 2 2 2 2 2 2 7 7 6" xfId="6950" xr:uid="{ABB2326D-41EF-402E-AC4C-B607A5D259E6}"/>
    <cellStyle name="Normal 2 2 2 2 2 2 7 8 2" xfId="6951" xr:uid="{8EAFCCB6-A3E1-4733-8B74-B2BAD207FC12}"/>
    <cellStyle name="Normal 2 2 2 2 2 2 7 8 4" xfId="6952" xr:uid="{B25E4203-7DAE-441F-B45F-5402F499563E}"/>
    <cellStyle name="Normal 2 2 2 2 2 2 7 8 6" xfId="6953" xr:uid="{F1475A43-2E4E-4255-9D2C-DEC95710BD34}"/>
    <cellStyle name="Normal 2 2 2 2 2 2 70" xfId="6954" xr:uid="{3E4842AE-6B50-4476-B42B-B3EE6EBF589C}"/>
    <cellStyle name="Normal 2 2 2 2 2 2 71 2" xfId="6955" xr:uid="{89ACBE73-FF93-4FAB-8D39-29A6B203875C}"/>
    <cellStyle name="Normal 2 2 2 2 2 2 71 2 3" xfId="6956" xr:uid="{00AA4702-6E3A-4478-B379-AA839581B8D9}"/>
    <cellStyle name="Normal 2 2 2 2 2 2 71 4" xfId="6957" xr:uid="{53CE99F1-CA28-4672-9450-78EF41006AEA}"/>
    <cellStyle name="Normal 2 2 2 2 2 2 71 6" xfId="6958" xr:uid="{414F32CD-4FBE-4D3F-9F25-336E958BB5B3}"/>
    <cellStyle name="Normal 2 2 2 2 2 2 71 8" xfId="6959" xr:uid="{FFDBD687-1363-4C73-9E25-6E6F86BDB570}"/>
    <cellStyle name="Normal 2 2 2 2 2 2 72" xfId="6960" xr:uid="{7698F2A1-41FF-4560-B9E9-79E0E184E244}"/>
    <cellStyle name="Normal 2 2 2 2 2 2 73 2" xfId="6961" xr:uid="{345F2C49-EC6D-4DBC-BD47-3C45DD7CE175}"/>
    <cellStyle name="Normal 2 2 2 2 2 2 74" xfId="6962" xr:uid="{B5F6F220-DD8F-4BFE-A2E9-3D68C6779F27}"/>
    <cellStyle name="Normal 2 2 2 2 2 2 76" xfId="6963" xr:uid="{F35E29F0-8BD7-43EF-BFA5-6558B378D0E3}"/>
    <cellStyle name="Normal 2 2 2 2 2 2 78" xfId="6964" xr:uid="{DB1244E8-8E70-40C1-82DC-408A3C679C0E}"/>
    <cellStyle name="Normal 2 2 2 2 2 2 8" xfId="6965" xr:uid="{FEF5080A-1CD0-42E3-B3CC-8C93B20D7E9D}"/>
    <cellStyle name="Normal 2 2 2 2 2 2 8 11" xfId="6966" xr:uid="{A24DBB33-377D-4D9E-880E-9EAC2651C56C}"/>
    <cellStyle name="Normal 2 2 2 2 2 2 8 12 2" xfId="6967" xr:uid="{D4375FCB-1BA1-460A-8DD4-B3D5DDA0AFF4}"/>
    <cellStyle name="Normal 2 2 2 2 2 2 8 12 6" xfId="6968" xr:uid="{42F07B78-91C7-4A3D-9043-57AF8DC7185F}"/>
    <cellStyle name="Normal 2 2 2 2 2 2 8 13 3" xfId="6969" xr:uid="{C05347F5-8B2F-4FBA-AD2C-03E1181E89BD}"/>
    <cellStyle name="Normal 2 2 2 2 2 2 8 13 5" xfId="6970" xr:uid="{1B28AF73-5FBF-4290-848C-ED61CA722BD7}"/>
    <cellStyle name="Normal 2 2 2 2 2 2 8 14" xfId="6971" xr:uid="{4371646D-BB45-4327-9786-AF3338D7AF98}"/>
    <cellStyle name="Normal 2 2 2 2 2 2 8 14 3" xfId="6972" xr:uid="{BD47E739-38FD-4635-86B8-A2C8F630DBE8}"/>
    <cellStyle name="Normal 2 2 2 2 2 2 8 14 5" xfId="6973" xr:uid="{51F1106E-E8AD-4FBE-97AE-E817C263E436}"/>
    <cellStyle name="Normal 2 2 2 2 2 2 8 15" xfId="6974" xr:uid="{4E87655D-D781-4C7E-A896-C31453D12780}"/>
    <cellStyle name="Normal 2 2 2 2 2 2 8 15 3" xfId="6975" xr:uid="{D428D098-7FF4-4D08-BF7F-ED93E34ED2F3}"/>
    <cellStyle name="Normal 2 2 2 2 2 2 8 15 5" xfId="6976" xr:uid="{3B75F6A8-FE84-4DB0-89DB-B2E429B33790}"/>
    <cellStyle name="Normal 2 2 2 2 2 2 8 16" xfId="6977" xr:uid="{92487F92-0FFF-4A94-B96A-DE31E1899E2E}"/>
    <cellStyle name="Normal 2 2 2 2 2 2 8 16 3" xfId="6978" xr:uid="{D7700CA0-3C89-4F57-8BD5-F813F5865700}"/>
    <cellStyle name="Normal 2 2 2 2 2 2 8 16 5" xfId="6979" xr:uid="{93B26E65-B2A9-4252-885E-CDA67B20A3F4}"/>
    <cellStyle name="Normal 2 2 2 2 2 2 8 17" xfId="6980" xr:uid="{325195D5-D2B6-47D5-A431-32E4FA04A774}"/>
    <cellStyle name="Normal 2 2 2 2 2 2 8 17 3" xfId="6981" xr:uid="{03B602DA-4EB6-4D80-863E-F7BD0CFBB863}"/>
    <cellStyle name="Normal 2 2 2 2 2 2 8 17 5" xfId="6982" xr:uid="{6A479AF5-5DC1-4E81-AF0F-EAD26917D3A5}"/>
    <cellStyle name="Normal 2 2 2 2 2 2 8 18" xfId="6983" xr:uid="{863353BD-2C04-4FDE-ABDB-3C64E460C552}"/>
    <cellStyle name="Normal 2 2 2 2 2 2 8 18 3" xfId="6984" xr:uid="{647B98EC-11E8-4FD1-8F33-59DF5A961175}"/>
    <cellStyle name="Normal 2 2 2 2 2 2 8 18 5" xfId="6985" xr:uid="{0E0582D1-C424-4FF4-BC2D-CED583445BAA}"/>
    <cellStyle name="Normal 2 2 2 2 2 2 8 19" xfId="6986" xr:uid="{8119257C-6136-4E5C-82CB-5B14228436F4}"/>
    <cellStyle name="Normal 2 2 2 2 2 2 8 20" xfId="6987" xr:uid="{55FAD39B-E9F8-4283-8A05-1408A97A6902}"/>
    <cellStyle name="Normal 2 2 2 2 2 2 8 22" xfId="6988" xr:uid="{FA0850E9-8915-4046-8581-F3B83B33C55A}"/>
    <cellStyle name="Normal 2 2 2 2 2 2 8 3" xfId="6989" xr:uid="{772F1241-9130-4229-A821-3DEB3437C31F}"/>
    <cellStyle name="Normal 2 2 2 2 2 2 8 5" xfId="6990" xr:uid="{8328C100-862C-4262-BA3A-DE1B057D522B}"/>
    <cellStyle name="Normal 2 2 2 2 2 2 8 7" xfId="6991" xr:uid="{AEACA547-8874-467C-8F17-DAFD616078EA}"/>
    <cellStyle name="Normal 2 2 2 2 2 2 8 9" xfId="6992" xr:uid="{4B4C1345-6337-4E81-B777-E931BBE760E5}"/>
    <cellStyle name="Normal 2 2 2 2 2 2 9" xfId="6993" xr:uid="{9F889566-6A74-4850-9A9E-AC76514939BE}"/>
    <cellStyle name="Normal 2 2 2 2 2 20 10" xfId="6994" xr:uid="{E0A7EB2C-88C5-469C-BC37-71B7A18BEE85}"/>
    <cellStyle name="Normal 2 2 2 2 2 20 12" xfId="6995" xr:uid="{F4C92684-B4A2-4FC4-9453-10B2DD9A5396}"/>
    <cellStyle name="Normal 2 2 2 2 2 20 2" xfId="6996" xr:uid="{3D937D39-4541-4B9B-A22C-503FEE5ACFE3}"/>
    <cellStyle name="Normal 2 2 2 2 2 20 2 3" xfId="6997" xr:uid="{3A370E4A-5C9D-4FFD-BBFD-1B0A41D56DF8}"/>
    <cellStyle name="Normal 2 2 2 2 2 20 2 5" xfId="6998" xr:uid="{E0C4FAC3-6276-4FDE-97AA-1AEFD647551C}"/>
    <cellStyle name="Normal 2 2 2 2 2 20 3" xfId="6999" xr:uid="{E622CCCF-A88E-489C-A52A-9956F01C5D78}"/>
    <cellStyle name="Normal 2 2 2 2 2 20 3 3" xfId="7000" xr:uid="{B47D7F02-EB19-4756-9BB9-6DFF0D0400E9}"/>
    <cellStyle name="Normal 2 2 2 2 2 20 3 5" xfId="7001" xr:uid="{9B60AE46-5797-4245-A339-6044706BE14A}"/>
    <cellStyle name="Normal 2 2 2 2 2 20 4" xfId="7002" xr:uid="{A0B02564-CFBA-4531-9DAB-39CAEA88E424}"/>
    <cellStyle name="Normal 2 2 2 2 2 20 4 3" xfId="7003" xr:uid="{DD25EDA6-D1BC-4F2F-83B7-50728BF2618D}"/>
    <cellStyle name="Normal 2 2 2 2 2 20 4 5" xfId="7004" xr:uid="{8E1C0FD2-6C2F-4726-88BD-5E07684CE295}"/>
    <cellStyle name="Normal 2 2 2 2 2 20 5" xfId="7005" xr:uid="{43583DED-2B25-433D-AA46-85A516B75257}"/>
    <cellStyle name="Normal 2 2 2 2 2 20 5 3" xfId="7006" xr:uid="{2609BAAE-7022-4F3E-AED6-89C68A255A2C}"/>
    <cellStyle name="Normal 2 2 2 2 2 20 5 5" xfId="7007" xr:uid="{A2C452AD-0F85-416F-9866-E8B9D248B44D}"/>
    <cellStyle name="Normal 2 2 2 2 2 20 6" xfId="7008" xr:uid="{8E7B0CF4-9C01-4FC2-AAF3-50CDA08F5D98}"/>
    <cellStyle name="Normal 2 2 2 2 2 20 6 3" xfId="7009" xr:uid="{E5B69233-2BC8-41D8-982A-4BA228AB699A}"/>
    <cellStyle name="Normal 2 2 2 2 2 20 6 5" xfId="7010" xr:uid="{6AE98454-D995-495B-AC96-D99498E8FE87}"/>
    <cellStyle name="Normal 2 2 2 2 2 20 7" xfId="7011" xr:uid="{ECE49B31-E4B4-4ED2-A423-B142D3B51842}"/>
    <cellStyle name="Normal 2 2 2 2 2 20 7 4" xfId="7012" xr:uid="{7C5B48E6-1F31-4D3F-A2DB-CF57F0039591}"/>
    <cellStyle name="Normal 2 2 2 2 2 20 7 6" xfId="7013" xr:uid="{283F7506-56F7-4290-87E0-2974802D1A0C}"/>
    <cellStyle name="Normal 2 2 2 2 2 20 8 2" xfId="7014" xr:uid="{1E8FEC3C-44C9-48AA-BCAA-4DD8A4C41516}"/>
    <cellStyle name="Normal 2 2 2 2 2 20 8 4" xfId="7015" xr:uid="{53D269B7-F32C-4A24-9869-7C2632D6F236}"/>
    <cellStyle name="Normal 2 2 2 2 2 20 8 6" xfId="7016" xr:uid="{682C025D-7F6B-4499-919B-AD32D3B37465}"/>
    <cellStyle name="Normal 2 2 2 2 2 21" xfId="7017" xr:uid="{16F465C2-C8EB-4442-B26E-6E6AC7A1C5A3}"/>
    <cellStyle name="Normal 2 2 2 2 2 21 11" xfId="7018" xr:uid="{75C54759-CB78-4B5D-A607-F8B2391BB6B5}"/>
    <cellStyle name="Normal 2 2 2 2 2 21 13" xfId="7019" xr:uid="{5F5A4431-EE7B-4D21-B0A9-5C7EE74E42B3}"/>
    <cellStyle name="Normal 2 2 2 2 2 21 2 2" xfId="7020" xr:uid="{F01987A8-9168-42BD-BD5F-2A799D3CE699}"/>
    <cellStyle name="Normal 2 2 2 2 2 21 2 4" xfId="7021" xr:uid="{A2690256-8D38-49B6-8D0C-B0E0486D07ED}"/>
    <cellStyle name="Normal 2 2 2 2 2 21 2 6" xfId="7022" xr:uid="{319C794D-0B8C-4ECD-8599-422B50531E0F}"/>
    <cellStyle name="Normal 2 2 2 2 2 21 3 2" xfId="7023" xr:uid="{13571A45-7AEC-417C-9D66-8292B860FEBC}"/>
    <cellStyle name="Normal 2 2 2 2 2 21 3 4" xfId="7024" xr:uid="{26C59DEC-23AF-456B-AF38-6B2300EC3232}"/>
    <cellStyle name="Normal 2 2 2 2 2 21 3 6" xfId="7025" xr:uid="{1537F4D5-F8C2-4525-808C-F96EA270D301}"/>
    <cellStyle name="Normal 2 2 2 2 2 21 4 2" xfId="7026" xr:uid="{A1B7A118-5E6A-496D-84B9-891B5B94473F}"/>
    <cellStyle name="Normal 2 2 2 2 2 21 4 4" xfId="7027" xr:uid="{E5B09984-9D33-4BA2-902F-2D39D0654CE9}"/>
    <cellStyle name="Normal 2 2 2 2 2 21 4 6" xfId="7028" xr:uid="{8C5A901A-488D-4566-B4EC-7F2587638190}"/>
    <cellStyle name="Normal 2 2 2 2 2 21 5 2" xfId="7029" xr:uid="{DC22E3FA-0C92-41AD-83C4-FF3404DE29A6}"/>
    <cellStyle name="Normal 2 2 2 2 2 21 5 4" xfId="7030" xr:uid="{60431EEF-CFD1-4B74-B4C3-E465D3037A7A}"/>
    <cellStyle name="Normal 2 2 2 2 2 21 5 6" xfId="7031" xr:uid="{62FA3EB6-DF9C-4D59-9690-77BAA64A717E}"/>
    <cellStyle name="Normal 2 2 2 2 2 21 6 2" xfId="7032" xr:uid="{B410F8CE-46DC-4F4B-878C-71284993A5B7}"/>
    <cellStyle name="Normal 2 2 2 2 2 21 6 4" xfId="7033" xr:uid="{88AA24D0-26A0-472A-AE2D-CD22DE14564B}"/>
    <cellStyle name="Normal 2 2 2 2 2 21 6 6" xfId="7034" xr:uid="{F4408229-5198-4160-8140-67F7F4F09C71}"/>
    <cellStyle name="Normal 2 2 2 2 2 21 7 2" xfId="7035" xr:uid="{54F991E6-320D-4B14-8986-C92B3E67EFC4}"/>
    <cellStyle name="Normal 2 2 2 2 2 21 7 4" xfId="7036" xr:uid="{2B9F2DAF-02E5-4858-85F4-346290CD883B}"/>
    <cellStyle name="Normal 2 2 2 2 2 21 7 6" xfId="7037" xr:uid="{FA529F26-487F-4CD8-930C-C278161ED8E9}"/>
    <cellStyle name="Normal 2 2 2 2 2 21 8 2" xfId="7038" xr:uid="{FBCACB0B-8D86-4B02-BDEF-4670A98971D4}"/>
    <cellStyle name="Normal 2 2 2 2 2 21 8 4" xfId="7039" xr:uid="{05C2C85F-4950-424C-B699-E74DE9DA611C}"/>
    <cellStyle name="Normal 2 2 2 2 2 21 8 6" xfId="7040" xr:uid="{7DE91A70-A3D8-4DFD-974B-E3295BFBA7A0}"/>
    <cellStyle name="Normal 2 2 2 2 2 22" xfId="7041" xr:uid="{8736E0A0-070F-450A-B118-AB50D54CB755}"/>
    <cellStyle name="Normal 2 2 2 2 2 22 3" xfId="7042" xr:uid="{94A610DA-039A-4557-BD54-3400185A283C}"/>
    <cellStyle name="Normal 2 2 2 2 2 23" xfId="7043" xr:uid="{840646D4-AE3E-4ABA-8020-A2E336CBC1DA}"/>
    <cellStyle name="Normal 2 2 2 2 2 25" xfId="7044" xr:uid="{FA13777A-A581-4246-B3E4-E5DAA0143A10}"/>
    <cellStyle name="Normal 2 2 2 2 2 27" xfId="7045" xr:uid="{A885687B-1374-4B41-B79F-2805699F0548}"/>
    <cellStyle name="Normal 2 2 2 2 2 29" xfId="7046" xr:uid="{90A09F5B-1496-4EF4-BD9C-98AF83BA8402}"/>
    <cellStyle name="Normal 2 2 2 2 2 3 11" xfId="7047" xr:uid="{BDA769A1-F1D5-40CF-96B0-8FCB340EF360}"/>
    <cellStyle name="Normal 2 2 2 2 2 3 13" xfId="7048" xr:uid="{AF105304-5A27-41AB-81B7-BCD75F956BE8}"/>
    <cellStyle name="Normal 2 2 2 2 2 3 2" xfId="7049" xr:uid="{C2DBAC80-4404-44F9-9C5D-3464DF955B4E}"/>
    <cellStyle name="Normal 2 2 2 2 2 3 2 3" xfId="7050" xr:uid="{01EAA646-1F9A-4FBA-AFD8-19E9D6EDE6DF}"/>
    <cellStyle name="Normal 2 2 2 2 2 3 2 5" xfId="7051" xr:uid="{B17C0721-1254-47AD-BCD0-036E3BBBAD18}"/>
    <cellStyle name="Normal 2 2 2 2 2 3 3" xfId="7052" xr:uid="{9454B191-4304-4162-8185-741B8151EF63}"/>
    <cellStyle name="Normal 2 2 2 2 2 3 3 3" xfId="7053" xr:uid="{3FF0B10B-4550-4722-BDB9-C5C568CCCE33}"/>
    <cellStyle name="Normal 2 2 2 2 2 3 3 5" xfId="7054" xr:uid="{2C05B5EA-ABF4-4493-AA53-048E48599033}"/>
    <cellStyle name="Normal 2 2 2 2 2 3 4" xfId="7055" xr:uid="{AA03405C-F933-4056-97EC-8B6E1118594D}"/>
    <cellStyle name="Normal 2 2 2 2 2 3 4 3" xfId="7056" xr:uid="{AEB6AC5D-10BF-48A4-B9BE-71C7E466A47C}"/>
    <cellStyle name="Normal 2 2 2 2 2 3 4 5" xfId="7057" xr:uid="{59A54761-3A72-43B8-83A8-C2F438546534}"/>
    <cellStyle name="Normal 2 2 2 2 2 3 5" xfId="7058" xr:uid="{79B9EBA2-9D38-4E5E-B7F1-E886FA5C27C1}"/>
    <cellStyle name="Normal 2 2 2 2 2 3 5 3" xfId="7059" xr:uid="{DBA7C1F7-7598-46BC-AB02-1B5DD7A7FE24}"/>
    <cellStyle name="Normal 2 2 2 2 2 3 5 5" xfId="7060" xr:uid="{92A954F2-FCD7-49B6-98FB-DF0DD385A0AA}"/>
    <cellStyle name="Normal 2 2 2 2 2 3 6" xfId="7061" xr:uid="{D274DBCB-1F23-4434-974F-CD6C44DA4EB9}"/>
    <cellStyle name="Normal 2 2 2 2 2 3 6 3" xfId="7062" xr:uid="{DAED587D-E826-48D9-8BF9-ACA0C5B37148}"/>
    <cellStyle name="Normal 2 2 2 2 2 3 6 5" xfId="7063" xr:uid="{26E5438E-EBA2-4121-846E-4474909DD2FA}"/>
    <cellStyle name="Normal 2 2 2 2 2 3 7" xfId="7064" xr:uid="{DCF335A2-D351-4B05-B094-B311A6DC77E7}"/>
    <cellStyle name="Normal 2 2 2 2 2 3 7 3" xfId="7065" xr:uid="{CD290576-2D09-49A4-82B2-C96564EF254B}"/>
    <cellStyle name="Normal 2 2 2 2 2 3 7 5" xfId="7066" xr:uid="{60FC66D9-B950-446E-827D-ED17AA4F25A0}"/>
    <cellStyle name="Normal 2 2 2 2 2 3 8" xfId="7067" xr:uid="{C6D29235-659C-4526-8532-D7207FA1CA05}"/>
    <cellStyle name="Normal 2 2 2 2 2 3 8 3" xfId="7068" xr:uid="{999E4E19-CEE8-4E2D-B3D3-EE6360ED9661}"/>
    <cellStyle name="Normal 2 2 2 2 2 3 8 5" xfId="7069" xr:uid="{1791BDB3-132B-492F-A19A-037C3B4D1D95}"/>
    <cellStyle name="Normal 2 2 2 2 2 3 9" xfId="7070" xr:uid="{AF203F65-8FF9-49A8-84DF-A53277091E0B}"/>
    <cellStyle name="Normal 2 2 2 2 2 31" xfId="7071" xr:uid="{D144D5DA-63B8-4974-A30C-3CECC485DC88}"/>
    <cellStyle name="Normal 2 2 2 2 2 31 2 2" xfId="7072" xr:uid="{7998A1F3-850A-4328-ADB9-3619D7BCBC47}"/>
    <cellStyle name="Normal 2 2 2 2 2 31 2 4" xfId="7073" xr:uid="{C6498197-528C-4735-A3AC-5A16DA264480}"/>
    <cellStyle name="Normal 2 2 2 2 2 31 2 6" xfId="7074" xr:uid="{B91E1C86-25E9-41D8-884C-3D87A0E9A862}"/>
    <cellStyle name="Normal 2 2 2 2 2 31 3 2" xfId="7075" xr:uid="{A604CB50-B359-4731-B6F3-093315BD206E}"/>
    <cellStyle name="Normal 2 2 2 2 2 31 3 4" xfId="7076" xr:uid="{6CF656FC-3450-41DD-AD8F-E50E76B526F1}"/>
    <cellStyle name="Normal 2 2 2 2 2 31 4" xfId="7077" xr:uid="{1A600EA5-A57F-4B9B-875C-591C1B4836DA}"/>
    <cellStyle name="Normal 2 2 2 2 2 31 4 3" xfId="7078" xr:uid="{FE8D03F8-B81B-46D1-A582-89C9FCDB71F7}"/>
    <cellStyle name="Normal 2 2 2 2 2 31 4 5" xfId="7079" xr:uid="{263A86D2-146D-4017-9D99-2A9B0B0BD9B3}"/>
    <cellStyle name="Normal 2 2 2 2 2 31 5" xfId="7080" xr:uid="{663E0B6B-DABB-4D8F-92BE-76115A61934E}"/>
    <cellStyle name="Normal 2 2 2 2 2 31 5 3" xfId="7081" xr:uid="{F58BC499-8618-485A-A6FC-6C55DFBBCCFB}"/>
    <cellStyle name="Normal 2 2 2 2 2 31 5 5" xfId="7082" xr:uid="{06D9ACF4-22D6-4C05-9A5A-649CAC5BFD40}"/>
    <cellStyle name="Normal 2 2 2 2 2 31 6" xfId="7083" xr:uid="{A89CC22E-9A39-428C-8246-FC2586BCDFE2}"/>
    <cellStyle name="Normal 2 2 2 2 2 31 6 3" xfId="7084" xr:uid="{1985ACBB-DC01-41D3-8B66-87C3CA5EF807}"/>
    <cellStyle name="Normal 2 2 2 2 2 31 6 5" xfId="7085" xr:uid="{BC8423F9-53DA-453E-BFF5-C41795559386}"/>
    <cellStyle name="Normal 2 2 2 2 2 32" xfId="7086" xr:uid="{28989CC0-84DB-463C-85D7-EE98E52B285C}"/>
    <cellStyle name="Normal 2 2 2 2 2 32 3" xfId="7087" xr:uid="{634AF7A8-D119-4696-AD97-49C79E736E12}"/>
    <cellStyle name="Normal 2 2 2 2 2 32 5" xfId="7088" xr:uid="{89EFD0BB-6209-46A0-8806-69570F1B92A3}"/>
    <cellStyle name="Normal 2 2 2 2 2 33" xfId="7089" xr:uid="{A17E8924-0704-44EC-B3D7-95212F5EA4BF}"/>
    <cellStyle name="Normal 2 2 2 2 2 33 3" xfId="7090" xr:uid="{D950CF57-62DE-4027-A8FC-6E4784C2DC85}"/>
    <cellStyle name="Normal 2 2 2 2 2 33 5" xfId="7091" xr:uid="{FDF36AD9-0E65-47BA-9CD4-6E7AB650B769}"/>
    <cellStyle name="Normal 2 2 2 2 2 34" xfId="7092" xr:uid="{F8078556-6FFA-4D8E-9571-522D616F471A}"/>
    <cellStyle name="Normal 2 2 2 2 2 34 3" xfId="7093" xr:uid="{A42B98AD-613E-4BBD-A37C-D5056BBFE979}"/>
    <cellStyle name="Normal 2 2 2 2 2 34 5" xfId="7094" xr:uid="{7055B710-EEB6-413C-8D1D-BF588F8115A5}"/>
    <cellStyle name="Normal 2 2 2 2 2 35" xfId="7095" xr:uid="{F38C2206-E00D-4D9E-B299-8359544A0005}"/>
    <cellStyle name="Normal 2 2 2 2 2 35 5" xfId="7096" xr:uid="{014C8628-1471-4711-8CFE-7FE0666C1D22}"/>
    <cellStyle name="Normal 2 2 2 2 2 36" xfId="7097" xr:uid="{79E001AB-C770-45E2-80AD-B88ED9593897}"/>
    <cellStyle name="Normal 2 2 2 2 2 36 3" xfId="7098" xr:uid="{8A605265-4CCC-43E5-A0F2-B6C1FC859FD1}"/>
    <cellStyle name="Normal 2 2 2 2 2 36 5" xfId="7099" xr:uid="{81C55FB8-732B-4592-B0F1-718F1323B4C9}"/>
    <cellStyle name="Normal 2 2 2 2 2 37" xfId="7100" xr:uid="{6BEBDE55-1F0A-4716-A602-C93F16BB8BBE}"/>
    <cellStyle name="Normal 2 2 2 2 2 37 3" xfId="7101" xr:uid="{C8CC0429-B5EE-4E10-A22B-9C48B34836DB}"/>
    <cellStyle name="Normal 2 2 2 2 2 37 5" xfId="7102" xr:uid="{ADC57427-FB57-477D-BC94-1EDEE7A26076}"/>
    <cellStyle name="Normal 2 2 2 2 2 38" xfId="7103" xr:uid="{E27F1E02-7B79-407D-882C-B339973D4E85}"/>
    <cellStyle name="Normal 2 2 2 2 2 38 3" xfId="7104" xr:uid="{097E4826-25CC-4433-84DE-25FE11386D5A}"/>
    <cellStyle name="Normal 2 2 2 2 2 38 5" xfId="7105" xr:uid="{359B9BE9-F307-4947-8CE4-850CEB03590F}"/>
    <cellStyle name="Normal 2 2 2 2 2 39" xfId="7106" xr:uid="{9B79D7D0-FBC9-43FF-AF94-395B740469E7}"/>
    <cellStyle name="Normal 2 2 2 2 2 39 3" xfId="7107" xr:uid="{2ABB20C2-1428-44F9-8406-48AA0D5D249C}"/>
    <cellStyle name="Normal 2 2 2 2 2 39 5" xfId="7108" xr:uid="{1A1847DF-320A-47C0-8B39-6B08AC1D67E0}"/>
    <cellStyle name="Normal 2 2 2 2 2 4" xfId="7109" xr:uid="{18A7EC43-35B2-4B3A-B2EE-5F8BC16C046B}"/>
    <cellStyle name="Normal 2 2 2 2 2 4 11" xfId="7110" xr:uid="{D084EE1F-2101-4CE9-A104-C6A1482D0650}"/>
    <cellStyle name="Normal 2 2 2 2 2 4 13" xfId="7111" xr:uid="{F6BF7B84-D62A-4CCF-A3CC-D58108A8438A}"/>
    <cellStyle name="Normal 2 2 2 2 2 4 2" xfId="7112" xr:uid="{AD825783-6DE3-45C1-A02B-5EF717C9D4E7}"/>
    <cellStyle name="Normal 2 2 2 2 2 4 2 3" xfId="7113" xr:uid="{CB3A0B0E-4BDC-48EE-AFE0-B12D5738B48D}"/>
    <cellStyle name="Normal 2 2 2 2 2 4 2 5" xfId="7114" xr:uid="{8688BBF5-B66E-452B-BD96-38A085747AA4}"/>
    <cellStyle name="Normal 2 2 2 2 2 4 3" xfId="7115" xr:uid="{BFCB5B8C-B0A6-476F-B5AA-3C09E22145BE}"/>
    <cellStyle name="Normal 2 2 2 2 2 4 3 3" xfId="7116" xr:uid="{817FA484-81D1-46B2-A5E2-6CB447109460}"/>
    <cellStyle name="Normal 2 2 2 2 2 4 3 5" xfId="7117" xr:uid="{7D4C641D-B1BD-4F8D-ACB2-4AA442F37819}"/>
    <cellStyle name="Normal 2 2 2 2 2 4 4" xfId="7118" xr:uid="{1C13912A-EFD3-4D1D-AC20-953C578FC041}"/>
    <cellStyle name="Normal 2 2 2 2 2 4 4 3" xfId="7119" xr:uid="{99C06618-B8FD-4FAB-B52C-07676AD8B8E2}"/>
    <cellStyle name="Normal 2 2 2 2 2 4 4 5" xfId="7120" xr:uid="{76DABBBA-FCBC-4BB5-8D84-7E8511B9FE91}"/>
    <cellStyle name="Normal 2 2 2 2 2 4 5" xfId="7121" xr:uid="{362D5F18-8784-4F76-B5E6-834AFF853B76}"/>
    <cellStyle name="Normal 2 2 2 2 2 4 5 3" xfId="7122" xr:uid="{7AC2F7B5-9265-441A-9F2E-8AF8EBEAAB3F}"/>
    <cellStyle name="Normal 2 2 2 2 2 4 5 5" xfId="7123" xr:uid="{7077C680-A812-4AC7-9E42-B2FE78B4EB1F}"/>
    <cellStyle name="Normal 2 2 2 2 2 4 6" xfId="7124" xr:uid="{E7318BD2-CF8B-421D-B5DE-A8F14D007B42}"/>
    <cellStyle name="Normal 2 2 2 2 2 4 6 5" xfId="7125" xr:uid="{830D3EC4-6076-4BB1-ABE0-D540FAF1F840}"/>
    <cellStyle name="Normal 2 2 2 2 2 4 7 2" xfId="7126" xr:uid="{41BA9E32-7FD4-4FFD-8CA8-F00B2B6F0D4B}"/>
    <cellStyle name="Normal 2 2 2 2 2 4 7 4" xfId="7127" xr:uid="{81C559CB-F7C6-416A-A882-97637908237B}"/>
    <cellStyle name="Normal 2 2 2 2 2 4 7 6" xfId="7128" xr:uid="{4578B2A7-85C9-4145-B428-2E43130ED83B}"/>
    <cellStyle name="Normal 2 2 2 2 2 4 8 2" xfId="7129" xr:uid="{EADA8494-5752-4C48-A2D9-515A96094438}"/>
    <cellStyle name="Normal 2 2 2 2 2 4 8 4" xfId="7130" xr:uid="{444A6E84-3112-40F4-99E5-72B258AB4CA0}"/>
    <cellStyle name="Normal 2 2 2 2 2 4 8 6" xfId="7131" xr:uid="{13A8EEFF-2415-4B69-895B-F77523525830}"/>
    <cellStyle name="Normal 2 2 2 2 2 40" xfId="7132" xr:uid="{4C89F6DE-0B12-4F0E-A621-9D7BE842D682}"/>
    <cellStyle name="Normal 2 2 2 2 2 40 3" xfId="7133" xr:uid="{D27868E2-D717-46F5-BDA2-CD196BE90EA9}"/>
    <cellStyle name="Normal 2 2 2 2 2 40 5" xfId="7134" xr:uid="{7C99142E-64C1-48A5-9209-9229E843E6A6}"/>
    <cellStyle name="Normal 2 2 2 2 2 41" xfId="7135" xr:uid="{D2A05860-C0CD-44FC-9768-BAC5B4C5AE0E}"/>
    <cellStyle name="Normal 2 2 2 2 2 41 3" xfId="7136" xr:uid="{B859ED14-53AE-462C-AA4C-364DD1B00E2E}"/>
    <cellStyle name="Normal 2 2 2 2 2 41 5" xfId="7137" xr:uid="{2AEC7D17-C216-4C33-B3CF-D398521CF82F}"/>
    <cellStyle name="Normal 2 2 2 2 2 42" xfId="7138" xr:uid="{409462A4-AA3E-43ED-BF4D-92918075F1B6}"/>
    <cellStyle name="Normal 2 2 2 2 2 42 4" xfId="7139" xr:uid="{A8138348-AAE8-4203-9C8D-F5F984AB8588}"/>
    <cellStyle name="Normal 2 2 2 2 2 43" xfId="7140" xr:uid="{A796B230-9F91-4F41-AD76-EB543CF1DF60}"/>
    <cellStyle name="Normal 2 2 2 2 2 43 3" xfId="7141" xr:uid="{E89A0131-959B-483B-870E-3E1A28984A8E}"/>
    <cellStyle name="Normal 2 2 2 2 2 43 5" xfId="7142" xr:uid="{D4285A4C-51AB-4020-B32A-7D009B589F36}"/>
    <cellStyle name="Normal 2 2 2 2 2 44" xfId="7143" xr:uid="{228080F1-D345-4BF5-9C8D-33C205550655}"/>
    <cellStyle name="Normal 2 2 2 2 2 44 3" xfId="7144" xr:uid="{1240DE27-D03E-4C19-8890-FF49577BA7EC}"/>
    <cellStyle name="Normal 2 2 2 2 2 44 5" xfId="7145" xr:uid="{DB927C1F-2415-4841-8C61-00CE38D86B87}"/>
    <cellStyle name="Normal 2 2 2 2 2 45" xfId="7146" xr:uid="{1790EB6C-2AB0-4E9C-87BC-5172A5D35D5B}"/>
    <cellStyle name="Normal 2 2 2 2 2 45 3" xfId="7147" xr:uid="{59240A6D-8907-4542-875C-1A9A34B142A8}"/>
    <cellStyle name="Normal 2 2 2 2 2 45 5" xfId="7148" xr:uid="{A143E1D0-CB5A-4B96-BE00-EA222B47BAD0}"/>
    <cellStyle name="Normal 2 2 2 2 2 46" xfId="7149" xr:uid="{BEA8923E-EB65-46AA-9381-49351C077986}"/>
    <cellStyle name="Normal 2 2 2 2 2 48" xfId="7150" xr:uid="{F1F527A3-2D21-4EA5-B622-F1AE1AAFFB25}"/>
    <cellStyle name="Normal 2 2 2 2 2 5" xfId="7151" xr:uid="{E301F317-6B3A-485D-A427-E7843388224B}"/>
    <cellStyle name="Normal 2 2 2 2 2 5 11" xfId="7152" xr:uid="{0258D05A-A8B8-49F6-890B-E86FA02E74B5}"/>
    <cellStyle name="Normal 2 2 2 2 2 5 13" xfId="7153" xr:uid="{DE89CC62-F5F5-4ACF-BCC1-BB9EF65CB42D}"/>
    <cellStyle name="Normal 2 2 2 2 2 5 2 2" xfId="7154" xr:uid="{32A56137-08A6-4D94-A47F-89A4B1409665}"/>
    <cellStyle name="Normal 2 2 2 2 2 5 2 4" xfId="7155" xr:uid="{166A3EFB-7FF8-4194-B3EF-E7D6BEA13627}"/>
    <cellStyle name="Normal 2 2 2 2 2 5 2 6" xfId="7156" xr:uid="{15C91592-F43C-4181-BE34-795CFDBC027F}"/>
    <cellStyle name="Normal 2 2 2 2 2 5 3 2" xfId="7157" xr:uid="{2D823514-8757-4712-8939-C68ECE4A745B}"/>
    <cellStyle name="Normal 2 2 2 2 2 5 3 4" xfId="7158" xr:uid="{453ACB50-2779-4859-913E-B92EBC016DE6}"/>
    <cellStyle name="Normal 2 2 2 2 2 5 3 6" xfId="7159" xr:uid="{565A9200-D085-48C4-9C4A-4AD402DE2EB8}"/>
    <cellStyle name="Normal 2 2 2 2 2 5 4 2" xfId="7160" xr:uid="{08E0073A-A89B-416A-8BBC-897AD9872BB8}"/>
    <cellStyle name="Normal 2 2 2 2 2 5 4 4" xfId="7161" xr:uid="{B1492D27-D5D1-450D-BE7F-1F526A83E058}"/>
    <cellStyle name="Normal 2 2 2 2 2 5 5" xfId="7162" xr:uid="{8D3C68CE-3626-4BAD-BEB7-282BE649D587}"/>
    <cellStyle name="Normal 2 2 2 2 2 5 5 3" xfId="7163" xr:uid="{EC15B677-E1EC-417E-B2AF-30B459AD05A8}"/>
    <cellStyle name="Normal 2 2 2 2 2 5 5 6" xfId="7164" xr:uid="{61770A29-DDB3-490F-B629-7DFC11BC84CE}"/>
    <cellStyle name="Normal 2 2 2 2 2 5 6 4" xfId="7165" xr:uid="{BC39206D-43A3-4406-AB65-04C49B28A989}"/>
    <cellStyle name="Normal 2 2 2 2 2 5 7 2" xfId="7166" xr:uid="{C50C6BAC-48FA-4C5A-B424-A4B60D906817}"/>
    <cellStyle name="Normal 2 2 2 2 2 5 7 6" xfId="7167" xr:uid="{26C74AAC-7504-47E7-9772-4592F80B1D18}"/>
    <cellStyle name="Normal 2 2 2 2 2 5 8 2" xfId="7168" xr:uid="{D2FF8ADB-B41F-4317-8A27-61D349B60E7C}"/>
    <cellStyle name="Normal 2 2 2 2 2 5 8 4" xfId="7169" xr:uid="{935BF2A3-4099-4394-A264-83428A96AB34}"/>
    <cellStyle name="Normal 2 2 2 2 2 5 8 6" xfId="7170" xr:uid="{1F8C882F-2E51-42FC-8DF8-1578408931DB}"/>
    <cellStyle name="Normal 2 2 2 2 2 50" xfId="7171" xr:uid="{B0017569-7539-446C-A816-602528999045}"/>
    <cellStyle name="Normal 2 2 2 2 2 50 2 2" xfId="7172" xr:uid="{C2737F4C-618A-48A7-8E50-C258EE63C3AF}"/>
    <cellStyle name="Normal 2 2 2 2 2 50 2 2 2 2" xfId="7173" xr:uid="{C11E839F-27F9-435B-92C2-BF7187CE5E9B}"/>
    <cellStyle name="Normal 2 2 2 2 2 50 2 2 2 4" xfId="7174" xr:uid="{9F5C5494-942E-4444-8402-B5F53B8A7368}"/>
    <cellStyle name="Normal 2 2 2 2 2 50 2 2 2 6" xfId="7175" xr:uid="{CAB64BC1-BB09-4009-B70F-43FD27818448}"/>
    <cellStyle name="Normal 2 2 2 2 2 50 2 4" xfId="7176" xr:uid="{85F898F9-F55A-4E06-95E8-4FEAF5BE2FB6}"/>
    <cellStyle name="Normal 2 2 2 2 2 50 2 6" xfId="7177" xr:uid="{236985FC-B7C4-404F-8F5C-102BA353F83D}"/>
    <cellStyle name="Normal 2 2 2 2 2 50 3" xfId="7178" xr:uid="{B614CF31-F1B1-4F85-ACA0-DBC7418D95A0}"/>
    <cellStyle name="Normal 2 2 2 2 2 50 3 3" xfId="7179" xr:uid="{502F5FC7-5CB3-45B3-A0C7-3F84116F064A}"/>
    <cellStyle name="Normal 2 2 2 2 2 50 3 5" xfId="7180" xr:uid="{F403C65D-9839-4642-84F0-C7FDD967CEA1}"/>
    <cellStyle name="Normal 2 2 2 2 2 51" xfId="7181" xr:uid="{C14CDF60-BECA-4819-ADCE-1B5F453D157F}"/>
    <cellStyle name="Normal 2 2 2 2 2 51 3" xfId="7182" xr:uid="{F329896F-442A-4B6B-8FC7-86347B8C8EEA}"/>
    <cellStyle name="Normal 2 2 2 2 2 51 5" xfId="7183" xr:uid="{7059C572-50B6-434C-9141-F0CEC9ABC043}"/>
    <cellStyle name="Normal 2 2 2 2 2 52" xfId="7184" xr:uid="{A1FC1150-D87C-4822-9569-0C67D303E41D}"/>
    <cellStyle name="Normal 2 2 2 2 2 52 3" xfId="7185" xr:uid="{6BFFFCA4-0407-4469-9DD9-416969FC0B45}"/>
    <cellStyle name="Normal 2 2 2 2 2 52 5" xfId="7186" xr:uid="{9C8D9300-2BDC-47DA-B479-3CDC86E1162D}"/>
    <cellStyle name="Normal 2 2 2 2 2 53" xfId="7187" xr:uid="{F68D5A41-79A0-49D2-8CBA-4E024AF9E54B}"/>
    <cellStyle name="Normal 2 2 2 2 2 53 5" xfId="7188" xr:uid="{DA9FD328-D919-414F-A7EE-DF1D54D52392}"/>
    <cellStyle name="Normal 2 2 2 2 2 54" xfId="7189" xr:uid="{81837962-3EC4-47F0-A58A-0C35622AC17D}"/>
    <cellStyle name="Normal 2 2 2 2 2 54 3" xfId="7190" xr:uid="{7B97B5A5-CF0A-47AD-8416-C67837B5BDEA}"/>
    <cellStyle name="Normal 2 2 2 2 2 54 5" xfId="7191" xr:uid="{17F3B8E5-1B1D-4F1A-9627-5932EC9E5DB5}"/>
    <cellStyle name="Normal 2 2 2 2 2 55" xfId="7192" xr:uid="{70F538BB-05CF-4032-8586-39670AEF0C3F}"/>
    <cellStyle name="Normal 2 2 2 2 2 55 3" xfId="7193" xr:uid="{26E61A30-9B25-40C0-92E6-C597A926E6DC}"/>
    <cellStyle name="Normal 2 2 2 2 2 55 5" xfId="7194" xr:uid="{9365EF44-E6EC-4A97-9400-80C52B86A224}"/>
    <cellStyle name="Normal 2 2 2 2 2 56" xfId="7195" xr:uid="{51C092AD-1DB2-4FD9-9AF3-7CC31CA01084}"/>
    <cellStyle name="Normal 2 2 2 2 2 56 3" xfId="7196" xr:uid="{4E0B8F5F-34C0-43AD-AE7F-BBD96C120764}"/>
    <cellStyle name="Normal 2 2 2 2 2 56 5" xfId="7197" xr:uid="{042A2C81-8756-4344-B11D-38E26D360634}"/>
    <cellStyle name="Normal 2 2 2 2 2 57" xfId="7198" xr:uid="{1A2384E2-B149-41A9-88FF-15AE138D357C}"/>
    <cellStyle name="Normal 2 2 2 2 2 57 2" xfId="7199" xr:uid="{65F9D98C-6A74-4A94-9F94-CCC3F262C694}"/>
    <cellStyle name="Normal 2 2 2 2 2 57 3" xfId="7200" xr:uid="{51EAC902-07C1-414F-BB5F-DEBB6C30E4D7}"/>
    <cellStyle name="Normal 2 2 2 2 2 57 5" xfId="7201" xr:uid="{8B86611B-3AEA-4E02-89F7-99B4E767B9BE}"/>
    <cellStyle name="Normal 2 2 2 2 2 58" xfId="7202" xr:uid="{6AC4580C-C7AD-44CE-9485-33EB01040F77}"/>
    <cellStyle name="Normal 2 2 2 2 2 58 3" xfId="7203" xr:uid="{0D371569-5A20-4B88-B0D3-5F473311375A}"/>
    <cellStyle name="Normal 2 2 2 2 2 58 5" xfId="7204" xr:uid="{E98769AD-40F7-4D28-A1EB-CB659E03ECBA}"/>
    <cellStyle name="Normal 2 2 2 2 2 59" xfId="7205" xr:uid="{F3CC9A03-122E-4E90-A260-1A7F25B772AE}"/>
    <cellStyle name="Normal 2 2 2 2 2 59 3" xfId="7206" xr:uid="{499173CE-37D3-4ABE-B066-594759C3F7EC}"/>
    <cellStyle name="Normal 2 2 2 2 2 59 5" xfId="7207" xr:uid="{829D1572-9C91-4696-9081-A50B787B4A2B}"/>
    <cellStyle name="Normal 2 2 2 2 2 6" xfId="7208" xr:uid="{0BF904B6-9960-487A-B68B-BC312C40AE3B}"/>
    <cellStyle name="Normal 2 2 2 2 2 60 2" xfId="7209" xr:uid="{2664201C-09C7-4CAC-B234-1E6DF4A3D6CA}"/>
    <cellStyle name="Normal 2 2 2 2 2 60 4" xfId="7210" xr:uid="{3E0B9A4D-131C-454D-9467-181AA930AC2B}"/>
    <cellStyle name="Normal 2 2 2 2 2 60 6" xfId="7211" xr:uid="{7B543097-0348-4268-B7F6-4A1154FA9EFA}"/>
    <cellStyle name="Normal 2 2 2 2 2 61 2" xfId="7212" xr:uid="{A65B7BEF-3E38-4D55-8DE9-661583EB2267}"/>
    <cellStyle name="Normal 2 2 2 2 2 61 4" xfId="7213" xr:uid="{5B9559E2-5ED5-4264-BC25-97BA2A19272A}"/>
    <cellStyle name="Normal 2 2 2 2 2 61 6" xfId="7214" xr:uid="{3DD007FF-051B-48CF-AD64-4535AD5BF578}"/>
    <cellStyle name="Normal 2 2 2 2 2 62 2" xfId="7215" xr:uid="{BD79709D-3CBA-474F-AD4B-5DB318296064}"/>
    <cellStyle name="Normal 2 2 2 2 2 62 4" xfId="7216" xr:uid="{5835C846-41DA-4197-ACFD-2C6FAEE3C89B}"/>
    <cellStyle name="Normal 2 2 2 2 2 62 6" xfId="7217" xr:uid="{7ECC482F-8F4C-4449-A9FC-386FA0DBE77A}"/>
    <cellStyle name="Normal 2 2 2 2 2 63 2" xfId="7218" xr:uid="{E15B978E-6E40-4653-A36C-EDA338230EEB}"/>
    <cellStyle name="Normal 2 2 2 2 2 63 4" xfId="7219" xr:uid="{510C6F6A-00DD-4975-B1AE-A6082F46B698}"/>
    <cellStyle name="Normal 2 2 2 2 2 63 6" xfId="7220" xr:uid="{298E374F-0317-42BD-8F99-5768A06419E6}"/>
    <cellStyle name="Normal 2 2 2 2 2 64 2" xfId="7221" xr:uid="{7279D683-3A9A-45B0-84F3-C739089156B1}"/>
    <cellStyle name="Normal 2 2 2 2 2 64 4" xfId="7222" xr:uid="{51263D08-ECFA-4E21-9700-D888F0A62977}"/>
    <cellStyle name="Normal 2 2 2 2 2 64 6" xfId="7223" xr:uid="{8B270C43-39A0-4B0B-9260-C4A51240179F}"/>
    <cellStyle name="Normal 2 2 2 2 2 65 2" xfId="7224" xr:uid="{FAC18B6F-E070-4F85-ACAC-0E73D3446FCC}"/>
    <cellStyle name="Normal 2 2 2 2 2 65 4" xfId="7225" xr:uid="{34E8C4FC-31CB-4E72-9C6B-B04AE3D64C0E}"/>
    <cellStyle name="Normal 2 2 2 2 2 65 6" xfId="7226" xr:uid="{D5DEBA2D-94B5-4BA3-A293-1CE495EA9369}"/>
    <cellStyle name="Normal 2 2 2 2 2 66 2" xfId="7227" xr:uid="{744F80A7-0629-4042-8473-564896123ACD}"/>
    <cellStyle name="Normal 2 2 2 2 2 66 4" xfId="7228" xr:uid="{8D06527C-ED25-4679-A6C2-7A70E29C0841}"/>
    <cellStyle name="Normal 2 2 2 2 2 66 6" xfId="7229" xr:uid="{55E4DCAF-F500-445F-B493-3B83D684DAF6}"/>
    <cellStyle name="Normal 2 2 2 2 2 67 2" xfId="7230" xr:uid="{962D4561-52CC-49F1-91F7-FE60656A486F}"/>
    <cellStyle name="Normal 2 2 2 2 2 67 4" xfId="7231" xr:uid="{07A68B0C-E096-48D1-82D1-B8DBEAD46EDE}"/>
    <cellStyle name="Normal 2 2 2 2 2 68 2" xfId="7232" xr:uid="{41536C73-B1C2-4435-92EB-3FA73A8AB125}"/>
    <cellStyle name="Normal 2 2 2 2 2 68 5" xfId="7233" xr:uid="{B8A8539B-8633-4267-80FC-5974302FFF63}"/>
    <cellStyle name="Normal 2 2 2 2 2 69" xfId="7234" xr:uid="{EBA879A5-150D-408F-88F0-D2BF076F76BD}"/>
    <cellStyle name="Normal 2 2 2 2 2 69 3" xfId="7235" xr:uid="{0BAA0189-91CA-4221-AB5E-1AED6B1E5D3A}"/>
    <cellStyle name="Normal 2 2 2 2 2 69 5" xfId="7236" xr:uid="{F037B763-A272-4B48-AC5E-0529D776B075}"/>
    <cellStyle name="Normal 2 2 2 2 2 7" xfId="7237" xr:uid="{1F8E2CCE-39C0-478B-89AB-ED5707A7277F}"/>
    <cellStyle name="Normal 2 2 2 2 2 70 2" xfId="7238" xr:uid="{82DB84D8-127E-4253-A2EE-8E5BC4F2C74D}"/>
    <cellStyle name="Normal 2 2 2 2 2 70 2 3" xfId="7239" xr:uid="{92ED7C3E-2D03-4915-8051-5A778A54E40D}"/>
    <cellStyle name="Normal 2 2 2 2 2 70 2 5" xfId="7240" xr:uid="{7A247C55-10A2-4C88-9F5D-E3A4E49F342D}"/>
    <cellStyle name="Normal 2 2 2 2 2 71" xfId="7241" xr:uid="{1956D141-CA0A-4FA2-95DC-E283546CC59A}"/>
    <cellStyle name="Normal 2 2 2 2 2 71 11" xfId="7242" xr:uid="{42247968-1354-4EFB-8D4D-1A4CD19A0F5C}"/>
    <cellStyle name="Normal 2 2 2 2 2 71 2 2" xfId="7243" xr:uid="{DD7DE17D-D616-4288-8946-B50C0D46B11C}"/>
    <cellStyle name="Normal 2 2 2 2 2 71 2 2 3" xfId="7244" xr:uid="{DCE30013-0DDB-44B8-92F6-4710A0C1FAE5}"/>
    <cellStyle name="Normal 2 2 2 2 2 71 2 4" xfId="7245" xr:uid="{CE0E9242-E347-447B-8490-421244278678}"/>
    <cellStyle name="Normal 2 2 2 2 2 71 2 6" xfId="7246" xr:uid="{264A9BC4-8D24-44AB-A24A-95C9D9BC3BE5}"/>
    <cellStyle name="Normal 2 2 2 2 2 71 2 8" xfId="7247" xr:uid="{F330C178-1A33-4D1E-ABC2-58AE38A3C100}"/>
    <cellStyle name="Normal 2 2 2 2 2 71 3" xfId="7248" xr:uid="{3A52CE63-63B4-47D2-9301-27B168AA3900}"/>
    <cellStyle name="Normal 2 2 2 2 2 71 5" xfId="7249" xr:uid="{04C8F7AA-19B3-4A4E-B5F7-50A307EFDD9E}"/>
    <cellStyle name="Normal 2 2 2 2 2 71 5 3" xfId="7250" xr:uid="{D67D3C28-45BD-44AC-9F62-0ABE5FFE5E7F}"/>
    <cellStyle name="Normal 2 2 2 2 2 71 7" xfId="7251" xr:uid="{B6D4B2DF-4519-4703-8CBA-0799169B9BF2}"/>
    <cellStyle name="Normal 2 2 2 2 2 71 9" xfId="7252" xr:uid="{EE41A2E1-31D5-4CA7-B6C1-E98DFDDC4364}"/>
    <cellStyle name="Normal 2 2 2 2 2 73" xfId="7253" xr:uid="{231B5DCF-267C-4410-AC8F-6BC1BB1B5FE5}"/>
    <cellStyle name="Normal 2 2 2 2 2 74 2" xfId="7254" xr:uid="{49E8E8B0-C50C-456A-B008-305FF749A039}"/>
    <cellStyle name="Normal 2 2 2 2 2 74 2 3" xfId="7255" xr:uid="{66C442AF-E456-40FF-8C27-2E2A5D1004D2}"/>
    <cellStyle name="Normal 2 2 2 2 2 74 4" xfId="7256" xr:uid="{DAE08297-5400-4DC4-BA71-D940FFA3E2F4}"/>
    <cellStyle name="Normal 2 2 2 2 2 74 6" xfId="7257" xr:uid="{4A20FDBC-0EB9-469E-B927-CD360D56D42A}"/>
    <cellStyle name="Normal 2 2 2 2 2 74 8" xfId="7258" xr:uid="{39A6D8FD-D19C-4CE2-8F39-C691DDAD69BE}"/>
    <cellStyle name="Normal 2 2 2 2 2 75" xfId="7259" xr:uid="{C5918283-6262-43D6-B885-238EF1A46144}"/>
    <cellStyle name="Normal 2 2 2 2 2 76 2" xfId="7260" xr:uid="{2D81ADDA-4E1D-4FB9-8A83-0C7AF31BB3F8}"/>
    <cellStyle name="Normal 2 2 2 2 2 77" xfId="7261" xr:uid="{FEDAFAFA-D593-4A87-84C5-6FB6C85D3C0A}"/>
    <cellStyle name="Normal 2 2 2 2 2 79" xfId="7262" xr:uid="{9025FFEE-4DF9-46D6-9F30-C9697DC0701E}"/>
    <cellStyle name="Normal 2 2 2 2 2 80" xfId="7263" xr:uid="{DBFCCD22-6A38-4C16-8FF7-92B859A3C9C3}"/>
    <cellStyle name="Normal 2 2 2 2 2 82" xfId="7264" xr:uid="{71EF05D8-6184-446B-8B8C-17D9933A1938}"/>
    <cellStyle name="Normal 2 2 2 2 2 9" xfId="7265" xr:uid="{B8755570-4746-408B-A632-ACBB6486B63B}"/>
    <cellStyle name="Normal 2 2 2 2 21" xfId="7266" xr:uid="{14274B6C-4590-4ED3-BF4F-8BCA01BEAF36}"/>
    <cellStyle name="Normal 2 2 2 2 22 2" xfId="7267" xr:uid="{9D6B7BE7-3E96-4D8B-B464-4ACA0049201B}"/>
    <cellStyle name="Normal 2 2 2 2 22 4" xfId="7268" xr:uid="{1ABDE587-D0AB-48CF-9995-0C6F32C9D988}"/>
    <cellStyle name="Normal 2 2 2 2 24" xfId="7269" xr:uid="{6E3D3874-0258-4E34-89AF-0C9BF31369C0}"/>
    <cellStyle name="Normal 2 2 2 2 26" xfId="7270" xr:uid="{374BDD68-2800-4836-9190-363ACF7993B7}"/>
    <cellStyle name="Normal 2 2 2 2 28" xfId="7271" xr:uid="{52E1A344-2A4C-4C08-98E9-FFABF24D81AA}"/>
    <cellStyle name="Normal 2 2 2 2 28 11" xfId="7272" xr:uid="{483A3991-89C0-4BEC-9B90-C4FEC39CCA35}"/>
    <cellStyle name="Normal 2 2 2 2 28 13" xfId="7273" xr:uid="{EF091174-5D74-488C-A432-EE9B33DFCACC}"/>
    <cellStyle name="Normal 2 2 2 2 28 2 2" xfId="7274" xr:uid="{5CBB8DC8-C517-4B61-9FAE-61F86BAECB42}"/>
    <cellStyle name="Normal 2 2 2 2 28 2 4" xfId="7275" xr:uid="{4AB4A08E-9363-4F8D-B709-CEC6BC20A8CF}"/>
    <cellStyle name="Normal 2 2 2 2 28 2 6" xfId="7276" xr:uid="{D1030A7A-32D8-44DE-8DA3-139F55D5170E}"/>
    <cellStyle name="Normal 2 2 2 2 28 3 2" xfId="7277" xr:uid="{6C1E7ED4-E604-44CB-9B3C-9E3146AD6AE3}"/>
    <cellStyle name="Normal 2 2 2 2 28 3 4" xfId="7278" xr:uid="{64146981-98B1-4355-9112-0FC2E57597DE}"/>
    <cellStyle name="Normal 2 2 2 2 28 3 6" xfId="7279" xr:uid="{C4DDC7A8-EDE5-4D88-8C5D-009BDAF1EB37}"/>
    <cellStyle name="Normal 2 2 2 2 28 4 2" xfId="7280" xr:uid="{1D788DE9-6333-47E4-A363-EAC733693BA6}"/>
    <cellStyle name="Normal 2 2 2 2 28 4 4" xfId="7281" xr:uid="{481ADA1A-05A5-4F35-8DE1-EB3CFAFC73A2}"/>
    <cellStyle name="Normal 2 2 2 2 28 4 6" xfId="7282" xr:uid="{19032DA0-B8E8-44A4-B115-D0278AF40A98}"/>
    <cellStyle name="Normal 2 2 2 2 28 5 2" xfId="7283" xr:uid="{D654E9CE-B741-413A-9178-64EA88421CB7}"/>
    <cellStyle name="Normal 2 2 2 2 28 5 4" xfId="7284" xr:uid="{69F0DAD4-EE10-4211-BCAF-9EE8F34147E5}"/>
    <cellStyle name="Normal 2 2 2 2 28 5 6" xfId="7285" xr:uid="{1538CF48-26A2-45DD-BF46-17A8E5C7FF7D}"/>
    <cellStyle name="Normal 2 2 2 2 28 6 2" xfId="7286" xr:uid="{0ED89426-DCE2-406E-AC5D-EDD8212B7999}"/>
    <cellStyle name="Normal 2 2 2 2 28 6 4" xfId="7287" xr:uid="{B1D3D12D-291E-417A-8197-BB3BA2B07BD8}"/>
    <cellStyle name="Normal 2 2 2 2 28 6 6" xfId="7288" xr:uid="{B4AA38F2-45CA-48FC-A282-FB6CAC5ADEFA}"/>
    <cellStyle name="Normal 2 2 2 2 28 7 2" xfId="7289" xr:uid="{FF729301-A958-489D-A545-9255EDA6BD47}"/>
    <cellStyle name="Normal 2 2 2 2 28 7 4" xfId="7290" xr:uid="{C244FBDE-8703-4A56-BBF9-308E4326F373}"/>
    <cellStyle name="Normal 2 2 2 2 28 7 6" xfId="7291" xr:uid="{5FC440EC-E12E-4EDF-879C-A267B7A16E81}"/>
    <cellStyle name="Normal 2 2 2 2 28 8 2" xfId="7292" xr:uid="{4892C3AF-0412-4A9A-89F1-4AABCA4A1D55}"/>
    <cellStyle name="Normal 2 2 2 2 28 8 4" xfId="7293" xr:uid="{DBF10C6E-AF4C-4366-BD27-DDE73438650E}"/>
    <cellStyle name="Normal 2 2 2 2 28 8 6" xfId="7294" xr:uid="{FC3E7BBF-BC00-470B-83F3-C609744CC1A0}"/>
    <cellStyle name="Normal 2 2 2 2 29" xfId="7295" xr:uid="{605C75F9-E2F4-4E6A-8825-5D05B01848DC}"/>
    <cellStyle name="Normal 2 2 2 2 29 11" xfId="7296" xr:uid="{EDEDC598-E990-488A-986B-15F61394F88C}"/>
    <cellStyle name="Normal 2 2 2 2 29 13" xfId="7297" xr:uid="{B697EF0E-F3DC-4CBF-9994-E5694711E70D}"/>
    <cellStyle name="Normal 2 2 2 2 29 2 2" xfId="7298" xr:uid="{0B280F5C-1F02-4E07-AB20-5EC4BDA22831}"/>
    <cellStyle name="Normal 2 2 2 2 29 2 4" xfId="7299" xr:uid="{2D19FBF5-4BFD-4487-8072-C1FEA120EB51}"/>
    <cellStyle name="Normal 2 2 2 2 29 2 6" xfId="7300" xr:uid="{8E537796-F799-409A-A1F4-C248A065F631}"/>
    <cellStyle name="Normal 2 2 2 2 29 3 2" xfId="7301" xr:uid="{876F8C43-25E8-4174-B1A8-7FDEBF74DC5E}"/>
    <cellStyle name="Normal 2 2 2 2 29 3 4" xfId="7302" xr:uid="{EF8B2186-8311-4998-82EE-4F7BDB722B30}"/>
    <cellStyle name="Normal 2 2 2 2 29 3 6" xfId="7303" xr:uid="{43AE6916-5313-4B43-BBA5-DC0F766A8C06}"/>
    <cellStyle name="Normal 2 2 2 2 29 4 2" xfId="7304" xr:uid="{4AA83809-9E03-4212-AE0F-6ED9B37BCC82}"/>
    <cellStyle name="Normal 2 2 2 2 29 4 4" xfId="7305" xr:uid="{6600A318-DEF6-4865-9C06-5B562781ED68}"/>
    <cellStyle name="Normal 2 2 2 2 29 4 6" xfId="7306" xr:uid="{9B751268-48A3-48F8-8636-3ECFFDF7DED2}"/>
    <cellStyle name="Normal 2 2 2 2 29 5 2" xfId="7307" xr:uid="{AE0AEBB7-3701-445E-8AAD-930DD5D411C7}"/>
    <cellStyle name="Normal 2 2 2 2 29 5 4" xfId="7308" xr:uid="{501D7FF6-C117-4F1E-A64F-100FE6ED18F6}"/>
    <cellStyle name="Normal 2 2 2 2 29 5 6" xfId="7309" xr:uid="{4FAD3E6B-33FB-493F-BE2D-3866B364DA92}"/>
    <cellStyle name="Normal 2 2 2 2 29 6 2" xfId="7310" xr:uid="{88094261-1986-4D95-A667-E52D9719877F}"/>
    <cellStyle name="Normal 2 2 2 2 29 6 4" xfId="7311" xr:uid="{E477371A-8E51-4CE1-A497-8D45DF9B14DC}"/>
    <cellStyle name="Normal 2 2 2 2 29 6 6" xfId="7312" xr:uid="{BD3596AB-7342-45FA-A05B-B853BC569DE9}"/>
    <cellStyle name="Normal 2 2 2 2 29 7 2" xfId="7313" xr:uid="{0CE4F0D4-8A05-48DA-9062-A8F34A0DC0B0}"/>
    <cellStyle name="Normal 2 2 2 2 29 7 4" xfId="7314" xr:uid="{1F079905-7CC1-4341-A1CF-18411DBD2F55}"/>
    <cellStyle name="Normal 2 2 2 2 29 7 6" xfId="7315" xr:uid="{9739152D-4E4E-4CB9-91F5-01BEE2783F97}"/>
    <cellStyle name="Normal 2 2 2 2 29 8 2" xfId="7316" xr:uid="{24E38E65-6B70-4A70-BD84-6E788EE2276A}"/>
    <cellStyle name="Normal 2 2 2 2 29 8 4" xfId="7317" xr:uid="{0886BEC6-E1C9-43AF-B5FB-F7B2991FA491}"/>
    <cellStyle name="Normal 2 2 2 2 29 8 6" xfId="7318" xr:uid="{B8AF67CE-F2EB-460D-B87D-B9AB68CDEF02}"/>
    <cellStyle name="Normal 2 2 2 2 3" xfId="7319" xr:uid="{E164C4E2-7A00-4AA4-A8E9-DCECE798F9C0}"/>
    <cellStyle name="Normal 2 2 2 2 3 11" xfId="7320" xr:uid="{55841BF9-E0F3-4024-82C5-1F15EA13AE29}"/>
    <cellStyle name="Normal 2 2 2 2 3 13" xfId="7321" xr:uid="{1B7523B7-FD35-4A9D-8D29-E982AED297FB}"/>
    <cellStyle name="Normal 2 2 2 2 3 2" xfId="7322" xr:uid="{0813AB0B-EDA8-4504-AFF5-AFAD6214CA33}"/>
    <cellStyle name="Normal 2 2 2 2 3 2 2 2" xfId="7323" xr:uid="{1F9B3B91-CE84-4F77-8941-FF879F3A6F88}"/>
    <cellStyle name="Normal 2 2 2 2 3 2 2 3" xfId="7324" xr:uid="{2EF69EEE-5FDC-461A-AC77-0D2245428F67}"/>
    <cellStyle name="Normal 2 2 2 2 3 2 3 2" xfId="7325" xr:uid="{D62008ED-630A-4FB6-85BD-D74BEA5573E9}"/>
    <cellStyle name="Normal 2 2 2 2 3 2 5" xfId="7326" xr:uid="{D5EA7A12-7605-4FFA-B89F-5181C70682B3}"/>
    <cellStyle name="Normal 2 2 2 2 3 3" xfId="7327" xr:uid="{F8A026BF-1F57-4704-A6B0-6CC89604BC21}"/>
    <cellStyle name="Normal 2 2 2 2 3 3 3" xfId="7328" xr:uid="{5BF4647C-4CCA-4A78-B0C5-4D67A8325183}"/>
    <cellStyle name="Normal 2 2 2 2 3 3 5" xfId="7329" xr:uid="{B2646847-E06A-4AC7-918C-07BEA551D1A8}"/>
    <cellStyle name="Normal 2 2 2 2 3 4" xfId="7330" xr:uid="{10576361-1320-43D9-9492-36F3E1838F7E}"/>
    <cellStyle name="Normal 2 2 2 2 3 4 3" xfId="7331" xr:uid="{454D2A94-EFED-4B77-9508-CBFCF38B7481}"/>
    <cellStyle name="Normal 2 2 2 2 3 4 5" xfId="7332" xr:uid="{4B6605B3-E7E5-4E8E-ABA7-6E55395C8B47}"/>
    <cellStyle name="Normal 2 2 2 2 3 5" xfId="7333" xr:uid="{D5332186-8DB2-4663-B32B-EFFEB42B9447}"/>
    <cellStyle name="Normal 2 2 2 2 3 5 3" xfId="7334" xr:uid="{EEB28ADF-8522-4C46-A08F-6119305E3F09}"/>
    <cellStyle name="Normal 2 2 2 2 3 5 5" xfId="7335" xr:uid="{2C2B3BF7-DF8E-4285-A69D-3BB403AE1B08}"/>
    <cellStyle name="Normal 2 2 2 2 3 6" xfId="7336" xr:uid="{D417DDF3-015E-47BF-AE74-98F34F85E066}"/>
    <cellStyle name="Normal 2 2 2 2 3 6 3" xfId="7337" xr:uid="{B4657568-2028-489E-8CB0-0A6CAD0CF32B}"/>
    <cellStyle name="Normal 2 2 2 2 3 6 5" xfId="7338" xr:uid="{03B946A0-5252-4F57-899C-4B4DCAC24124}"/>
    <cellStyle name="Normal 2 2 2 2 3 7" xfId="7339" xr:uid="{5D21C0A2-24A8-420B-91B7-FCEDC1C9064B}"/>
    <cellStyle name="Normal 2 2 2 2 3 7 3" xfId="7340" xr:uid="{F6826BFD-81B9-44B7-90A1-937E80903E0C}"/>
    <cellStyle name="Normal 2 2 2 2 3 7 5" xfId="7341" xr:uid="{40EE0AB4-E52B-44C1-A664-34449C8897B7}"/>
    <cellStyle name="Normal 2 2 2 2 3 8" xfId="7342" xr:uid="{22911646-1F93-4F7C-8813-252957A4522C}"/>
    <cellStyle name="Normal 2 2 2 2 3 8 3" xfId="7343" xr:uid="{3E26B334-F741-422A-AD14-6747F67EC338}"/>
    <cellStyle name="Normal 2 2 2 2 3 8 5" xfId="7344" xr:uid="{E7C42237-E12C-4AF6-A8FB-42D45292C1D3}"/>
    <cellStyle name="Normal 2 2 2 2 3 9" xfId="7345" xr:uid="{92C6AE33-EEA3-4B1B-BF9C-BA92D3E0937C}"/>
    <cellStyle name="Normal 2 2 2 2 30 10" xfId="7346" xr:uid="{BCF66615-8758-4DD9-BE87-825061CF231A}"/>
    <cellStyle name="Normal 2 2 2 2 30 12" xfId="7347" xr:uid="{06D9BB7F-40D4-4F0A-A448-489DEF92473C}"/>
    <cellStyle name="Normal 2 2 2 2 30 2" xfId="7348" xr:uid="{1D8E5D6D-AC05-4C6A-971A-ECDB4F4D8C52}"/>
    <cellStyle name="Normal 2 2 2 2 30 2 3" xfId="7349" xr:uid="{CEC3B6C8-3BAA-4D87-8D29-AFD9B6A78F93}"/>
    <cellStyle name="Normal 2 2 2 2 30 2 5" xfId="7350" xr:uid="{CA2A40CB-33C5-4DCD-B448-9FBADA776776}"/>
    <cellStyle name="Normal 2 2 2 2 30 3" xfId="7351" xr:uid="{E2B19A87-6DE8-4EEA-9EE6-6F89AFBF393D}"/>
    <cellStyle name="Normal 2 2 2 2 30 3 3" xfId="7352" xr:uid="{6E3ECF62-583A-4097-AB12-0835308C8969}"/>
    <cellStyle name="Normal 2 2 2 2 30 3 6" xfId="7353" xr:uid="{3D4D1D27-21E8-4065-81C9-E47ABADC807F}"/>
    <cellStyle name="Normal 2 2 2 2 30 4 2" xfId="7354" xr:uid="{15A880AB-A214-40F3-A161-A8EBA05EE4FB}"/>
    <cellStyle name="Normal 2 2 2 2 30 4 5" xfId="7355" xr:uid="{B6C75722-34AD-4949-B4F3-7713969DD9E2}"/>
    <cellStyle name="Normal 2 2 2 2 30 5 2" xfId="7356" xr:uid="{866B05DF-61A7-4A8B-A677-ECA5C53839C9}"/>
    <cellStyle name="Normal 2 2 2 2 30 5 4" xfId="7357" xr:uid="{0157FAF2-11A1-4689-9E55-49F14B11001E}"/>
    <cellStyle name="Normal 2 2 2 2 30 5 6" xfId="7358" xr:uid="{91E0070E-1D58-4F7F-AB16-4E9EBBD70068}"/>
    <cellStyle name="Normal 2 2 2 2 30 6 2" xfId="7359" xr:uid="{D2E3D1E3-938A-4736-9259-485188953DEA}"/>
    <cellStyle name="Normal 2 2 2 2 30 6 4" xfId="7360" xr:uid="{871AE902-7F8E-411E-A465-41B37EA25421}"/>
    <cellStyle name="Normal 2 2 2 2 30 6 6" xfId="7361" xr:uid="{C3625075-9D8B-4023-80A0-657328FDCC1E}"/>
    <cellStyle name="Normal 2 2 2 2 30 7 2" xfId="7362" xr:uid="{4F33FD6B-C91B-46CB-B168-608085D30532}"/>
    <cellStyle name="Normal 2 2 2 2 30 7 4" xfId="7363" xr:uid="{A514A442-CAB5-4220-AF0E-E3DEA0BCFF55}"/>
    <cellStyle name="Normal 2 2 2 2 30 7 6" xfId="7364" xr:uid="{CDC60EF6-FCF4-4DE9-9208-A92844E645FC}"/>
    <cellStyle name="Normal 2 2 2 2 30 8 2" xfId="7365" xr:uid="{7080B86E-8BA3-4E85-9FE0-9BB8F037B371}"/>
    <cellStyle name="Normal 2 2 2 2 30 8 4" xfId="7366" xr:uid="{3DE3B1DE-B38D-4699-9340-40CCBD326CBC}"/>
    <cellStyle name="Normal 2 2 2 2 30 8 6" xfId="7367" xr:uid="{4BFA72B5-DD7C-4E99-905C-2D2EFEF39357}"/>
    <cellStyle name="Normal 2 2 2 2 31" xfId="7368" xr:uid="{8BF2A503-1247-40A4-9D8F-BA3840340DC5}"/>
    <cellStyle name="Normal 2 2 2 2 31 11" xfId="7369" xr:uid="{C1CDE432-BFDC-4238-989E-BBEFE7B3E9D6}"/>
    <cellStyle name="Normal 2 2 2 2 31 13" xfId="7370" xr:uid="{3861A314-F7BA-41D0-8803-B0A361B7595B}"/>
    <cellStyle name="Normal 2 2 2 2 31 2 2" xfId="7371" xr:uid="{E11677F9-1772-44F4-A078-E6252794E559}"/>
    <cellStyle name="Normal 2 2 2 2 31 2 4" xfId="7372" xr:uid="{6E7E08F5-E410-435D-B10C-349533565B1B}"/>
    <cellStyle name="Normal 2 2 2 2 31 2 6" xfId="7373" xr:uid="{A6841D2E-F747-4330-AD67-1C138D1E8C1A}"/>
    <cellStyle name="Normal 2 2 2 2 31 3 2" xfId="7374" xr:uid="{D04A443D-757F-4601-B9F9-103BD634F046}"/>
    <cellStyle name="Normal 2 2 2 2 31 3 4" xfId="7375" xr:uid="{DF631DC6-533A-4963-9273-7BC354BFAF88}"/>
    <cellStyle name="Normal 2 2 2 2 31 3 6" xfId="7376" xr:uid="{FCFF5723-3365-41CD-952B-C7DD99C086F6}"/>
    <cellStyle name="Normal 2 2 2 2 31 4 2" xfId="7377" xr:uid="{F7E1118B-C338-4CFC-A938-110D5CB4A852}"/>
    <cellStyle name="Normal 2 2 2 2 31 4 4" xfId="7378" xr:uid="{0C683719-39D6-4DEF-8D7B-30BCADEB3A8C}"/>
    <cellStyle name="Normal 2 2 2 2 31 4 6" xfId="7379" xr:uid="{C3CC78EC-921D-4E22-8770-56BF6FF11A4D}"/>
    <cellStyle name="Normal 2 2 2 2 31 5 2" xfId="7380" xr:uid="{B80035FE-265B-409E-8B95-05C5F3790BDC}"/>
    <cellStyle name="Normal 2 2 2 2 31 5 4" xfId="7381" xr:uid="{2293C6E3-C01D-4B66-9CED-8FEC8FA3027D}"/>
    <cellStyle name="Normal 2 2 2 2 31 5 6" xfId="7382" xr:uid="{443D6FAB-0038-49BA-AF66-3DF564C338A2}"/>
    <cellStyle name="Normal 2 2 2 2 31 6 2" xfId="7383" xr:uid="{F21D4E77-6CEA-4BFB-AB17-560BAEB76207}"/>
    <cellStyle name="Normal 2 2 2 2 31 6 4" xfId="7384" xr:uid="{D50A1E53-0054-432A-AA11-DF79C9BDDD28}"/>
    <cellStyle name="Normal 2 2 2 2 31 6 6" xfId="7385" xr:uid="{42E19BCC-E025-4E08-9EFF-51553D99E248}"/>
    <cellStyle name="Normal 2 2 2 2 31 7 2" xfId="7386" xr:uid="{4EA8C560-1576-4120-AB56-BEE52BE15126}"/>
    <cellStyle name="Normal 2 2 2 2 31 7 4" xfId="7387" xr:uid="{882F98AE-8B91-459C-8858-49C58CD815A0}"/>
    <cellStyle name="Normal 2 2 2 2 31 7 6" xfId="7388" xr:uid="{A0C712FE-D785-4312-8B89-075A602CD84D}"/>
    <cellStyle name="Normal 2 2 2 2 31 8 2" xfId="7389" xr:uid="{DC5AC2E2-BF1A-41C4-BAA6-A853541CF0CA}"/>
    <cellStyle name="Normal 2 2 2 2 31 8 4" xfId="7390" xr:uid="{41475618-723D-40E1-B5CB-C51BC99C5596}"/>
    <cellStyle name="Normal 2 2 2 2 31 8 6" xfId="7391" xr:uid="{105C1493-51BD-4B7A-9516-7E6F976829ED}"/>
    <cellStyle name="Normal 2 2 2 2 32" xfId="7392" xr:uid="{A46199C3-81DF-44BE-B81E-28DE98A45FBB}"/>
    <cellStyle name="Normal 2 2 2 2 32 11" xfId="7393" xr:uid="{B960B09F-8514-48FA-BE82-93002C55087F}"/>
    <cellStyle name="Normal 2 2 2 2 32 13" xfId="7394" xr:uid="{33DDDD4A-12B1-4D6C-933D-BDF0A3B26FEA}"/>
    <cellStyle name="Normal 2 2 2 2 32 2 2" xfId="7395" xr:uid="{D02B7BAB-BE1C-434D-B3D1-7A1CC1DD4B6D}"/>
    <cellStyle name="Normal 2 2 2 2 32 2 4" xfId="7396" xr:uid="{8BFC8709-FBCF-40D7-9FEC-2B7AF3EE4876}"/>
    <cellStyle name="Normal 2 2 2 2 32 2 6" xfId="7397" xr:uid="{5136ADD5-3E71-4F42-B030-FE115A23132A}"/>
    <cellStyle name="Normal 2 2 2 2 32 3 2" xfId="7398" xr:uid="{6D0D78C9-A285-4893-97C6-B9F39E1AB306}"/>
    <cellStyle name="Normal 2 2 2 2 32 3 4" xfId="7399" xr:uid="{4D359839-1A44-4BB1-849C-8994D990047E}"/>
    <cellStyle name="Normal 2 2 2 2 32 3 6" xfId="7400" xr:uid="{3BE4C7EF-2C1D-4CDC-BC1B-CF3C61795C34}"/>
    <cellStyle name="Normal 2 2 2 2 32 4 2" xfId="7401" xr:uid="{280C5004-C53D-4CB4-8751-72D26C6A1112}"/>
    <cellStyle name="Normal 2 2 2 2 32 4 4" xfId="7402" xr:uid="{3C53042D-B393-444C-8E67-E9933EA03C21}"/>
    <cellStyle name="Normal 2 2 2 2 32 4 6" xfId="7403" xr:uid="{DD631C72-4516-4CF3-9146-369BC2F8DD74}"/>
    <cellStyle name="Normal 2 2 2 2 32 5 2" xfId="7404" xr:uid="{1FD710A7-AD9C-4883-A0D5-9639F9160207}"/>
    <cellStyle name="Normal 2 2 2 2 32 5 4" xfId="7405" xr:uid="{1FEE1BDA-210C-4118-AD8D-C4589BCF1880}"/>
    <cellStyle name="Normal 2 2 2 2 32 6" xfId="7406" xr:uid="{790A3BEA-DB9E-4C53-A1BE-56E6AF918DEF}"/>
    <cellStyle name="Normal 2 2 2 2 32 6 3" xfId="7407" xr:uid="{A957B055-BE8F-4E13-8DD5-F2A809F8F439}"/>
    <cellStyle name="Normal 2 2 2 2 32 6 5" xfId="7408" xr:uid="{559CE027-3110-4D3E-A08D-E216B77CF6DA}"/>
    <cellStyle name="Normal 2 2 2 2 32 7 2" xfId="7409" xr:uid="{0E31F08F-C417-45EA-9ABE-FD439F2BFEF4}"/>
    <cellStyle name="Normal 2 2 2 2 32 7 5" xfId="7410" xr:uid="{021366AD-06BF-4C74-9148-F1C796B0044D}"/>
    <cellStyle name="Normal 2 2 2 2 32 8 3" xfId="7411" xr:uid="{8DF8C0F7-34BE-4C49-A0D5-800EA90B36E4}"/>
    <cellStyle name="Normal 2 2 2 2 32 8 5" xfId="7412" xr:uid="{C36C424D-EAF2-418A-AAED-EE0D37A667CF}"/>
    <cellStyle name="Normal 2 2 2 2 32 9" xfId="7413" xr:uid="{A3A1DBE9-D61B-449E-8FCD-B1A761912265}"/>
    <cellStyle name="Normal 2 2 2 2 33 11" xfId="7414" xr:uid="{6CC0A785-7991-4BF1-BAE0-E75CC67FC3D6}"/>
    <cellStyle name="Normal 2 2 2 2 33 13" xfId="7415" xr:uid="{A126F56C-B444-4D82-9094-3E48D93F9415}"/>
    <cellStyle name="Normal 2 2 2 2 33 2 2" xfId="7416" xr:uid="{36E037AF-A3C6-462C-8641-3636F288EFC3}"/>
    <cellStyle name="Normal 2 2 2 2 33 2 5" xfId="7417" xr:uid="{125EE25E-F838-419D-8A7B-9D962454026D}"/>
    <cellStyle name="Normal 2 2 2 2 33 3" xfId="7418" xr:uid="{B1937D1B-A586-4D8A-BFDC-DBEB1AC7A191}"/>
    <cellStyle name="Normal 2 2 2 2 33 3 3" xfId="7419" xr:uid="{F88E4777-04F4-4A27-8C28-866B9597819A}"/>
    <cellStyle name="Normal 2 2 2 2 33 3 6" xfId="7420" xr:uid="{C40C6B4B-8BAB-4551-B89C-3826E299A2D8}"/>
    <cellStyle name="Normal 2 2 2 2 33 4 2" xfId="7421" xr:uid="{D0F03DFB-A6CB-42D0-A37F-8F777D00B646}"/>
    <cellStyle name="Normal 2 2 2 2 33 4 4" xfId="7422" xr:uid="{CEE8F5AF-12F8-492C-BC02-0936CED2A23E}"/>
    <cellStyle name="Normal 2 2 2 2 33 4 6" xfId="7423" xr:uid="{2717796B-9D79-4C1D-BE6B-C3BC18E142A0}"/>
    <cellStyle name="Normal 2 2 2 2 33 5 2" xfId="7424" xr:uid="{3B135CBE-3167-475D-BFCF-EC467C7E8400}"/>
    <cellStyle name="Normal 2 2 2 2 33 5 4" xfId="7425" xr:uid="{CE594D91-A58B-4A2E-941F-17DE0F855CC7}"/>
    <cellStyle name="Normal 2 2 2 2 33 5 6" xfId="7426" xr:uid="{CC449DA4-E2CB-44F6-8627-566456A850E3}"/>
    <cellStyle name="Normal 2 2 2 2 33 6 2" xfId="7427" xr:uid="{D3A5F6BD-7F53-4A98-8BE4-748A6165631B}"/>
    <cellStyle name="Normal 2 2 2 2 33 6 4" xfId="7428" xr:uid="{01A96DF4-48E5-41E8-B676-DEC8013F1244}"/>
    <cellStyle name="Normal 2 2 2 2 33 6 6" xfId="7429" xr:uid="{E43742A2-71D2-4D66-B701-A8511F648ADF}"/>
    <cellStyle name="Normal 2 2 2 2 33 7 2" xfId="7430" xr:uid="{A8D22011-0841-46EE-998A-C454CDF29A7E}"/>
    <cellStyle name="Normal 2 2 2 2 33 7 4" xfId="7431" xr:uid="{1A88629C-CDDF-4D4B-B57C-E342DC0D8FFC}"/>
    <cellStyle name="Normal 2 2 2 2 33 7 6" xfId="7432" xr:uid="{CD5BBCD7-E764-4134-9BB0-5629228952C9}"/>
    <cellStyle name="Normal 2 2 2 2 33 8 2" xfId="7433" xr:uid="{D408DB39-5ACC-493C-B374-E3A8F94C1FC5}"/>
    <cellStyle name="Normal 2 2 2 2 33 8 4" xfId="7434" xr:uid="{3943AC46-7CE8-4250-A21C-1F09E47DB13B}"/>
    <cellStyle name="Normal 2 2 2 2 33 8 6" xfId="7435" xr:uid="{92F6F7DA-D12D-4B5F-9DFD-3A6A40285287}"/>
    <cellStyle name="Normal 2 2 2 2 34" xfId="7436" xr:uid="{6EE32B2D-4F06-4588-B77E-D5D33EFB566C}"/>
    <cellStyle name="Normal 2 2 2 2 34 11" xfId="7437" xr:uid="{6E071B06-A7A5-40C5-9BEF-BDD938635F12}"/>
    <cellStyle name="Normal 2 2 2 2 34 13" xfId="7438" xr:uid="{542487E6-557A-46FE-8D89-93B22D8D12F6}"/>
    <cellStyle name="Normal 2 2 2 2 34 2 2" xfId="7439" xr:uid="{85DEA7FC-B6AF-493E-9224-F02C110B8AB3}"/>
    <cellStyle name="Normal 2 2 2 2 34 2 4" xfId="7440" xr:uid="{5F8E1E65-736F-4A3B-B910-2A17F1579C1C}"/>
    <cellStyle name="Normal 2 2 2 2 34 2 6" xfId="7441" xr:uid="{91D430A0-34F4-43F1-89F3-B3896F067EEB}"/>
    <cellStyle name="Normal 2 2 2 2 34 3 2" xfId="7442" xr:uid="{2D12AB9A-B361-4F9C-95B7-F34BA427A001}"/>
    <cellStyle name="Normal 2 2 2 2 34 3 4" xfId="7443" xr:uid="{4068D97E-F958-42A5-9D30-55314DB772E7}"/>
    <cellStyle name="Normal 2 2 2 2 34 3 6" xfId="7444" xr:uid="{066949F0-9CB6-48C5-802C-B7416EA15095}"/>
    <cellStyle name="Normal 2 2 2 2 34 4 2" xfId="7445" xr:uid="{780A3E9A-D400-420D-BD22-4409FAB28411}"/>
    <cellStyle name="Normal 2 2 2 2 34 4 4" xfId="7446" xr:uid="{B6691061-38E5-49B5-8C33-B0F626B55519}"/>
    <cellStyle name="Normal 2 2 2 2 34 4 6" xfId="7447" xr:uid="{D697A433-5742-4784-A6A8-C2506BBD4A05}"/>
    <cellStyle name="Normal 2 2 2 2 34 5 2" xfId="7448" xr:uid="{6348DEE4-D00E-4075-9973-2C218116B1C4}"/>
    <cellStyle name="Normal 2 2 2 2 34 5 4" xfId="7449" xr:uid="{6A653D45-6BC7-4CF0-A7EE-2F228CCB4A88}"/>
    <cellStyle name="Normal 2 2 2 2 34 5 6" xfId="7450" xr:uid="{26C30A31-5CCB-45C0-9BE5-148E30D0E795}"/>
    <cellStyle name="Normal 2 2 2 2 34 6 2" xfId="7451" xr:uid="{2CCB130A-1545-455C-837A-DE7C58277167}"/>
    <cellStyle name="Normal 2 2 2 2 34 6 4" xfId="7452" xr:uid="{2B8C15BE-E478-48A2-88A4-0FCFCF402564}"/>
    <cellStyle name="Normal 2 2 2 2 34 6 6" xfId="7453" xr:uid="{789F3BC3-2DD0-4F9C-BD80-EAA0CF8A4A19}"/>
    <cellStyle name="Normal 2 2 2 2 34 7 2" xfId="7454" xr:uid="{82418663-A1A6-4946-92E5-E1168A0127EB}"/>
    <cellStyle name="Normal 2 2 2 2 34 7 4" xfId="7455" xr:uid="{9DEFE1F0-5011-4AB4-8C5B-6CC64CCD7FDB}"/>
    <cellStyle name="Normal 2 2 2 2 34 7 6" xfId="7456" xr:uid="{9879FC1B-828B-4ED5-83DB-54DF6C32E343}"/>
    <cellStyle name="Normal 2 2 2 2 34 8 2" xfId="7457" xr:uid="{87CFBB86-D252-4006-BAFA-CC1A0FA7DE75}"/>
    <cellStyle name="Normal 2 2 2 2 34 8 4" xfId="7458" xr:uid="{4A06F81B-7CC2-451D-A188-85B7DEAE457E}"/>
    <cellStyle name="Normal 2 2 2 2 34 8 6" xfId="7459" xr:uid="{6FD2E5B8-9B21-47A9-A855-801A9F5F29D1}"/>
    <cellStyle name="Normal 2 2 2 2 35" xfId="7460" xr:uid="{D2380443-1EE4-4A6D-901B-E476A955D452}"/>
    <cellStyle name="Normal 2 2 2 2 35 11" xfId="7461" xr:uid="{6A819A34-C2DB-432B-BC38-2DEA6928928E}"/>
    <cellStyle name="Normal 2 2 2 2 35 13" xfId="7462" xr:uid="{24577AF9-DFF5-4FD3-8119-9A8BAB75DD66}"/>
    <cellStyle name="Normal 2 2 2 2 35 2 2" xfId="7463" xr:uid="{B7CBF1B1-932B-4342-B079-079DCB20218D}"/>
    <cellStyle name="Normal 2 2 2 2 35 2 4" xfId="7464" xr:uid="{C8C7A7D1-E812-46B4-A5EA-58AC33B62B2D}"/>
    <cellStyle name="Normal 2 2 2 2 35 2 6" xfId="7465" xr:uid="{8C4D20E8-50CD-4EB5-8BAE-9EDC549BD0A8}"/>
    <cellStyle name="Normal 2 2 2 2 35 3 2" xfId="7466" xr:uid="{9CE6798E-06A0-4C31-AC3C-30A9EDCF4446}"/>
    <cellStyle name="Normal 2 2 2 2 35 3 4" xfId="7467" xr:uid="{9B0F59A1-C928-4724-AE0D-4A6AA274CB70}"/>
    <cellStyle name="Normal 2 2 2 2 35 3 6" xfId="7468" xr:uid="{6CA51CAD-609E-4CE6-8216-8A4F011D7C45}"/>
    <cellStyle name="Normal 2 2 2 2 35 4 2" xfId="7469" xr:uid="{EFC11606-BDC0-4E03-AEF7-0C8980AE407C}"/>
    <cellStyle name="Normal 2 2 2 2 35 4 4" xfId="7470" xr:uid="{B7316A49-7C20-4CF0-9342-10F7A8927D0B}"/>
    <cellStyle name="Normal 2 2 2 2 35 4 6" xfId="7471" xr:uid="{9767F0B7-4462-402A-8CA6-DA68AA819112}"/>
    <cellStyle name="Normal 2 2 2 2 35 5 2" xfId="7472" xr:uid="{D3C6349B-F101-4CC2-AC2D-0F9D6E5B9650}"/>
    <cellStyle name="Normal 2 2 2 2 35 5 4" xfId="7473" xr:uid="{B2B57ABF-8278-42AC-A611-57BAAE968874}"/>
    <cellStyle name="Normal 2 2 2 2 35 5 6" xfId="7474" xr:uid="{196B1173-326F-442F-A592-348B11A80C6B}"/>
    <cellStyle name="Normal 2 2 2 2 35 6 2" xfId="7475" xr:uid="{5DA7B31C-76D9-4B3A-9F4C-C278974EF84D}"/>
    <cellStyle name="Normal 2 2 2 2 35 6 4" xfId="7476" xr:uid="{9675DDA5-0E67-41DC-B23B-3BEB35E355BA}"/>
    <cellStyle name="Normal 2 2 2 2 35 6 6" xfId="7477" xr:uid="{5617D6A8-54D8-4356-939A-A1E75864749E}"/>
    <cellStyle name="Normal 2 2 2 2 35 7 2" xfId="7478" xr:uid="{EE29C947-EA8D-45B7-AB32-E46A051E920A}"/>
    <cellStyle name="Normal 2 2 2 2 35 7 4" xfId="7479" xr:uid="{4BF7C5D2-C7BE-458B-8D95-1F4EBDE3A567}"/>
    <cellStyle name="Normal 2 2 2 2 35 7 6" xfId="7480" xr:uid="{FAEBA4B7-0558-4247-B47B-4F2BB5B87A34}"/>
    <cellStyle name="Normal 2 2 2 2 35 8 2" xfId="7481" xr:uid="{484F3438-19E9-4EAE-9200-36301628EB1E}"/>
    <cellStyle name="Normal 2 2 2 2 35 8 4" xfId="7482" xr:uid="{8416D80E-83C3-4220-9609-7FBBC67EEB07}"/>
    <cellStyle name="Normal 2 2 2 2 35 8 6" xfId="7483" xr:uid="{1E9F0744-FD17-4C55-A179-A6E909ACAACA}"/>
    <cellStyle name="Normal 2 2 2 2 36" xfId="7484" xr:uid="{2A181BB7-8D06-4DDC-A3A2-0BB7293C42EE}"/>
    <cellStyle name="Normal 2 2 2 2 36 11" xfId="7485" xr:uid="{2E120FE3-68F9-47AE-8135-9D5DA8FB23C1}"/>
    <cellStyle name="Normal 2 2 2 2 36 13" xfId="7486" xr:uid="{E7D6AFAE-47AF-46BF-855E-8588F80B24B1}"/>
    <cellStyle name="Normal 2 2 2 2 36 2 2" xfId="7487" xr:uid="{450FC766-C299-498C-8DC7-FEB5753316BB}"/>
    <cellStyle name="Normal 2 2 2 2 36 2 4" xfId="7488" xr:uid="{178DD37C-E8D4-4E58-97EB-CCD7D44B8D1F}"/>
    <cellStyle name="Normal 2 2 2 2 36 2 6" xfId="7489" xr:uid="{FBDAB910-AA94-43D2-9C69-F753DE05D4A8}"/>
    <cellStyle name="Normal 2 2 2 2 36 3 2" xfId="7490" xr:uid="{77D93F25-C090-4419-B880-3906806A2BC3}"/>
    <cellStyle name="Normal 2 2 2 2 36 3 4" xfId="7491" xr:uid="{018DAA69-9EE1-44D5-AA40-C534B9370E5E}"/>
    <cellStyle name="Normal 2 2 2 2 36 3 6" xfId="7492" xr:uid="{D17D04A3-0A9B-448D-959F-DE1A311606BE}"/>
    <cellStyle name="Normal 2 2 2 2 36 4 2" xfId="7493" xr:uid="{F93DBFDC-D055-4BE5-9C72-CA055DE7FA91}"/>
    <cellStyle name="Normal 2 2 2 2 36 4 4" xfId="7494" xr:uid="{C1B9F2D6-5CCA-4232-B43D-A5A9F6EF165A}"/>
    <cellStyle name="Normal 2 2 2 2 36 4 6" xfId="7495" xr:uid="{CA64DB15-C505-4410-81A7-7189E6768812}"/>
    <cellStyle name="Normal 2 2 2 2 36 5 2" xfId="7496" xr:uid="{518F42BD-2BD2-432D-B232-23E6C11C0BFC}"/>
    <cellStyle name="Normal 2 2 2 2 36 5 4" xfId="7497" xr:uid="{5896D2DB-C3B4-49E4-91F4-D2EA29990AE4}"/>
    <cellStyle name="Normal 2 2 2 2 36 5 6" xfId="7498" xr:uid="{C0E53A5F-0213-48A2-8892-283AF170C285}"/>
    <cellStyle name="Normal 2 2 2 2 36 6 2" xfId="7499" xr:uid="{9940DD73-2A55-427A-AA02-1BE36C8470AC}"/>
    <cellStyle name="Normal 2 2 2 2 36 6 4" xfId="7500" xr:uid="{58F60193-1D17-4BD3-9100-52DD40754718}"/>
    <cellStyle name="Normal 2 2 2 2 36 6 6" xfId="7501" xr:uid="{1F4F70B2-E889-4CA4-8CDB-F6C7DCD8B925}"/>
    <cellStyle name="Normal 2 2 2 2 36 7 2" xfId="7502" xr:uid="{2FED2392-0139-4AAA-A5EB-6F2BAF9DF47A}"/>
    <cellStyle name="Normal 2 2 2 2 36 7 4" xfId="7503" xr:uid="{D5D94E4A-ABC5-433F-AE1A-E6FEB45E3F94}"/>
    <cellStyle name="Normal 2 2 2 2 36 7 6" xfId="7504" xr:uid="{CFC4CF6E-512E-456D-BF56-CF9D92D6E8BC}"/>
    <cellStyle name="Normal 2 2 2 2 36 8 2" xfId="7505" xr:uid="{DFF1F575-9F93-4D73-A1FF-47BEAF63E077}"/>
    <cellStyle name="Normal 2 2 2 2 36 8 4" xfId="7506" xr:uid="{BC20823A-C69C-40F9-B8FB-C597923AD46F}"/>
    <cellStyle name="Normal 2 2 2 2 36 8 6" xfId="7507" xr:uid="{E5223E04-056F-4472-B2FB-E8A19D37497E}"/>
    <cellStyle name="Normal 2 2 2 2 37" xfId="7508" xr:uid="{A0A6E3FD-A031-483C-8D89-702EDDDA5FDC}"/>
    <cellStyle name="Normal 2 2 2 2 37 11" xfId="7509" xr:uid="{35B9A8E6-41BE-4C11-BE49-BB132089758A}"/>
    <cellStyle name="Normal 2 2 2 2 37 3" xfId="7510" xr:uid="{4407C2F1-3E38-43F6-B7EF-F3969F2766A1}"/>
    <cellStyle name="Normal 2 2 2 2 37 5" xfId="7511" xr:uid="{F77B0BED-7698-4E2E-86DA-AF6624BE8D6D}"/>
    <cellStyle name="Normal 2 2 2 2 37 7" xfId="7512" xr:uid="{B213F494-CAD3-40B5-B720-7FB859E48110}"/>
    <cellStyle name="Normal 2 2 2 2 37 9" xfId="7513" xr:uid="{38ABBC62-9E89-4342-B081-91F884D8BE0C}"/>
    <cellStyle name="Normal 2 2 2 2 39" xfId="7514" xr:uid="{A5759EA0-F114-4FC4-A466-7995E9DDA1C2}"/>
    <cellStyle name="Normal 2 2 2 2 4 10" xfId="7515" xr:uid="{C7A0341D-C459-46B7-9DCC-C33E2543A1FE}"/>
    <cellStyle name="Normal 2 2 2 2 4 12" xfId="7516" xr:uid="{4FC0DED8-26FB-44DC-8205-8476E27DB3AD}"/>
    <cellStyle name="Normal 2 2 2 2 4 14" xfId="7517" xr:uid="{B60DEF45-DA93-40B5-A19C-4D1CD8EE30BC}"/>
    <cellStyle name="Normal 2 2 2 2 4 2 2" xfId="7518" xr:uid="{4F968050-E7C7-4AD7-8BD2-0F1EE5231977}"/>
    <cellStyle name="Normal 2 2 2 2 4 2 4" xfId="7519" xr:uid="{901F9C1B-B9E8-4B8F-8208-0B271ECDCBDC}"/>
    <cellStyle name="Normal 2 2 2 2 4 2 6" xfId="7520" xr:uid="{07A62D6F-3DD4-46D0-BA34-4AD57E1FA5F7}"/>
    <cellStyle name="Normal 2 2 2 2 4 3 2" xfId="7521" xr:uid="{6E067C03-5015-4A7C-AF2D-D322D9EA8D03}"/>
    <cellStyle name="Normal 2 2 2 2 4 3 4" xfId="7522" xr:uid="{68C629AF-D08F-4E95-B88C-6B5E7D5C632E}"/>
    <cellStyle name="Normal 2 2 2 2 4 3 6" xfId="7523" xr:uid="{472609E5-4AF3-485F-BD40-91FD7C479086}"/>
    <cellStyle name="Normal 2 2 2 2 4 4 2" xfId="7524" xr:uid="{95045870-32D5-4A39-81A8-CF1E3B26CDF1}"/>
    <cellStyle name="Normal 2 2 2 2 4 4 4" xfId="7525" xr:uid="{DBCC6675-254D-4E2A-A54B-9ACCDDC37336}"/>
    <cellStyle name="Normal 2 2 2 2 4 4 6" xfId="7526" xr:uid="{B3649D14-5943-4A4A-B3D6-E62F3D3BD4E7}"/>
    <cellStyle name="Normal 2 2 2 2 4 5 2" xfId="7527" xr:uid="{EE9A0B03-AC95-4789-A4E0-4CBDD7E41659}"/>
    <cellStyle name="Normal 2 2 2 2 4 5 4" xfId="7528" xr:uid="{8F491504-A397-448A-B96D-D9711B242668}"/>
    <cellStyle name="Normal 2 2 2 2 4 5 6" xfId="7529" xr:uid="{3CDBFE9C-31B7-45E3-9DD3-B51D2004181A}"/>
    <cellStyle name="Normal 2 2 2 2 4 6 2" xfId="7530" xr:uid="{71C6DD33-0762-4226-9D19-CEB8CA5644AE}"/>
    <cellStyle name="Normal 2 2 2 2 4 6 4" xfId="7531" xr:uid="{57428342-87F9-4A38-B51E-5DC311817E68}"/>
    <cellStyle name="Normal 2 2 2 2 4 6 6" xfId="7532" xr:uid="{3BF4A43C-81F9-4BD3-8226-7559DB774365}"/>
    <cellStyle name="Normal 2 2 2 2 4 7 2" xfId="7533" xr:uid="{34DCF834-5C29-425F-AE31-3E9940188420}"/>
    <cellStyle name="Normal 2 2 2 2 4 7 4" xfId="7534" xr:uid="{F6807D78-7C3A-4653-9BF3-A6AFA4F9D1EF}"/>
    <cellStyle name="Normal 2 2 2 2 4 7 6" xfId="7535" xr:uid="{CBB8FD61-4262-4A32-8CBB-0D356195CB19}"/>
    <cellStyle name="Normal 2 2 2 2 4 8 2" xfId="7536" xr:uid="{A4435089-28A1-4E1E-BA05-61A0E9781FC2}"/>
    <cellStyle name="Normal 2 2 2 2 4 8 4" xfId="7537" xr:uid="{C8B23D8F-33AE-4761-92C2-E59DA730F156}"/>
    <cellStyle name="Normal 2 2 2 2 4 8 6" xfId="7538" xr:uid="{CE164C5A-99EE-429E-9F05-A4DD8F895AF0}"/>
    <cellStyle name="Normal 2 2 2 2 40" xfId="7539" xr:uid="{35762E10-0F0C-4E9C-9D8C-84806E30B5C2}"/>
    <cellStyle name="Normal 2 2 2 2 42" xfId="7540" xr:uid="{51005093-67A0-48DA-AFCB-D79BDCCBA205}"/>
    <cellStyle name="Normal 2 2 2 2 44" xfId="7541" xr:uid="{C900240D-2C08-4F20-93A7-C7A66AB08B33}"/>
    <cellStyle name="Normal 2 2 2 2 46" xfId="7542" xr:uid="{D39D9195-521C-4BE3-BCB3-2FD017764FD5}"/>
    <cellStyle name="Normal 2 2 2 2 48" xfId="7543" xr:uid="{4B202A10-DE6F-424A-978E-BA7A15ED639F}"/>
    <cellStyle name="Normal 2 2 2 2 5" xfId="7544" xr:uid="{9697046D-AD97-4193-8552-E23F8CE0BE68}"/>
    <cellStyle name="Normal 2 2 2 2 5 11" xfId="7545" xr:uid="{C6C52BF4-3A99-41DE-9EA9-41627D9A77B4}"/>
    <cellStyle name="Normal 2 2 2 2 5 13" xfId="7546" xr:uid="{62837720-12A9-4FBE-965A-88719ED1DFD0}"/>
    <cellStyle name="Normal 2 2 2 2 5 2 2" xfId="7547" xr:uid="{86EFBF5E-5066-4BF3-A440-A0D08C8C62B8}"/>
    <cellStyle name="Normal 2 2 2 2 5 2 4" xfId="7548" xr:uid="{8651E110-488F-485B-B3D9-64386529ED55}"/>
    <cellStyle name="Normal 2 2 2 2 5 2 6" xfId="7549" xr:uid="{4243A311-70ED-4CA3-9E76-F01E1976E2D4}"/>
    <cellStyle name="Normal 2 2 2 2 5 3 2" xfId="7550" xr:uid="{0C31D30F-3222-4C7A-B394-38E6ED2EA361}"/>
    <cellStyle name="Normal 2 2 2 2 5 3 4" xfId="7551" xr:uid="{08FBCFC6-FD16-467F-B8D6-25FA23974352}"/>
    <cellStyle name="Normal 2 2 2 2 5 3 6" xfId="7552" xr:uid="{F06F1835-788E-40DC-B1D4-FAAED1A06887}"/>
    <cellStyle name="Normal 2 2 2 2 5 4 2" xfId="7553" xr:uid="{53D52FF5-A98E-4C9D-AE94-ABCBE571974B}"/>
    <cellStyle name="Normal 2 2 2 2 5 4 4" xfId="7554" xr:uid="{345467DC-79DE-4D3F-B34A-3B9D7E687F9D}"/>
    <cellStyle name="Normal 2 2 2 2 5 4 6" xfId="7555" xr:uid="{2405F601-E226-4FFB-9FD3-54F313ECDFFF}"/>
    <cellStyle name="Normal 2 2 2 2 5 5 2" xfId="7556" xr:uid="{C08EC1A3-42FB-4217-9150-40351C7B744E}"/>
    <cellStyle name="Normal 2 2 2 2 5 5 4" xfId="7557" xr:uid="{42550EE1-D905-4F4F-BDCA-2397A3755D34}"/>
    <cellStyle name="Normal 2 2 2 2 5 5 6" xfId="7558" xr:uid="{6EE500C1-E2B9-456B-A2C8-845B6CE54852}"/>
    <cellStyle name="Normal 2 2 2 2 5 6 2" xfId="7559" xr:uid="{AC277718-84BD-4CB6-A3B5-D945D995311F}"/>
    <cellStyle name="Normal 2 2 2 2 5 6 4" xfId="7560" xr:uid="{3041E9C7-FD91-4FDA-B0A7-11EC6CB7F186}"/>
    <cellStyle name="Normal 2 2 2 2 5 6 6" xfId="7561" xr:uid="{F6928558-5016-4663-9D04-9E4B6FFB82C3}"/>
    <cellStyle name="Normal 2 2 2 2 5 7 3" xfId="7562" xr:uid="{38D6C0AA-BF33-440E-BAC4-0A67B1A5C19A}"/>
    <cellStyle name="Normal 2 2 2 2 5 7 5" xfId="7563" xr:uid="{C5261347-5F8B-42B0-B7DA-15121B9252B9}"/>
    <cellStyle name="Normal 2 2 2 2 5 8" xfId="7564" xr:uid="{0D65B00C-44F4-45D8-A770-556E741D355B}"/>
    <cellStyle name="Normal 2 2 2 2 5 8 3" xfId="7565" xr:uid="{54C83760-3D8A-480D-93D2-716EF9137AC1}"/>
    <cellStyle name="Normal 2 2 2 2 5 8 5" xfId="7566" xr:uid="{78E6CC5D-8700-436C-8059-F1DF037BF5E5}"/>
    <cellStyle name="Normal 2 2 2 2 5 9" xfId="7567" xr:uid="{BEA45CCF-FA76-49A5-89C1-024B5315A9FF}"/>
    <cellStyle name="Normal 2 2 2 2 51" xfId="7568" xr:uid="{F038E5AE-E296-4208-A2E4-BC3F3B5F0698}"/>
    <cellStyle name="Normal 2 2 2 2 52 2" xfId="7569" xr:uid="{81577139-9BBC-4104-BE53-89D1A72461FC}"/>
    <cellStyle name="Normal 2 2 2 2 52 4" xfId="7570" xr:uid="{C9D7CC54-9649-4AE5-B986-AA2EA4F33C76}"/>
    <cellStyle name="Normal 2 2 2 2 52 6" xfId="7571" xr:uid="{C488535B-212F-4777-9EB7-D0C5F70DF53B}"/>
    <cellStyle name="Normal 2 2 2 2 53 2" xfId="7572" xr:uid="{47E532AF-9AD0-43D2-8683-8A216B2C7A63}"/>
    <cellStyle name="Normal 2 2 2 2 53 4" xfId="7573" xr:uid="{1C2D516B-3A0A-4A7A-9EB3-9947FF6020E3}"/>
    <cellStyle name="Normal 2 2 2 2 53 6" xfId="7574" xr:uid="{F5E56803-ED7B-4362-B7F4-1B2C1758B39E}"/>
    <cellStyle name="Normal 2 2 2 2 54 2" xfId="7575" xr:uid="{208FA9CF-4F70-4D44-B532-54A5934DB787}"/>
    <cellStyle name="Normal 2 2 2 2 54 4" xfId="7576" xr:uid="{521A2F20-2D54-4862-AA45-C15E1D7CE783}"/>
    <cellStyle name="Normal 2 2 2 2 55 2" xfId="7577" xr:uid="{F8B55612-2C67-40F8-99C6-61B38AC19AC1}"/>
    <cellStyle name="Normal 2 2 2 2 55 4" xfId="7578" xr:uid="{649A4113-8355-4E80-B6B9-15B64B10FF14}"/>
    <cellStyle name="Normal 2 2 2 2 55 6" xfId="7579" xr:uid="{DF080777-7DE7-41E1-96A6-05E90DBF4006}"/>
    <cellStyle name="Normal 2 2 2 2 56 2" xfId="7580" xr:uid="{0209BE62-F471-4258-9E32-3A6C084D15A1}"/>
    <cellStyle name="Normal 2 2 2 2 56 2 2 2" xfId="7581" xr:uid="{53DD3E7F-AC01-4132-B2E2-89DB16BF4D0B}"/>
    <cellStyle name="Normal 2 2 2 2 56 2 2 4" xfId="7582" xr:uid="{37DACA24-3A37-4FB0-854E-225AF69E31C2}"/>
    <cellStyle name="Normal 2 2 2 2 56 2 2 6" xfId="7583" xr:uid="{CA12FCA2-A51F-45E6-AF5B-2E15B069F7A9}"/>
    <cellStyle name="Normal 2 2 2 2 56 3" xfId="7584" xr:uid="{0C9C6461-A9D5-4B84-B520-534773296A3C}"/>
    <cellStyle name="Normal 2 2 2 2 56 5" xfId="7585" xr:uid="{EEC73751-2A79-4AD0-8056-54DA6AAEE762}"/>
    <cellStyle name="Normal 2 2 2 2 56 7" xfId="7586" xr:uid="{FBD88ACD-15D8-498A-B0E2-37D564577C37}"/>
    <cellStyle name="Normal 2 2 2 2 57" xfId="7587" xr:uid="{1B509B94-03C1-490E-BB9D-0B5F26E7F913}"/>
    <cellStyle name="Normal 2 2 2 2 59" xfId="7588" xr:uid="{BA933C3D-777B-4E4D-9927-D92CD164C963}"/>
    <cellStyle name="Normal 2 2 2 2 6 10" xfId="7589" xr:uid="{F628A054-48B0-47DB-9F06-920720A07F28}"/>
    <cellStyle name="Normal 2 2 2 2 6 12" xfId="7590" xr:uid="{C6E9E409-C093-4792-819C-3384567CCB83}"/>
    <cellStyle name="Normal 2 2 2 2 6 2" xfId="7591" xr:uid="{E06D1835-3E6E-45E8-A268-C5E759354C18}"/>
    <cellStyle name="Normal 2 2 2 2 6 2 3" xfId="7592" xr:uid="{7015BB6D-D6ED-4C37-98D8-71DA66530A52}"/>
    <cellStyle name="Normal 2 2 2 2 6 2 5" xfId="7593" xr:uid="{E2310E32-8F17-4689-98B3-DCF41CDC509A}"/>
    <cellStyle name="Normal 2 2 2 2 6 3" xfId="7594" xr:uid="{AB4F6A86-BBDE-4CD5-A3AB-114E37E4BDB9}"/>
    <cellStyle name="Normal 2 2 2 2 6 3 3" xfId="7595" xr:uid="{9E14AB9F-578A-4AED-9C7D-CB78D4817CF9}"/>
    <cellStyle name="Normal 2 2 2 2 6 3 5" xfId="7596" xr:uid="{6C7F4144-4D46-49C3-8E4D-DF16987B8C3B}"/>
    <cellStyle name="Normal 2 2 2 2 6 4" xfId="7597" xr:uid="{82EC27F9-42FF-42EE-A088-0C51AAAD6FDE}"/>
    <cellStyle name="Normal 2 2 2 2 6 4 3" xfId="7598" xr:uid="{36358B81-8849-4FE3-901F-7BAEB7CFA085}"/>
    <cellStyle name="Normal 2 2 2 2 6 4 5" xfId="7599" xr:uid="{9DCC97D9-4BBE-4D62-B372-AC68A6D3D047}"/>
    <cellStyle name="Normal 2 2 2 2 6 5" xfId="7600" xr:uid="{EC1A02EB-2A8F-40BC-9429-31839C2D3B2F}"/>
    <cellStyle name="Normal 2 2 2 2 6 5 3" xfId="7601" xr:uid="{7218BAEA-3BCA-4FBC-B852-B70E6017B067}"/>
    <cellStyle name="Normal 2 2 2 2 6 5 5" xfId="7602" xr:uid="{43949511-DD27-499B-A532-7B48D2369760}"/>
    <cellStyle name="Normal 2 2 2 2 6 6" xfId="7603" xr:uid="{EB352A52-28A6-4A17-A7DE-8775D55ADDD6}"/>
    <cellStyle name="Normal 2 2 2 2 6 6 3" xfId="7604" xr:uid="{F05C2814-EB21-4A10-BE48-012D863E9B69}"/>
    <cellStyle name="Normal 2 2 2 2 6 7 2" xfId="7605" xr:uid="{AE7750E0-CAB6-4F11-B95A-9044D68CE38C}"/>
    <cellStyle name="Normal 2 2 2 2 6 7 6" xfId="7606" xr:uid="{3BCF4E3C-FB97-4BA9-AE52-B415E91E11FC}"/>
    <cellStyle name="Normal 2 2 2 2 6 8 4" xfId="7607" xr:uid="{059B52E8-0724-4501-ACAB-3C43011A78D8}"/>
    <cellStyle name="Normal 2 2 2 2 60" xfId="7608" xr:uid="{7273712C-A0F5-49CC-AEE9-472A9F07AA9B}"/>
    <cellStyle name="Normal 2 2 2 2 63" xfId="7609" xr:uid="{AE1543EA-A65D-4909-94B5-69CD76A2CB47}"/>
    <cellStyle name="Normal 2 2 2 2 65" xfId="7610" xr:uid="{39085C39-98E9-4EC8-8285-CF6CB1363FDF}"/>
    <cellStyle name="Normal 2 2 2 2 67" xfId="7611" xr:uid="{940199A6-6538-4354-8B27-665FB8CF8DAD}"/>
    <cellStyle name="Normal 2 2 2 2 69" xfId="7612" xr:uid="{E2CA4006-168E-42F6-9738-9D6F71EF794F}"/>
    <cellStyle name="Normal 2 2 2 2 7 10" xfId="7613" xr:uid="{681CB9A4-97EB-4D59-BB63-92725C81B270}"/>
    <cellStyle name="Normal 2 2 2 2 7 12" xfId="7614" xr:uid="{AB87F258-DAA0-4015-8EEB-02521B4CB331}"/>
    <cellStyle name="Normal 2 2 2 2 7 2" xfId="7615" xr:uid="{758D3F29-F594-4AD4-8C14-3D7557197430}"/>
    <cellStyle name="Normal 2 2 2 2 7 2 3" xfId="7616" xr:uid="{A355BE2F-5F85-4C70-884D-C65542FE5B91}"/>
    <cellStyle name="Normal 2 2 2 2 7 2 5" xfId="7617" xr:uid="{0FC1F3AD-9736-48A0-841D-E18E6B5A9997}"/>
    <cellStyle name="Normal 2 2 2 2 7 3" xfId="7618" xr:uid="{E78D136F-247D-4F25-8F5C-BA86646BBCB0}"/>
    <cellStyle name="Normal 2 2 2 2 7 3 3" xfId="7619" xr:uid="{662C5C6E-E0FE-48FE-9444-2B24F0729068}"/>
    <cellStyle name="Normal 2 2 2 2 7 3 5" xfId="7620" xr:uid="{FCB79B86-3BB6-482F-B799-B59CB1C0254C}"/>
    <cellStyle name="Normal 2 2 2 2 7 4" xfId="7621" xr:uid="{ED45D8A1-C9E3-4AE9-8667-2204A919A326}"/>
    <cellStyle name="Normal 2 2 2 2 7 4 3" xfId="7622" xr:uid="{4A3B1CED-0493-4E36-A04F-691D4644260B}"/>
    <cellStyle name="Normal 2 2 2 2 7 4 5" xfId="7623" xr:uid="{A3092C68-D1CA-4B14-A5C4-0DC4DDA8E56A}"/>
    <cellStyle name="Normal 2 2 2 2 7 5" xfId="7624" xr:uid="{8E0943C6-B899-4D68-A123-DBF01D31D93C}"/>
    <cellStyle name="Normal 2 2 2 2 7 5 3" xfId="7625" xr:uid="{856FB2B4-57C0-4D0A-B77E-D84013ABAB15}"/>
    <cellStyle name="Normal 2 2 2 2 7 5 5" xfId="7626" xr:uid="{88C0BE1D-8B66-4B94-9E7F-04E06F505127}"/>
    <cellStyle name="Normal 2 2 2 2 7 6" xfId="7627" xr:uid="{80ECDFA0-701A-4C48-B4DC-09D09717DCF2}"/>
    <cellStyle name="Normal 2 2 2 2 7 6 3" xfId="7628" xr:uid="{85CC3DA0-7A48-43C1-B485-AA31A079C88B}"/>
    <cellStyle name="Normal 2 2 2 2 7 6 5" xfId="7629" xr:uid="{D1B63217-F2B4-411B-A68A-F01C5A07261C}"/>
    <cellStyle name="Normal 2 2 2 2 7 7 2" xfId="7630" xr:uid="{FC8C774A-3BDD-4766-8CF4-853F94100276}"/>
    <cellStyle name="Normal 2 2 2 2 7 7 4" xfId="7631" xr:uid="{08387B95-7426-4883-9D33-6A32A1DEB096}"/>
    <cellStyle name="Normal 2 2 2 2 7 7 6" xfId="7632" xr:uid="{846E131B-5442-4A75-821B-B89B162605EA}"/>
    <cellStyle name="Normal 2 2 2 2 7 8 2" xfId="7633" xr:uid="{03E06370-D0A3-4DE3-8750-6366B9A8C58F}"/>
    <cellStyle name="Normal 2 2 2 2 7 8 4" xfId="7634" xr:uid="{5339E759-17AD-4E0E-A87A-8D7BBEF295CB}"/>
    <cellStyle name="Normal 2 2 2 2 7 8 6" xfId="7635" xr:uid="{D070F7E6-61FF-4C2D-B2FC-CE24BB69CF4C}"/>
    <cellStyle name="Normal 2 2 2 2 70" xfId="7636" xr:uid="{4984BC0A-129E-454C-9722-BF69BFC2487E}"/>
    <cellStyle name="Normal 2 2 2 2 72" xfId="7637" xr:uid="{AED4B9E4-4FA8-4A8D-8071-7F3D201B7CBA}"/>
    <cellStyle name="Normal 2 2 2 2 74" xfId="7638" xr:uid="{C36B9A28-E36C-40D8-99DD-DE274351A604}"/>
    <cellStyle name="Normal 2 2 2 2 76" xfId="7639" xr:uid="{2AA9B406-33BE-4A7B-8C8D-839B563D4586}"/>
    <cellStyle name="Normal 2 2 2 2 76 3" xfId="7640" xr:uid="{2348FC63-22A8-41B4-9D3D-72EDC542FB8A}"/>
    <cellStyle name="Normal 2 2 2 2 76 5" xfId="7641" xr:uid="{E07ECE08-90E7-4ABE-9A86-CD51A8495A99}"/>
    <cellStyle name="Normal 2 2 2 2 76 7" xfId="7642" xr:uid="{E9524883-2A86-4E94-A573-C8AA90BD1C50}"/>
    <cellStyle name="Normal 2 2 2 2 77 10" xfId="7643" xr:uid="{B6B08546-2069-400A-AA7E-FE0350648D18}"/>
    <cellStyle name="Normal 2 2 2 2 77 2" xfId="7644" xr:uid="{C53BDB45-5D07-4D45-A6F3-D77E44AC9CA0}"/>
    <cellStyle name="Normal 2 2 2 2 77 2 2 2" xfId="7645" xr:uid="{4056D08F-0A03-4003-8889-3A06CCAA54B0}"/>
    <cellStyle name="Normal 2 2 2 2 77 2 3" xfId="7646" xr:uid="{8B630BC3-17E8-4FAD-B5A3-F7CBD3A32ECC}"/>
    <cellStyle name="Normal 2 2 2 2 77 2 5" xfId="7647" xr:uid="{C3FC9DAC-81CA-4240-88B6-C03FF25EBE4F}"/>
    <cellStyle name="Normal 2 2 2 2 77 2 7" xfId="7648" xr:uid="{5BFE3008-97D9-46E9-9491-4B5ADF4AE285}"/>
    <cellStyle name="Normal 2 2 2 2 77 2 9" xfId="7649" xr:uid="{00017E29-FFDB-411B-866D-5FD23AA6BA48}"/>
    <cellStyle name="Normal 2 2 2 2 77 4" xfId="7650" xr:uid="{7EC0179E-D6D8-4DCA-8635-5E625F2AA94C}"/>
    <cellStyle name="Normal 2 2 2 2 77 5 2" xfId="7651" xr:uid="{4CFC0223-3A0A-4D0E-B4FD-10CB17DBB8D1}"/>
    <cellStyle name="Normal 2 2 2 2 77 6" xfId="7652" xr:uid="{76C75F7D-F4C6-4FBC-8D26-A8B02074D69A}"/>
    <cellStyle name="Normal 2 2 2 2 77 8" xfId="7653" xr:uid="{12AA38F8-AF88-4DAC-BAB1-4ADB03D34D68}"/>
    <cellStyle name="Normal 2 2 2 2 78" xfId="7654" xr:uid="{9CAB5A18-0DC2-4DD5-938A-9C6CAE06AA05}"/>
    <cellStyle name="Normal 2 2 2 2 8" xfId="7655" xr:uid="{A698B65D-E24A-4D69-B988-85592FF36182}"/>
    <cellStyle name="Normal 2 2 2 2 8 11" xfId="7656" xr:uid="{C7546881-232F-4D4D-BA28-1544F7A8CDF7}"/>
    <cellStyle name="Normal 2 2 2 2 8 13" xfId="7657" xr:uid="{D237C1DB-DE73-4B84-8204-C19CD0000EB5}"/>
    <cellStyle name="Normal 2 2 2 2 8 2 2" xfId="7658" xr:uid="{E0EB246A-F447-4AFE-BDE0-EFB275B5CEA9}"/>
    <cellStyle name="Normal 2 2 2 2 8 2 4" xfId="7659" xr:uid="{02040705-584D-4E48-882D-F9A942E7A622}"/>
    <cellStyle name="Normal 2 2 2 2 8 2 6" xfId="7660" xr:uid="{EC72FC01-2FE8-4A8A-ADF8-0A183A79B641}"/>
    <cellStyle name="Normal 2 2 2 2 8 3 2" xfId="7661" xr:uid="{E0E5687B-7749-4FB5-A093-81D628C8E290}"/>
    <cellStyle name="Normal 2 2 2 2 8 3 4" xfId="7662" xr:uid="{B872E6A2-865A-46AC-B5F6-3690A1DCA1A6}"/>
    <cellStyle name="Normal 2 2 2 2 8 3 6" xfId="7663" xr:uid="{734FF0EF-DB8A-4477-A57F-B1035549D59A}"/>
    <cellStyle name="Normal 2 2 2 2 8 4 2" xfId="7664" xr:uid="{C4D47774-90DC-4B87-9113-96246033D05D}"/>
    <cellStyle name="Normal 2 2 2 2 8 4 4" xfId="7665" xr:uid="{2F6F624D-56D5-4B8F-B05A-AFDE42D74F4C}"/>
    <cellStyle name="Normal 2 2 2 2 8 4 6" xfId="7666" xr:uid="{6E759C80-52F3-4740-934C-589C743A846A}"/>
    <cellStyle name="Normal 2 2 2 2 8 5 2" xfId="7667" xr:uid="{0CFB7169-93E3-493D-97E9-60E462FB4EE2}"/>
    <cellStyle name="Normal 2 2 2 2 8 5 4" xfId="7668" xr:uid="{972E71ED-903D-4566-B918-477872BC5E64}"/>
    <cellStyle name="Normal 2 2 2 2 8 5 6" xfId="7669" xr:uid="{344043EE-1E21-47F1-A75A-8C69B32E4648}"/>
    <cellStyle name="Normal 2 2 2 2 8 6 2" xfId="7670" xr:uid="{8E5C34AF-3CA0-418B-926F-4F5034558CAE}"/>
    <cellStyle name="Normal 2 2 2 2 8 6 4" xfId="7671" xr:uid="{CBDB5CDE-E019-453A-A6EF-20D8E20E5A73}"/>
    <cellStyle name="Normal 2 2 2 2 8 6 6" xfId="7672" xr:uid="{376000C3-9DA3-4839-903C-013B6ADEA2D8}"/>
    <cellStyle name="Normal 2 2 2 2 8 7 2" xfId="7673" xr:uid="{69D2D15D-A43D-4E28-870D-FE51F9C4D988}"/>
    <cellStyle name="Normal 2 2 2 2 8 7 4" xfId="7674" xr:uid="{0513FC03-7D80-41BE-9B14-1481EAA4C568}"/>
    <cellStyle name="Normal 2 2 2 2 8 7 6" xfId="7675" xr:uid="{6B5CC56C-F8C4-48C0-A435-6A97D57B8240}"/>
    <cellStyle name="Normal 2 2 2 2 8 8 3" xfId="7676" xr:uid="{D661B0AC-345F-420B-BF00-457B0A7F0DC1}"/>
    <cellStyle name="Normal 2 2 2 2 8 8 5" xfId="7677" xr:uid="{495E9715-1D65-42A1-B84F-231CC798D280}"/>
    <cellStyle name="Normal 2 2 2 2 8 9" xfId="7678" xr:uid="{06BE9BC5-1C5B-4A2F-8819-7FCFF801BC44}"/>
    <cellStyle name="Normal 2 2 2 2 80" xfId="7679" xr:uid="{3282BF4F-9FE5-4544-A311-727584A6EAB0}"/>
    <cellStyle name="Normal 2 2 2 2 80 2 2" xfId="7680" xr:uid="{87C625EC-CC6C-4CF9-A453-3447D9F7F349}"/>
    <cellStyle name="Normal 2 2 2 2 80 3" xfId="7681" xr:uid="{78F89D09-821F-4563-A53E-7E6240833AEF}"/>
    <cellStyle name="Normal 2 2 2 2 80 5" xfId="7682" xr:uid="{0D28CFD7-52C6-48DA-930C-68D1A746F6E1}"/>
    <cellStyle name="Normal 2 2 2 2 80 7" xfId="7683" xr:uid="{BDFBF674-35DE-4CBA-9228-E0A165FD6597}"/>
    <cellStyle name="Normal 2 2 2 2 80 9" xfId="7684" xr:uid="{4CC39FC4-89FF-41EC-9F2D-30F054E5A79C}"/>
    <cellStyle name="Normal 2 2 2 2 82" xfId="7685" xr:uid="{C3ADCD10-1421-4B7F-95E6-31350866DAC5}"/>
    <cellStyle name="Normal 2 2 2 2 82 3" xfId="7686" xr:uid="{9D51FD63-A78E-489B-974A-298E99732B71}"/>
    <cellStyle name="Normal 2 2 2 2 84" xfId="7687" xr:uid="{AC5EB6EE-0081-4D13-B9F1-DA79136D43DC}"/>
    <cellStyle name="Normal 2 2 2 2 86" xfId="7688" xr:uid="{5DF64DD7-71C4-44B3-BE95-57B990B422B4}"/>
    <cellStyle name="Normal 2 2 2 2 88" xfId="7689" xr:uid="{BADE7563-415F-4A87-8974-3188F6D9F954}"/>
    <cellStyle name="Normal 2 2 2 2 9" xfId="7690" xr:uid="{29AA0A07-BD35-4C22-B645-F4E018550957}"/>
    <cellStyle name="Normal 2 2 2 2 9 10 2" xfId="7691" xr:uid="{B64ED586-CE67-4031-B628-22CFCCD2A402}"/>
    <cellStyle name="Normal 2 2 2 2 9 10 4" xfId="7692" xr:uid="{9DCE1DC0-307E-41DD-B830-0289CCA9C2A0}"/>
    <cellStyle name="Normal 2 2 2 2 9 10 6" xfId="7693" xr:uid="{056260D7-860C-4B91-9DA8-4100B2FD2B2C}"/>
    <cellStyle name="Normal 2 2 2 2 9 11 2" xfId="7694" xr:uid="{181AA962-151A-46CA-A263-F4A8B01280CA}"/>
    <cellStyle name="Normal 2 2 2 2 9 11 4" xfId="7695" xr:uid="{BB2FA5EA-1B5D-4E43-A0DB-A314C6720080}"/>
    <cellStyle name="Normal 2 2 2 2 9 11 6" xfId="7696" xr:uid="{8E1FB4D5-0279-4555-BA68-AF806C89BBA3}"/>
    <cellStyle name="Normal 2 2 2 2 9 12 2" xfId="7697" xr:uid="{B1B5DBE8-B0B9-4A85-B9D3-33405EA1563A}"/>
    <cellStyle name="Normal 2 2 2 2 9 12 4" xfId="7698" xr:uid="{EF7854A8-06F9-4FB7-B89B-7F40F39CCDC0}"/>
    <cellStyle name="Normal 2 2 2 2 9 12 6" xfId="7699" xr:uid="{1D6CEF9B-EB6A-47E1-A636-52CF74A9D12E}"/>
    <cellStyle name="Normal 2 2 2 2 9 13 2" xfId="7700" xr:uid="{A920AA41-E3A4-45D9-A152-BF673C2472DD}"/>
    <cellStyle name="Normal 2 2 2 2 9 13 4" xfId="7701" xr:uid="{C8A9F62F-3DC2-4B69-BB5F-6D649C4EB733}"/>
    <cellStyle name="Normal 2 2 2 2 9 13 6" xfId="7702" xr:uid="{36A9960F-803F-42AE-B38E-B2316F354BA2}"/>
    <cellStyle name="Normal 2 2 2 2 9 14 2" xfId="7703" xr:uid="{B1F5BE01-A471-4AD2-880B-25FF603531DA}"/>
    <cellStyle name="Normal 2 2 2 2 9 14 4" xfId="7704" xr:uid="{95A04F96-B911-4531-93A3-70E9FF044269}"/>
    <cellStyle name="Normal 2 2 2 2 9 14 6" xfId="7705" xr:uid="{1C65D4BF-3D60-4509-B152-33389E9EDFA5}"/>
    <cellStyle name="Normal 2 2 2 2 9 17" xfId="7706" xr:uid="{C87AB7B2-15D6-4976-89C4-43EED5286259}"/>
    <cellStyle name="Normal 2 2 2 2 9 19" xfId="7707" xr:uid="{ED6CCAD7-8B48-4DD3-A968-7084961604A9}"/>
    <cellStyle name="Normal 2 2 2 2 9 3" xfId="7708" xr:uid="{CB8DFC47-1513-44F2-98D5-D3A56094F2F5}"/>
    <cellStyle name="Normal 2 2 2 2 9 5" xfId="7709" xr:uid="{A0D5A796-E57A-438B-9DE6-FA92AACA23F2}"/>
    <cellStyle name="Normal 2 2 2 2 9 7" xfId="7710" xr:uid="{01A975FA-9725-45CF-BC91-0491B7EAEAC7}"/>
    <cellStyle name="Normal 2 2 2 2 9 8 2" xfId="7711" xr:uid="{14C96986-9C08-4C56-A687-BFE7C58CFA20}"/>
    <cellStyle name="Normal 2 2 2 2 9 8 4" xfId="7712" xr:uid="{DE24BF1F-6B3A-4AF4-898E-149AD3A9B240}"/>
    <cellStyle name="Normal 2 2 2 2 9 8 6" xfId="7713" xr:uid="{E2B62CF9-3D55-4575-A5C2-187FD248839F}"/>
    <cellStyle name="Normal 2 2 2 2 9 9 2" xfId="7714" xr:uid="{77F308CA-DBD5-4888-8DD7-66043449284F}"/>
    <cellStyle name="Normal 2 2 2 2 9 9 4" xfId="7715" xr:uid="{1A13BFC1-5255-42E1-A567-F3FE61A6D493}"/>
    <cellStyle name="Normal 2 2 2 2 9 9 6" xfId="7716" xr:uid="{45357FEE-A539-47EC-A8AD-A7B7ED3C124B}"/>
    <cellStyle name="Normal 2 2 2 20 10" xfId="7717" xr:uid="{5B8E95FB-D575-4BB7-A3E5-C49B1FF5C3EB}"/>
    <cellStyle name="Normal 2 2 2 20 12" xfId="7718" xr:uid="{9A329C1A-A8E4-4354-A6D2-A3670F1EFD70}"/>
    <cellStyle name="Normal 2 2 2 20 14" xfId="7719" xr:uid="{370413BF-6884-4773-843B-386F0E27AE5C}"/>
    <cellStyle name="Normal 2 2 2 20 2 2" xfId="7720" xr:uid="{047FDBC0-6205-4845-B701-6001F1AE98F1}"/>
    <cellStyle name="Normal 2 2 2 20 2 3" xfId="7721" xr:uid="{F27D6517-4FC4-4573-8A3F-578838A55D67}"/>
    <cellStyle name="Normal 2 2 2 20 2 5" xfId="7722" xr:uid="{A82C5808-EFE3-402D-868E-E98FFA79D37B}"/>
    <cellStyle name="Normal 2 2 2 20 3" xfId="7723" xr:uid="{1D1A3A1F-5F1B-4778-A9BC-8DED5FFC8A15}"/>
    <cellStyle name="Normal 2 2 2 20 3 3" xfId="7724" xr:uid="{BEBC6E22-0703-4A04-B496-E2312299F25C}"/>
    <cellStyle name="Normal 2 2 2 20 3 5" xfId="7725" xr:uid="{371B1E94-1DBF-45E3-A3C0-24E5C3439822}"/>
    <cellStyle name="Normal 2 2 2 20 4" xfId="7726" xr:uid="{9CD71F39-7089-4D55-808B-66D25C86048A}"/>
    <cellStyle name="Normal 2 2 2 20 4 3" xfId="7727" xr:uid="{7A9D50AB-0E1B-4ACA-A360-7F0939CC5E3E}"/>
    <cellStyle name="Normal 2 2 2 20 4 5" xfId="7728" xr:uid="{292BB5EB-046F-4B55-A215-E7A8348EB136}"/>
    <cellStyle name="Normal 2 2 2 20 5" xfId="7729" xr:uid="{A31DB18E-DEB7-419C-B30D-4998CAB5B2AC}"/>
    <cellStyle name="Normal 2 2 2 20 5 4" xfId="7730" xr:uid="{DFD7D3C3-7805-493A-8E7E-F4F2CDDE399F}"/>
    <cellStyle name="Normal 2 2 2 20 6 2" xfId="7731" xr:uid="{1197C315-867D-4C03-9BE3-3AB8CB03B7A8}"/>
    <cellStyle name="Normal 2 2 2 20 6 6" xfId="7732" xr:uid="{B3AE3847-63E5-4699-B8DE-9DAEC167B82C}"/>
    <cellStyle name="Normal 2 2 2 20 7 3" xfId="7733" xr:uid="{E7CAF7F0-C7F8-4217-AD6C-1DA423D3649F}"/>
    <cellStyle name="Normal 2 2 2 20 7 5" xfId="7734" xr:uid="{89AB4882-B68B-48F2-8A19-C14F1ADA54E9}"/>
    <cellStyle name="Normal 2 2 2 20 8" xfId="7735" xr:uid="{8113868E-FFE2-482A-8038-F641951E20F4}"/>
    <cellStyle name="Normal 2 2 2 20 8 3" xfId="7736" xr:uid="{CD6A1D76-77DD-4F29-AB32-ED1CB6E37296}"/>
    <cellStyle name="Normal 2 2 2 20 8 5" xfId="7737" xr:uid="{EA2566CC-3B88-4C0E-AEDA-8214A5C8E88C}"/>
    <cellStyle name="Normal 2 2 2 20 9" xfId="7738" xr:uid="{B724D2E6-ECCD-44E3-995E-3CE27D4BB34F}"/>
    <cellStyle name="Normal 2 2 2 21 10" xfId="7739" xr:uid="{14D0A8C2-CD9A-4B09-8DD2-6D582CBAF7F7}"/>
    <cellStyle name="Normal 2 2 2 21 12" xfId="7740" xr:uid="{66C9FCB1-35A9-42DA-8DC3-DA9DC96C51E1}"/>
    <cellStyle name="Normal 2 2 2 21 14" xfId="7741" xr:uid="{685ABCC7-E260-46BB-A520-E234879EBFB1}"/>
    <cellStyle name="Normal 2 2 2 21 2 2" xfId="7742" xr:uid="{0A9E55A3-D7AE-43B0-9F50-E834F55260E3}"/>
    <cellStyle name="Normal 2 2 2 21 2 6" xfId="7743" xr:uid="{4B250927-EA03-4156-88AC-9FAC366E48BD}"/>
    <cellStyle name="Normal 2 2 2 21 3 2" xfId="7744" xr:uid="{385EA2E6-2E81-4B3A-A149-A09139D1342D}"/>
    <cellStyle name="Normal 2 2 2 21 3 5" xfId="7745" xr:uid="{F1DDB638-07DC-4156-A370-E91FDA50D868}"/>
    <cellStyle name="Normal 2 2 2 21 4" xfId="7746" xr:uid="{EB7B6CD4-856E-4CDA-879A-EF58D36DA64C}"/>
    <cellStyle name="Normal 2 2 2 21 4 3" xfId="7747" xr:uid="{1C2AF735-866D-43EE-976B-6D0DD72BF6CD}"/>
    <cellStyle name="Normal 2 2 2 21 4 5" xfId="7748" xr:uid="{F7EDED99-B2BD-4E8D-805C-BB0815BD6FD5}"/>
    <cellStyle name="Normal 2 2 2 21 5" xfId="7749" xr:uid="{1D65D951-C5E5-417A-AB94-9EDD434B41C1}"/>
    <cellStyle name="Normal 2 2 2 21 5 3" xfId="7750" xr:uid="{853BF857-FA5F-463B-9440-B94D9EA327A6}"/>
    <cellStyle name="Normal 2 2 2 21 5 5" xfId="7751" xr:uid="{DDA064E8-99C3-475F-98D1-6ED8C1998718}"/>
    <cellStyle name="Normal 2 2 2 21 6" xfId="7752" xr:uid="{3CEC5A83-C29F-44C9-B682-221C15F6F9DE}"/>
    <cellStyle name="Normal 2 2 2 21 6 3" xfId="7753" xr:uid="{8DDF14A5-7308-4B65-808E-C6381FDD0228}"/>
    <cellStyle name="Normal 2 2 2 21 6 5" xfId="7754" xr:uid="{9F32DA24-67A6-4DC2-B784-31B15F465B54}"/>
    <cellStyle name="Normal 2 2 2 21 7" xfId="7755" xr:uid="{80CD86C7-D377-43F2-9B68-CB044951C330}"/>
    <cellStyle name="Normal 2 2 2 21 7 3" xfId="7756" xr:uid="{6090E735-366B-471B-8756-B83C2DBC2B6B}"/>
    <cellStyle name="Normal 2 2 2 21 7 5" xfId="7757" xr:uid="{649450B2-1EE7-40C2-8C79-5D1DC985E186}"/>
    <cellStyle name="Normal 2 2 2 21 8" xfId="7758" xr:uid="{18E51353-AFBB-427D-B432-6A108E9372F1}"/>
    <cellStyle name="Normal 2 2 2 21 8 3" xfId="7759" xr:uid="{5F46D03C-0CA5-458E-8076-33B2D512067A}"/>
    <cellStyle name="Normal 2 2 2 21 8 5" xfId="7760" xr:uid="{F618C580-A3E4-4A98-ACB0-CF24AD31C95B}"/>
    <cellStyle name="Normal 2 2 2 21 9" xfId="7761" xr:uid="{BA781B5D-9A74-4FC3-9629-4EFA2AB04244}"/>
    <cellStyle name="Normal 2 2 2 22 10" xfId="7762" xr:uid="{E96F7B36-6125-44B8-80A7-9115BB008675}"/>
    <cellStyle name="Normal 2 2 2 22 12" xfId="7763" xr:uid="{8D18C832-4D50-4B90-9BA6-311E77512F8D}"/>
    <cellStyle name="Normal 2 2 2 22 14" xfId="7764" xr:uid="{B73E57A6-2B6E-4A94-A1EA-4A5DF83EFED8}"/>
    <cellStyle name="Normal 2 2 2 22 2 2" xfId="7765" xr:uid="{C3774BC7-34FE-4782-802B-C249EDC0D449}"/>
    <cellStyle name="Normal 2 2 2 22 2 4" xfId="7766" xr:uid="{90144134-DC06-466A-AEB2-3EE4ED0A4C69}"/>
    <cellStyle name="Normal 2 2 2 22 2 6" xfId="7767" xr:uid="{B42DE117-F6E3-45A0-8579-1ED3F53196CD}"/>
    <cellStyle name="Normal 2 2 2 22 3 2" xfId="7768" xr:uid="{4E6392F6-F8CE-48F3-8240-4F6A8016D880}"/>
    <cellStyle name="Normal 2 2 2 22 3 4" xfId="7769" xr:uid="{F583E38C-3FF6-48D7-8D08-553A655F2779}"/>
    <cellStyle name="Normal 2 2 2 22 3 6" xfId="7770" xr:uid="{8384C19A-D20D-4E60-9598-6FF346F47E45}"/>
    <cellStyle name="Normal 2 2 2 22 4 2" xfId="7771" xr:uid="{346A13F9-A86F-4E28-B3C0-FC50F69029D7}"/>
    <cellStyle name="Normal 2 2 2 22 4 4" xfId="7772" xr:uid="{FF5AC9A9-A27C-4EF8-AA86-CD5DED3DB676}"/>
    <cellStyle name="Normal 2 2 2 22 4 6" xfId="7773" xr:uid="{61F7D088-6EEE-4ED3-87CA-EB2574DBA052}"/>
    <cellStyle name="Normal 2 2 2 22 5 2" xfId="7774" xr:uid="{C89776EE-F861-4764-9076-BE8FE7534462}"/>
    <cellStyle name="Normal 2 2 2 22 5 4" xfId="7775" xr:uid="{877A6721-CAA0-413E-91D7-3CD7FC6C8037}"/>
    <cellStyle name="Normal 2 2 2 22 5 6" xfId="7776" xr:uid="{D9CD511B-AF48-4315-AA6C-843C119A748B}"/>
    <cellStyle name="Normal 2 2 2 22 6 2" xfId="7777" xr:uid="{9444C08C-500E-4A96-802D-7517A7177485}"/>
    <cellStyle name="Normal 2 2 2 22 6 4" xfId="7778" xr:uid="{ED065D6B-A2F2-4AD6-89A3-5C6F012F8AA8}"/>
    <cellStyle name="Normal 2 2 2 22 6 6" xfId="7779" xr:uid="{35BEDF95-67D0-4E73-A2AC-A2B00797CF59}"/>
    <cellStyle name="Normal 2 2 2 22 7 3" xfId="7780" xr:uid="{F7EA74AA-8F84-4551-AB4B-8EC615978C8B}"/>
    <cellStyle name="Normal 2 2 2 22 7 5" xfId="7781" xr:uid="{5CBB8677-A7D9-42DE-88D7-26C11C0579EF}"/>
    <cellStyle name="Normal 2 2 2 22 8 2" xfId="7782" xr:uid="{085F5BA3-6E77-47CD-98E8-EA683954CE8C}"/>
    <cellStyle name="Normal 2 2 2 22 8 6" xfId="7783" xr:uid="{CB5C5CBD-1B23-4248-945C-15D673A7EC7F}"/>
    <cellStyle name="Normal 2 2 2 23 11" xfId="7784" xr:uid="{0DCBF45B-A53E-41D0-9A85-F4A48681EF41}"/>
    <cellStyle name="Normal 2 2 2 23 13" xfId="7785" xr:uid="{4BC819A1-9466-408C-AFCB-BAF79E9841BE}"/>
    <cellStyle name="Normal 2 2 2 23 2 2" xfId="7786" xr:uid="{C1719F68-028C-466D-AA14-79E0AE37DAED}"/>
    <cellStyle name="Normal 2 2 2 23 2 6" xfId="7787" xr:uid="{35993F36-ADAC-4010-8FDE-7F8F44851272}"/>
    <cellStyle name="Normal 2 2 2 23 3 4" xfId="7788" xr:uid="{830309BC-7A35-4E80-A7D7-2EA2181B0C26}"/>
    <cellStyle name="Normal 2 2 2 23 4 2" xfId="7789" xr:uid="{AB14F33F-1DC8-4C78-A770-7ACEC005F5A3}"/>
    <cellStyle name="Normal 2 2 2 23 4 4" xfId="7790" xr:uid="{F6696836-FDC4-449C-9A49-06683483E95D}"/>
    <cellStyle name="Normal 2 2 2 23 4 6" xfId="7791" xr:uid="{E2D19D30-C133-41EF-AAD8-ECEA91692FF0}"/>
    <cellStyle name="Normal 2 2 2 23 5 2" xfId="7792" xr:uid="{7EBB38BB-E4AF-4C68-B9A5-D2B38BB4283A}"/>
    <cellStyle name="Normal 2 2 2 23 5 4" xfId="7793" xr:uid="{C8E8EC84-58EB-49EA-B516-1FA1C667B47E}"/>
    <cellStyle name="Normal 2 2 2 23 5 6" xfId="7794" xr:uid="{9F7EC542-EC8F-48AF-982E-E5D97D48F572}"/>
    <cellStyle name="Normal 2 2 2 23 6 2" xfId="7795" xr:uid="{5A3E39C0-E3BD-4BE6-A7F5-41FFC08CA7F8}"/>
    <cellStyle name="Normal 2 2 2 23 6 4" xfId="7796" xr:uid="{AA9B3B72-E0B4-4830-868F-E70AF8D3A20C}"/>
    <cellStyle name="Normal 2 2 2 23 6 6" xfId="7797" xr:uid="{A96BB897-C53A-4DF5-897C-D270A67DCDA3}"/>
    <cellStyle name="Normal 2 2 2 23 7 2" xfId="7798" xr:uid="{AB8649DF-6096-4D5E-AD96-7A9AE3C7BEB4}"/>
    <cellStyle name="Normal 2 2 2 23 7 4" xfId="7799" xr:uid="{1B3FC55B-8BBA-4C43-A408-15A0387B5E82}"/>
    <cellStyle name="Normal 2 2 2 23 7 6" xfId="7800" xr:uid="{6B203FE7-9014-4B48-9B33-89C1FF159EE7}"/>
    <cellStyle name="Normal 2 2 2 23 8 2" xfId="7801" xr:uid="{17688D0F-15DF-4B3E-8D59-0CF9FF8BA92C}"/>
    <cellStyle name="Normal 2 2 2 23 8 4" xfId="7802" xr:uid="{4806B4B2-F124-40C1-AAE8-8EF4183C3FA0}"/>
    <cellStyle name="Normal 2 2 2 23 8 6" xfId="7803" xr:uid="{19402847-3EF9-4870-8946-E017E23CAFCD}"/>
    <cellStyle name="Normal 2 2 2 24 10" xfId="7804" xr:uid="{FB109738-7EBC-40AD-A301-E1D556667961}"/>
    <cellStyle name="Normal 2 2 2 24 14" xfId="7805" xr:uid="{BA12EF59-6224-4791-87E4-11B40749F17C}"/>
    <cellStyle name="Normal 2 2 2 24 2 2" xfId="7806" xr:uid="{CBF4C7A1-B33A-451D-B5C2-3356821B1DE6}"/>
    <cellStyle name="Normal 2 2 2 24 2 5" xfId="7807" xr:uid="{7D6CBB96-A0D5-4FB4-8333-2127FB82697E}"/>
    <cellStyle name="Normal 2 2 2 24 3" xfId="7808" xr:uid="{9027009F-8A6A-4560-8025-BFC2EF3749AF}"/>
    <cellStyle name="Normal 2 2 2 24 3 3" xfId="7809" xr:uid="{4C11A3A6-DC91-445D-BE2E-0FF2FEEA803E}"/>
    <cellStyle name="Normal 2 2 2 24 3 5" xfId="7810" xr:uid="{38959B97-1803-4BB0-BE74-E7DA123C19D1}"/>
    <cellStyle name="Normal 2 2 2 24 4" xfId="7811" xr:uid="{C03F32C8-9C6C-4259-9649-CBB5A33BB80E}"/>
    <cellStyle name="Normal 2 2 2 24 4 3" xfId="7812" xr:uid="{F79896FE-8DDB-49AF-98F3-DD56ACD2BE67}"/>
    <cellStyle name="Normal 2 2 2 24 4 5" xfId="7813" xr:uid="{23170546-BA30-45BE-93F4-17C2653675D8}"/>
    <cellStyle name="Normal 2 2 2 24 5 2" xfId="7814" xr:uid="{68CCF784-D2E6-4B24-98D5-51FC951CA8F5}"/>
    <cellStyle name="Normal 2 2 2 24 5 5" xfId="7815" xr:uid="{A10B7429-E1CE-48AC-A3B3-BA5520837D0E}"/>
    <cellStyle name="Normal 2 2 2 24 6 3" xfId="7816" xr:uid="{F76BED1F-A307-4B4B-91B9-4FE6F0A9D8CB}"/>
    <cellStyle name="Normal 2 2 2 24 7" xfId="7817" xr:uid="{4917C756-F387-4219-B2A9-D98BE38BC25F}"/>
    <cellStyle name="Normal 2 2 2 24 7 5" xfId="7818" xr:uid="{7F5F9DD3-05D9-423E-ADF1-CA508D7CFDE4}"/>
    <cellStyle name="Normal 2 2 2 24 8 3" xfId="7819" xr:uid="{AAC90758-18D6-4474-B3BB-881464821389}"/>
    <cellStyle name="Normal 2 2 2 24 9" xfId="7820" xr:uid="{EE64896C-0494-45A1-98C3-04A9FFAEE2C4}"/>
    <cellStyle name="Normal 2 2 2 25 10" xfId="7821" xr:uid="{3430763D-6BBC-40B8-96F3-E7EC098AF302}"/>
    <cellStyle name="Normal 2 2 2 25 12" xfId="7822" xr:uid="{71776FF0-F9A1-4005-A391-8D1FA99CC148}"/>
    <cellStyle name="Normal 2 2 2 25 2" xfId="7823" xr:uid="{00538572-91E2-4539-9EC2-E0E60E2673FD}"/>
    <cellStyle name="Normal 2 2 2 25 2 3" xfId="7824" xr:uid="{98BCEC53-C9C9-4BF9-8ECE-9065A624A2A6}"/>
    <cellStyle name="Normal 2 2 2 25 2 5" xfId="7825" xr:uid="{70DC81EE-6A5C-43B6-B0B8-F635D7FF002A}"/>
    <cellStyle name="Normal 2 2 2 25 3" xfId="7826" xr:uid="{A8F4529C-4B85-414C-906A-09187959F240}"/>
    <cellStyle name="Normal 2 2 2 25 3 3" xfId="7827" xr:uid="{99CFD524-8F44-465E-8A66-36A6A4097D24}"/>
    <cellStyle name="Normal 2 2 2 25 3 5" xfId="7828" xr:uid="{793EA398-8BC3-4525-B45E-D092B2A6ACF5}"/>
    <cellStyle name="Normal 2 2 2 25 4" xfId="7829" xr:uid="{A6A28FCF-F655-4717-9E33-7EDAF8498C5F}"/>
    <cellStyle name="Normal 2 2 2 25 4 3" xfId="7830" xr:uid="{ACB18B94-31D1-4D2F-BC90-800A8B759050}"/>
    <cellStyle name="Normal 2 2 2 25 4 5" xfId="7831" xr:uid="{D3AE8157-7B4E-496A-8EE9-60C642D5422A}"/>
    <cellStyle name="Normal 2 2 2 25 5" xfId="7832" xr:uid="{75E01AA0-69DD-4929-8D07-504B77EAC4CD}"/>
    <cellStyle name="Normal 2 2 2 25 5 3" xfId="7833" xr:uid="{416D047B-B577-4909-B86D-D8DF3D7A7549}"/>
    <cellStyle name="Normal 2 2 2 25 5 5" xfId="7834" xr:uid="{D00D834A-D220-493C-936E-9A396B1DEB77}"/>
    <cellStyle name="Normal 2 2 2 25 6" xfId="7835" xr:uid="{F69AF45F-3720-4F8E-9F2F-09F3AF5E0E9C}"/>
    <cellStyle name="Normal 2 2 2 25 6 3" xfId="7836" xr:uid="{D676F028-5D0A-49C1-B9E7-47C718A98B56}"/>
    <cellStyle name="Normal 2 2 2 25 6 5" xfId="7837" xr:uid="{DACC1E6C-C7B0-49E7-ACAB-58DD5D65917B}"/>
    <cellStyle name="Normal 2 2 2 25 7" xfId="7838" xr:uid="{CBCC23AA-243F-4140-85D4-B77B1B277B0A}"/>
    <cellStyle name="Normal 2 2 2 25 7 3" xfId="7839" xr:uid="{8CEAA5E2-695A-4E45-B81D-784C5B607BAC}"/>
    <cellStyle name="Normal 2 2 2 25 7 5" xfId="7840" xr:uid="{B12DD401-48C1-44CF-BD05-22FFE3C3488C}"/>
    <cellStyle name="Normal 2 2 2 25 8" xfId="7841" xr:uid="{49847D06-0CBD-4BD6-A4BA-3124546989E3}"/>
    <cellStyle name="Normal 2 2 2 25 8 3" xfId="7842" xr:uid="{5D4CF417-ECE2-4816-B5D7-E212CA9A4675}"/>
    <cellStyle name="Normal 2 2 2 25 8 5" xfId="7843" xr:uid="{4D3FB31E-3924-49B2-B2C9-9A5C616DC2FB}"/>
    <cellStyle name="Normal 2 2 2 26" xfId="7844" xr:uid="{EA007172-9503-416E-83EA-93C36C3B1445}"/>
    <cellStyle name="Normal 2 2 2 26 11" xfId="7845" xr:uid="{445F699F-E2AD-4CD8-B727-090422A2D26C}"/>
    <cellStyle name="Normal 2 2 2 26 13" xfId="7846" xr:uid="{9821818D-2A0E-4630-913A-6AE0BCD00D5A}"/>
    <cellStyle name="Normal 2 2 2 26 2" xfId="7847" xr:uid="{F1CC2795-2C46-4AAC-B985-250EAA169D5A}"/>
    <cellStyle name="Normal 2 2 2 26 2 3" xfId="7848" xr:uid="{24ECC671-066B-42B3-B508-44E40FFEDFBC}"/>
    <cellStyle name="Normal 2 2 2 26 2 5" xfId="7849" xr:uid="{505768EB-F7D7-4CA6-8322-2A00F4A4658D}"/>
    <cellStyle name="Normal 2 2 2 26 3" xfId="7850" xr:uid="{938102C9-7CED-4233-8F37-F2BD573C4578}"/>
    <cellStyle name="Normal 2 2 2 26 3 3" xfId="7851" xr:uid="{8544B7A7-51D3-422A-A7EC-F35917674596}"/>
    <cellStyle name="Normal 2 2 2 26 4" xfId="7852" xr:uid="{C62D371D-C0FB-4F62-B40A-DD3D6EF33DCA}"/>
    <cellStyle name="Normal 2 2 2 26 4 5" xfId="7853" xr:uid="{111A10CE-5AB0-4414-B9E0-2BCE99B3FE9D}"/>
    <cellStyle name="Normal 2 2 2 26 5 2" xfId="7854" xr:uid="{877DEA63-1CB1-484B-A7CE-AAA0AD8FFD0E}"/>
    <cellStyle name="Normal 2 2 2 26 5 4" xfId="7855" xr:uid="{DB30DCC3-476A-497B-ACEC-DBAF507267B0}"/>
    <cellStyle name="Normal 2 2 2 26 5 6" xfId="7856" xr:uid="{33FFA2BF-807F-4447-85D6-DDAC2CE7D1EB}"/>
    <cellStyle name="Normal 2 2 2 26 6 3" xfId="7857" xr:uid="{396696AC-35E8-463E-8BD7-E16673AC8AB7}"/>
    <cellStyle name="Normal 2 2 2 26 7" xfId="7858" xr:uid="{C719CF8F-00F7-4121-81C0-EC04D1D47FE3}"/>
    <cellStyle name="Normal 2 2 2 26 7 5" xfId="7859" xr:uid="{05221929-5E7C-4013-B17A-CBB86A2F2006}"/>
    <cellStyle name="Normal 2 2 2 26 8 2" xfId="7860" xr:uid="{EF1EFF68-D93E-4E25-BC6C-9B604DC396D2}"/>
    <cellStyle name="Normal 2 2 2 26 8 4" xfId="7861" xr:uid="{918490A7-2096-4871-BDAA-06A1F26FC2FD}"/>
    <cellStyle name="Normal 2 2 2 26 8 6" xfId="7862" xr:uid="{E4447235-9D4C-43F8-9BA3-17A1AF4D41E2}"/>
    <cellStyle name="Normal 2 2 2 27 10" xfId="7863" xr:uid="{300780AE-AC63-43A8-A344-1632A513B08B}"/>
    <cellStyle name="Normal 2 2 2 27 14" xfId="7864" xr:uid="{C4FDCC04-9CED-4BCE-AC85-ACD6C09EF259}"/>
    <cellStyle name="Normal 2 2 2 27 2 2" xfId="7865" xr:uid="{F1374F2D-B65D-49D4-80C8-33A2BBD4BDBD}"/>
    <cellStyle name="Normal 2 2 2 27 2 5" xfId="7866" xr:uid="{D0B4210A-F26C-4D67-8921-41B008D1624C}"/>
    <cellStyle name="Normal 2 2 2 27 3" xfId="7867" xr:uid="{29C54979-971E-4368-BE4A-1619769077AB}"/>
    <cellStyle name="Normal 2 2 2 27 3 3" xfId="7868" xr:uid="{5DEF3031-57B4-4A0B-8C2A-D00FD942329D}"/>
    <cellStyle name="Normal 2 2 2 27 3 5" xfId="7869" xr:uid="{525DC2CB-D477-45A4-B694-AADC7F69A0B7}"/>
    <cellStyle name="Normal 2 2 2 27 4 2" xfId="7870" xr:uid="{7CB82FA4-7CF9-4DE5-B9DD-3F8C349B07E4}"/>
    <cellStyle name="Normal 2 2 2 27 4 4" xfId="7871" xr:uid="{0E5E3009-DA20-4E24-BF72-9AD51112E8C7}"/>
    <cellStyle name="Normal 2 2 2 27 5" xfId="7872" xr:uid="{FFA00C99-586C-427C-96C0-7A1E40D1E34A}"/>
    <cellStyle name="Normal 2 2 2 27 5 5" xfId="7873" xr:uid="{67EEE89C-8098-4B75-8C84-B60331F10269}"/>
    <cellStyle name="Normal 2 2 2 27 6 3" xfId="7874" xr:uid="{DEEA75EC-51AB-4ADF-9577-1C25754CDB2A}"/>
    <cellStyle name="Normal 2 2 2 27 6 6" xfId="7875" xr:uid="{45A69021-9EBE-496C-A211-E1959E50A4EB}"/>
    <cellStyle name="Normal 2 2 2 27 7 2" xfId="7876" xr:uid="{BCEA7008-083D-43D2-AD35-C3761B00F580}"/>
    <cellStyle name="Normal 2 2 2 27 7 5" xfId="7877" xr:uid="{08A27BDE-DD08-4A4C-A1C7-C8BC42EB9E96}"/>
    <cellStyle name="Normal 2 2 2 27 8 3" xfId="7878" xr:uid="{D2FE9C9C-2136-411A-BB38-7270B40642F6}"/>
    <cellStyle name="Normal 2 2 2 27 9" xfId="7879" xr:uid="{4B7F36E3-1455-40DC-A9F1-38AD8A4380AF}"/>
    <cellStyle name="Normal 2 2 2 28 12" xfId="7880" xr:uid="{BF212C3F-8284-4109-937F-134014E3DBB5}"/>
    <cellStyle name="Normal 2 2 2 28 17" xfId="7881" xr:uid="{99C91631-65AB-45D2-8D09-A845C664C552}"/>
    <cellStyle name="Normal 2 2 2 28 2" xfId="7882" xr:uid="{74DE45CF-2A11-4838-AE96-427D6FBA3A55}"/>
    <cellStyle name="Normal 2 2 2 28 23" xfId="7883" xr:uid="{1C1DCE49-3562-43DA-A2EE-E84D059F7CD5}"/>
    <cellStyle name="Normal 2 2 2 28 25" xfId="7884" xr:uid="{149E7D0A-4523-46FE-8E72-4B4CDF806540}"/>
    <cellStyle name="Normal 2 2 2 28 27" xfId="7885" xr:uid="{8CF7610F-72FD-4FE4-A6E5-A8633D46AC85}"/>
    <cellStyle name="Normal 2 2 2 28 31" xfId="7886" xr:uid="{013FEE4C-E12C-436A-A8D2-264461282765}"/>
    <cellStyle name="Normal 2 2 2 28 34" xfId="7887" xr:uid="{B0978052-267B-4B1E-9C1C-EA7F4DD8C87F}"/>
    <cellStyle name="Normal 2 2 2 28 38" xfId="7888" xr:uid="{21B7D1F7-97E8-4272-BED7-200B403881C3}"/>
    <cellStyle name="Normal 2 2 2 28 7" xfId="7889" xr:uid="{9750E1C8-9365-47F6-8FC8-D28588BE566F}"/>
    <cellStyle name="Normal 2 2 2 29 10" xfId="7890" xr:uid="{EF60426B-3191-42D0-9801-B7F63E401D62}"/>
    <cellStyle name="Normal 2 2 2 29 13" xfId="7891" xr:uid="{0786C444-F462-4158-AA97-356F6F65F62A}"/>
    <cellStyle name="Normal 2 2 2 29 17" xfId="7892" xr:uid="{D36675F0-7C18-43F4-81CD-DF98FCE00D70}"/>
    <cellStyle name="Normal 2 2 2 29 2" xfId="7893" xr:uid="{F3DA0E56-FC7B-46B9-91D0-C9E391A0F416}"/>
    <cellStyle name="Normal 2 2 2 29 21" xfId="7894" xr:uid="{DB2BF9C2-6484-4C0D-81EC-88A87E1F7B16}"/>
    <cellStyle name="Normal 2 2 2 29 23" xfId="7895" xr:uid="{249DF69B-6E16-4758-A1E4-0017567B4217}"/>
    <cellStyle name="Normal 2 2 2 29 29" xfId="7896" xr:uid="{C63E707E-969D-421F-A19C-4146A31A3F3D}"/>
    <cellStyle name="Normal 2 2 2 29 31" xfId="7897" xr:uid="{49FF5483-5082-4A98-B3A7-8EBC9ACAAF74}"/>
    <cellStyle name="Normal 2 2 2 29 33" xfId="7898" xr:uid="{1A6109C6-A699-4444-8A32-891EBD891252}"/>
    <cellStyle name="Normal 2 2 2 29 35" xfId="7899" xr:uid="{C6E62992-AAAA-4244-AB86-5B0403687D4D}"/>
    <cellStyle name="Normal 2 2 2 29 37" xfId="7900" xr:uid="{FC22778C-B5BE-4ED4-B449-4906CCB1CC57}"/>
    <cellStyle name="Normal 2 2 2 29 5" xfId="7901" xr:uid="{E41AF66C-7923-40F9-A5F1-825A58DD5F96}"/>
    <cellStyle name="Normal 2 2 2 29 7" xfId="7902" xr:uid="{273DCB33-56C8-4F08-92C5-D8C6353FCFDF}"/>
    <cellStyle name="Normal 2 2 2 3 2" xfId="7903" xr:uid="{0E7A89E1-E4A5-4974-A8E2-EFFF740A4217}"/>
    <cellStyle name="Normal 2 2 2 30 12" xfId="7904" xr:uid="{455B2322-0C21-40B5-8A37-8FCF0E002CC4}"/>
    <cellStyle name="Normal 2 2 2 30 15" xfId="7905" xr:uid="{6B326A28-90BE-4B75-B0E1-BD0544CE17C7}"/>
    <cellStyle name="Normal 2 2 2 30 18" xfId="7906" xr:uid="{FCBD23C3-37E0-410C-9B05-625CBA09F8CC}"/>
    <cellStyle name="Normal 2 2 2 30 2" xfId="7907" xr:uid="{F489FE1C-13CA-47D3-92A7-6F25E934E9EB}"/>
    <cellStyle name="Normal 2 2 2 30 21" xfId="7908" xr:uid="{6FD2ED86-BC77-4337-96C6-02544B09E9E1}"/>
    <cellStyle name="Normal 2 2 2 30 23" xfId="7909" xr:uid="{82CDD5F3-DC3A-4CB8-9540-38B1648AD271}"/>
    <cellStyle name="Normal 2 2 2 30 25" xfId="7910" xr:uid="{0CB245F2-0B5E-4326-A4DA-4BEF6A12DE00}"/>
    <cellStyle name="Normal 2 2 2 30 28" xfId="7911" xr:uid="{57D12AF6-D806-4B2A-9886-E97C32C417CD}"/>
    <cellStyle name="Normal 2 2 2 30 3" xfId="7912" xr:uid="{62339C41-D17B-41EB-BA7D-9BD24EC00205}"/>
    <cellStyle name="Normal 2 2 2 30 33" xfId="7913" xr:uid="{15999D3C-1BCE-41B5-A195-EEA99B5B6832}"/>
    <cellStyle name="Normal 2 2 2 30 37" xfId="7914" xr:uid="{65457A97-2CE1-4F39-8F81-C2695C162405}"/>
    <cellStyle name="Normal 2 2 2 30 6" xfId="7915" xr:uid="{8072B796-A390-49AA-AF38-69BD5C8FA5A4}"/>
    <cellStyle name="Normal 2 2 2 30 8" xfId="7916" xr:uid="{F9325C6A-E2AB-4768-836D-EDD64000C8D9}"/>
    <cellStyle name="Normal 2 2 2 31 10" xfId="7917" xr:uid="{FBBCDD51-9459-4A2B-96D6-38FA83FB310B}"/>
    <cellStyle name="Normal 2 2 2 31 14" xfId="7918" xr:uid="{5B219662-AE94-4D14-A7AB-F1B882C16F21}"/>
    <cellStyle name="Normal 2 2 2 31 18" xfId="7919" xr:uid="{B2BBD26B-1773-4C1C-A358-FD49D23CBF34}"/>
    <cellStyle name="Normal 2 2 2 31 21" xfId="7920" xr:uid="{ED5E6494-3FF7-4B42-91D0-E103390BF503}"/>
    <cellStyle name="Normal 2 2 2 31 25" xfId="7921" xr:uid="{803B59FC-A853-4532-810F-636D9CDD7264}"/>
    <cellStyle name="Normal 2 2 2 31 28" xfId="7922" xr:uid="{1ED8EB84-E19F-4C76-843D-1376431E5CF4}"/>
    <cellStyle name="Normal 2 2 2 31 30" xfId="7923" xr:uid="{657E8BAB-BE84-411F-BFD8-7D718EF8574B}"/>
    <cellStyle name="Normal 2 2 2 31 32" xfId="7924" xr:uid="{A7BE3E5C-CF38-4A50-B713-0A61B0098FE0}"/>
    <cellStyle name="Normal 2 2 2 31 34" xfId="7925" xr:uid="{5AC6D59B-8010-41CC-9953-884C0BD56617}"/>
    <cellStyle name="Normal 2 2 2 31 36" xfId="7926" xr:uid="{B9DEF103-CA16-4B11-BD9F-22172C57618D}"/>
    <cellStyle name="Normal 2 2 2 31 38" xfId="7927" xr:uid="{92A79E90-C19D-4C14-B56A-E3BF4160CBDC}"/>
    <cellStyle name="Normal 2 2 2 31 5" xfId="7928" xr:uid="{7E81CA5C-CA93-4A62-99D9-01DD7A9B6794}"/>
    <cellStyle name="Normal 2 2 2 31 9" xfId="7929" xr:uid="{8CDED3A2-206D-4E4C-8F96-E2E56E20AABA}"/>
    <cellStyle name="Normal 2 2 2 32 11" xfId="7930" xr:uid="{AD79AC73-3AC7-4142-90B4-167309932716}"/>
    <cellStyle name="Normal 2 2 2 32 15" xfId="7931" xr:uid="{476A97F2-3BDF-4A73-81C7-14DD3A5135AF}"/>
    <cellStyle name="Normal 2 2 2 32 19" xfId="7932" xr:uid="{0740264B-3229-4468-8D36-737179FA9EDB}"/>
    <cellStyle name="Normal 2 2 2 32 22" xfId="7933" xr:uid="{74235DD6-538B-4BE4-819F-4AD8F71110B4}"/>
    <cellStyle name="Normal 2 2 2 32 25" xfId="7934" xr:uid="{CE89D22C-E6F9-4A8C-9C0C-7F94E1FFE7ED}"/>
    <cellStyle name="Normal 2 2 2 32 29" xfId="7935" xr:uid="{25FE966B-2B51-4000-AA33-108380E55843}"/>
    <cellStyle name="Normal 2 2 2 32 31" xfId="7936" xr:uid="{D9C34024-9C19-48D9-8BD1-E701BD31D21D}"/>
    <cellStyle name="Normal 2 2 2 32 33" xfId="7937" xr:uid="{BCD8E1CD-310C-4131-AC78-16D7B51AAD5C}"/>
    <cellStyle name="Normal 2 2 2 32 35" xfId="7938" xr:uid="{997D6A42-3E7D-4FFB-A135-CA25445E6DF7}"/>
    <cellStyle name="Normal 2 2 2 32 38" xfId="7939" xr:uid="{F9DD57E0-8789-4B69-BE0C-4C422756CF21}"/>
    <cellStyle name="Normal 2 2 2 32 6" xfId="7940" xr:uid="{12A86D10-4F88-46E9-980A-331529A95DA3}"/>
    <cellStyle name="Normal 2 2 2 32 9" xfId="7941" xr:uid="{4802C4D0-2286-4B57-AFFE-323A1DC9FF2B}"/>
    <cellStyle name="Normal 2 2 2 33 10" xfId="7942" xr:uid="{4E29AFC1-3449-4D02-A528-F3C880CBA2A6}"/>
    <cellStyle name="Normal 2 2 2 33 12" xfId="7943" xr:uid="{4ADDDC87-ABE7-496E-822A-F612AE0F4482}"/>
    <cellStyle name="Normal 2 2 2 33 14" xfId="7944" xr:uid="{9C59E46E-6EF4-4840-A48A-FB1E541AA0D7}"/>
    <cellStyle name="Normal 2 2 2 33 17" xfId="7945" xr:uid="{AFF7312B-D436-4B53-9CD3-8BB66D62C15A}"/>
    <cellStyle name="Normal 2 2 2 33 19" xfId="7946" xr:uid="{7B315118-A4EC-439A-BFC4-484F1087922C}"/>
    <cellStyle name="Normal 2 2 2 33 22" xfId="7947" xr:uid="{2B4BD2BA-DD71-4100-B132-F05020CECB7A}"/>
    <cellStyle name="Normal 2 2 2 33 24" xfId="7948" xr:uid="{412A7396-F47A-4FF6-836B-8C0A9CF8711C}"/>
    <cellStyle name="Normal 2 2 2 33 26" xfId="7949" xr:uid="{EFAB6E06-E8D9-4AE0-B2E4-358F4E1BB2EE}"/>
    <cellStyle name="Normal 2 2 2 33 28" xfId="7950" xr:uid="{7A41AE2C-7F67-4F6D-BBAC-0091F66AB014}"/>
    <cellStyle name="Normal 2 2 2 33 3" xfId="7951" xr:uid="{70F67BBD-60EC-4F66-A7D1-80D71F6873AA}"/>
    <cellStyle name="Normal 2 2 2 33 31" xfId="7952" xr:uid="{6851147E-8549-4B65-B7A3-FCC719BA6AFF}"/>
    <cellStyle name="Normal 2 2 2 33 33" xfId="7953" xr:uid="{05E047F9-9FD1-402A-8FD6-D8D4888C66E0}"/>
    <cellStyle name="Normal 2 2 2 33 35" xfId="7954" xr:uid="{CB82A257-385D-4C8E-9AFD-4E2E10807E74}"/>
    <cellStyle name="Normal 2 2 2 33 37" xfId="7955" xr:uid="{66E1C970-69EB-4AFC-91CA-EA5DF1C799DC}"/>
    <cellStyle name="Normal 2 2 2 33 4" xfId="7956" xr:uid="{AB0781A9-7079-4FFE-864F-F9619C5E98BB}"/>
    <cellStyle name="Normal 2 2 2 33 7" xfId="7957" xr:uid="{15A6ED26-476B-4EEB-BC42-28B9DF2CDEA1}"/>
    <cellStyle name="Normal 2 2 2 33 9" xfId="7958" xr:uid="{58F0698C-C357-4E00-A2C4-6D5CC1DC1039}"/>
    <cellStyle name="Normal 2 2 2 34 10" xfId="7959" xr:uid="{53357130-662B-4252-891E-A35E2FCAA0B4}"/>
    <cellStyle name="Normal 2 2 2 34 14" xfId="7960" xr:uid="{C2B8E53D-E2BE-4F31-A2A2-C44EC78BC0F8}"/>
    <cellStyle name="Normal 2 2 2 34 17" xfId="7961" xr:uid="{1D0C3E81-0B69-44D1-8149-4974B8C64168}"/>
    <cellStyle name="Normal 2 2 2 34 2" xfId="7962" xr:uid="{96E8FCF7-5178-4A27-99CB-12DA816EEF2A}"/>
    <cellStyle name="Normal 2 2 2 34 21" xfId="7963" xr:uid="{BFC1D52C-F180-414E-9E38-945F39CE3ED6}"/>
    <cellStyle name="Normal 2 2 2 34 23" xfId="7964" xr:uid="{C0ED23D6-C2FB-44DD-9C97-B68BD60EB2F3}"/>
    <cellStyle name="Normal 2 2 2 34 25" xfId="7965" xr:uid="{89B30BBE-17A0-455E-AED0-FA19B554E5F8}"/>
    <cellStyle name="Normal 2 2 2 34 27" xfId="7966" xr:uid="{F46CBA9A-F171-4DB9-8880-7F965A5AA5EF}"/>
    <cellStyle name="Normal 2 2 2 34 3" xfId="7967" xr:uid="{855E1FBB-E7FB-47E2-923D-4D0777EE54FE}"/>
    <cellStyle name="Normal 2 2 2 34 31" xfId="7968" xr:uid="{7DD6A673-EEB9-4466-9740-105594E87D41}"/>
    <cellStyle name="Normal 2 2 2 34 35" xfId="7969" xr:uid="{48757B66-71AE-4E0A-AAB1-17FD9227FC6A}"/>
    <cellStyle name="Normal 2 2 2 34 4" xfId="7970" xr:uid="{87F53ECF-FA4A-48F8-AFB1-FB097E03FCB6}"/>
    <cellStyle name="Normal 2 2 2 34 8" xfId="7971" xr:uid="{CBC2E220-EF6D-4FE0-BE52-E64F86F41565}"/>
    <cellStyle name="Normal 2 2 2 35" xfId="7972" xr:uid="{55D2CA2E-9B27-456A-A797-0FB8F230C476}"/>
    <cellStyle name="Normal 2 2 2 35 12" xfId="7973" xr:uid="{D6F9C274-6A34-46B6-A271-76F305DD70EB}"/>
    <cellStyle name="Normal 2 2 2 35 16" xfId="7974" xr:uid="{B46839FF-D515-45BE-BD4B-4DC4D407C841}"/>
    <cellStyle name="Normal 2 2 2 35 2" xfId="7975" xr:uid="{70198541-66FD-4ECC-BE81-E15B06A1D25A}"/>
    <cellStyle name="Normal 2 2 2 35 23" xfId="7976" xr:uid="{6A2281AE-E559-4E55-8448-929603E8F2C8}"/>
    <cellStyle name="Normal 2 2 2 35 27" xfId="7977" xr:uid="{BF222B0F-EEFD-4957-9A0A-9B84A5956443}"/>
    <cellStyle name="Normal 2 2 2 35 3" xfId="7978" xr:uid="{60905B9F-70C9-4A8D-BF3C-FCD1B507C6E3}"/>
    <cellStyle name="Normal 2 2 2 35 32" xfId="7979" xr:uid="{AC4DC40B-00C6-4F0F-A332-9403BBDFF0B0}"/>
    <cellStyle name="Normal 2 2 2 35 34" xfId="7980" xr:uid="{248D937A-2A0D-4893-A0AD-EEEF55C13D7B}"/>
    <cellStyle name="Normal 2 2 2 35 36" xfId="7981" xr:uid="{00AD5A7C-059C-43D7-A121-4F63F929A01C}"/>
    <cellStyle name="Normal 2 2 2 35 38" xfId="7982" xr:uid="{A5900532-091C-405C-A5C0-4591B8063823}"/>
    <cellStyle name="Normal 2 2 2 35 5" xfId="7983" xr:uid="{983FEE8E-5AEC-4E80-BC48-AB194BB2CC86}"/>
    <cellStyle name="Normal 2 2 2 35 7" xfId="7984" xr:uid="{0D0939C2-FCA0-4CB9-93D6-4CD5324A99D5}"/>
    <cellStyle name="Normal 2 2 2 35 9" xfId="7985" xr:uid="{3AA92B93-3F78-47B6-95EA-F5D8A9395655}"/>
    <cellStyle name="Normal 2 2 2 36 11" xfId="7986" xr:uid="{D5F1646E-1096-4033-A5BD-ED25139A1CCF}"/>
    <cellStyle name="Normal 2 2 2 36 13" xfId="7987" xr:uid="{A223DBA2-E8BB-40BE-A26F-728623AC709A}"/>
    <cellStyle name="Normal 2 2 2 36 15" xfId="7988" xr:uid="{C933E896-92B2-4510-9BDD-7DBE5EC28344}"/>
    <cellStyle name="Normal 2 2 2 36 17" xfId="7989" xr:uid="{662C239C-F45F-43BF-AB25-A38195DF8956}"/>
    <cellStyle name="Normal 2 2 2 36 19" xfId="7990" xr:uid="{F5B27AB4-DEF0-4641-9CBE-5B686E6AD487}"/>
    <cellStyle name="Normal 2 2 2 36 20" xfId="7991" xr:uid="{B27A6657-948B-4CFD-BF4D-B2BD16B57234}"/>
    <cellStyle name="Normal 2 2 2 36 22" xfId="7992" xr:uid="{DA6EBC6D-2E0E-4C78-911E-EAFCBBA7B9B3}"/>
    <cellStyle name="Normal 2 2 2 36 24" xfId="7993" xr:uid="{BD8B7100-1C7D-4F3D-894A-5BFC24F85512}"/>
    <cellStyle name="Normal 2 2 2 36 26" xfId="7994" xr:uid="{66CE401B-BBEC-4943-A0D9-18E7F16DAEF3}"/>
    <cellStyle name="Normal 2 2 2 36 28" xfId="7995" xr:uid="{25C6E0A7-E488-4969-B995-497FA3664EE2}"/>
    <cellStyle name="Normal 2 2 2 36 3" xfId="7996" xr:uid="{F12D5C67-1315-4B72-881F-09DE7D576162}"/>
    <cellStyle name="Normal 2 2 2 36 31" xfId="7997" xr:uid="{69CE8536-6B65-41DA-B2C6-7AA42CF2167C}"/>
    <cellStyle name="Normal 2 2 2 36 33" xfId="7998" xr:uid="{C34E0F93-458F-4FC0-AB86-7C0F56374520}"/>
    <cellStyle name="Normal 2 2 2 36 35" xfId="7999" xr:uid="{D67AABFB-E599-4C5C-80A1-096D9BCA7A7A}"/>
    <cellStyle name="Normal 2 2 2 36 37" xfId="8000" xr:uid="{8866F6FA-08DC-4485-812F-9F8E2A01B993}"/>
    <cellStyle name="Normal 2 2 2 36 4" xfId="8001" xr:uid="{A2D95A8C-3B22-44B5-A32E-8536F520FAAE}"/>
    <cellStyle name="Normal 2 2 2 36 6" xfId="8002" xr:uid="{A1BA35E7-0977-4BCA-9C18-4ECB778122CF}"/>
    <cellStyle name="Normal 2 2 2 36 8" xfId="8003" xr:uid="{7E188856-826D-4E0F-BC9A-4BC24A79DDDC}"/>
    <cellStyle name="Normal 2 2 2 37 10" xfId="8004" xr:uid="{45C0CF2C-6E55-4742-A134-5A91DBD33680}"/>
    <cellStyle name="Normal 2 2 2 37 14" xfId="8005" xr:uid="{CEB00347-3011-4469-A9FB-251E19D5642C}"/>
    <cellStyle name="Normal 2 2 2 37 18" xfId="8006" xr:uid="{275BD9E8-34EF-486D-A0CA-56037280927D}"/>
    <cellStyle name="Normal 2 2 2 37 2 3" xfId="8007" xr:uid="{9F820AC5-CCAD-4EFF-9BF7-25F8917A410E}"/>
    <cellStyle name="Normal 2 2 2 37 2 6" xfId="8008" xr:uid="{6946D55C-0E12-4E3D-899B-5449FA3AB511}"/>
    <cellStyle name="Normal 2 2 2 37 21" xfId="8009" xr:uid="{FD9CF679-E8EB-437A-A448-1E3AE4996D1E}"/>
    <cellStyle name="Normal 2 2 2 37 23" xfId="8010" xr:uid="{2099CDFF-D8CD-4314-9FF4-5F92D70AB094}"/>
    <cellStyle name="Normal 2 2 2 37 25" xfId="8011" xr:uid="{15E6A3E7-6453-4582-8E28-73D28B914B1C}"/>
    <cellStyle name="Normal 2 2 2 37 28" xfId="8012" xr:uid="{A1BCF123-FC95-4CFD-AA86-E9F0F7629B69}"/>
    <cellStyle name="Normal 2 2 2 37 3 2" xfId="8013" xr:uid="{8B97FC48-8B87-41D8-8C95-91671194E1A9}"/>
    <cellStyle name="Normal 2 2 2 37 3 6" xfId="8014" xr:uid="{38EB95AC-57B8-4B73-B79F-233BB2DE96FF}"/>
    <cellStyle name="Normal 2 2 2 37 33" xfId="8015" xr:uid="{4AB00E17-94BE-470E-B472-EB6C3E4268B6}"/>
    <cellStyle name="Normal 2 2 2 37 4 2" xfId="8016" xr:uid="{42A21481-AB9D-4480-BB25-B25098797353}"/>
    <cellStyle name="Normal 2 2 2 37 4 6" xfId="8017" xr:uid="{693D807A-562E-4E48-B725-7D956EED943F}"/>
    <cellStyle name="Normal 2 2 2 37 5 3" xfId="8018" xr:uid="{59C9F910-27F1-4D20-9207-7B4C0697124A}"/>
    <cellStyle name="Normal 2 2 2 37 6" xfId="8019" xr:uid="{F36694E2-3176-4345-AD5E-1B99A0601B4D}"/>
    <cellStyle name="Normal 2 2 2 37 6 3" xfId="8020" xr:uid="{138626CB-60B6-43CE-A9E9-EBAC9E6EF82E}"/>
    <cellStyle name="Normal 2 2 2 37 6 5" xfId="8021" xr:uid="{5D27018D-CBAD-4FE0-BB8A-4FF95C6DD4BC}"/>
    <cellStyle name="Normal 2 2 2 37 7" xfId="8022" xr:uid="{804133A7-DB6A-4958-A5AB-DEFD8FC0FDE8}"/>
    <cellStyle name="Normal 2 2 2 38" xfId="8023" xr:uid="{41F6A7D8-8C30-4E53-9A7E-485E0186A5CB}"/>
    <cellStyle name="Normal 2 2 2 38 3" xfId="8024" xr:uid="{8D87A22F-3D17-4869-85FF-403F5308E760}"/>
    <cellStyle name="Normal 2 2 2 38 5" xfId="8025" xr:uid="{2254F284-4B1B-42C9-BF1D-D2502C83E51C}"/>
    <cellStyle name="Normal 2 2 2 39" xfId="8026" xr:uid="{F6005CC8-41ED-4CF8-BFB6-0B70EFBDC640}"/>
    <cellStyle name="Normal 2 2 2 39 4" xfId="8027" xr:uid="{2D8654C5-F537-4C17-B3AB-386FC836F1F3}"/>
    <cellStyle name="Normal 2 2 2 39 6" xfId="8028" xr:uid="{A52C2971-0670-4192-B20C-A25E93E23031}"/>
    <cellStyle name="Normal 2 2 2 4" xfId="8029" xr:uid="{88895E5C-7DDF-4AE3-9D4A-C20AF7129B33}"/>
    <cellStyle name="Normal 2 2 2 4 2 2" xfId="8030" xr:uid="{01C30B54-4182-4C15-AC01-B542685961DD}"/>
    <cellStyle name="Normal 2 2 2 4 2 2 2 2" xfId="8031" xr:uid="{C119F205-78D5-4468-8685-350EE7814B50}"/>
    <cellStyle name="Normal 2 2 2 4 2 3 2" xfId="8032" xr:uid="{C39CAFAD-46CE-4649-8704-0C82EABF07C4}"/>
    <cellStyle name="Normal 2 2 2 4 3" xfId="8033" xr:uid="{8B998463-7709-42C8-BA2B-4BFE24117949}"/>
    <cellStyle name="Normal 2 2 2 4 5" xfId="8034" xr:uid="{59337771-A966-4F9C-987C-E26706E5BA0C}"/>
    <cellStyle name="Normal 2 2 2 40 3" xfId="8035" xr:uid="{8E5F7E2F-27A4-41A5-AE8B-005620BB6305}"/>
    <cellStyle name="Normal 2 2 2 40 7" xfId="8036" xr:uid="{89BD6350-B399-4115-BAC5-849A29CE3108}"/>
    <cellStyle name="Normal 2 2 2 41 2" xfId="8037" xr:uid="{C1D6AA03-7ABF-4D9D-8386-D762BC37C1E4}"/>
    <cellStyle name="Normal 2 2 2 41 4" xfId="8038" xr:uid="{82D9E877-5BAF-4A7C-B754-E5DBC636E0D2}"/>
    <cellStyle name="Normal 2 2 2 41 6" xfId="8039" xr:uid="{0387AA46-4FD7-4911-977E-E78A590D7EBA}"/>
    <cellStyle name="Normal 2 2 2 42" xfId="8040" xr:uid="{73484825-D72A-46C6-B760-0F472C1A3F80}"/>
    <cellStyle name="Normal 2 2 2 42 3" xfId="8041" xr:uid="{A900C7B7-5289-4E1E-BDE5-752A55AE1063}"/>
    <cellStyle name="Normal 2 2 2 42 5" xfId="8042" xr:uid="{7415C26D-7632-4B1D-BEA9-329AB0C2CE0B}"/>
    <cellStyle name="Normal 2 2 2 42 7" xfId="8043" xr:uid="{E601E17A-470D-4A70-87D3-10DABCC99B60}"/>
    <cellStyle name="Normal 2 2 2 43 2" xfId="8044" xr:uid="{A408BC30-D0BF-48FA-82F1-F64C4D9ED50C}"/>
    <cellStyle name="Normal 2 2 2 43 4" xfId="8045" xr:uid="{F7C8C0DA-E347-4F0D-8A1F-DCB857D84AB5}"/>
    <cellStyle name="Normal 2 2 2 43 6" xfId="8046" xr:uid="{7AB5C20A-2CAA-4161-92BF-12A664F9ACF9}"/>
    <cellStyle name="Normal 2 2 2 44 2" xfId="8047" xr:uid="{DA0D6006-3E29-48A7-945D-826680BB2503}"/>
    <cellStyle name="Normal 2 2 2 44 5" xfId="8048" xr:uid="{89C86888-A439-40F8-957F-D18A5080C53B}"/>
    <cellStyle name="Normal 2 2 2 44 7" xfId="8049" xr:uid="{0CDC67FE-065D-4EF0-97EA-8819583B5793}"/>
    <cellStyle name="Normal 2 2 2 45 2" xfId="8050" xr:uid="{645C9D54-99C8-47E2-8C70-F2259396C444}"/>
    <cellStyle name="Normal 2 2 2 45 5" xfId="8051" xr:uid="{9706D6D3-7A20-4626-90C8-2CA1F1C90127}"/>
    <cellStyle name="Normal 2 2 2 45 7" xfId="8052" xr:uid="{27DC2EC0-D4A5-4E9D-8ECA-EE73E27C2A31}"/>
    <cellStyle name="Normal 2 2 2 46 2" xfId="8053" xr:uid="{D01461C8-2838-453B-87F6-532D6D40FE3E}"/>
    <cellStyle name="Normal 2 2 2 46 6" xfId="8054" xr:uid="{50AE4B72-7BBA-4C2F-9E37-6CC1B48D8AB6}"/>
    <cellStyle name="Normal 2 2 2 47 3" xfId="8055" xr:uid="{0BD8F7F4-5DC8-4E8D-A15B-8B8B6FFF6AAB}"/>
    <cellStyle name="Normal 2 2 2 47 6" xfId="8056" xr:uid="{AB124251-F230-458D-B188-4E4440FDC194}"/>
    <cellStyle name="Normal 2 2 2 48 2" xfId="8057" xr:uid="{4B92C835-D340-48F4-BD27-C9350DCF281A}"/>
    <cellStyle name="Normal 2 2 2 48 4" xfId="8058" xr:uid="{C5A395E3-AD56-4B09-B581-032E2FA4D367}"/>
    <cellStyle name="Normal 2 2 2 48 5" xfId="8059" xr:uid="{6DCC4C25-CDF3-44F4-90DA-BFC8E88DE557}"/>
    <cellStyle name="Normal 2 2 2 48 7" xfId="8060" xr:uid="{6BAE42B7-0AD8-4380-9FD3-808B5086FB33}"/>
    <cellStyle name="Normal 2 2 2 49 2" xfId="8061" xr:uid="{8D22D2C4-756B-4004-BBB6-B682F9A464FA}"/>
    <cellStyle name="Normal 2 2 2 49 4" xfId="8062" xr:uid="{E847F226-9708-45A4-9E10-BE767EA4E155}"/>
    <cellStyle name="Normal 2 2 2 49 6" xfId="8063" xr:uid="{9437537C-E712-43AE-9742-4DCBF96FFD1E}"/>
    <cellStyle name="Normal 2 2 2 5" xfId="8064" xr:uid="{56A15865-1674-4768-9792-0E568FDC7113}"/>
    <cellStyle name="Normal 2 2 2 50" xfId="8065" xr:uid="{3EC1434C-8B7E-4F9F-9AA8-30FD663DB92B}"/>
    <cellStyle name="Normal 2 2 2 50 3" xfId="8066" xr:uid="{DB43ECD4-A6B3-4630-8B37-C8E02A83AEF8}"/>
    <cellStyle name="Normal 2 2 2 50 5" xfId="8067" xr:uid="{7A850207-79EB-473A-A1EB-1A2B24D52580}"/>
    <cellStyle name="Normal 2 2 2 50 7" xfId="8068" xr:uid="{4C1CDE5F-083F-4631-B9DD-18A517B78DA4}"/>
    <cellStyle name="Normal 2 2 2 51 2" xfId="8069" xr:uid="{9F3E12DD-3E2B-4DEB-8AF2-89AE447D9696}"/>
    <cellStyle name="Normal 2 2 2 51 4" xfId="8070" xr:uid="{E4D164E3-A8DB-4F34-BE89-2FE52BE82611}"/>
    <cellStyle name="Normal 2 2 2 51 6" xfId="8071" xr:uid="{B0370A47-DBC9-46EE-BEBF-28E8304F4C3E}"/>
    <cellStyle name="Normal 2 2 2 52" xfId="8072" xr:uid="{D2619DF7-AD08-4EE2-9C66-89EBE125F4EA}"/>
    <cellStyle name="Normal 2 2 2 53" xfId="8073" xr:uid="{793368CE-09D9-44FB-951F-2B59404C1FCD}"/>
    <cellStyle name="Normal 2 2 2 54" xfId="8074" xr:uid="{009139AA-A6CE-4489-8A69-56FEDCFA733D}"/>
    <cellStyle name="Normal 2 2 2 55" xfId="8075" xr:uid="{7C308D29-278E-4ADC-85AC-439483203236}"/>
    <cellStyle name="Normal 2 2 2 56" xfId="8076" xr:uid="{88C513E5-DD46-45AE-A2FA-0A2F5619D61E}"/>
    <cellStyle name="Normal 2 2 2 56 2 2" xfId="8077" xr:uid="{7D164EB2-AEC3-4DA6-AD81-10853B8F81BB}"/>
    <cellStyle name="Normal 2 2 2 56 2 2 2 2" xfId="8078" xr:uid="{2C0D3D11-9AAB-457C-B2A6-E6A4AA34AEE4}"/>
    <cellStyle name="Normal 2 2 2 56 2 2 2 4" xfId="8079" xr:uid="{7A1A66CB-6793-4EEF-B230-7A7D268C266D}"/>
    <cellStyle name="Normal 2 2 2 56 2 2 2 6" xfId="8080" xr:uid="{78D33975-0C37-4159-B598-C4DA19C71A4D}"/>
    <cellStyle name="Normal 2 2 2 56 2 4" xfId="8081" xr:uid="{27822E2C-FBC2-499D-AFBF-55AB7F0269DB}"/>
    <cellStyle name="Normal 2 2 2 56 2 6" xfId="8082" xr:uid="{999428AF-35E6-426D-BDD5-59DFC9B7C365}"/>
    <cellStyle name="Normal 2 2 2 56 3" xfId="8083" xr:uid="{C26B1B15-9722-4364-9F71-B77E169B74E6}"/>
    <cellStyle name="Normal 2 2 2 56 3 3" xfId="8084" xr:uid="{CFFF0C29-3122-4AD8-9004-669AD99D807F}"/>
    <cellStyle name="Normal 2 2 2 56 3 5" xfId="8085" xr:uid="{CBD3776D-D638-4019-AC63-5D8F2A00C445}"/>
    <cellStyle name="Normal 2 2 2 56 4" xfId="8086" xr:uid="{3E2A0E65-6C66-407B-948F-B3F36F6589CD}"/>
    <cellStyle name="Normal 2 2 2 57 2" xfId="8087" xr:uid="{00004B3B-46A5-4524-B1E7-182FC56CDDD1}"/>
    <cellStyle name="Normal 2 2 2 57 4" xfId="8088" xr:uid="{02F42430-3A36-4FB1-952E-05D3CE0DCE1B}"/>
    <cellStyle name="Normal 2 2 2 57 6" xfId="8089" xr:uid="{8274D312-23CA-406E-A434-262C5A6E642F}"/>
    <cellStyle name="Normal 2 2 2 58" xfId="8090" xr:uid="{78BAE9D3-712F-4EFE-B130-49A6F8B3EEEA}"/>
    <cellStyle name="Normal 2 2 2 58 6" xfId="8091" xr:uid="{D1E1F0B2-CA04-4B15-A337-F782F4BE935D}"/>
    <cellStyle name="Normal 2 2 2 59" xfId="8092" xr:uid="{7DD0800E-9AF4-458E-880F-32C2CCD148A3}"/>
    <cellStyle name="Normal 2 2 2 59 3" xfId="8093" xr:uid="{68DC38F7-F082-48D5-A561-7817ACC37C82}"/>
    <cellStyle name="Normal 2 2 2 59 5" xfId="8094" xr:uid="{BC48464E-E93B-43F2-8393-C57B28E2E23E}"/>
    <cellStyle name="Normal 2 2 2 6" xfId="8095" xr:uid="{698B4ED3-BF02-429C-AF92-A02122204E67}"/>
    <cellStyle name="Normal 2 2 2 60" xfId="8096" xr:uid="{560A128C-026D-4006-82CA-9295DB06F6E6}"/>
    <cellStyle name="Normal 2 2 2 60 3" xfId="8097" xr:uid="{B6D4B68A-CBE0-4B0E-8682-23DEC1EA0D7D}"/>
    <cellStyle name="Normal 2 2 2 60 5" xfId="8098" xr:uid="{4C557270-338E-45FA-9DB4-9C11ACDCBFA9}"/>
    <cellStyle name="Normal 2 2 2 61" xfId="8099" xr:uid="{772A2DA8-812F-463F-8A18-CE174291CAF0}"/>
    <cellStyle name="Normal 2 2 2 61 3" xfId="8100" xr:uid="{3F8DC2A7-67A7-4233-800D-78A2353178E4}"/>
    <cellStyle name="Normal 2 2 2 61 5" xfId="8101" xr:uid="{0BF9930A-485D-4B5E-A093-3F8B8EB316DE}"/>
    <cellStyle name="Normal 2 2 2 62" xfId="8102" xr:uid="{BBB1A94D-EF60-404C-88B0-8F782C763D8B}"/>
    <cellStyle name="Normal 2 2 2 62 3" xfId="8103" xr:uid="{D25B72FE-3376-421A-B190-4C73A3E89216}"/>
    <cellStyle name="Normal 2 2 2 62 5" xfId="8104" xr:uid="{8A9C0CD3-20D3-41E0-AE76-4EB4191D2AA1}"/>
    <cellStyle name="Normal 2 2 2 63" xfId="8105" xr:uid="{4A944826-F519-4158-88D0-9FFF0FA73DA8}"/>
    <cellStyle name="Normal 2 2 2 63 3" xfId="8106" xr:uid="{BD197A85-D071-446B-A491-4E6EA5A9FE65}"/>
    <cellStyle name="Normal 2 2 2 63 5" xfId="8107" xr:uid="{3AB82FF6-145C-4495-AD73-1F52C64BF322}"/>
    <cellStyle name="Normal 2 2 2 64" xfId="8108" xr:uid="{AF4E0ECF-FCEC-4553-8D34-D12B4C286D49}"/>
    <cellStyle name="Normal 2 2 2 64 3" xfId="8109" xr:uid="{1A28467E-4695-4BF4-88B6-13E41272D146}"/>
    <cellStyle name="Normal 2 2 2 64 5" xfId="8110" xr:uid="{B8839943-FAC1-4D57-93E5-3B70095A87DD}"/>
    <cellStyle name="Normal 2 2 2 65" xfId="8111" xr:uid="{CD3E8654-881F-4414-A647-75ADE9E9B01B}"/>
    <cellStyle name="Normal 2 2 2 65 3" xfId="8112" xr:uid="{681C225D-5EAB-411B-85AD-9AA76AF61BA9}"/>
    <cellStyle name="Normal 2 2 2 65 5" xfId="8113" xr:uid="{1B607D0F-87E5-465E-A755-14C7301858D3}"/>
    <cellStyle name="Normal 2 2 2 66" xfId="8114" xr:uid="{1BE32D9F-EBE1-4CF6-A61F-F9E23A5C999D}"/>
    <cellStyle name="Normal 2 2 2 66 3" xfId="8115" xr:uid="{A15C1144-C1B6-4104-98BE-68B4281C5771}"/>
    <cellStyle name="Normal 2 2 2 66 5" xfId="8116" xr:uid="{0CC0D0AC-CF06-4BBD-A2C6-5A25D03455A3}"/>
    <cellStyle name="Normal 2 2 2 67" xfId="8117" xr:uid="{952571DD-BEBA-4F4F-AF5A-FD50554CB466}"/>
    <cellStyle name="Normal 2 2 2 67 3" xfId="8118" xr:uid="{C01C127B-8ECF-4B10-B777-976E1E886AC1}"/>
    <cellStyle name="Normal 2 2 2 67 5" xfId="8119" xr:uid="{93A1C887-06B9-4B7E-9D2C-453358CB5D87}"/>
    <cellStyle name="Normal 2 2 2 68 2" xfId="8120" xr:uid="{E301C750-7CD2-4B3D-B1BC-D200BACF99FE}"/>
    <cellStyle name="Normal 2 2 2 68 5" xfId="8121" xr:uid="{B5D682A6-6800-4378-80DF-6E500F555AAB}"/>
    <cellStyle name="Normal 2 2 2 69" xfId="8122" xr:uid="{9F5041C4-1CE3-4832-B95C-907D1767B71C}"/>
    <cellStyle name="Normal 2 2 2 69 5" xfId="8123" xr:uid="{72CC8EDC-AC9E-4CAE-81E5-3D45254D6FD0}"/>
    <cellStyle name="Normal 2 2 2 7 2" xfId="8124" xr:uid="{20B9BFE6-6E9B-4353-A558-AD339B0B27A5}"/>
    <cellStyle name="Normal 2 2 2 70 3" xfId="8125" xr:uid="{1B1E94FB-8A02-4B9B-96E5-AD4E064BCEB2}"/>
    <cellStyle name="Normal 2 2 2 70 5" xfId="8126" xr:uid="{CCBAA771-D493-4AE4-95DC-442B24B58A61}"/>
    <cellStyle name="Normal 2 2 2 71" xfId="8127" xr:uid="{11C5C222-2C16-40DB-B64B-B5E51E9C16D2}"/>
    <cellStyle name="Normal 2 2 2 71 4" xfId="8128" xr:uid="{BD73F318-EB32-46BE-BA10-A20B39DC9BE2}"/>
    <cellStyle name="Normal 2 2 2 71 6" xfId="8129" xr:uid="{FDBFAADD-326E-403A-B68A-9A4A616B3571}"/>
    <cellStyle name="Normal 2 2 2 72 2" xfId="8130" xr:uid="{1780E4F9-AA5D-4D29-BBA6-B363BA16CBF0}"/>
    <cellStyle name="Normal 2 2 2 72 4" xfId="8131" xr:uid="{FE8EA635-06BE-410D-BB62-01B339DD3CBD}"/>
    <cellStyle name="Normal 2 2 2 73 2" xfId="8132" xr:uid="{AA0A1EDE-7649-4B15-BD80-8E60409020AD}"/>
    <cellStyle name="Normal 2 2 2 73 4" xfId="8133" xr:uid="{F29429DF-5591-4CA2-84A9-A5F1BB035C32}"/>
    <cellStyle name="Normal 2 2 2 74" xfId="8134" xr:uid="{F66514E5-869A-4D8E-BD29-599B3C760DEB}"/>
    <cellStyle name="Normal 2 2 2 74 3" xfId="8135" xr:uid="{B7A0EEB9-B9AB-4949-80B4-6BDECC7DA414}"/>
    <cellStyle name="Normal 2 2 2 74 5" xfId="8136" xr:uid="{FF4FC75F-8BD5-44C7-8850-67FC37C1689C}"/>
    <cellStyle name="Normal 2 2 2 75" xfId="8137" xr:uid="{0FE33AA7-8D0B-4D70-AAB2-DF5321F7E37D}"/>
    <cellStyle name="Normal 2 2 2 75 4" xfId="8138" xr:uid="{F14D379F-F846-4CD7-95E4-651017438901}"/>
    <cellStyle name="Normal 2 2 2 75 6" xfId="8139" xr:uid="{D6FEA239-3E3A-4CA0-BF37-C350B5805B28}"/>
    <cellStyle name="Normal 2 2 2 76 2 2" xfId="8140" xr:uid="{197B97C1-E59B-4A6B-AA7C-9704A0B2A3B6}"/>
    <cellStyle name="Normal 2 2 2 76 2 6" xfId="8141" xr:uid="{E9113D19-ED8E-44E6-9925-A4082093E67B}"/>
    <cellStyle name="Normal 2 2 2 77 2" xfId="8142" xr:uid="{07945916-7D78-473D-BE0A-91CB36CC81C0}"/>
    <cellStyle name="Normal 2 2 2 77 2 2 3" xfId="8143" xr:uid="{2DDDDAAF-021F-4D74-8797-6311CB4556CC}"/>
    <cellStyle name="Normal 2 2 2 77 2 5" xfId="8144" xr:uid="{9CAAF780-D385-4587-9480-944AD2E5BF16}"/>
    <cellStyle name="Normal 2 2 2 77 2 8" xfId="8145" xr:uid="{74D92A01-BF46-4E78-9033-F6A047C2A41C}"/>
    <cellStyle name="Normal 2 2 2 77 5" xfId="8146" xr:uid="{CD7F51E7-60BC-4C04-A342-4AA3CA8E3A42}"/>
    <cellStyle name="Normal 2 2 2 77 7" xfId="8147" xr:uid="{CD9D87E1-33DC-4226-ABDD-29034FE3DB9D}"/>
    <cellStyle name="Normal 2 2 2 79" xfId="8148" xr:uid="{CAD61700-1401-430B-B938-9192767337F2}"/>
    <cellStyle name="Normal 2 2 2 80" xfId="8149" xr:uid="{699ED830-2AFD-4078-A27B-0D83CD466F7E}"/>
    <cellStyle name="Normal 2 2 2 80 3" xfId="8150" xr:uid="{2E5B5FCE-1937-4DF6-A8CA-8854182D267A}"/>
    <cellStyle name="Normal 2 2 2 80 5" xfId="8151" xr:uid="{8EDDA4E1-8A13-4790-8D9C-6A353C98AEA8}"/>
    <cellStyle name="Normal 2 2 2 80 7" xfId="8152" xr:uid="{D2518C15-F238-4500-AADB-4BD9C3AA434D}"/>
    <cellStyle name="Normal 2 2 2 80 9" xfId="8153" xr:uid="{6EA6BB47-212D-46B3-9DEB-559CCE79DD86}"/>
    <cellStyle name="Normal 2 2 2 82" xfId="8154" xr:uid="{51D57F41-9607-44B0-AA3B-0E582D5A04F4}"/>
    <cellStyle name="Normal 2 2 2 82 3" xfId="8155" xr:uid="{431D1BDD-F4D7-4564-B056-3BF9F6FF2F73}"/>
    <cellStyle name="Normal 2 2 2 84" xfId="8156" xr:uid="{7AA8E95B-C592-4DBD-AC61-09D139D0191E}"/>
    <cellStyle name="Normal 2 2 2 87" xfId="8157" xr:uid="{5E83F5AE-1798-4FA8-ACD7-8F3E54C35B11}"/>
    <cellStyle name="Normal 2 2 2 89" xfId="8158" xr:uid="{DD058293-CF9E-4420-8541-DEE74327C4BF}"/>
    <cellStyle name="Normal 2 2 2 9 10" xfId="8159" xr:uid="{B2475987-CC92-48EA-9ABA-31CFCBC1A080}"/>
    <cellStyle name="Normal 2 2 2 9 12" xfId="8160" xr:uid="{BD248722-CEF8-4A65-809B-8B84B2B7D0F5}"/>
    <cellStyle name="Normal 2 2 2 9 14" xfId="8161" xr:uid="{0138A383-424D-4A71-B740-F77CEE0DAF1A}"/>
    <cellStyle name="Normal 2 2 2 9 16" xfId="8162" xr:uid="{F21BC615-E5EF-48D1-AAC1-E145D2DD5860}"/>
    <cellStyle name="Normal 2 2 2 9 18" xfId="8163" xr:uid="{714FD567-4D12-4F70-8F79-21242AAADC81}"/>
    <cellStyle name="Normal 2 2 2 9 2" xfId="8164" xr:uid="{AA9F1B96-9F8E-45E7-AF38-0F62C9B15EA1}"/>
    <cellStyle name="Normal 2 2 2 9 2 11" xfId="8165" xr:uid="{DF52880E-6DDB-4AC6-87ED-CDE1BA5A22EF}"/>
    <cellStyle name="Normal 2 2 2 9 2 13" xfId="8166" xr:uid="{EA5E1E20-1D03-457A-BE14-258A8511ACF2}"/>
    <cellStyle name="Normal 2 2 2 9 2 2 2" xfId="8167" xr:uid="{244A3762-EBE9-4547-8FB7-A6E16AB88ABE}"/>
    <cellStyle name="Normal 2 2 2 9 2 2 4" xfId="8168" xr:uid="{5FA98112-FE9F-4DBF-8170-FDBB2DDAE5CE}"/>
    <cellStyle name="Normal 2 2 2 9 2 2 6" xfId="8169" xr:uid="{BB2F1983-2A94-4990-AA55-85C9624841DC}"/>
    <cellStyle name="Normal 2 2 2 9 2 3 4" xfId="8170" xr:uid="{AD82FF3C-77D3-466C-826E-1C0A0A157F9E}"/>
    <cellStyle name="Normal 2 2 2 9 2 4 2" xfId="8171" xr:uid="{F1111D99-AFA6-421B-AE95-0DB996840275}"/>
    <cellStyle name="Normal 2 2 2 9 2 4 6" xfId="8172" xr:uid="{356C2E24-30A4-4B28-BA41-68DA9ED16DDC}"/>
    <cellStyle name="Normal 2 2 2 9 2 5 3" xfId="8173" xr:uid="{70511F8F-D84F-49A9-AE98-8700D3030C68}"/>
    <cellStyle name="Normal 2 2 2 9 2 5 5" xfId="8174" xr:uid="{27C663A1-D239-41A0-A616-77564CF03163}"/>
    <cellStyle name="Normal 2 2 2 9 2 6" xfId="8175" xr:uid="{D215B1EA-6F80-40F3-8782-8DD93FE2D8D8}"/>
    <cellStyle name="Normal 2 2 2 9 2 6 3" xfId="8176" xr:uid="{CEBBFF6A-5660-4A9B-97D1-1CB388B693D1}"/>
    <cellStyle name="Normal 2 2 2 9 2 6 5" xfId="8177" xr:uid="{30AEAFC8-1F59-4AA1-9591-5B07638E253D}"/>
    <cellStyle name="Normal 2 2 2 9 2 7" xfId="8178" xr:uid="{9C5B9FD3-95ED-400D-AD0F-E83BEF669A81}"/>
    <cellStyle name="Normal 2 2 2 9 2 7 3" xfId="8179" xr:uid="{339C7FFF-A5D8-49FE-8B3B-84B2DF7E6F92}"/>
    <cellStyle name="Normal 2 2 2 9 2 7 5" xfId="8180" xr:uid="{5E6119C6-1898-4458-9871-D53C715F877F}"/>
    <cellStyle name="Normal 2 2 2 9 2 8" xfId="8181" xr:uid="{219F0CC2-AE14-4284-A180-E3EF1A90A981}"/>
    <cellStyle name="Normal 2 2 2 9 2 8 3" xfId="8182" xr:uid="{222ECA9A-9BA4-4562-84D4-766A3C1921EB}"/>
    <cellStyle name="Normal 2 2 2 9 2 8 5" xfId="8183" xr:uid="{7183D2DF-07AF-4572-9E10-8DC03C8374FC}"/>
    <cellStyle name="Normal 2 2 2 9 2 9" xfId="8184" xr:uid="{3436484F-9B66-4956-82F1-15EC0430269B}"/>
    <cellStyle name="Normal 2 2 2 9 21" xfId="8185" xr:uid="{C0693F27-FF24-44F5-80EC-DACFCB2BBA24}"/>
    <cellStyle name="Normal 2 2 2 9 23" xfId="8186" xr:uid="{80842523-A5EA-4EBC-B436-651519B7455A}"/>
    <cellStyle name="Normal 2 2 2 9 25" xfId="8187" xr:uid="{CC99DBEC-AD8B-4041-BF07-45B5F78B2047}"/>
    <cellStyle name="Normal 2 2 2 9 27" xfId="8188" xr:uid="{DF51D860-7062-4376-A7B8-91FC713EFA16}"/>
    <cellStyle name="Normal 2 2 2 9 29" xfId="8189" xr:uid="{70BBA70F-68C2-411C-805C-22D226CB6398}"/>
    <cellStyle name="Normal 2 2 2 9 3 10" xfId="8190" xr:uid="{7531BD11-B013-4609-8CE0-B6F617043DB0}"/>
    <cellStyle name="Normal 2 2 2 9 3 12" xfId="8191" xr:uid="{3B38A628-2061-4797-A374-C4AC66745831}"/>
    <cellStyle name="Normal 2 2 2 9 3 2" xfId="8192" xr:uid="{4FF1A256-1FAC-4631-8668-7AD74CD343BA}"/>
    <cellStyle name="Normal 2 2 2 9 3 2 3" xfId="8193" xr:uid="{C2667E99-E10D-4343-9A1A-C4FAF40D61A4}"/>
    <cellStyle name="Normal 2 2 2 9 3 2 5" xfId="8194" xr:uid="{83534A9C-3D2D-4C54-B159-83F0A596A24B}"/>
    <cellStyle name="Normal 2 2 2 9 3 3" xfId="8195" xr:uid="{CD70654E-75A3-4D4F-A270-3077715A4525}"/>
    <cellStyle name="Normal 2 2 2 9 3 3 3" xfId="8196" xr:uid="{82DFCEA1-6F37-4915-AB01-BBE7385C2291}"/>
    <cellStyle name="Normal 2 2 2 9 3 3 5" xfId="8197" xr:uid="{B5EA8F21-0567-4C04-B6A1-1EAA90812935}"/>
    <cellStyle name="Normal 2 2 2 9 3 4" xfId="8198" xr:uid="{282B166B-5E05-44FF-BC20-EDD582A41E71}"/>
    <cellStyle name="Normal 2 2 2 9 3 4 3" xfId="8199" xr:uid="{942BC336-1A2A-46E0-B7B8-82B1705212C7}"/>
    <cellStyle name="Normal 2 2 2 9 3 4 5" xfId="8200" xr:uid="{98349170-B849-47C1-B97E-31E27798B0EC}"/>
    <cellStyle name="Normal 2 2 2 9 3 5" xfId="8201" xr:uid="{D0C770DE-A6EB-4928-91A4-367E11B1F67D}"/>
    <cellStyle name="Normal 2 2 2 9 3 5 3" xfId="8202" xr:uid="{4300BC6E-2388-4ED9-866B-FC8346EC2F78}"/>
    <cellStyle name="Normal 2 2 2 9 3 5 5" xfId="8203" xr:uid="{9563CFB7-3735-4321-BBA0-5C2E30963D17}"/>
    <cellStyle name="Normal 2 2 2 9 3 6" xfId="8204" xr:uid="{6C5AAB41-0F59-4F5E-9223-C484874B0380}"/>
    <cellStyle name="Normal 2 2 2 9 3 6 3" xfId="8205" xr:uid="{AAC5CA20-0A92-4F70-84C3-A23A60F75798}"/>
    <cellStyle name="Normal 2 2 2 9 3 6 5" xfId="8206" xr:uid="{E24D8E63-A9AB-4CFA-9365-C6E49F0A80E1}"/>
    <cellStyle name="Normal 2 2 2 9 3 7" xfId="8207" xr:uid="{1A835F32-98D9-46FA-ACDA-0160798983DD}"/>
    <cellStyle name="Normal 2 2 2 9 3 7 3" xfId="8208" xr:uid="{F8B6A3EE-0BB6-4DB0-B949-A6F22AA4240E}"/>
    <cellStyle name="Normal 2 2 2 9 3 7 5" xfId="8209" xr:uid="{B143CD9B-AE33-41F6-95D9-E633D1872D32}"/>
    <cellStyle name="Normal 2 2 2 9 3 8 2" xfId="8210" xr:uid="{B3483FAA-8DA5-4B1B-92F9-BA23410AEA85}"/>
    <cellStyle name="Normal 2 2 2 9 3 8 5" xfId="8211" xr:uid="{3901176B-A529-4141-B801-99CB3E9BE594}"/>
    <cellStyle name="Normal 2 2 2 9 3 9" xfId="8212" xr:uid="{E57FF0F4-E4F3-4C4E-8E1D-7641354D0C5C}"/>
    <cellStyle name="Normal 2 2 2 9 31" xfId="8213" xr:uid="{0CD8FB02-058B-4929-AEEB-4DEDE53E5859}"/>
    <cellStyle name="Normal 2 2 2 9 34" xfId="8214" xr:uid="{9F604ACC-1EA1-4B91-9D28-3445400D127A}"/>
    <cellStyle name="Normal 2 2 2 9 36" xfId="8215" xr:uid="{1D487828-C924-4E81-8D90-E5FA5F17C52C}"/>
    <cellStyle name="Normal 2 2 2 9 38" xfId="8216" xr:uid="{B1225311-E3C4-4C43-B266-C0695FDA66FA}"/>
    <cellStyle name="Normal 2 2 2 9 4 11" xfId="8217" xr:uid="{774D0B51-9F20-4C32-B9A9-10816387926B}"/>
    <cellStyle name="Normal 2 2 2 9 4 2 2" xfId="8218" xr:uid="{A488AA94-FFA3-49BD-A7AB-8681A72D12EE}"/>
    <cellStyle name="Normal 2 2 2 9 4 2 6" xfId="8219" xr:uid="{42513264-C151-4552-9700-D05A82FCE769}"/>
    <cellStyle name="Normal 2 2 2 9 4 3 4" xfId="8220" xr:uid="{6C6D5B62-1EA9-4362-BD6B-F00992948AFB}"/>
    <cellStyle name="Normal 2 2 2 9 4 3 6" xfId="8221" xr:uid="{8720D26E-A07C-42E5-B27B-9E86B91E75BF}"/>
    <cellStyle name="Normal 2 2 2 9 4 4 2" xfId="8222" xr:uid="{A4AED81E-D5CD-4453-A094-9F8C7D4A2F84}"/>
    <cellStyle name="Normal 2 2 2 9 4 4 4" xfId="8223" xr:uid="{15344EBB-4561-418D-BD94-6970FF81CDE3}"/>
    <cellStyle name="Normal 2 2 2 9 4 4 6" xfId="8224" xr:uid="{69CE4613-1C73-404D-BEDF-4BD1C9CDDD75}"/>
    <cellStyle name="Normal 2 2 2 9 4 5 2" xfId="8225" xr:uid="{D42B67B5-243B-4744-AB75-80D688087E13}"/>
    <cellStyle name="Normal 2 2 2 9 4 5 4" xfId="8226" xr:uid="{E46EC034-0F9F-44B3-A7A7-602CC3882B53}"/>
    <cellStyle name="Normal 2 2 2 9 4 5 6" xfId="8227" xr:uid="{88C5C60A-337A-4CED-9D07-89C5C64982FC}"/>
    <cellStyle name="Normal 2 2 2 9 4 6 2" xfId="8228" xr:uid="{ADAA83BA-1A7E-416F-9421-1D617DDDB305}"/>
    <cellStyle name="Normal 2 2 2 9 4 6 4" xfId="8229" xr:uid="{B42C6F31-5BCE-436E-920E-9FF1A037D8A9}"/>
    <cellStyle name="Normal 2 2 2 9 4 6 6" xfId="8230" xr:uid="{F2F29486-5A55-4741-858A-F0F1C170C491}"/>
    <cellStyle name="Normal 2 2 2 9 4 7 2" xfId="8231" xr:uid="{FB8AC481-3DF3-4B14-96B3-32E34382AD1C}"/>
    <cellStyle name="Normal 2 2 2 9 4 7 4" xfId="8232" xr:uid="{F1AE80EC-9997-4CFA-A861-546A89A84C76}"/>
    <cellStyle name="Normal 2 2 2 9 4 7 6" xfId="8233" xr:uid="{91098285-1A61-490D-9B18-424165C03B82}"/>
    <cellStyle name="Normal 2 2 2 9 4 8 2" xfId="8234" xr:uid="{C5D078AD-5C46-41AB-B48F-5ACDF986D7D3}"/>
    <cellStyle name="Normal 2 2 2 9 4 8 4" xfId="8235" xr:uid="{112797E4-F9E6-4DAF-BD47-191CB626C868}"/>
    <cellStyle name="Normal 2 2 2 9 4 8 6" xfId="8236" xr:uid="{F2C5EA76-C77D-4D78-9511-527812ACBE64}"/>
    <cellStyle name="Normal 2 2 2 9 40" xfId="8237" xr:uid="{236A6CCF-36A8-4B1D-A82A-1707068EFF62}"/>
    <cellStyle name="Normal 2 2 2 9 42" xfId="8238" xr:uid="{7789458A-102A-4D4A-8011-72C4AE647166}"/>
    <cellStyle name="Normal 2 2 2 9 44" xfId="8239" xr:uid="{E1161F03-29FF-45DF-821B-9D60C15BF785}"/>
    <cellStyle name="Normal 2 2 2 9 46" xfId="8240" xr:uid="{98512FF2-D7CC-4C86-ACB1-D8601A85414B}"/>
    <cellStyle name="Normal 2 2 2 9 48" xfId="8241" xr:uid="{9C729796-4A7D-4A25-869E-1DE30B008653}"/>
    <cellStyle name="Normal 2 2 2 9 5" xfId="8242" xr:uid="{79D98895-7ECC-4FE6-ADA3-332C4007D210}"/>
    <cellStyle name="Normal 2 2 2 9 5 11" xfId="8243" xr:uid="{597B7E5E-AEE7-447C-B4D7-62BEA542ABA4}"/>
    <cellStyle name="Normal 2 2 2 9 5 13" xfId="8244" xr:uid="{E320FD35-CB7D-4F37-B2B8-9DF02BAD011C}"/>
    <cellStyle name="Normal 2 2 2 9 5 2 4" xfId="8245" xr:uid="{B3CE05EE-CB2C-44CC-9B82-F71A7F001410}"/>
    <cellStyle name="Normal 2 2 2 9 5 3 2" xfId="8246" xr:uid="{F7AE3B9F-014F-433C-84D9-CD096301533A}"/>
    <cellStyle name="Normal 2 2 2 9 5 3 6" xfId="8247" xr:uid="{FCAF7F86-D3B4-4932-B363-619CCBC73751}"/>
    <cellStyle name="Normal 2 2 2 9 5 4 4" xfId="8248" xr:uid="{1AD2F8D0-1999-4305-9919-5B35255325C5}"/>
    <cellStyle name="Normal 2 2 2 9 5 5 2" xfId="8249" xr:uid="{6FBBA1A0-FC5C-40A4-A65D-3FAD8512791E}"/>
    <cellStyle name="Normal 2 2 2 9 5 5 4" xfId="8250" xr:uid="{2344AC5E-4DDD-49CB-A6A4-9718F04D4E73}"/>
    <cellStyle name="Normal 2 2 2 9 5 5 6" xfId="8251" xr:uid="{FB5D0896-F99F-4BC1-8CD4-C78E710CE82C}"/>
    <cellStyle name="Normal 2 2 2 9 5 6 2" xfId="8252" xr:uid="{9F50A2D9-87DE-4079-8BDE-8C5B125EAF9D}"/>
    <cellStyle name="Normal 2 2 2 9 5 6 4" xfId="8253" xr:uid="{9EC7A624-4B84-4A88-BCA8-AC1B37F0DF57}"/>
    <cellStyle name="Normal 2 2 2 9 5 6 6" xfId="8254" xr:uid="{A9B765EF-F73A-4E6D-97C4-5041A2356CF2}"/>
    <cellStyle name="Normal 2 2 2 9 5 7 2" xfId="8255" xr:uid="{FDB21CAC-0255-482F-8483-997A86611ABD}"/>
    <cellStyle name="Normal 2 2 2 9 5 7 4" xfId="8256" xr:uid="{21F60BC3-F1E2-4E1B-BCEF-C987ADA11B74}"/>
    <cellStyle name="Normal 2 2 2 9 5 7 6" xfId="8257" xr:uid="{BA41CE94-B510-43F6-A8A7-3C50AC0FD804}"/>
    <cellStyle name="Normal 2 2 2 9 5 8 2" xfId="8258" xr:uid="{9CB61B18-9E71-476C-874C-F7E25E7EC1D6}"/>
    <cellStyle name="Normal 2 2 2 9 5 8 4" xfId="8259" xr:uid="{9D5A08A1-9B65-4333-B519-DF6AD38B3287}"/>
    <cellStyle name="Normal 2 2 2 9 5 8 6" xfId="8260" xr:uid="{8FE28E79-3F41-405E-AA02-409DC058B35B}"/>
    <cellStyle name="Normal 2 2 2 9 50" xfId="8261" xr:uid="{7589C75F-9912-4AF2-87CA-504210EFDF33}"/>
    <cellStyle name="Normal 2 2 2 9 52" xfId="8262" xr:uid="{C79B6295-6937-4E87-9D82-1FC43A76EFE2}"/>
    <cellStyle name="Normal 2 2 2 9 6 10" xfId="8263" xr:uid="{AA153D4E-3A73-441C-881B-54FC5294123A}"/>
    <cellStyle name="Normal 2 2 2 9 6 12" xfId="8264" xr:uid="{88904560-9D8E-4196-BE5C-BAFEA7E9617B}"/>
    <cellStyle name="Normal 2 2 2 9 6 2" xfId="8265" xr:uid="{9CD2B1DB-CA12-4303-A692-48378AC4DDE0}"/>
    <cellStyle name="Normal 2 2 2 9 6 2 3" xfId="8266" xr:uid="{FBA4C499-E09C-4D0F-A980-83E33B5633DD}"/>
    <cellStyle name="Normal 2 2 2 9 6 2 5" xfId="8267" xr:uid="{40416AF3-FA4B-49B3-94B0-BDC53CB8A7F9}"/>
    <cellStyle name="Normal 2 2 2 9 6 3" xfId="8268" xr:uid="{4C5F378D-6595-4425-A04F-116A8449C7E5}"/>
    <cellStyle name="Normal 2 2 2 9 6 3 3" xfId="8269" xr:uid="{76DC47F5-276D-42BA-92BA-7ECB170DAB6F}"/>
    <cellStyle name="Normal 2 2 2 9 6 3 5" xfId="8270" xr:uid="{F510154F-2B69-4C23-B48B-D11E7D19A85E}"/>
    <cellStyle name="Normal 2 2 2 9 6 4" xfId="8271" xr:uid="{0A8F264B-172A-4BAE-A9FC-6E5A297D44CD}"/>
    <cellStyle name="Normal 2 2 2 9 6 4 3" xfId="8272" xr:uid="{4AAF27AE-C5E8-4E15-BF2B-9FBAB5EC0D00}"/>
    <cellStyle name="Normal 2 2 2 9 6 4 5" xfId="8273" xr:uid="{6FE8FF7B-B255-455C-B8CF-8EAFE29A393B}"/>
    <cellStyle name="Normal 2 2 2 9 6 5 2" xfId="8274" xr:uid="{3F62892C-DBE4-42BC-A342-4C1AF3A25727}"/>
    <cellStyle name="Normal 2 2 2 9 6 5 5" xfId="8275" xr:uid="{0CD83593-8143-4619-8E66-7FF631AC17C6}"/>
    <cellStyle name="Normal 2 2 2 9 6 6" xfId="8276" xr:uid="{E214A2F6-CD69-4439-A3AB-2ED80044E8CA}"/>
    <cellStyle name="Normal 2 2 2 9 6 6 3" xfId="8277" xr:uid="{CA8EB6E4-A6B3-4E06-A259-058B9A4626D1}"/>
    <cellStyle name="Normal 2 2 2 9 6 6 5" xfId="8278" xr:uid="{00577008-EC1D-40C7-A4A9-0967234832C1}"/>
    <cellStyle name="Normal 2 2 2 9 6 7 3" xfId="8279" xr:uid="{3A0A37CC-20A5-479A-83A1-28D7650D60A5}"/>
    <cellStyle name="Normal 2 2 2 9 6 7 6" xfId="8280" xr:uid="{FB5EB2EC-853E-401E-906A-7C5780AB83BD}"/>
    <cellStyle name="Normal 2 2 2 9 6 8 4" xfId="8281" xr:uid="{51245BBA-3C22-4D55-A8D1-32E902C0835E}"/>
    <cellStyle name="Normal 2 2 2 9 7" xfId="8282" xr:uid="{156E9EC5-00F8-4B79-BA8B-C77555E5CAAC}"/>
    <cellStyle name="Normal 2 2 2 9 7 13" xfId="8283" xr:uid="{1655FF2F-393B-474B-A25A-4AEDD24F7484}"/>
    <cellStyle name="Normal 2 2 2 9 7 2 3" xfId="8284" xr:uid="{F1052361-05EF-4747-862D-9AC8D3999B33}"/>
    <cellStyle name="Normal 2 2 2 9 7 3" xfId="8285" xr:uid="{0D15F49A-02BA-497B-801F-152FB21A0C13}"/>
    <cellStyle name="Normal 2 2 2 9 7 3 4" xfId="8286" xr:uid="{C72FAA02-DE08-4383-8310-0611AB0CD17B}"/>
    <cellStyle name="Normal 2 2 2 9 7 3 6" xfId="8287" xr:uid="{3CE44A3E-055E-496E-9AD5-D80C8333E61C}"/>
    <cellStyle name="Normal 2 2 2 9 7 4 2" xfId="8288" xr:uid="{9F3F4D53-3F63-4836-B249-B0923ED07F76}"/>
    <cellStyle name="Normal 2 2 2 9 7 4 5" xfId="8289" xr:uid="{5763BE29-1CCC-48C5-9192-031492A64EA8}"/>
    <cellStyle name="Normal 2 2 2 9 7 5 2" xfId="8290" xr:uid="{ACCF7656-B5B3-46A3-8C0E-76F7064576FA}"/>
    <cellStyle name="Normal 2 2 2 9 7 5 5" xfId="8291" xr:uid="{790741FE-9485-4EA7-AE63-E5D2F435BDD9}"/>
    <cellStyle name="Normal 2 2 2 9 7 6" xfId="8292" xr:uid="{E15C5060-70D3-48B0-9C36-86AE1AA1AF1B}"/>
    <cellStyle name="Normal 2 2 2 9 7 6 3" xfId="8293" xr:uid="{0F8D3A88-6444-4F9E-8239-62C9511F9636}"/>
    <cellStyle name="Normal 2 2 2 9 7 6 5" xfId="8294" xr:uid="{798AE747-B3FF-4CBE-8092-F8AC9D26228F}"/>
    <cellStyle name="Normal 2 2 2 9 7 7 2" xfId="8295" xr:uid="{B64EC56D-D028-43DA-BA18-06CE284E442A}"/>
    <cellStyle name="Normal 2 2 2 9 7 7 4" xfId="8296" xr:uid="{44AC42BA-3516-4B94-9397-05FD13199CFF}"/>
    <cellStyle name="Normal 2 2 2 9 7 8 2" xfId="8297" xr:uid="{F54FC57F-AD06-4332-B25A-561250E97D83}"/>
    <cellStyle name="Normal 2 2 2 9 7 8 6" xfId="8298" xr:uid="{9712E56F-3B59-4CF1-AD6B-17BF9070B5E7}"/>
    <cellStyle name="Normal 2 2 2 9 8" xfId="8299" xr:uid="{9FB09B77-9FD3-49ED-B71F-4A8CF10EC1DB}"/>
    <cellStyle name="Normal 2 2 20" xfId="8300" xr:uid="{2B4BCD0A-9A11-4DB0-B2CE-AFC29726D942}"/>
    <cellStyle name="Normal 2 2 20 11" xfId="8301" xr:uid="{EBD01DB7-F29F-4C01-A140-928F95F71563}"/>
    <cellStyle name="Normal 2 2 20 13" xfId="8302" xr:uid="{2950299E-A552-4500-BCFC-59517F3E21AC}"/>
    <cellStyle name="Normal 2 2 20 15" xfId="8303" xr:uid="{31C7D988-1B82-4F32-ACDE-3EE832872024}"/>
    <cellStyle name="Normal 2 2 20 17" xfId="8304" xr:uid="{AE14EFF8-EED1-4118-89BB-000B0285B1A0}"/>
    <cellStyle name="Normal 2 2 20 19" xfId="8305" xr:uid="{C476DD1D-2060-433E-9644-FA5AFD1C78F3}"/>
    <cellStyle name="Normal 2 2 20 20" xfId="8306" xr:uid="{B407375B-C1C2-4EC5-8AC4-52B624F15C62}"/>
    <cellStyle name="Normal 2 2 20 22" xfId="8307" xr:uid="{1FCEE277-88DE-4D7D-920F-04E90D45C3B3}"/>
    <cellStyle name="Normal 2 2 20 24" xfId="8308" xr:uid="{BA239EBF-7FDD-4A5A-9AE1-479283056D52}"/>
    <cellStyle name="Normal 2 2 20 26" xfId="8309" xr:uid="{20D3886A-5DC3-4935-9A7C-FFE8EDFB8CBE}"/>
    <cellStyle name="Normal 2 2 20 28" xfId="8310" xr:uid="{2EB14950-F7E6-46A5-9992-0E75ECF2C4FE}"/>
    <cellStyle name="Normal 2 2 20 3" xfId="8311" xr:uid="{253F6F99-B36E-444E-9A1E-8A749FC6872F}"/>
    <cellStyle name="Normal 2 2 20 31" xfId="8312" xr:uid="{931A603A-C7A6-40E6-9826-6F2DB4070D98}"/>
    <cellStyle name="Normal 2 2 20 33" xfId="8313" xr:uid="{F08060B2-EA37-4B1E-9043-CFA8647BE7B3}"/>
    <cellStyle name="Normal 2 2 20 35" xfId="8314" xr:uid="{F48D64FF-AC0D-475D-ABC4-46F4B451DC57}"/>
    <cellStyle name="Normal 2 2 20 37" xfId="8315" xr:uid="{23513184-0AF1-4EE0-9053-3E77E8F3D709}"/>
    <cellStyle name="Normal 2 2 20 39" xfId="8316" xr:uid="{4CC8F88F-800B-4DBA-9281-391C93A4C61A}"/>
    <cellStyle name="Normal 2 2 20 40" xfId="8317" xr:uid="{DCA38A81-A5B7-49E4-96CD-FED3EB867071}"/>
    <cellStyle name="Normal 2 2 20 42" xfId="8318" xr:uid="{3C252FE7-9041-4E78-A924-57D3E07C11D9}"/>
    <cellStyle name="Normal 2 2 20 44" xfId="8319" xr:uid="{AB17239F-952B-42D7-96DE-A46AEA61CC87}"/>
    <cellStyle name="Normal 2 2 20 46" xfId="8320" xr:uid="{71895A99-C4BC-4B1B-8B5D-805E49D18FB8}"/>
    <cellStyle name="Normal 2 2 20 6" xfId="8321" xr:uid="{A02CC215-7CCC-4430-B102-51DADEF1A9FA}"/>
    <cellStyle name="Normal 2 2 20 8" xfId="8322" xr:uid="{065F7C53-CC82-49F8-B6F9-CD8E4654B1B3}"/>
    <cellStyle name="Normal 2 2 21 11" xfId="8323" xr:uid="{3DE6434F-FEB7-4030-ACDE-B153833AD6AA}"/>
    <cellStyle name="Normal 2 2 21 14" xfId="8324" xr:uid="{9C3C9FDD-0427-4AA5-B3C4-0A240A9E69CC}"/>
    <cellStyle name="Normal 2 2 21 2 2" xfId="8325" xr:uid="{40238E2E-21D5-4863-9270-49E8C77CD50C}"/>
    <cellStyle name="Normal 2 2 21 2 3" xfId="8326" xr:uid="{B69095A1-FE53-46AF-9F2D-E81925379A71}"/>
    <cellStyle name="Normal 2 2 21 2 5" xfId="8327" xr:uid="{1BE02F83-6FBC-4412-8C25-E83020E25D25}"/>
    <cellStyle name="Normal 2 2 21 3" xfId="8328" xr:uid="{E997DD83-02A0-44A9-A93A-26AE59AAB2F2}"/>
    <cellStyle name="Normal 2 2 21 3 3" xfId="8329" xr:uid="{14D518E9-5504-46E4-B92D-CDE685AD1F1A}"/>
    <cellStyle name="Normal 2 2 21 3 5" xfId="8330" xr:uid="{F7701F56-A27C-43AB-A24A-64126BBACE28}"/>
    <cellStyle name="Normal 2 2 21 4" xfId="8331" xr:uid="{EA566189-8966-42BD-BF7D-F67C8FDB4343}"/>
    <cellStyle name="Normal 2 2 21 4 3" xfId="8332" xr:uid="{17A91E58-B858-4CFD-B26E-D3E7591D2750}"/>
    <cellStyle name="Normal 2 2 21 4 5" xfId="8333" xr:uid="{FFF3653F-A49B-4514-B44F-E333251C20D5}"/>
    <cellStyle name="Normal 2 2 21 5" xfId="8334" xr:uid="{26C697E7-59E7-4E03-ABBB-D75F6467D0B2}"/>
    <cellStyle name="Normal 2 2 21 5 3" xfId="8335" xr:uid="{BED627F6-016E-459B-8DC5-F0461567F781}"/>
    <cellStyle name="Normal 2 2 21 5 5" xfId="8336" xr:uid="{874ED14B-F9EE-4A5C-B19C-EBC6D890DD1E}"/>
    <cellStyle name="Normal 2 2 21 6" xfId="8337" xr:uid="{6D328892-BC16-4025-923B-0A17E4B4977D}"/>
    <cellStyle name="Normal 2 2 21 6 3" xfId="8338" xr:uid="{BA8139D7-8DB4-404D-9A2B-E0ACFE73A0A4}"/>
    <cellStyle name="Normal 2 2 21 6 5" xfId="8339" xr:uid="{01AAFC89-CE43-4A7A-B57C-C8A4A35BD357}"/>
    <cellStyle name="Normal 2 2 21 7" xfId="8340" xr:uid="{3BE030F9-5BCF-4639-955A-91C4DDEEE6F8}"/>
    <cellStyle name="Normal 2 2 21 7 3" xfId="8341" xr:uid="{2244E35F-FC92-4094-9D70-E2605E124493}"/>
    <cellStyle name="Normal 2 2 21 7 5" xfId="8342" xr:uid="{07975993-12E2-4C37-A079-0EF8A73AD6E1}"/>
    <cellStyle name="Normal 2 2 21 8" xfId="8343" xr:uid="{38273B02-F959-4755-9F6E-5C89B7BCE5DE}"/>
    <cellStyle name="Normal 2 2 21 8 3" xfId="8344" xr:uid="{101871DB-A30E-4BA9-8EE1-CF60AB459475}"/>
    <cellStyle name="Normal 2 2 21 8 5" xfId="8345" xr:uid="{9E175FE0-2053-4222-B7D7-52475D1E4A85}"/>
    <cellStyle name="Normal 2 2 21 9" xfId="8346" xr:uid="{F2DE6B59-40A2-4152-87F8-D8F238F34867}"/>
    <cellStyle name="Normal 2 2 22" xfId="8347" xr:uid="{4B0C8EE9-1DFD-4C4E-B0D5-8B1A3180DE20}"/>
    <cellStyle name="Normal 2 2 22 10" xfId="8348" xr:uid="{F29B151D-ACA4-4F29-B9B2-E757E0D4684C}"/>
    <cellStyle name="Normal 2 2 22 11" xfId="8349" xr:uid="{8B80FCC2-C879-4BD1-96AB-8AAF9E0D5F49}"/>
    <cellStyle name="Normal 2 2 22 12" xfId="8350" xr:uid="{1AE4CC7B-283B-47A9-AA23-04604E1C0E00}"/>
    <cellStyle name="Normal 2 2 22 13" xfId="8351" xr:uid="{D44A793B-2ABB-4812-BEA1-3D6944270A49}"/>
    <cellStyle name="Normal 2 2 22 14" xfId="8352" xr:uid="{58C45EB2-7993-418D-8E69-84BD177CDB09}"/>
    <cellStyle name="Normal 2 2 22 2" xfId="8353" xr:uid="{856A80F3-143D-431E-A2DE-43C17087BBD2}"/>
    <cellStyle name="Normal 2 2 22 2 2" xfId="8354" xr:uid="{58EEAC27-E601-48F6-B3C6-84AA1A4FD007}"/>
    <cellStyle name="Normal 2 2 22 2 3" xfId="8355" xr:uid="{7C1BB48A-4928-4595-A3A2-0BD49072C26A}"/>
    <cellStyle name="Normal 2 2 22 2 4" xfId="8356" xr:uid="{D08DC3FB-CA3B-4B07-92B9-307E1353DD4C}"/>
    <cellStyle name="Normal 2 2 22 2 5" xfId="8357" xr:uid="{2F0888CF-BE66-400D-A659-0E9549EA2007}"/>
    <cellStyle name="Normal 2 2 22 2 6" xfId="8358" xr:uid="{F531F6D0-285D-4A83-9A41-8689D94B9379}"/>
    <cellStyle name="Normal 2 2 22 3" xfId="8359" xr:uid="{E6166C00-20E4-45E8-B9C7-24C7AA803CCC}"/>
    <cellStyle name="Normal 2 2 22 3 3" xfId="8360" xr:uid="{C70B9BCA-B5B0-43D2-8817-920E958B491E}"/>
    <cellStyle name="Normal 2 2 22 3 5" xfId="8361" xr:uid="{BD5B23D4-517B-4BDF-B83B-A7C55788EB55}"/>
    <cellStyle name="Normal 2 2 22 4" xfId="8362" xr:uid="{360819B8-ED71-4922-BDEC-97A4F0F8C84A}"/>
    <cellStyle name="Normal 2 2 22 4 3" xfId="8363" xr:uid="{462E1A79-C05B-4EFD-8535-A876DB08F887}"/>
    <cellStyle name="Normal 2 2 22 4 4" xfId="8364" xr:uid="{019F63CA-22D4-4E74-BA69-3C342F2F2C25}"/>
    <cellStyle name="Normal 2 2 22 4 5" xfId="8365" xr:uid="{5A65576F-B4C3-4B90-857C-5C52D8148175}"/>
    <cellStyle name="Normal 2 2 22 4 6" xfId="8366" xr:uid="{F5F20BCC-98FE-4ADE-8874-400268310652}"/>
    <cellStyle name="Normal 2 2 22 5" xfId="8367" xr:uid="{CD93F458-4875-4F90-A8D3-A8A0AC21F0CD}"/>
    <cellStyle name="Normal 2 2 22 5 2" xfId="8368" xr:uid="{3452912F-7D2A-4CF3-8160-286380D3A104}"/>
    <cellStyle name="Normal 2 2 22 5 3" xfId="8369" xr:uid="{D3307B52-EDA1-459A-A33A-39217A9FCF79}"/>
    <cellStyle name="Normal 2 2 22 5 4" xfId="8370" xr:uid="{F90B7B5C-DA38-4352-993F-A2EF6010AE53}"/>
    <cellStyle name="Normal 2 2 22 5 5" xfId="8371" xr:uid="{6D46223C-3C7B-4430-BD6B-E0467D0A3F4D}"/>
    <cellStyle name="Normal 2 2 22 5 6" xfId="8372" xr:uid="{776A2B88-A533-4189-B85F-C4C5D83C6B8B}"/>
    <cellStyle name="Normal 2 2 22 6" xfId="8373" xr:uid="{99B07297-4D2F-4726-A599-C1BBA520D761}"/>
    <cellStyle name="Normal 2 2 22 6 2" xfId="8374" xr:uid="{5BB00E53-8154-445E-99D1-4F45E241DF05}"/>
    <cellStyle name="Normal 2 2 22 6 3" xfId="8375" xr:uid="{414EA4DB-B211-4DE3-B7EC-22358C8281E5}"/>
    <cellStyle name="Normal 2 2 22 6 4" xfId="8376" xr:uid="{C918D982-1794-4628-A4D3-CC97BA2973E9}"/>
    <cellStyle name="Normal 2 2 22 6 5" xfId="8377" xr:uid="{0B4B1758-5AA1-4D00-8517-35B0614CC932}"/>
    <cellStyle name="Normal 2 2 22 6 6" xfId="8378" xr:uid="{33DDB9D2-CC30-4FE3-B29B-D4FC8A455D0E}"/>
    <cellStyle name="Normal 2 2 22 7" xfId="8379" xr:uid="{75061223-BD10-47D3-9F15-5BC8CEFE7B9F}"/>
    <cellStyle name="Normal 2 2 22 7 2" xfId="8380" xr:uid="{748AADC2-DD8E-4AEB-9864-06691DAC99D2}"/>
    <cellStyle name="Normal 2 2 22 7 3" xfId="8381" xr:uid="{70591CDF-7895-422B-8806-B04F998156D9}"/>
    <cellStyle name="Normal 2 2 22 7 4" xfId="8382" xr:uid="{8F49A777-C299-445D-AEC1-0D79C5FA1E58}"/>
    <cellStyle name="Normal 2 2 22 7 5" xfId="8383" xr:uid="{CAE8CE19-A635-4D23-925E-BC0FB3B27C2B}"/>
    <cellStyle name="Normal 2 2 22 7 6" xfId="8384" xr:uid="{0FE48E5F-F6F5-452A-8080-B37DFBB66606}"/>
    <cellStyle name="Normal 2 2 22 8" xfId="8385" xr:uid="{A9476AF6-1EF4-439C-9346-F6C555E24945}"/>
    <cellStyle name="Normal 2 2 22 8 2" xfId="8386" xr:uid="{11A2CC78-FCD2-4370-BAA5-B820FF3EA467}"/>
    <cellStyle name="Normal 2 2 22 8 3" xfId="8387" xr:uid="{55562162-2A76-4420-8CF6-E7EFFAE2FEC7}"/>
    <cellStyle name="Normal 2 2 22 8 4" xfId="8388" xr:uid="{140492F1-9A7A-4AF3-BEC1-A0E2E5361165}"/>
    <cellStyle name="Normal 2 2 22 8 5" xfId="8389" xr:uid="{406E224F-EC86-4368-AD4D-ACF10A2E8BF3}"/>
    <cellStyle name="Normal 2 2 22 8 6" xfId="8390" xr:uid="{5C085596-593D-4A25-A622-9874423CDB2F}"/>
    <cellStyle name="Normal 2 2 22 9" xfId="8391" xr:uid="{461FE594-E778-4D8B-8836-1982FE383C59}"/>
    <cellStyle name="Normal 2 2 23" xfId="8392" xr:uid="{EC03BD5B-006D-46B2-B53A-D2F00BE4FE8F}"/>
    <cellStyle name="Normal 2 2 23 10" xfId="8393" xr:uid="{9EA71831-A406-41D9-82B1-FBE84C168A58}"/>
    <cellStyle name="Normal 2 2 23 11" xfId="8394" xr:uid="{9860CC6B-03F8-4C8A-AD45-D43F84E84ABE}"/>
    <cellStyle name="Normal 2 2 23 12" xfId="8395" xr:uid="{5D8B5FDD-CF61-4A77-9389-A7F76777E07A}"/>
    <cellStyle name="Normal 2 2 23 13" xfId="8396" xr:uid="{D08E741F-F62E-400F-85BA-BAF2CEA02AA8}"/>
    <cellStyle name="Normal 2 2 23 14" xfId="8397" xr:uid="{73E8A645-88AC-407A-B745-F38CCE4A0AD8}"/>
    <cellStyle name="Normal 2 2 23 2" xfId="8398" xr:uid="{418463A7-06C8-4BCF-9D21-C361FE125ED0}"/>
    <cellStyle name="Normal 2 2 23 2 2" xfId="8399" xr:uid="{3B5C302E-08D3-429F-B68C-B9D8BE8ED24A}"/>
    <cellStyle name="Normal 2 2 23 2 4" xfId="8400" xr:uid="{B39F8798-8710-4566-BEAF-C0ED6AD55CD2}"/>
    <cellStyle name="Normal 2 2 23 2 5" xfId="8401" xr:uid="{D3897536-CC59-4FC3-8E97-318A631F9FC5}"/>
    <cellStyle name="Normal 2 2 23 2 6" xfId="8402" xr:uid="{C550CA4E-CE79-4873-8378-F04D3DBD2C2A}"/>
    <cellStyle name="Normal 2 2 23 3" xfId="8403" xr:uid="{57B83BBE-70CF-4ABA-B0C5-35217035F123}"/>
    <cellStyle name="Normal 2 2 23 3 2" xfId="8404" xr:uid="{92199D1C-601E-4846-A2E6-902A7E02ECB9}"/>
    <cellStyle name="Normal 2 2 23 3 3" xfId="8405" xr:uid="{B17A9124-2394-4C85-A1FC-63BAA08FC299}"/>
    <cellStyle name="Normal 2 2 23 3 4" xfId="8406" xr:uid="{C440D2BE-C81F-4174-AD00-0E7193C8EB61}"/>
    <cellStyle name="Normal 2 2 23 3 5" xfId="8407" xr:uid="{44D6A5B2-EB46-49F3-A1E6-207ED61C234A}"/>
    <cellStyle name="Normal 2 2 23 3 6" xfId="8408" xr:uid="{5576B987-A119-4294-AAEA-8F8D5B061A5F}"/>
    <cellStyle name="Normal 2 2 23 4" xfId="8409" xr:uid="{E1B8B826-5520-4825-9929-C5E9C05CDCEC}"/>
    <cellStyle name="Normal 2 2 23 4 2" xfId="8410" xr:uid="{39A7F0BD-287A-4199-B116-20617AAA691B}"/>
    <cellStyle name="Normal 2 2 23 4 3" xfId="8411" xr:uid="{F13050F9-18CA-490F-AE0F-9756EAD874FB}"/>
    <cellStyle name="Normal 2 2 23 4 4" xfId="8412" xr:uid="{51BD2172-E082-4BB3-B12C-1CF1859A8684}"/>
    <cellStyle name="Normal 2 2 23 4 5" xfId="8413" xr:uid="{08A70FC5-FB90-4591-8AAA-DAB563775A3D}"/>
    <cellStyle name="Normal 2 2 23 4 6" xfId="8414" xr:uid="{3823A549-1092-4292-B1BE-018B3AB57B29}"/>
    <cellStyle name="Normal 2 2 23 5" xfId="8415" xr:uid="{6E3E0082-51D7-4F41-A0C7-5381654F8913}"/>
    <cellStyle name="Normal 2 2 23 5 2" xfId="8416" xr:uid="{DC41AC2E-EA5E-42D4-89C9-4E9BEBE6D289}"/>
    <cellStyle name="Normal 2 2 23 5 3" xfId="8417" xr:uid="{C4F61843-917C-4456-8826-0CCEDF5A1CB3}"/>
    <cellStyle name="Normal 2 2 23 5 4" xfId="8418" xr:uid="{94EE4486-6BA0-4703-AF37-0EC9421D9D36}"/>
    <cellStyle name="Normal 2 2 23 5 5" xfId="8419" xr:uid="{066B87BF-0EA5-44C0-87E5-E846C00932B0}"/>
    <cellStyle name="Normal 2 2 23 5 6" xfId="8420" xr:uid="{DE196391-4B04-4EA5-A53A-4572F0DDEBD2}"/>
    <cellStyle name="Normal 2 2 23 6" xfId="8421" xr:uid="{1E0FE8E0-245C-485B-A7F3-455B03CCF222}"/>
    <cellStyle name="Normal 2 2 23 6 2" xfId="8422" xr:uid="{E0647F83-F972-4D84-B9CE-B934999338C3}"/>
    <cellStyle name="Normal 2 2 23 6 3" xfId="8423" xr:uid="{14DA3009-E040-4DC1-BAFC-592FC1DB06D6}"/>
    <cellStyle name="Normal 2 2 23 6 4" xfId="8424" xr:uid="{018D5677-9BD0-47E8-B44C-9BB90FF112AF}"/>
    <cellStyle name="Normal 2 2 23 6 5" xfId="8425" xr:uid="{2474A95A-4B85-4FE4-8F9B-D73E1ED395BB}"/>
    <cellStyle name="Normal 2 2 23 6 6" xfId="8426" xr:uid="{0CCBF257-FD2D-4C44-BF47-A1C43CA2D04E}"/>
    <cellStyle name="Normal 2 2 23 7" xfId="8427" xr:uid="{D9FC72B0-4039-4869-95C6-4F512212AF00}"/>
    <cellStyle name="Normal 2 2 23 7 2" xfId="8428" xr:uid="{2D76194E-97D7-42A3-8BED-FD09069A946A}"/>
    <cellStyle name="Normal 2 2 23 7 3" xfId="8429" xr:uid="{E03CD068-F1B1-4E72-B02E-3F4A0C34AC54}"/>
    <cellStyle name="Normal 2 2 23 7 4" xfId="8430" xr:uid="{DCD0A2C5-524E-4B59-878F-D53CCE1F2A2C}"/>
    <cellStyle name="Normal 2 2 23 7 5" xfId="8431" xr:uid="{63032B0C-4FE2-42AD-A750-56731AFFE26C}"/>
    <cellStyle name="Normal 2 2 23 7 6" xfId="8432" xr:uid="{86196300-C087-465B-AF84-D2D3586FAFD8}"/>
    <cellStyle name="Normal 2 2 23 8" xfId="8433" xr:uid="{57FDD479-D8C5-44A3-A119-B1EADE929E6A}"/>
    <cellStyle name="Normal 2 2 23 8 2" xfId="8434" xr:uid="{356CA630-D21D-4A95-9611-82D6ACA45801}"/>
    <cellStyle name="Normal 2 2 23 8 3" xfId="8435" xr:uid="{20BA194E-0FA4-480A-B3E0-9AA3017372E4}"/>
    <cellStyle name="Normal 2 2 23 8 4" xfId="8436" xr:uid="{CC23E0A0-B1B2-4E81-AC55-C2CF3B92C37B}"/>
    <cellStyle name="Normal 2 2 23 8 5" xfId="8437" xr:uid="{9BC36E1A-E5FC-4493-B761-EE6BDC3C921F}"/>
    <cellStyle name="Normal 2 2 23 8 6" xfId="8438" xr:uid="{8EB30F46-754F-4EE2-A0CF-56DD38BA304A}"/>
    <cellStyle name="Normal 2 2 23 9" xfId="8439" xr:uid="{37CF72AB-80E1-41E6-A8AD-DBEDF4244F0E}"/>
    <cellStyle name="Normal 2 2 24" xfId="8440" xr:uid="{C7C87D70-6F33-4B44-B749-EECFBC6BE3EC}"/>
    <cellStyle name="Normal 2 2 24 10" xfId="8441" xr:uid="{70A6749C-E90D-41A7-B10B-B08C791A3B4E}"/>
    <cellStyle name="Normal 2 2 24 12" xfId="8442" xr:uid="{924F0B65-5F88-45C8-8739-A55867B4A767}"/>
    <cellStyle name="Normal 2 2 24 14" xfId="8443" xr:uid="{66824BF6-4DDE-4BCD-9535-A038088B12B8}"/>
    <cellStyle name="Normal 2 2 24 2 2" xfId="8444" xr:uid="{8DEE23CF-6171-4CAE-AC83-CDF44D5D53AC}"/>
    <cellStyle name="Normal 2 2 24 2 4" xfId="8445" xr:uid="{31BA47E4-F307-4C60-AB8E-D39AF747CEA4}"/>
    <cellStyle name="Normal 2 2 24 2 5" xfId="8446" xr:uid="{CBC90BA9-13B3-495F-A928-983F0CA0F264}"/>
    <cellStyle name="Normal 2 2 24 3" xfId="8447" xr:uid="{08B82BA2-55F2-4A02-8933-A93658143BA4}"/>
    <cellStyle name="Normal 2 2 24 3 2" xfId="8448" xr:uid="{6EB17EB7-8430-43C6-B898-A0DBE67E63C5}"/>
    <cellStyle name="Normal 2 2 24 3 3" xfId="8449" xr:uid="{D75503F7-D10B-45F3-ACC0-EE2EF75B7709}"/>
    <cellStyle name="Normal 2 2 24 3 4" xfId="8450" xr:uid="{8E65C21B-5131-498E-BDE8-22264DE8CDD0}"/>
    <cellStyle name="Normal 2 2 24 3 5" xfId="8451" xr:uid="{04E0EE0A-BB6F-4C11-92F5-E95F11CDCDB1}"/>
    <cellStyle name="Normal 2 2 24 3 6" xfId="8452" xr:uid="{96A98CB5-F4D2-49FD-9F61-CF61F1963893}"/>
    <cellStyle name="Normal 2 2 24 4" xfId="8453" xr:uid="{FED7E49C-F4AC-41D7-A4A2-4CEE80A7783D}"/>
    <cellStyle name="Normal 2 2 24 4 3" xfId="8454" xr:uid="{63A39E96-4159-4C7C-882F-E9E3903C73EC}"/>
    <cellStyle name="Normal 2 2 24 4 4" xfId="8455" xr:uid="{03A1DA4E-F377-4CD3-8D38-460B5131E526}"/>
    <cellStyle name="Normal 2 2 24 4 5" xfId="8456" xr:uid="{E71E26FB-3A42-4117-B61E-D308820A9CE0}"/>
    <cellStyle name="Normal 2 2 24 4 6" xfId="8457" xr:uid="{483C012A-7F78-4193-A30A-FDCED40C6C72}"/>
    <cellStyle name="Normal 2 2 24 5" xfId="8458" xr:uid="{069B5F3D-D885-4623-B1F0-3604E15C72A5}"/>
    <cellStyle name="Normal 2 2 24 5 2" xfId="8459" xr:uid="{431E70D2-5E97-417E-BF0B-28B834768BEA}"/>
    <cellStyle name="Normal 2 2 24 5 3" xfId="8460" xr:uid="{4FC2094F-5186-4DCD-B678-D452C427B2FE}"/>
    <cellStyle name="Normal 2 2 24 5 4" xfId="8461" xr:uid="{0A0A284D-C5FE-4B08-B704-EFDA37F0FA32}"/>
    <cellStyle name="Normal 2 2 24 5 5" xfId="8462" xr:uid="{994FC3B9-5BEB-40DE-93AB-10EC2B59799E}"/>
    <cellStyle name="Normal 2 2 24 5 6" xfId="8463" xr:uid="{FA374E5E-2569-41BD-815F-ED20CE2F1F97}"/>
    <cellStyle name="Normal 2 2 24 6" xfId="8464" xr:uid="{CBD38E8B-B9E2-4A36-9CFB-1391C2357329}"/>
    <cellStyle name="Normal 2 2 24 6 2" xfId="8465" xr:uid="{B44EA92C-7752-4E73-9F80-7F9D5FCB0BB2}"/>
    <cellStyle name="Normal 2 2 24 6 3" xfId="8466" xr:uid="{19FEF751-D79F-4C84-B216-2CA4E3D9B242}"/>
    <cellStyle name="Normal 2 2 24 6 4" xfId="8467" xr:uid="{FEC349CC-9CB1-4E6C-AF10-B9157541BB47}"/>
    <cellStyle name="Normal 2 2 24 6 5" xfId="8468" xr:uid="{AAEF2E40-7ACB-4156-83B4-1783134793A8}"/>
    <cellStyle name="Normal 2 2 24 6 6" xfId="8469" xr:uid="{09915713-234E-42FF-9BBB-25085A399301}"/>
    <cellStyle name="Normal 2 2 24 7" xfId="8470" xr:uid="{66282F67-437A-4E6B-B7DD-4D97E693EED5}"/>
    <cellStyle name="Normal 2 2 24 7 2" xfId="8471" xr:uid="{EBB75770-350C-4EE2-9904-7931C487A0D6}"/>
    <cellStyle name="Normal 2 2 24 7 3" xfId="8472" xr:uid="{AA390E3C-8951-409F-BC6F-E11B0A3905A9}"/>
    <cellStyle name="Normal 2 2 24 7 4" xfId="8473" xr:uid="{87E30FD7-F37F-46D9-9809-5D8ED95BB4BE}"/>
    <cellStyle name="Normal 2 2 24 7 5" xfId="8474" xr:uid="{64B2D809-A0FA-4400-A0F9-0DF055B595A4}"/>
    <cellStyle name="Normal 2 2 24 7 6" xfId="8475" xr:uid="{A6D31B2B-128D-4931-BB5A-1F438FC2E679}"/>
    <cellStyle name="Normal 2 2 24 8" xfId="8476" xr:uid="{21776544-9C0F-462D-A0C4-081A556F015A}"/>
    <cellStyle name="Normal 2 2 24 8 2" xfId="8477" xr:uid="{DED85BB5-0B20-4755-804F-249790D7E4C2}"/>
    <cellStyle name="Normal 2 2 24 8 3" xfId="8478" xr:uid="{6BDAB624-115F-40CE-BD50-DC088CE901F6}"/>
    <cellStyle name="Normal 2 2 24 8 4" xfId="8479" xr:uid="{5E5602A8-56E5-4196-AD4A-297C270574D7}"/>
    <cellStyle name="Normal 2 2 24 8 5" xfId="8480" xr:uid="{6D22D896-58F8-4A27-9993-B5C0E89A20A5}"/>
    <cellStyle name="Normal 2 2 24 8 6" xfId="8481" xr:uid="{60BD3D59-01F6-4559-BAA5-BEB90C5EB592}"/>
    <cellStyle name="Normal 2 2 24 9" xfId="8482" xr:uid="{03A537D2-6240-4A50-9C21-D78212E6B18A}"/>
    <cellStyle name="Normal 2 2 25" xfId="8483" xr:uid="{3D219016-F3CE-4D29-814F-0754B9C35765}"/>
    <cellStyle name="Normal 2 2 25 10" xfId="8484" xr:uid="{5AEEAD96-8E7D-41BF-B518-3803F2872E64}"/>
    <cellStyle name="Normal 2 2 25 11" xfId="8485" xr:uid="{CD82D1F8-FBE8-4705-9629-26EDB1E53E2E}"/>
    <cellStyle name="Normal 2 2 25 12" xfId="8486" xr:uid="{00795751-3695-4365-AE8D-F680CAE26F31}"/>
    <cellStyle name="Normal 2 2 25 13" xfId="8487" xr:uid="{C7FF1912-13CD-42BF-A8D2-96346C5B5438}"/>
    <cellStyle name="Normal 2 2 25 14" xfId="8488" xr:uid="{2EC3A6A4-712F-4931-9B43-18D9343F77EE}"/>
    <cellStyle name="Normal 2 2 25 2" xfId="8489" xr:uid="{469C47CD-DADA-4B7E-925E-3F7AEBF069D7}"/>
    <cellStyle name="Normal 2 2 25 2 2" xfId="8490" xr:uid="{EA7D1C5B-D30E-47DF-A958-32C3A187A9D7}"/>
    <cellStyle name="Normal 2 2 25 2 3" xfId="8491" xr:uid="{D7857294-8CB3-42E8-A595-87D9DE3B10CD}"/>
    <cellStyle name="Normal 2 2 25 2 5" xfId="8492" xr:uid="{510A5801-D7CC-45C7-9EAD-1834B9793955}"/>
    <cellStyle name="Normal 2 2 25 2 6" xfId="8493" xr:uid="{098F1761-5FD7-45C7-A3DD-BA46164AE9B6}"/>
    <cellStyle name="Normal 2 2 25 3" xfId="8494" xr:uid="{B45FCCA6-F288-4DDE-8CA1-906E91AD6B46}"/>
    <cellStyle name="Normal 2 2 25 3 2" xfId="8495" xr:uid="{39A67F8A-0A48-40C5-B598-BC29646C68F6}"/>
    <cellStyle name="Normal 2 2 25 3 3" xfId="8496" xr:uid="{4BD2EFDE-F75A-4C30-BECC-F35BCA0BAD5B}"/>
    <cellStyle name="Normal 2 2 25 3 4" xfId="8497" xr:uid="{544735ED-97CA-4761-A4A5-BD8C56414CDF}"/>
    <cellStyle name="Normal 2 2 25 3 5" xfId="8498" xr:uid="{549A54D3-30EC-4C65-A571-EFF3618BECAC}"/>
    <cellStyle name="Normal 2 2 25 4" xfId="8499" xr:uid="{C485F00B-72BD-4F36-B4E4-A6ADFCB91B56}"/>
    <cellStyle name="Normal 2 2 25 4 2" xfId="8500" xr:uid="{5843FE09-9644-478E-B46A-45A2EA2CC5ED}"/>
    <cellStyle name="Normal 2 2 25 4 3" xfId="8501" xr:uid="{08D7DB47-D8F9-4097-97AD-5EE5FE9691A6}"/>
    <cellStyle name="Normal 2 2 25 4 4" xfId="8502" xr:uid="{D6964B51-2EDE-4BB1-8263-FC9EDC3726C3}"/>
    <cellStyle name="Normal 2 2 25 4 5" xfId="8503" xr:uid="{6EA04B6A-8849-465E-8162-605DAE8B749F}"/>
    <cellStyle name="Normal 2 2 25 4 6" xfId="8504" xr:uid="{3BCEC3ED-1349-40AB-8F0B-70EC94F9BCB9}"/>
    <cellStyle name="Normal 2 2 25 5" xfId="8505" xr:uid="{E10B9BBB-A93E-416C-BBAC-B7D6AB6F9EFE}"/>
    <cellStyle name="Normal 2 2 25 5 3" xfId="8506" xr:uid="{FF877556-47BA-4698-8927-2EE098FCBE92}"/>
    <cellStyle name="Normal 2 2 25 5 4" xfId="8507" xr:uid="{C00BAA8A-9DD6-4920-B7BF-FB12F718297B}"/>
    <cellStyle name="Normal 2 2 25 5 5" xfId="8508" xr:uid="{F2901C51-E3A1-456D-88DD-8DF6B884ABDB}"/>
    <cellStyle name="Normal 2 2 25 5 6" xfId="8509" xr:uid="{9B7B09A0-206B-4582-B167-8D6C73CDF44F}"/>
    <cellStyle name="Normal 2 2 25 6" xfId="8510" xr:uid="{38D7ACCE-8B27-47AD-B466-CA70DDCA85A3}"/>
    <cellStyle name="Normal 2 2 25 6 2" xfId="8511" xr:uid="{9FA4B778-5433-44AB-B700-65ED886E42A9}"/>
    <cellStyle name="Normal 2 2 25 6 3" xfId="8512" xr:uid="{46382314-5147-451C-AE23-BBFD9004866C}"/>
    <cellStyle name="Normal 2 2 25 6 4" xfId="8513" xr:uid="{D597835F-C6A5-442D-8409-5E56F5EBA381}"/>
    <cellStyle name="Normal 2 2 25 6 5" xfId="8514" xr:uid="{61476B16-5747-4992-9641-21E26032C453}"/>
    <cellStyle name="Normal 2 2 25 6 6" xfId="8515" xr:uid="{5BF6820D-5AB0-42DD-A3DB-CEF8CCBC5C28}"/>
    <cellStyle name="Normal 2 2 25 7" xfId="8516" xr:uid="{8918E264-ADFD-422C-A228-E9048D436A96}"/>
    <cellStyle name="Normal 2 2 25 7 2" xfId="8517" xr:uid="{2B776180-543E-4A66-9FD2-185A9003E6DC}"/>
    <cellStyle name="Normal 2 2 25 7 3" xfId="8518" xr:uid="{0A9A5A99-E1C9-49BA-B718-BE7EA73A4C8B}"/>
    <cellStyle name="Normal 2 2 25 7 4" xfId="8519" xr:uid="{BA14D0F6-30C4-4631-AB6A-08E2E26EDAFD}"/>
    <cellStyle name="Normal 2 2 25 7 5" xfId="8520" xr:uid="{678663F5-8D90-463F-ACE9-CCF7F25BA4AF}"/>
    <cellStyle name="Normal 2 2 25 7 6" xfId="8521" xr:uid="{843D7112-DB7D-4E5D-90C4-64D1B3C6116C}"/>
    <cellStyle name="Normal 2 2 25 8" xfId="8522" xr:uid="{ABDE2511-4F46-4050-9420-259586E62F63}"/>
    <cellStyle name="Normal 2 2 25 8 2" xfId="8523" xr:uid="{F5DAEA34-9575-4EE2-B1AC-0600830C86F4}"/>
    <cellStyle name="Normal 2 2 25 8 3" xfId="8524" xr:uid="{26E36A0D-DE68-4382-86AC-A9640DFC560C}"/>
    <cellStyle name="Normal 2 2 25 8 4" xfId="8525" xr:uid="{EA5431CC-8FA5-47FA-8613-9D045126DC92}"/>
    <cellStyle name="Normal 2 2 25 8 5" xfId="8526" xr:uid="{DA3CF967-A39C-4AE0-9E8C-FDA2F4F9FC49}"/>
    <cellStyle name="Normal 2 2 25 8 6" xfId="8527" xr:uid="{0CF71A03-D21B-401B-8964-4C4AFE2210D3}"/>
    <cellStyle name="Normal 2 2 25 9" xfId="8528" xr:uid="{E370492C-A435-4EF8-AC7C-E44918D09BD7}"/>
    <cellStyle name="Normal 2 2 26" xfId="8529" xr:uid="{5EB1239F-99F5-4531-90FC-171F9D4FEC4A}"/>
    <cellStyle name="Normal 2 2 26 10" xfId="8530" xr:uid="{4E7500E5-409D-4077-9DF4-631A8C49BD11}"/>
    <cellStyle name="Normal 2 2 26 10 10" xfId="8531" xr:uid="{A1B21709-80F0-41E2-9D35-B7F7AB25AA6D}"/>
    <cellStyle name="Normal 2 2 26 10 11" xfId="8532" xr:uid="{88669A0E-8613-4574-9464-7541425A023D}"/>
    <cellStyle name="Normal 2 2 26 10 12" xfId="8533" xr:uid="{5126A355-16C8-4349-B406-37C4E4E51170}"/>
    <cellStyle name="Normal 2 2 26 10 13" xfId="8534" xr:uid="{9753EF6C-2B8A-4831-BA25-46A2EB28F3AA}"/>
    <cellStyle name="Normal 2 2 26 10 14" xfId="8535" xr:uid="{2371C3D0-2B38-4F3A-8552-41B786638B63}"/>
    <cellStyle name="Normal 2 2 26 10 15" xfId="8536" xr:uid="{2257CD9F-F93F-46AC-A8C4-368607FCF9FB}"/>
    <cellStyle name="Normal 2 2 26 10 16" xfId="8537" xr:uid="{7D0D637A-7246-43EA-9D77-ED53C89B6DB3}"/>
    <cellStyle name="Normal 2 2 26 10 17" xfId="8538" xr:uid="{644E9F38-6678-44B6-9194-D2265973B995}"/>
    <cellStyle name="Normal 2 2 26 10 18" xfId="8539" xr:uid="{BD7C2220-7E25-43B0-ACA6-D0B5B807B40D}"/>
    <cellStyle name="Normal 2 2 26 10 19" xfId="8540" xr:uid="{FA7AE811-C8A9-4140-B67D-0D046CBE226F}"/>
    <cellStyle name="Normal 2 2 26 10 2" xfId="8541" xr:uid="{C8CEF3AD-7383-4564-9CAF-216BF17FB1BF}"/>
    <cellStyle name="Normal 2 2 26 10 21" xfId="8542" xr:uid="{6BF2BAD1-21F0-43B0-A7FD-B4D16769E1BD}"/>
    <cellStyle name="Normal 2 2 26 10 22" xfId="8543" xr:uid="{E6D09B5E-7F93-4642-8F06-9C17768F353A}"/>
    <cellStyle name="Normal 2 2 26 10 23" xfId="8544" xr:uid="{863E1DA0-1F90-4C8A-9840-4A7D911BA805}"/>
    <cellStyle name="Normal 2 2 26 10 24" xfId="8545" xr:uid="{C327FCCE-3AD0-4826-B456-725F9473B48D}"/>
    <cellStyle name="Normal 2 2 26 10 25" xfId="8546" xr:uid="{325BF73E-78C6-4D3A-90E4-E150D61F324D}"/>
    <cellStyle name="Normal 2 2 26 10 26" xfId="8547" xr:uid="{E85BCFB8-B478-415C-AE5F-EB5DF61238C6}"/>
    <cellStyle name="Normal 2 2 26 10 27" xfId="8548" xr:uid="{40006EF9-6DDE-46D7-A321-D5F946D37A0D}"/>
    <cellStyle name="Normal 2 2 26 10 28" xfId="8549" xr:uid="{15FB93E4-5005-4011-ABE5-356DF3DA10BB}"/>
    <cellStyle name="Normal 2 2 26 10 29" xfId="8550" xr:uid="{DFD61082-C188-42C5-AFDD-44C769B6EF71}"/>
    <cellStyle name="Normal 2 2 26 10 3" xfId="8551" xr:uid="{CCD20A4D-E961-4113-BD98-36020C5DCE08}"/>
    <cellStyle name="Normal 2 2 26 10 30" xfId="8552" xr:uid="{2FD3CE9E-08C0-4563-B3AC-7A72706B62B8}"/>
    <cellStyle name="Normal 2 2 26 10 31" xfId="8553" xr:uid="{13E3E498-EE02-43CA-B2E8-2172420299B7}"/>
    <cellStyle name="Normal 2 2 26 10 32" xfId="8554" xr:uid="{D1BDBCE0-3410-4F57-9382-9343FE67F040}"/>
    <cellStyle name="Normal 2 2 26 10 33" xfId="8555" xr:uid="{697CAFA9-9E39-4F8C-85E4-08FD49BC928D}"/>
    <cellStyle name="Normal 2 2 26 10 34" xfId="8556" xr:uid="{A63BA271-05FA-4A0E-931E-CAFA026B0BC8}"/>
    <cellStyle name="Normal 2 2 26 10 35" xfId="8557" xr:uid="{4F4EE0DF-FC83-43EF-8CE2-274FE877543A}"/>
    <cellStyle name="Normal 2 2 26 10 36" xfId="8558" xr:uid="{EBC73539-20C6-484C-AE56-10BC69EFCFBB}"/>
    <cellStyle name="Normal 2 2 26 10 37" xfId="8559" xr:uid="{DF2A6C64-54E6-4CCF-AD48-526BF9739449}"/>
    <cellStyle name="Normal 2 2 26 10 4" xfId="8560" xr:uid="{43FE9955-DF83-4B2F-A3FB-E66FB513AFCF}"/>
    <cellStyle name="Normal 2 2 26 10 6" xfId="8561" xr:uid="{756610EF-DE54-4DE4-86FD-DA40880A8C3E}"/>
    <cellStyle name="Normal 2 2 26 10 7" xfId="8562" xr:uid="{DF4C68AF-A38D-433A-9082-9AD12875ACD3}"/>
    <cellStyle name="Normal 2 2 26 10 8" xfId="8563" xr:uid="{52D39739-A932-4EBF-8578-784876188904}"/>
    <cellStyle name="Normal 2 2 26 10 9" xfId="8564" xr:uid="{A04E91A4-B3C7-44F6-8A09-99A2CD776BBF}"/>
    <cellStyle name="Normal 2 2 26 11" xfId="8565" xr:uid="{34C2A1D0-2F50-45AF-9CAA-0B764DBF1FFF}"/>
    <cellStyle name="Normal 2 2 26 11 10" xfId="8566" xr:uid="{19F2681F-BE6E-4E3C-BA76-192C8045F5B0}"/>
    <cellStyle name="Normal 2 2 26 11 11" xfId="8567" xr:uid="{6E135DFF-48D4-44AD-AEB4-352073FFD64F}"/>
    <cellStyle name="Normal 2 2 26 11 12" xfId="8568" xr:uid="{A8B6A7AB-C3D1-43E1-8F9F-229DDFFEC5BB}"/>
    <cellStyle name="Normal 2 2 26 11 13" xfId="8569" xr:uid="{3DC15B2D-079B-48DC-A985-9228D9E3B6D4}"/>
    <cellStyle name="Normal 2 2 26 11 14" xfId="8570" xr:uid="{CD24F09C-1D3C-4EC8-BA33-4CAA3BF50595}"/>
    <cellStyle name="Normal 2 2 26 11 15" xfId="8571" xr:uid="{8931457F-8385-4CD9-A7A7-3738C9DB3929}"/>
    <cellStyle name="Normal 2 2 26 11 16" xfId="8572" xr:uid="{28CC97B8-DC59-4402-9B72-26240EAE9665}"/>
    <cellStyle name="Normal 2 2 26 11 17" xfId="8573" xr:uid="{0C115F6B-6E5A-4038-AE6D-1C894EB16E8C}"/>
    <cellStyle name="Normal 2 2 26 11 18" xfId="8574" xr:uid="{028AB005-FA9F-4352-9B4E-E1AAC88B6A23}"/>
    <cellStyle name="Normal 2 2 26 11 19" xfId="8575" xr:uid="{FF0440C5-B5A6-4695-803A-DC4230ABE4E8}"/>
    <cellStyle name="Normal 2 2 26 11 2" xfId="8576" xr:uid="{8972FB78-C554-4A9B-8738-B0D8A61DE447}"/>
    <cellStyle name="Normal 2 2 26 11 20" xfId="8577" xr:uid="{3C7B7D5C-C2B5-4907-AE05-E2A631B1FD8A}"/>
    <cellStyle name="Normal 2 2 26 11 21" xfId="8578" xr:uid="{85A02544-E4DC-4F56-A7CA-7FCE03C7C05B}"/>
    <cellStyle name="Normal 2 2 26 11 22" xfId="8579" xr:uid="{928274C6-F71F-4DEB-A8D1-B916BE81E1B3}"/>
    <cellStyle name="Normal 2 2 26 11 23" xfId="8580" xr:uid="{5001D5D7-AFED-46CF-B434-D6722EA051C7}"/>
    <cellStyle name="Normal 2 2 26 11 24" xfId="8581" xr:uid="{1095B7F2-CD20-4E2A-85EA-61535BD7EF93}"/>
    <cellStyle name="Normal 2 2 26 11 25" xfId="8582" xr:uid="{2B7434FF-90EA-47C1-8C8B-0DFFB0588C24}"/>
    <cellStyle name="Normal 2 2 26 11 26" xfId="8583" xr:uid="{DCA24E49-B367-4CF9-8595-53CC22DB29BC}"/>
    <cellStyle name="Normal 2 2 26 11 27" xfId="8584" xr:uid="{4A7A5CC2-7574-4CE3-8B71-0373FCCDE54C}"/>
    <cellStyle name="Normal 2 2 26 11 28" xfId="8585" xr:uid="{5E4AFE58-2041-4CD7-905C-DD01DC8FE9E5}"/>
    <cellStyle name="Normal 2 2 26 11 29" xfId="8586" xr:uid="{28F2BAB3-322B-4471-B0EE-8F516BE20305}"/>
    <cellStyle name="Normal 2 2 26 11 3" xfId="8587" xr:uid="{8AD532FD-C3F3-4EB2-84C7-DC2C990AE7F0}"/>
    <cellStyle name="Normal 2 2 26 11 30" xfId="8588" xr:uid="{5D4EC99D-2309-4B27-8157-3AC5F7161152}"/>
    <cellStyle name="Normal 2 2 26 11 31" xfId="8589" xr:uid="{C562F436-5471-440E-82B0-270A41110C01}"/>
    <cellStyle name="Normal 2 2 26 11 32" xfId="8590" xr:uid="{580843AA-8418-40CD-8DEE-AA9A150674B4}"/>
    <cellStyle name="Normal 2 2 26 11 33" xfId="8591" xr:uid="{F32B2088-D1A8-4A00-962B-F3DB4DF8E55D}"/>
    <cellStyle name="Normal 2 2 26 11 34" xfId="8592" xr:uid="{C880DAC3-D2F2-448F-8632-67AAD18993F3}"/>
    <cellStyle name="Normal 2 2 26 11 35" xfId="8593" xr:uid="{A2AB25AD-D1DC-4C46-B7FD-9C149DDB1706}"/>
    <cellStyle name="Normal 2 2 26 11 36" xfId="8594" xr:uid="{7AA13DDD-8A53-4911-9BFC-7B624050165D}"/>
    <cellStyle name="Normal 2 2 26 11 37" xfId="8595" xr:uid="{547B2D53-1DA2-4DA8-A08D-F3D7B875B5F1}"/>
    <cellStyle name="Normal 2 2 26 11 4" xfId="8596" xr:uid="{A34E0B66-856D-4D3E-89B6-12F98B09783E}"/>
    <cellStyle name="Normal 2 2 26 11 5" xfId="8597" xr:uid="{FE2DB1A3-1835-4AD4-A85F-7705A9A03664}"/>
    <cellStyle name="Normal 2 2 26 11 6" xfId="8598" xr:uid="{34E6DAD1-95A2-49FC-93A9-45318EDC1EEE}"/>
    <cellStyle name="Normal 2 2 26 11 7" xfId="8599" xr:uid="{418DA495-EEEF-41AD-B9E2-143D396588E8}"/>
    <cellStyle name="Normal 2 2 26 11 8" xfId="8600" xr:uid="{0B791EDB-B746-4C92-9AA4-CDF3DA10A550}"/>
    <cellStyle name="Normal 2 2 26 11 9" xfId="8601" xr:uid="{389FED6F-FF14-4DF9-8469-531C36CE9EDF}"/>
    <cellStyle name="Normal 2 2 26 12" xfId="8602" xr:uid="{5A920360-7398-40A8-876B-5ED495DFF1F9}"/>
    <cellStyle name="Normal 2 2 26 12 2" xfId="8603" xr:uid="{1A203775-2020-4341-9312-B271F8C37523}"/>
    <cellStyle name="Normal 2 2 26 12 3" xfId="8604" xr:uid="{46098E81-3F3E-44DA-8D8A-8C7BF166A8E2}"/>
    <cellStyle name="Normal 2 2 26 12 4" xfId="8605" xr:uid="{10C2423E-FE25-440E-80D9-942FCB9911A9}"/>
    <cellStyle name="Normal 2 2 26 12 6" xfId="8606" xr:uid="{FB0F76EA-234F-4F1C-8DAD-B708E43EFDFB}"/>
    <cellStyle name="Normal 2 2 26 13 2" xfId="8607" xr:uid="{FCBAE38F-7855-4AE9-B75A-62F7F172FB8A}"/>
    <cellStyle name="Normal 2 2 26 13 3" xfId="8608" xr:uid="{C318490A-B194-4C71-8255-18BB5D8EF63A}"/>
    <cellStyle name="Normal 2 2 26 13 4" xfId="8609" xr:uid="{037E2239-6571-413F-8595-F9B6D9A25186}"/>
    <cellStyle name="Normal 2 2 26 13 5" xfId="8610" xr:uid="{02AEAD4C-E754-4DF4-BB0F-054F5F292BF0}"/>
    <cellStyle name="Normal 2 2 26 13 6" xfId="8611" xr:uid="{4976943E-DD17-4583-B066-166CAD55C95A}"/>
    <cellStyle name="Normal 2 2 26 14" xfId="8612" xr:uid="{0F34CB56-4EA1-4516-A03B-78593165EC7E}"/>
    <cellStyle name="Normal 2 2 26 14 2" xfId="8613" xr:uid="{5BBC6F5A-4248-4080-8CA8-E8906BEAB7E7}"/>
    <cellStyle name="Normal 2 2 26 14 3" xfId="8614" xr:uid="{02C58164-FC60-4B6A-828F-5DDC579E7CBD}"/>
    <cellStyle name="Normal 2 2 26 14 4" xfId="8615" xr:uid="{ECB32390-52D7-439E-9D25-D9A18CB375DD}"/>
    <cellStyle name="Normal 2 2 26 14 5" xfId="8616" xr:uid="{A63D2593-EA8B-47E8-B9EE-9B82B0D1F64F}"/>
    <cellStyle name="Normal 2 2 26 14 6" xfId="8617" xr:uid="{169EAAF2-7758-459C-B2FB-7632CB094E4C}"/>
    <cellStyle name="Normal 2 2 26 15" xfId="8618" xr:uid="{F7EF6E71-3B32-4455-8BB7-ADBA875E9A51}"/>
    <cellStyle name="Normal 2 2 26 15 2" xfId="8619" xr:uid="{1B594097-3AAE-49EC-9897-44924805FF76}"/>
    <cellStyle name="Normal 2 2 26 15 3" xfId="8620" xr:uid="{CD5E6095-3E3C-4CE9-9A77-E7CECF9A99FE}"/>
    <cellStyle name="Normal 2 2 26 15 4" xfId="8621" xr:uid="{104A32A6-404C-4C97-A075-8819D704F865}"/>
    <cellStyle name="Normal 2 2 26 15 5" xfId="8622" xr:uid="{F21AA007-D9E3-4D6C-891F-58A039944033}"/>
    <cellStyle name="Normal 2 2 26 15 6" xfId="8623" xr:uid="{F5AEE46B-C63E-4739-A813-7E6425570CF4}"/>
    <cellStyle name="Normal 2 2 26 16" xfId="8624" xr:uid="{FCFB9ACF-B66C-4891-AC0F-7FCB072D4055}"/>
    <cellStyle name="Normal 2 2 26 16 2" xfId="8625" xr:uid="{52D5160E-034C-4FC3-8A68-7F2F2FE90603}"/>
    <cellStyle name="Normal 2 2 26 16 3" xfId="8626" xr:uid="{F6579277-E569-496B-AB06-2272C7E677AB}"/>
    <cellStyle name="Normal 2 2 26 16 4" xfId="8627" xr:uid="{01536254-7EE1-47CD-A8B7-627C3010ECEE}"/>
    <cellStyle name="Normal 2 2 26 16 5" xfId="8628" xr:uid="{82314F19-FA0E-4407-B76A-F767367B2AB0}"/>
    <cellStyle name="Normal 2 2 26 16 6" xfId="8629" xr:uid="{2F409F6D-D786-4BF0-9B6E-8EC891715B1F}"/>
    <cellStyle name="Normal 2 2 26 17" xfId="8630" xr:uid="{67A7D4AB-C080-4683-A5B4-6E47CE6A4037}"/>
    <cellStyle name="Normal 2 2 26 17 2" xfId="8631" xr:uid="{04E42A33-5D9A-4875-ABB4-8E06C9275B41}"/>
    <cellStyle name="Normal 2 2 26 17 3" xfId="8632" xr:uid="{EAEB3F53-3321-4C50-8FB5-42A5D632CECD}"/>
    <cellStyle name="Normal 2 2 26 17 4" xfId="8633" xr:uid="{1006ACE4-8DFD-4842-A0CF-46D777F6D731}"/>
    <cellStyle name="Normal 2 2 26 17 5" xfId="8634" xr:uid="{48A0657E-1600-42FF-A0BF-9680180A00D8}"/>
    <cellStyle name="Normal 2 2 26 17 6" xfId="8635" xr:uid="{B16BBA06-7275-4A31-A240-7657C999078F}"/>
    <cellStyle name="Normal 2 2 26 18" xfId="8636" xr:uid="{F4E626A2-2079-4FC7-AC63-9C329F78F32C}"/>
    <cellStyle name="Normal 2 2 26 18 2" xfId="8637" xr:uid="{5B7F37CE-54BE-4143-B1C8-4074E780F02D}"/>
    <cellStyle name="Normal 2 2 26 18 3" xfId="8638" xr:uid="{C9222406-7FF1-4641-BD49-AA19D4C241E8}"/>
    <cellStyle name="Normal 2 2 26 18 4" xfId="8639" xr:uid="{7624D85C-23B3-444B-AE80-BCE3F5A901D9}"/>
    <cellStyle name="Normal 2 2 26 18 5" xfId="8640" xr:uid="{0A79431A-A686-455F-B583-0E64EC773861}"/>
    <cellStyle name="Normal 2 2 26 18 6" xfId="8641" xr:uid="{41A99EC6-3179-411A-B31C-D32BB367E438}"/>
    <cellStyle name="Normal 2 2 26 19" xfId="8642" xr:uid="{3C238533-FB18-4E1C-8782-F3805E4D15F4}"/>
    <cellStyle name="Normal 2 2 26 2" xfId="8643" xr:uid="{FC4FE8C8-2746-48A8-A911-D9D6B9A909E9}"/>
    <cellStyle name="Normal 2 2 26 2 10" xfId="8644" xr:uid="{0EABBEA7-5732-4B39-80F4-5F59F3AC5B5D}"/>
    <cellStyle name="Normal 2 2 26 2 11" xfId="8645" xr:uid="{27C09CC9-D3B8-43A5-8235-38DEC7F706BA}"/>
    <cellStyle name="Normal 2 2 26 2 12" xfId="8646" xr:uid="{E81B7E28-2336-4155-BB49-29972AF51FF0}"/>
    <cellStyle name="Normal 2 2 26 2 13" xfId="8647" xr:uid="{E1114266-5F13-40EB-9BD5-1C71A34CCFFC}"/>
    <cellStyle name="Normal 2 2 26 2 14" xfId="8648" xr:uid="{4139413A-D9FA-401C-AD5B-FA2B30EDCB52}"/>
    <cellStyle name="Normal 2 2 26 2 15" xfId="8649" xr:uid="{8D855E08-E31B-4413-91E0-C8D692868AE3}"/>
    <cellStyle name="Normal 2 2 26 2 16" xfId="8650" xr:uid="{17C99D17-5F8F-40AB-BADB-3734503F0F4F}"/>
    <cellStyle name="Normal 2 2 26 2 17" xfId="8651" xr:uid="{31AA8C1B-BD58-44ED-8DEE-429761CA5C5D}"/>
    <cellStyle name="Normal 2 2 26 2 18" xfId="8652" xr:uid="{A84B8169-DD5B-4B76-9736-099E7B68235F}"/>
    <cellStyle name="Normal 2 2 26 2 19" xfId="8653" xr:uid="{1FD3BA73-F1F1-4857-9C14-3FE03E6FFF0E}"/>
    <cellStyle name="Normal 2 2 26 2 2" xfId="8654" xr:uid="{2D5FB86C-33C7-4387-AAAD-7140699226D7}"/>
    <cellStyle name="Normal 2 2 26 2 20" xfId="8655" xr:uid="{0B13A926-1D50-4BB2-BED4-4BCA0E4D660C}"/>
    <cellStyle name="Normal 2 2 26 2 22" xfId="8656" xr:uid="{A8CB1A53-15D4-4215-9DED-8BA022B39115}"/>
    <cellStyle name="Normal 2 2 26 2 24" xfId="8657" xr:uid="{350594A9-DD3F-4D73-86F8-8C9AEF56E6F2}"/>
    <cellStyle name="Normal 2 2 26 2 26" xfId="8658" xr:uid="{B23E3650-17A7-48E0-958E-28404B43BA06}"/>
    <cellStyle name="Normal 2 2 26 2 27" xfId="8659" xr:uid="{0ACB7F7E-47B7-4AAF-9DE8-2C8859E20022}"/>
    <cellStyle name="Normal 2 2 26 2 29" xfId="8660" xr:uid="{9A2EB55C-3599-4027-A608-C8E6AB9C5AA5}"/>
    <cellStyle name="Normal 2 2 26 2 3" xfId="8661" xr:uid="{7BD137C6-B03D-45B4-985A-409E9834C65C}"/>
    <cellStyle name="Normal 2 2 26 2 30" xfId="8662" xr:uid="{4B1AF5A5-C503-4734-A97F-D018EE3BF15C}"/>
    <cellStyle name="Normal 2 2 26 2 31" xfId="8663" xr:uid="{A9D7B80E-6A86-4FBB-BDE7-C0CF9CCAFECC}"/>
    <cellStyle name="Normal 2 2 26 2 32" xfId="8664" xr:uid="{032D2B3C-059E-4C15-9919-1DC71A421F17}"/>
    <cellStyle name="Normal 2 2 26 2 33" xfId="8665" xr:uid="{2CED91A5-CF8C-4A9F-BD27-78D365A7C212}"/>
    <cellStyle name="Normal 2 2 26 2 34" xfId="8666" xr:uid="{AA6DDB5F-87EF-4314-9519-E9DCAFCC0A0F}"/>
    <cellStyle name="Normal 2 2 26 2 35" xfId="8667" xr:uid="{BB559E7D-6F28-42BA-8CED-12EBD4003177}"/>
    <cellStyle name="Normal 2 2 26 2 36" xfId="8668" xr:uid="{1F9546EC-D82C-4801-B99F-40062C044EF1}"/>
    <cellStyle name="Normal 2 2 26 2 37" xfId="8669" xr:uid="{BDBFCA8A-3345-4755-BA56-7232A15019AC}"/>
    <cellStyle name="Normal 2 2 26 2 4" xfId="8670" xr:uid="{4A628229-BA3A-40C8-8AC6-9CAB40941F9D}"/>
    <cellStyle name="Normal 2 2 26 2 5" xfId="8671" xr:uid="{54F51D9C-38B2-49CA-95A5-0286BB8C7118}"/>
    <cellStyle name="Normal 2 2 26 2 6" xfId="8672" xr:uid="{67E18C9A-D380-41CA-BE5B-39D827074492}"/>
    <cellStyle name="Normal 2 2 26 2 7" xfId="8673" xr:uid="{08390828-2A30-4EB3-86DA-C848BDF8B897}"/>
    <cellStyle name="Normal 2 2 26 2 8" xfId="8674" xr:uid="{6E2A38FF-E653-4D61-8472-C28B2DA58962}"/>
    <cellStyle name="Normal 2 2 26 2 9" xfId="8675" xr:uid="{51B8C353-9DCD-4005-B9B5-4BA3405D7D5E}"/>
    <cellStyle name="Normal 2 2 26 20" xfId="8676" xr:uid="{DF449AB5-32DC-4EF5-A84C-A84F47A6FEFA}"/>
    <cellStyle name="Normal 2 2 26 21" xfId="8677" xr:uid="{77B8925B-1273-427D-A872-C356A3465849}"/>
    <cellStyle name="Normal 2 2 26 22" xfId="8678" xr:uid="{06911E61-AAA6-4875-9C0E-3F99031603A3}"/>
    <cellStyle name="Normal 2 2 26 23" xfId="8679" xr:uid="{EA054452-686F-455D-9640-493571E7CEA3}"/>
    <cellStyle name="Normal 2 2 26 24" xfId="8680" xr:uid="{4EE36E7F-65BB-440C-88E6-A122583040DE}"/>
    <cellStyle name="Normal 2 2 26 3" xfId="8681" xr:uid="{3FBC9923-D043-4C1F-9A2A-B66133964646}"/>
    <cellStyle name="Normal 2 2 26 3 11" xfId="8682" xr:uid="{FB5ACBE0-D328-46A4-AA6D-89DD49AB3380}"/>
    <cellStyle name="Normal 2 2 26 3 12" xfId="8683" xr:uid="{E80425EB-003D-4EB4-B158-603D2207664E}"/>
    <cellStyle name="Normal 2 2 26 3 13" xfId="8684" xr:uid="{233DB806-874C-47DD-9D7F-23CCAF2683CF}"/>
    <cellStyle name="Normal 2 2 26 3 14" xfId="8685" xr:uid="{00B7DC65-E142-426C-AB18-911944D0259E}"/>
    <cellStyle name="Normal 2 2 26 3 15" xfId="8686" xr:uid="{91592809-F467-4E8F-9253-CB32E6F8BD4E}"/>
    <cellStyle name="Normal 2 2 26 3 16" xfId="8687" xr:uid="{21CCEBE0-9A96-40F7-AEAC-4F821518B4BD}"/>
    <cellStyle name="Normal 2 2 26 3 17" xfId="8688" xr:uid="{9F77C5AA-3DE1-4877-9F0B-CACCD2AFA5D5}"/>
    <cellStyle name="Normal 2 2 26 3 18" xfId="8689" xr:uid="{B9B82EE1-25D0-4546-B3BA-03050E9B0ECB}"/>
    <cellStyle name="Normal 2 2 26 3 19" xfId="8690" xr:uid="{40A6C359-8F68-4358-90E7-F4A034A0D618}"/>
    <cellStyle name="Normal 2 2 26 3 2" xfId="8691" xr:uid="{0701BE46-6D4A-4E43-96FF-5CB8DC47D04B}"/>
    <cellStyle name="Normal 2 2 26 3 20" xfId="8692" xr:uid="{2BE35D6D-0383-4963-8D67-008D46071323}"/>
    <cellStyle name="Normal 2 2 26 3 21" xfId="8693" xr:uid="{58BE772D-C43D-44C4-8105-598C6AF907A8}"/>
    <cellStyle name="Normal 2 2 26 3 22" xfId="8694" xr:uid="{79939BE9-CA60-469D-8013-8F123542C2A3}"/>
    <cellStyle name="Normal 2 2 26 3 23" xfId="8695" xr:uid="{7E34A2D7-4E86-4DDA-9F2F-217358FA044B}"/>
    <cellStyle name="Normal 2 2 26 3 24" xfId="8696" xr:uid="{5CA590DE-00A3-41C5-A93A-8884D4BA9B27}"/>
    <cellStyle name="Normal 2 2 26 3 25" xfId="8697" xr:uid="{36726A8D-7209-4625-A710-EE45C8949AEE}"/>
    <cellStyle name="Normal 2 2 26 3 26" xfId="8698" xr:uid="{0A5F09AC-065E-4C78-850C-6C9DFDA0B344}"/>
    <cellStyle name="Normal 2 2 26 3 27" xfId="8699" xr:uid="{E0504ECE-BBBB-471B-B303-91AA94408497}"/>
    <cellStyle name="Normal 2 2 26 3 28" xfId="8700" xr:uid="{058A8662-1273-4B3F-8849-3F46947C8B37}"/>
    <cellStyle name="Normal 2 2 26 3 29" xfId="8701" xr:uid="{7ADD4F55-1652-447C-B955-8D31FE45EA22}"/>
    <cellStyle name="Normal 2 2 26 3 3" xfId="8702" xr:uid="{2F438D2C-297A-4818-8D05-928102BE2E96}"/>
    <cellStyle name="Normal 2 2 26 3 30" xfId="8703" xr:uid="{47200CA8-BBB7-4C64-95EC-974DB3E365BF}"/>
    <cellStyle name="Normal 2 2 26 3 31" xfId="8704" xr:uid="{82520EA4-A14C-43E7-84D7-6D164CB6E458}"/>
    <cellStyle name="Normal 2 2 26 3 32" xfId="8705" xr:uid="{1710E561-2019-4469-B11B-2011D0A8493F}"/>
    <cellStyle name="Normal 2 2 26 3 33" xfId="8706" xr:uid="{A21D1F66-1844-44DB-B58D-78C9ACFC592C}"/>
    <cellStyle name="Normal 2 2 26 3 34" xfId="8707" xr:uid="{6BEE3412-5DCD-43BD-8424-F5AC80277C1D}"/>
    <cellStyle name="Normal 2 2 26 3 35" xfId="8708" xr:uid="{BB7E5637-D629-4D89-B89B-2ABA69A09052}"/>
    <cellStyle name="Normal 2 2 26 3 36" xfId="8709" xr:uid="{C260B396-684C-4604-AB5B-74BDBD846C4E}"/>
    <cellStyle name="Normal 2 2 26 3 37" xfId="8710" xr:uid="{27C639BC-5033-431A-B025-7023C1B62CBC}"/>
    <cellStyle name="Normal 2 2 26 3 4" xfId="8711" xr:uid="{94D014EF-2CE4-45F6-AC51-18BD13D188E2}"/>
    <cellStyle name="Normal 2 2 26 3 5" xfId="8712" xr:uid="{8164F0E5-50D5-48D8-9B21-3454359DEB7F}"/>
    <cellStyle name="Normal 2 2 26 3 6" xfId="8713" xr:uid="{B99C00C1-064F-4245-993D-2BBE4C63AA9B}"/>
    <cellStyle name="Normal 2 2 26 3 7" xfId="8714" xr:uid="{B7FD1371-9A17-4B9A-892C-A490DDC0CDCB}"/>
    <cellStyle name="Normal 2 2 26 3 8" xfId="8715" xr:uid="{8CAC3F06-C257-4FE8-A5D0-BB413CBEF64F}"/>
    <cellStyle name="Normal 2 2 26 3 9" xfId="8716" xr:uid="{985BCA1D-BB00-411F-B0E4-EAF08C42648F}"/>
    <cellStyle name="Normal 2 2 26 4" xfId="8717" xr:uid="{28BEB3DF-F65E-4CA8-8276-E770C0C0633A}"/>
    <cellStyle name="Normal 2 2 26 4 10" xfId="8718" xr:uid="{38CA5E18-5574-43BC-A733-BE4E33E166F5}"/>
    <cellStyle name="Normal 2 2 26 4 11" xfId="8719" xr:uid="{D6955F1A-F26A-48B3-9226-0FCE4D232207}"/>
    <cellStyle name="Normal 2 2 26 4 12" xfId="8720" xr:uid="{0009DE61-4BD2-4D0B-B45D-8105002D94A1}"/>
    <cellStyle name="Normal 2 2 26 4 13" xfId="8721" xr:uid="{42D3689B-C944-41CB-A369-CD37E5F47D86}"/>
    <cellStyle name="Normal 2 2 26 4 14" xfId="8722" xr:uid="{57EEBA2D-3FF9-4FF0-B1FC-F0852FC19D50}"/>
    <cellStyle name="Normal 2 2 26 4 15" xfId="8723" xr:uid="{7C9C420F-CD88-4ADD-B2F5-0CD50548A2E5}"/>
    <cellStyle name="Normal 2 2 26 4 16" xfId="8724" xr:uid="{9B3DB92C-E558-4F74-8F6A-B6C882E7BAA1}"/>
    <cellStyle name="Normal 2 2 26 4 17" xfId="8725" xr:uid="{207F4679-CDB9-4373-8FA4-1D3BCBFCC74F}"/>
    <cellStyle name="Normal 2 2 26 4 18" xfId="8726" xr:uid="{63613A3E-10F4-454D-BDDB-666070E2A6F4}"/>
    <cellStyle name="Normal 2 2 26 4 19" xfId="8727" xr:uid="{708F47DA-7D0B-4746-80F6-1077E8BAE966}"/>
    <cellStyle name="Normal 2 2 26 4 2" xfId="8728" xr:uid="{7911781A-28A5-4720-8F59-B335BC4767C0}"/>
    <cellStyle name="Normal 2 2 26 4 20" xfId="8729" xr:uid="{FB0B3692-0CD1-408E-8C4B-E70E38070151}"/>
    <cellStyle name="Normal 2 2 26 4 21" xfId="8730" xr:uid="{0331F5D2-8462-432A-AE5C-8A8B302ED78B}"/>
    <cellStyle name="Normal 2 2 26 4 23" xfId="8731" xr:uid="{60CDC09C-DC2C-490C-A219-903F040CFA33}"/>
    <cellStyle name="Normal 2 2 26 4 24" xfId="8732" xr:uid="{46B619D2-D460-461E-BC91-3A3306C7D50C}"/>
    <cellStyle name="Normal 2 2 26 4 25" xfId="8733" xr:uid="{749B85B4-B55F-496E-84D2-D684C5BA4660}"/>
    <cellStyle name="Normal 2 2 26 4 26" xfId="8734" xr:uid="{9B789E46-A167-48C2-8112-125C026153AB}"/>
    <cellStyle name="Normal 2 2 26 4 27" xfId="8735" xr:uid="{9E5C6327-3482-422F-9AF6-28365E0DE89E}"/>
    <cellStyle name="Normal 2 2 26 4 28" xfId="8736" xr:uid="{39F1A462-4ED0-448B-A810-4953EE677906}"/>
    <cellStyle name="Normal 2 2 26 4 29" xfId="8737" xr:uid="{D06FA61C-1FAA-4B19-9998-2C546836F9AA}"/>
    <cellStyle name="Normal 2 2 26 4 3" xfId="8738" xr:uid="{E115105C-79B7-4102-A98D-15F1B1988BCE}"/>
    <cellStyle name="Normal 2 2 26 4 30" xfId="8739" xr:uid="{CAF48007-5135-45CF-8A67-0B87CC3B8E4F}"/>
    <cellStyle name="Normal 2 2 26 4 31" xfId="8740" xr:uid="{143FEB86-7C5A-4352-928B-742E4FFBE916}"/>
    <cellStyle name="Normal 2 2 26 4 32" xfId="8741" xr:uid="{BB6AFDEC-38B2-4D0E-BF81-3879BE9802E1}"/>
    <cellStyle name="Normal 2 2 26 4 33" xfId="8742" xr:uid="{623305DB-CAD5-4B09-A2B2-E671DCBB8E67}"/>
    <cellStyle name="Normal 2 2 26 4 34" xfId="8743" xr:uid="{E3C93352-A529-45BF-969B-B52B76FC257E}"/>
    <cellStyle name="Normal 2 2 26 4 35" xfId="8744" xr:uid="{71ADFFF4-3984-4727-A7D7-9556A4A24C2B}"/>
    <cellStyle name="Normal 2 2 26 4 36" xfId="8745" xr:uid="{0E04EAC8-0157-498E-ACB8-406D6A2ACBFF}"/>
    <cellStyle name="Normal 2 2 26 4 37" xfId="8746" xr:uid="{F997D312-9FD6-4DC5-A477-898BF76D7E4A}"/>
    <cellStyle name="Normal 2 2 26 4 4" xfId="8747" xr:uid="{36C8F221-2754-4AA0-9255-01B6434A9A1E}"/>
    <cellStyle name="Normal 2 2 26 4 5" xfId="8748" xr:uid="{C175BCA7-FA21-42A7-9754-97B04A30BAE2}"/>
    <cellStyle name="Normal 2 2 26 4 6" xfId="8749" xr:uid="{0D2A7703-A21A-4F55-8A51-EBC4BAD3703A}"/>
    <cellStyle name="Normal 2 2 26 4 7" xfId="8750" xr:uid="{3BB90ECE-8928-43F0-A7E6-AA3052E4DA79}"/>
    <cellStyle name="Normal 2 2 26 4 8" xfId="8751" xr:uid="{2F0521D8-C504-48FD-8855-1ADBE2C1C846}"/>
    <cellStyle name="Normal 2 2 26 4 9" xfId="8752" xr:uid="{8BC1808E-F1EB-45DD-B6B6-B69CAEC6A460}"/>
    <cellStyle name="Normal 2 2 26 5" xfId="8753" xr:uid="{B2D504CB-36F6-4317-B7FF-D6F4A0521B78}"/>
    <cellStyle name="Normal 2 2 26 5 10" xfId="8754" xr:uid="{47649354-9C36-4EF7-BEE3-9293058AC7F8}"/>
    <cellStyle name="Normal 2 2 26 5 11" xfId="8755" xr:uid="{D768B1A8-D677-4AD9-8394-C8BD8B96CE97}"/>
    <cellStyle name="Normal 2 2 26 5 12" xfId="8756" xr:uid="{6692A11B-8EBB-449C-9517-80994C7A7D1E}"/>
    <cellStyle name="Normal 2 2 26 5 13" xfId="8757" xr:uid="{F2301025-7B90-419C-9D3F-316A8E80A71D}"/>
    <cellStyle name="Normal 2 2 26 5 14" xfId="8758" xr:uid="{D6AA0EA9-CA79-42CD-B2EF-1C1F2A51FA16}"/>
    <cellStyle name="Normal 2 2 26 5 15" xfId="8759" xr:uid="{AB9291E2-3F2C-4095-8E35-AFD4D6A8AF76}"/>
    <cellStyle name="Normal 2 2 26 5 16" xfId="8760" xr:uid="{408C861A-4A29-4DB1-A7FA-B6F49C53752D}"/>
    <cellStyle name="Normal 2 2 26 5 17" xfId="8761" xr:uid="{235BE1A5-586D-48AE-9C74-25ADDDF77695}"/>
    <cellStyle name="Normal 2 2 26 5 18" xfId="8762" xr:uid="{13E4CDBA-0935-48CB-B7CD-D02F6EBB1D9E}"/>
    <cellStyle name="Normal 2 2 26 5 19" xfId="8763" xr:uid="{7DE7E44F-E933-4A4A-A2B3-7CA064C804ED}"/>
    <cellStyle name="Normal 2 2 26 5 2" xfId="8764" xr:uid="{165AEFBB-2E2E-44F0-911C-E2AA791F83B3}"/>
    <cellStyle name="Normal 2 2 26 5 20" xfId="8765" xr:uid="{C325CEDE-0B6C-455C-A3EC-B97E19E036C7}"/>
    <cellStyle name="Normal 2 2 26 5 21" xfId="8766" xr:uid="{6D432FFF-045B-44ED-9163-F075038C1F15}"/>
    <cellStyle name="Normal 2 2 26 5 22" xfId="8767" xr:uid="{3E734BFA-3299-4890-A9B1-BD8E82662751}"/>
    <cellStyle name="Normal 2 2 26 5 23" xfId="8768" xr:uid="{7EBF1124-1FD5-410D-9F11-169B309E9490}"/>
    <cellStyle name="Normal 2 2 26 5 24" xfId="8769" xr:uid="{87BD3072-1990-4645-B589-07262B7DDD83}"/>
    <cellStyle name="Normal 2 2 26 5 25" xfId="8770" xr:uid="{414FE286-4E9B-4222-BE92-797227BFFCD0}"/>
    <cellStyle name="Normal 2 2 26 5 26" xfId="8771" xr:uid="{A99AC9F9-B01C-4D05-B9F3-833144DC6A5E}"/>
    <cellStyle name="Normal 2 2 26 5 27" xfId="8772" xr:uid="{96641566-3137-4EE6-845C-CDB362AA94AD}"/>
    <cellStyle name="Normal 2 2 26 5 28" xfId="8773" xr:uid="{6A10CF4F-39FD-4B6C-9A13-27F17E5E0F03}"/>
    <cellStyle name="Normal 2 2 26 5 29" xfId="8774" xr:uid="{279FE81A-845B-4492-8578-09672E732FEF}"/>
    <cellStyle name="Normal 2 2 26 5 3" xfId="8775" xr:uid="{48DA15AC-E168-4605-88FE-3A74FEB6082A}"/>
    <cellStyle name="Normal 2 2 26 5 30" xfId="8776" xr:uid="{B3FA39AA-F2FE-401F-96B4-9A130168C903}"/>
    <cellStyle name="Normal 2 2 26 5 31" xfId="8777" xr:uid="{F8152761-B7B2-4AC0-ADBD-48108FBC3B5E}"/>
    <cellStyle name="Normal 2 2 26 5 32" xfId="8778" xr:uid="{8095172F-8EFA-4A1E-B789-E88EBCD696D0}"/>
    <cellStyle name="Normal 2 2 26 5 33" xfId="8779" xr:uid="{DE1C9196-F0A5-4DCC-A4D7-1A94477AD921}"/>
    <cellStyle name="Normal 2 2 26 5 34" xfId="8780" xr:uid="{BA404E04-93DC-47DC-B9AC-CCF2A7E75FE5}"/>
    <cellStyle name="Normal 2 2 26 5 35" xfId="8781" xr:uid="{8E017551-7BDD-4D08-822C-9A7FD62AED55}"/>
    <cellStyle name="Normal 2 2 26 5 36" xfId="8782" xr:uid="{2C5336CA-C1D9-4B49-9B48-C74DD4B2DD36}"/>
    <cellStyle name="Normal 2 2 26 5 4" xfId="8783" xr:uid="{A070B77E-1A9A-4689-8206-023926552EA9}"/>
    <cellStyle name="Normal 2 2 26 5 5" xfId="8784" xr:uid="{E1EB04C3-94F6-4A22-B6C4-7C8E04DE591A}"/>
    <cellStyle name="Normal 2 2 26 5 6" xfId="8785" xr:uid="{FC395E68-4617-44FD-A890-093C3290D35D}"/>
    <cellStyle name="Normal 2 2 26 5 7" xfId="8786" xr:uid="{D918B983-99AC-4963-9E8B-8B3A6CB630F2}"/>
    <cellStyle name="Normal 2 2 26 5 8" xfId="8787" xr:uid="{4093658D-FC5D-4375-8145-831CFE56CCB1}"/>
    <cellStyle name="Normal 2 2 26 5 9" xfId="8788" xr:uid="{084BBF1E-2687-4B0B-9331-3D9011D26195}"/>
    <cellStyle name="Normal 2 2 26 6" xfId="8789" xr:uid="{369F0C7F-361E-401E-9634-FF608E5F333F}"/>
    <cellStyle name="Normal 2 2 26 6 10" xfId="8790" xr:uid="{AAF09FC4-B0AB-420A-8F8F-FDD8E8978402}"/>
    <cellStyle name="Normal 2 2 26 6 11" xfId="8791" xr:uid="{983CAC6F-54EE-4279-8343-D772B54D464F}"/>
    <cellStyle name="Normal 2 2 26 6 12" xfId="8792" xr:uid="{75B72749-D1A2-4FD2-8BF1-42C0DFDDD571}"/>
    <cellStyle name="Normal 2 2 26 6 13" xfId="8793" xr:uid="{C2DFEC40-CD0D-4181-9C3A-A2EC1CB24192}"/>
    <cellStyle name="Normal 2 2 26 6 14" xfId="8794" xr:uid="{85F0F88E-A545-4940-B58E-BAEDE7F5EC22}"/>
    <cellStyle name="Normal 2 2 26 6 15" xfId="8795" xr:uid="{F1C07C86-FF11-4E23-971F-1E486A4F3C93}"/>
    <cellStyle name="Normal 2 2 26 6 16" xfId="8796" xr:uid="{85FD0168-7120-4B37-AE1F-DFF03EFB526C}"/>
    <cellStyle name="Normal 2 2 26 6 17" xfId="8797" xr:uid="{E19AAD50-403F-427A-8B8E-15570376A0CC}"/>
    <cellStyle name="Normal 2 2 26 6 18" xfId="8798" xr:uid="{060B41AB-DF58-450E-ACB7-1D29382E76F9}"/>
    <cellStyle name="Normal 2 2 26 6 19" xfId="8799" xr:uid="{0B274A23-2F31-41D2-923A-3E03FD3BC04E}"/>
    <cellStyle name="Normal 2 2 26 6 2" xfId="8800" xr:uid="{5E5260FD-997D-4EE9-88A1-D67CF024B66C}"/>
    <cellStyle name="Normal 2 2 26 6 20" xfId="8801" xr:uid="{FEEB47FF-09F1-4EF7-9FCC-B678A6B0AB8C}"/>
    <cellStyle name="Normal 2 2 26 6 21" xfId="8802" xr:uid="{BB1C0C14-7042-448C-958C-A738F8724D84}"/>
    <cellStyle name="Normal 2 2 26 6 22" xfId="8803" xr:uid="{AA45D3F2-BFF0-43BB-90A6-802739FD811A}"/>
    <cellStyle name="Normal 2 2 26 6 23" xfId="8804" xr:uid="{FB610D31-363E-48C5-86E7-5388C527E66B}"/>
    <cellStyle name="Normal 2 2 26 6 24" xfId="8805" xr:uid="{6BDAFF61-0F4F-4635-93E4-E8815C852F15}"/>
    <cellStyle name="Normal 2 2 26 6 25" xfId="8806" xr:uid="{8FA808CF-62D1-4FF4-968E-E3A7BE1535DB}"/>
    <cellStyle name="Normal 2 2 26 6 26" xfId="8807" xr:uid="{E3F1EB18-7B12-4610-9FDC-6A66C91C5C6B}"/>
    <cellStyle name="Normal 2 2 26 6 27" xfId="8808" xr:uid="{03F41931-2F96-4598-9844-D83194EEC378}"/>
    <cellStyle name="Normal 2 2 26 6 28" xfId="8809" xr:uid="{406AFE1F-61B3-459D-A3F6-F94F49F21D62}"/>
    <cellStyle name="Normal 2 2 26 6 29" xfId="8810" xr:uid="{C37B44BF-821B-4694-89F9-7170C884FAD8}"/>
    <cellStyle name="Normal 2 2 26 6 3" xfId="8811" xr:uid="{426AA5F6-DB61-47EF-A9BD-F9CCD5FEB569}"/>
    <cellStyle name="Normal 2 2 26 6 30" xfId="8812" xr:uid="{1C4A4360-6FCD-48B2-9885-3995529DD486}"/>
    <cellStyle name="Normal 2 2 26 6 31" xfId="8813" xr:uid="{3185D2B5-E485-49C0-870B-C36AF740B973}"/>
    <cellStyle name="Normal 2 2 26 6 32" xfId="8814" xr:uid="{B72D3B30-2129-4B46-BB30-6F6E17B78A2C}"/>
    <cellStyle name="Normal 2 2 26 6 33" xfId="8815" xr:uid="{120ECAF4-C656-4901-B414-B55EF05897FA}"/>
    <cellStyle name="Normal 2 2 26 6 34" xfId="8816" xr:uid="{5E5D4CA2-015B-482F-BA99-E438EE965BFD}"/>
    <cellStyle name="Normal 2 2 26 6 35" xfId="8817" xr:uid="{89395135-26D2-46C6-9E17-5F2BF9F6D60B}"/>
    <cellStyle name="Normal 2 2 26 6 36" xfId="8818" xr:uid="{4D6A6D01-2FC7-49FD-A1DC-4AAD2DDC0797}"/>
    <cellStyle name="Normal 2 2 26 6 37" xfId="8819" xr:uid="{5B4480E4-02B4-41E4-B303-FF5A3DFAA4CF}"/>
    <cellStyle name="Normal 2 2 26 6 4" xfId="8820" xr:uid="{3794228C-E303-424B-82A4-6746CEF2387D}"/>
    <cellStyle name="Normal 2 2 26 6 5" xfId="8821" xr:uid="{5085A049-E01A-4023-89B6-C22B9568311B}"/>
    <cellStyle name="Normal 2 2 26 6 6" xfId="8822" xr:uid="{63994EBB-BB77-42E8-87C5-9D1EFEB89AFC}"/>
    <cellStyle name="Normal 2 2 26 6 7" xfId="8823" xr:uid="{09E077A8-CCD0-490D-BDE4-BC536FA33BC3}"/>
    <cellStyle name="Normal 2 2 26 6 8" xfId="8824" xr:uid="{0B615D60-FBEF-42D6-A5C1-3C72F761A5D3}"/>
    <cellStyle name="Normal 2 2 26 6 9" xfId="8825" xr:uid="{6FB9AF06-ACF5-49C4-B719-3F8FD0BE3D8C}"/>
    <cellStyle name="Normal 2 2 26 7" xfId="8826" xr:uid="{5051F58C-F67A-4BA3-9417-4809A0B0437C}"/>
    <cellStyle name="Normal 2 2 26 7 10" xfId="8827" xr:uid="{0A5DDC28-CA38-497E-9578-2EC4B19649FF}"/>
    <cellStyle name="Normal 2 2 26 7 11" xfId="8828" xr:uid="{3D724DBC-725C-452F-9E13-3B7A02460CC2}"/>
    <cellStyle name="Normal 2 2 26 7 12" xfId="8829" xr:uid="{B7904A35-F21D-43F1-998F-A83C71717D2E}"/>
    <cellStyle name="Normal 2 2 26 7 13" xfId="8830" xr:uid="{BE9BA68B-290D-4F2F-B59F-5B7C4CAE751F}"/>
    <cellStyle name="Normal 2 2 26 7 14" xfId="8831" xr:uid="{E71698AE-500C-4C51-B4C5-3B1507D69CB6}"/>
    <cellStyle name="Normal 2 2 26 7 15" xfId="8832" xr:uid="{4305D7EC-E18C-49C4-B2E2-D42A65A91FE3}"/>
    <cellStyle name="Normal 2 2 26 7 16" xfId="8833" xr:uid="{71D975D7-7F51-4FB9-9094-53C1E44A4428}"/>
    <cellStyle name="Normal 2 2 26 7 17" xfId="8834" xr:uid="{327F0A1B-4B4B-43C6-B1C5-F90346D9223F}"/>
    <cellStyle name="Normal 2 2 26 7 18" xfId="8835" xr:uid="{32DD2355-2C08-4C54-A3C6-A9E39E7580F3}"/>
    <cellStyle name="Normal 2 2 26 7 19" xfId="8836" xr:uid="{2B3CBE79-B58C-4352-B279-A0E4CC2879B8}"/>
    <cellStyle name="Normal 2 2 26 7 2" xfId="8837" xr:uid="{BCE51C6B-8AFC-4614-A3CE-737FC5594915}"/>
    <cellStyle name="Normal 2 2 26 7 20" xfId="8838" xr:uid="{B9DF44B2-EFFE-444B-B9FB-FD321BDE6AED}"/>
    <cellStyle name="Normal 2 2 26 7 21" xfId="8839" xr:uid="{91F38F0B-9597-473D-B544-013F6800E262}"/>
    <cellStyle name="Normal 2 2 26 7 22" xfId="8840" xr:uid="{FBD74AD3-117C-411E-A6AC-14DBE94F3A33}"/>
    <cellStyle name="Normal 2 2 26 7 24" xfId="8841" xr:uid="{A9A6538F-2F36-4806-92A6-01DE180F7D54}"/>
    <cellStyle name="Normal 2 2 26 7 26" xfId="8842" xr:uid="{1FB1EE82-4785-40EF-91CE-1602642BD02B}"/>
    <cellStyle name="Normal 2 2 26 7 28" xfId="8843" xr:uid="{C5C4BF5B-EF13-4562-89F9-FC4D5F0885B1}"/>
    <cellStyle name="Normal 2 2 26 7 3" xfId="8844" xr:uid="{4F069CC1-5F7E-4AB8-BBC0-35DFA592D54F}"/>
    <cellStyle name="Normal 2 2 26 7 31" xfId="8845" xr:uid="{9BBCF8D5-C5A6-46A9-8165-B8E858CE112B}"/>
    <cellStyle name="Normal 2 2 26 7 33" xfId="8846" xr:uid="{F960BDA2-B90C-441E-BE57-01B35AE96359}"/>
    <cellStyle name="Normal 2 2 26 7 35" xfId="8847" xr:uid="{E3D33BF0-0BA4-4406-8184-C9E468548699}"/>
    <cellStyle name="Normal 2 2 26 7 37" xfId="8848" xr:uid="{04DBB7DB-A957-4712-8328-A1D640A51CC5}"/>
    <cellStyle name="Normal 2 2 26 7 5" xfId="8849" xr:uid="{60C43823-2699-486A-903D-FBD23DC3C8B8}"/>
    <cellStyle name="Normal 2 2 26 7 7" xfId="8850" xr:uid="{D1616F91-DE46-4A34-81F9-83D4DD574796}"/>
    <cellStyle name="Normal 2 2 26 7 9" xfId="8851" xr:uid="{234D7B50-DB2D-44B8-9804-3D20F208F51E}"/>
    <cellStyle name="Normal 2 2 26 8 10" xfId="8852" xr:uid="{057A32A7-BA16-481D-854E-7FB1473D1479}"/>
    <cellStyle name="Normal 2 2 26 8 12" xfId="8853" xr:uid="{CBBF17EF-432A-43B3-A397-DF956782FC6A}"/>
    <cellStyle name="Normal 2 2 26 8 14" xfId="8854" xr:uid="{CABF379A-C51D-4F65-95F0-7109E5C04D51}"/>
    <cellStyle name="Normal 2 2 26 8 16" xfId="8855" xr:uid="{FDD1C715-5718-4A26-9001-057189E2B017}"/>
    <cellStyle name="Normal 2 2 26 8 18" xfId="8856" xr:uid="{4A684214-3A42-4432-9F0F-CE8F07CDD956}"/>
    <cellStyle name="Normal 2 2 26 8 2" xfId="8857" xr:uid="{E9DAEB62-D983-4568-AE1D-D23C21427104}"/>
    <cellStyle name="Normal 2 2 26 8 21" xfId="8858" xr:uid="{1B2B4ED2-006F-4522-8416-3DF11431265A}"/>
    <cellStyle name="Normal 2 2 26 8 23" xfId="8859" xr:uid="{29D9C5AC-A59C-45CD-9A53-E022B8AB5C30}"/>
    <cellStyle name="Normal 2 2 26 8 25" xfId="8860" xr:uid="{E79EAB88-7C24-49FB-AF05-B47466B0D98A}"/>
    <cellStyle name="Normal 2 2 26 8 27" xfId="8861" xr:uid="{145889FA-DA2E-4383-B93A-79034B8ABA54}"/>
    <cellStyle name="Normal 2 2 26 8 29" xfId="8862" xr:uid="{00B6E3B1-A079-45F1-A6E9-206832DFBE37}"/>
    <cellStyle name="Normal 2 2 26 8 30" xfId="8863" xr:uid="{9D1A42F5-FB66-47E1-87CA-DEDB8199A617}"/>
    <cellStyle name="Normal 2 2 26 8 33" xfId="8864" xr:uid="{34BC07C7-22CF-4EBC-A92D-58AF4C5BB7CF}"/>
    <cellStyle name="Normal 2 2 26 8 35" xfId="8865" xr:uid="{64B5588C-6340-4E94-B046-8FC7224131B5}"/>
    <cellStyle name="Normal 2 2 26 8 37" xfId="8866" xr:uid="{C3D9B173-4C09-4981-9AE3-FB4E5D14241D}"/>
    <cellStyle name="Normal 2 2 26 8 6" xfId="8867" xr:uid="{9376EBBB-528B-4DA5-8EBE-94FEC54700F1}"/>
    <cellStyle name="Normal 2 2 26 8 9" xfId="8868" xr:uid="{8AE2E1CE-4476-49B5-B201-DDC17026354C}"/>
    <cellStyle name="Normal 2 2 26 9 11" xfId="8869" xr:uid="{78650B3E-2849-4480-98D0-B1C0BCED1083}"/>
    <cellStyle name="Normal 2 2 26 9 13" xfId="8870" xr:uid="{001EE933-6E18-46B9-B344-8468831C79D8}"/>
    <cellStyle name="Normal 2 2 26 9 15" xfId="8871" xr:uid="{C09757CF-EF20-40BD-9FB4-CF65089905E6}"/>
    <cellStyle name="Normal 2 2 26 9 17" xfId="8872" xr:uid="{B9DA342A-A662-43AE-B156-2E414CCA6301}"/>
    <cellStyle name="Normal 2 2 26 9 19" xfId="8873" xr:uid="{C587A44A-A5A0-46FF-BFF7-B90C228E87C2}"/>
    <cellStyle name="Normal 2 2 26 9 21" xfId="8874" xr:uid="{72119430-D401-40FF-A2AE-20049CA2BDE9}"/>
    <cellStyle name="Normal 2 2 26 9 23" xfId="8875" xr:uid="{AEA6D150-A735-4F16-B0C0-BDBE1E175528}"/>
    <cellStyle name="Normal 2 2 26 9 27" xfId="8876" xr:uid="{24843A96-1E29-4171-A583-FEC870FC7737}"/>
    <cellStyle name="Normal 2 2 26 9 30" xfId="8877" xr:uid="{862CAABB-5154-4B89-97DE-6ADFC93213B1}"/>
    <cellStyle name="Normal 2 2 26 9 34" xfId="8878" xr:uid="{3EB3742D-6AB3-4A3B-8606-2DC5608187B7}"/>
    <cellStyle name="Normal 2 2 26 9 36" xfId="8879" xr:uid="{6E5C4DE4-120B-4CC6-8A85-0C633867261B}"/>
    <cellStyle name="Normal 2 2 26 9 5" xfId="8880" xr:uid="{9B70358D-0174-49C6-BD8F-78A4B6A77B4E}"/>
    <cellStyle name="Normal 2 2 26 9 9" xfId="8881" xr:uid="{8C027293-670F-4FF5-899E-CE5F238A8A62}"/>
    <cellStyle name="Normal 2 2 27 12" xfId="8882" xr:uid="{8F14A418-E8CA-4E34-950C-574EC39CA4C3}"/>
    <cellStyle name="Normal 2 2 27 16" xfId="8883" xr:uid="{E9508AF0-C58B-4804-8207-AB85DE4C3D8F}"/>
    <cellStyle name="Normal 2 2 27 2" xfId="8884" xr:uid="{43673456-7A6A-4716-A9CD-AA6523839C2C}"/>
    <cellStyle name="Normal 2 2 27 22" xfId="8885" xr:uid="{969657FD-6417-4566-BC61-5454E047349A}"/>
    <cellStyle name="Normal 2 2 27 25" xfId="8886" xr:uid="{A22C4806-AC6C-435B-AE66-A7C62982ECC0}"/>
    <cellStyle name="Normal 2 2 27 27" xfId="8887" xr:uid="{E3345B65-2161-4BA1-A5F7-ACC12564F2BA}"/>
    <cellStyle name="Normal 2 2 27 29" xfId="8888" xr:uid="{4970E0BD-0AF5-4F03-B45C-4E720D900334}"/>
    <cellStyle name="Normal 2 2 27 30" xfId="8889" xr:uid="{496D79DD-C86C-4B28-AE07-8E99E71E058A}"/>
    <cellStyle name="Normal 2 2 27 32" xfId="8890" xr:uid="{EF240E1B-2781-4557-8C6A-841032650C78}"/>
    <cellStyle name="Normal 2 2 27 33" xfId="8891" xr:uid="{9E608865-A7FD-416C-90A9-CE817F2BC576}"/>
    <cellStyle name="Normal 2 2 27 35" xfId="8892" xr:uid="{8E03B50A-D68C-427E-85FE-8DEBDCE1EBDB}"/>
    <cellStyle name="Normal 2 2 27 37" xfId="8893" xr:uid="{254326F7-B8D2-42D3-9547-C465A1B7A817}"/>
    <cellStyle name="Normal 2 2 27 4" xfId="8894" xr:uid="{221072AF-5BE6-4954-955B-72EDFB143C6E}"/>
    <cellStyle name="Normal 2 2 27 6" xfId="8895" xr:uid="{E2C73290-AEEB-43B1-B933-D88F48E15C2F}"/>
    <cellStyle name="Normal 2 2 27 8" xfId="8896" xr:uid="{DE3B1E53-36CB-44F5-9FE1-9BC7C1472F42}"/>
    <cellStyle name="Normal 2 2 28" xfId="8897" xr:uid="{7C1E8F30-DFF1-4BFB-B1B6-460B9C32113D}"/>
    <cellStyle name="Normal 2 2 28 11" xfId="8898" xr:uid="{51B207B5-7C88-4B64-947C-0ABA19FF89D6}"/>
    <cellStyle name="Normal 2 2 28 13" xfId="8899" xr:uid="{374F4001-F058-483A-9CB6-4CE69341A67B}"/>
    <cellStyle name="Normal 2 2 28 15" xfId="8900" xr:uid="{29584DBA-F62A-4F95-86CB-ED0E95C5F96B}"/>
    <cellStyle name="Normal 2 2 28 17" xfId="8901" xr:uid="{5CDE17DD-FBCE-41AE-A208-CD4915CA168E}"/>
    <cellStyle name="Normal 2 2 28 19" xfId="8902" xr:uid="{1CDCC5D2-D95E-423E-AEC6-326BCAFEFB76}"/>
    <cellStyle name="Normal 2 2 28 20" xfId="8903" xr:uid="{85C8AB87-FB94-483F-9894-9F4BC1A55C06}"/>
    <cellStyle name="Normal 2 2 28 22" xfId="8904" xr:uid="{154B5BCA-FF6A-47E7-BBD5-B262318BC0D9}"/>
    <cellStyle name="Normal 2 2 28 24" xfId="8905" xr:uid="{828C6A9C-9DB5-49F7-A685-9901919FF315}"/>
    <cellStyle name="Normal 2 2 28 26" xfId="8906" xr:uid="{2A57C41B-EBA5-4D83-83FE-CFD88010D778}"/>
    <cellStyle name="Normal 2 2 28 28" xfId="8907" xr:uid="{7816356A-68F5-4F57-B8AC-70429B36CE6D}"/>
    <cellStyle name="Normal 2 2 28 3" xfId="8908" xr:uid="{0CB4C5FF-1805-4B26-913C-D0CA240A31BA}"/>
    <cellStyle name="Normal 2 2 28 31" xfId="8909" xr:uid="{F1CE3834-1037-4FA2-A71B-291E34540461}"/>
    <cellStyle name="Normal 2 2 28 33" xfId="8910" xr:uid="{A6395F23-9D65-4C12-BAF7-A32E071E8D18}"/>
    <cellStyle name="Normal 2 2 28 35" xfId="8911" xr:uid="{6ABE57E4-98B0-48C2-BAC2-2DED935400AB}"/>
    <cellStyle name="Normal 2 2 28 37" xfId="8912" xr:uid="{EF4DD6B2-B0CF-4B76-A7BB-12BE8D612215}"/>
    <cellStyle name="Normal 2 2 28 4" xfId="8913" xr:uid="{8BD402CE-3B60-4176-9DF6-B4D270B43C60}"/>
    <cellStyle name="Normal 2 2 28 7" xfId="8914" xr:uid="{515291CF-1A98-4BCA-B24E-885AED2B3B4C}"/>
    <cellStyle name="Normal 2 2 28 9" xfId="8915" xr:uid="{8C1ECCE4-FC48-4F00-9CA9-2D2E5B225ADC}"/>
    <cellStyle name="Normal 2 2 29 2" xfId="8916" xr:uid="{37B68C53-4533-4645-8CE5-B5FC6776BA76}"/>
    <cellStyle name="Normal 2 2 3 10" xfId="8917" xr:uid="{6A0CAA8F-29F5-4D5D-B540-F9F1C7CDB106}"/>
    <cellStyle name="Normal 2 2 3 12" xfId="8918" xr:uid="{A17208F7-6489-4B7C-B090-181430E77B96}"/>
    <cellStyle name="Normal 2 2 3 14" xfId="8919" xr:uid="{90FF89A3-5B91-4840-A3F6-AC128A9A162F}"/>
    <cellStyle name="Normal 2 2 3 2 2" xfId="8920" xr:uid="{99532A9E-D78D-46EE-9D4D-4930628C016F}"/>
    <cellStyle name="Normal 2 2 3 2 4" xfId="8921" xr:uid="{180822DC-3F2E-4CFA-A644-3F233BA1CEF2}"/>
    <cellStyle name="Normal 2 2 3 2 6" xfId="8922" xr:uid="{457A4DE5-55C2-4BCC-94AA-03286A18922D}"/>
    <cellStyle name="Normal 2 2 3 3 2" xfId="8923" xr:uid="{FD670BC4-E4CA-4A72-B604-C8FBC14E404D}"/>
    <cellStyle name="Normal 2 2 3 3 4" xfId="8924" xr:uid="{363B382C-A2E1-4F33-B006-E2AD33439AC7}"/>
    <cellStyle name="Normal 2 2 3 3 6" xfId="8925" xr:uid="{469279D1-E6CC-4203-B08D-A3F3F82E5389}"/>
    <cellStyle name="Normal 2 2 3 4 2" xfId="8926" xr:uid="{F9E43DFE-FD0D-4F92-AB43-7D3FE1C54A89}"/>
    <cellStyle name="Normal 2 2 3 4 4" xfId="8927" xr:uid="{152E49A5-5688-4199-A8B3-3091EF623EA7}"/>
    <cellStyle name="Normal 2 2 3 4 6" xfId="8928" xr:uid="{41D5FB1D-AEBA-47DC-8C51-E8EF3135A049}"/>
    <cellStyle name="Normal 2 2 3 5 2" xfId="8929" xr:uid="{FAC3AB9D-6A6C-4367-8416-BFC3AA2BC593}"/>
    <cellStyle name="Normal 2 2 3 5 4" xfId="8930" xr:uid="{21C67C94-AED9-427D-8A84-921A95EBD11C}"/>
    <cellStyle name="Normal 2 2 3 5 6" xfId="8931" xr:uid="{D58A6C7E-7370-4974-BD0B-8AD9A99D236F}"/>
    <cellStyle name="Normal 2 2 3 6 2" xfId="8932" xr:uid="{28CA3892-A09D-49AB-AEDC-FA0FC7DCC493}"/>
    <cellStyle name="Normal 2 2 3 6 4" xfId="8933" xr:uid="{CDA18326-A310-4FFE-A98A-B09A5D9AEBD2}"/>
    <cellStyle name="Normal 2 2 3 6 6" xfId="8934" xr:uid="{2C0D7FC4-D291-4EA4-98FE-2FA44721390B}"/>
    <cellStyle name="Normal 2 2 3 7 2" xfId="8935" xr:uid="{4ABEF635-4B03-45BD-BC57-5D86F414DF64}"/>
    <cellStyle name="Normal 2 2 3 7 4" xfId="8936" xr:uid="{EDB166C9-71E1-4CC7-B664-0DC097952CD3}"/>
    <cellStyle name="Normal 2 2 3 7 6" xfId="8937" xr:uid="{B30C35A4-082D-4F24-9CA8-05927EB2F837}"/>
    <cellStyle name="Normal 2 2 3 8 2" xfId="8938" xr:uid="{CB71CB89-3CE4-4381-83C5-9FFD660B297A}"/>
    <cellStyle name="Normal 2 2 3 8 4" xfId="8939" xr:uid="{6AE4E8BE-3A06-4343-877B-994E0668BB63}"/>
    <cellStyle name="Normal 2 2 3 8 5" xfId="8940" xr:uid="{39C52320-C443-45E4-B296-EA500ED52218}"/>
    <cellStyle name="Normal 2 2 3 9" xfId="8941" xr:uid="{2F0C8790-803D-4A45-B289-B3C2A0B159D0}"/>
    <cellStyle name="Normal 2 2 30 2" xfId="8942" xr:uid="{13D966EC-DDCA-44AD-A40D-AFE2FDA7BA4B}"/>
    <cellStyle name="Normal 2 2 31 2" xfId="8943" xr:uid="{26674C91-D6F5-4BF5-AFB4-2A5A892E19CE}"/>
    <cellStyle name="Normal 2 2 32 2" xfId="8944" xr:uid="{93F38415-62DC-472B-8C43-7A692AF6521A}"/>
    <cellStyle name="Normal 2 2 33 2" xfId="8945" xr:uid="{955958EE-A3CB-4689-AEB0-D14E5B4B7C10}"/>
    <cellStyle name="Normal 2 2 34 2" xfId="8946" xr:uid="{CD73B998-B44F-4E4E-AEC9-7F929A0E993B}"/>
    <cellStyle name="Normal 2 2 35 2" xfId="8947" xr:uid="{7A9E80F7-FB50-49EA-A003-4314BD682CB9}"/>
    <cellStyle name="Normal 2 2 36 2" xfId="8948" xr:uid="{B52316D1-5942-4697-A66B-EAA224E1DDFA}"/>
    <cellStyle name="Normal 2 2 37 10" xfId="8949" xr:uid="{1A6BB495-51C8-4B21-81BB-5A38B3F4C498}"/>
    <cellStyle name="Normal 2 2 37 12" xfId="8950" xr:uid="{4F248688-CCD9-480B-9A2B-F321A7B38D45}"/>
    <cellStyle name="Normal 2 2 37 14" xfId="8951" xr:uid="{CD6C7E57-8FEA-438E-9649-15D334B23242}"/>
    <cellStyle name="Normal 2 2 37 2 2" xfId="8952" xr:uid="{4CEA637C-629E-478A-A597-CF643AB98A62}"/>
    <cellStyle name="Normal 2 2 37 2 4" xfId="8953" xr:uid="{18D6E9B7-85FD-4720-A43C-12583D5B05AD}"/>
    <cellStyle name="Normal 2 2 37 2 6" xfId="8954" xr:uid="{F5E32DD7-9BB1-4E66-B99B-CBED430578A6}"/>
    <cellStyle name="Normal 2 2 37 3 2" xfId="8955" xr:uid="{E33F8DA3-DEE4-4341-8365-54AFE8156767}"/>
    <cellStyle name="Normal 2 2 37 3 4" xfId="8956" xr:uid="{5A09145D-FE83-4E43-859E-6EE147F63F80}"/>
    <cellStyle name="Normal 2 2 37 3 6" xfId="8957" xr:uid="{CC7B1281-9788-4474-A0A6-4B042E4CC582}"/>
    <cellStyle name="Normal 2 2 37 4 2" xfId="8958" xr:uid="{E9D61A85-04E9-4AB8-9742-7746CBA8286C}"/>
    <cellStyle name="Normal 2 2 37 4 4" xfId="8959" xr:uid="{B6FD0604-A8CE-474B-AE6B-A558D82E410E}"/>
    <cellStyle name="Normal 2 2 37 4 6" xfId="8960" xr:uid="{13669CEA-5287-453B-B1A0-0C631786A09C}"/>
    <cellStyle name="Normal 2 2 37 5 2" xfId="8961" xr:uid="{A8A9DEDC-A99D-401B-988F-5554E2424D28}"/>
    <cellStyle name="Normal 2 2 37 5 4" xfId="8962" xr:uid="{3732BCE6-9B76-49E2-A1AD-7E80E104B6E1}"/>
    <cellStyle name="Normal 2 2 37 5 6" xfId="8963" xr:uid="{78178814-EC1D-4A4A-99B9-F4CDB21B4A3C}"/>
    <cellStyle name="Normal 2 2 37 6 2" xfId="8964" xr:uid="{AA06F7AA-9764-438E-8DB1-087E632495A8}"/>
    <cellStyle name="Normal 2 2 37 6 4" xfId="8965" xr:uid="{422AE790-1236-4690-98D9-8CB66516BAC2}"/>
    <cellStyle name="Normal 2 2 37 6 6" xfId="8966" xr:uid="{15E9B9D8-55D7-4BD8-BA0C-480D8ACCDF8D}"/>
    <cellStyle name="Normal 2 2 37 7 2" xfId="8967" xr:uid="{D4288E36-1883-42D9-AAE4-AE080CDE354B}"/>
    <cellStyle name="Normal 2 2 37 7 4" xfId="8968" xr:uid="{87253E6A-E85F-49AB-9385-3345AD70EF5E}"/>
    <cellStyle name="Normal 2 2 37 7 6" xfId="8969" xr:uid="{35E528CC-CBD9-463A-B920-1AEA94E60200}"/>
    <cellStyle name="Normal 2 2 37 8 2" xfId="8970" xr:uid="{827A8C15-789A-4AD9-B29C-2C6C9A59AF1F}"/>
    <cellStyle name="Normal 2 2 37 8 4" xfId="8971" xr:uid="{0B11D918-2FEC-4E6D-B7C2-A1104070764A}"/>
    <cellStyle name="Normal 2 2 37 8 6" xfId="8972" xr:uid="{9ADCEC08-575F-432F-B1F2-8A9C4FA47647}"/>
    <cellStyle name="Normal 2 2 38" xfId="8973" xr:uid="{594F9BE9-909A-467D-9720-235FA980E917}"/>
    <cellStyle name="Normal 2 2 38 11" xfId="8974" xr:uid="{3E763449-D756-4DE5-AF59-32890C6869A4}"/>
    <cellStyle name="Normal 2 2 38 13" xfId="8975" xr:uid="{48848969-71FD-42B0-AABB-18AEAE7E76FB}"/>
    <cellStyle name="Normal 2 2 38 2" xfId="8976" xr:uid="{3281ABD5-2CA5-49C0-B3CB-B29C913237DC}"/>
    <cellStyle name="Normal 2 2 38 2 3" xfId="8977" xr:uid="{ECEF8669-993E-4452-93E1-AC5373AA7D65}"/>
    <cellStyle name="Normal 2 2 38 2 5" xfId="8978" xr:uid="{2806A13D-800B-4C8D-8C4A-18A55A9AD4C1}"/>
    <cellStyle name="Normal 2 2 38 3" xfId="8979" xr:uid="{255B829E-D8C4-4A2E-974C-FB3305D41A23}"/>
    <cellStyle name="Normal 2 2 38 3 3" xfId="8980" xr:uid="{9F6809E0-EE12-44C6-AE76-382CDBBF21D4}"/>
    <cellStyle name="Normal 2 2 38 3 5" xfId="8981" xr:uid="{BA2CFD04-F010-428E-B629-C290EC431170}"/>
    <cellStyle name="Normal 2 2 38 4" xfId="8982" xr:uid="{29CBE4F1-3C52-431E-BEFF-C8B43FBE84F6}"/>
    <cellStyle name="Normal 2 2 38 4 3" xfId="8983" xr:uid="{B3EE9D22-2F0F-47F6-B2C9-0312CE78108F}"/>
    <cellStyle name="Normal 2 2 38 4 6" xfId="8984" xr:uid="{01A715C3-7EDF-4B58-A38C-A0AF14C0269B}"/>
    <cellStyle name="Normal 2 2 38 5 2" xfId="8985" xr:uid="{0871947F-8006-4F38-A936-ACFCF2A2BECB}"/>
    <cellStyle name="Normal 2 2 38 5 4" xfId="8986" xr:uid="{16414646-3D18-494B-9B15-C2260AC84478}"/>
    <cellStyle name="Normal 2 2 38 5 6" xfId="8987" xr:uid="{FE6219F6-DBE7-4F34-8FF3-969A9105EF2F}"/>
    <cellStyle name="Normal 2 2 38 6 2" xfId="8988" xr:uid="{9F424DCC-A6CE-48EE-BF32-8738369BE64C}"/>
    <cellStyle name="Normal 2 2 38 6 3" xfId="8989" xr:uid="{646C54B1-03C3-4CCA-BBE1-B5FC43C66133}"/>
    <cellStyle name="Normal 2 2 38 6 5" xfId="8990" xr:uid="{F36C948F-0EB3-47AF-B052-873113B6CF61}"/>
    <cellStyle name="Normal 2 2 38 7" xfId="8991" xr:uid="{A9BBB74F-DA28-4339-9B61-F6B36EA2AADD}"/>
    <cellStyle name="Normal 2 2 38 7 3" xfId="8992" xr:uid="{5AE91AE8-D07A-4F4E-9C8D-4BE6A12FB149}"/>
    <cellStyle name="Normal 2 2 38 7 5" xfId="8993" xr:uid="{D8CBC0D3-B77F-4EC6-A217-F416792708B9}"/>
    <cellStyle name="Normal 2 2 38 8" xfId="8994" xr:uid="{125BE17C-4D4E-4075-B05E-3C9D07EEE368}"/>
    <cellStyle name="Normal 2 2 38 8 3" xfId="8995" xr:uid="{589E01B7-39AA-4D71-9349-D2B5B61F8A6B}"/>
    <cellStyle name="Normal 2 2 38 8 5" xfId="8996" xr:uid="{AC621236-C7BF-4940-8DFD-A3E892287DBC}"/>
    <cellStyle name="Normal 2 2 38 9" xfId="8997" xr:uid="{A893A4CB-C6D7-4DE7-9A3E-006D2453C935}"/>
    <cellStyle name="Normal 2 2 39 10" xfId="8998" xr:uid="{09252AC4-CD6A-4EB3-A93C-4CE0C49C4B8D}"/>
    <cellStyle name="Normal 2 2 39 12" xfId="8999" xr:uid="{5F87661D-EF60-43EF-A9C0-0BCCF3D3ACDA}"/>
    <cellStyle name="Normal 2 2 39 14" xfId="9000" xr:uid="{F2B88D6B-5F07-47B7-B713-C38A532C4F1C}"/>
    <cellStyle name="Normal 2 2 39 2 2" xfId="9001" xr:uid="{28F9F504-E3CB-4414-92E5-D605C78B7FED}"/>
    <cellStyle name="Normal 2 2 39 2 4" xfId="9002" xr:uid="{6678A81C-FB5E-4551-A98B-76949EA2C9E5}"/>
    <cellStyle name="Normal 2 2 39 2 6" xfId="9003" xr:uid="{C9EB1A00-3A9D-4A6E-A81A-8E41FDF1C08A}"/>
    <cellStyle name="Normal 2 2 39 3 2" xfId="9004" xr:uid="{607648D2-A48D-4B5D-A673-62E175FDB2FF}"/>
    <cellStyle name="Normal 2 2 39 3 4" xfId="9005" xr:uid="{CD039111-318F-4CDB-AA5E-9AFF0FF0764A}"/>
    <cellStyle name="Normal 2 2 39 3 6" xfId="9006" xr:uid="{F2741852-2119-4346-8F2F-166446638F58}"/>
    <cellStyle name="Normal 2 2 39 4 2" xfId="9007" xr:uid="{9B600DE7-F630-4B8B-98E4-62DCCB98DF01}"/>
    <cellStyle name="Normal 2 2 39 4 4" xfId="9008" xr:uid="{7EF65793-E2AF-47EC-90E4-84AE5AA2D424}"/>
    <cellStyle name="Normal 2 2 39 4 6" xfId="9009" xr:uid="{20B95F33-6EB1-4ACD-9097-A398581B8F67}"/>
    <cellStyle name="Normal 2 2 39 5 2" xfId="9010" xr:uid="{2B7102DC-E117-4284-B30D-7275CC8F8C2D}"/>
    <cellStyle name="Normal 2 2 39 5 4" xfId="9011" xr:uid="{4D529912-10BB-4F5B-B13E-C0034DF6E263}"/>
    <cellStyle name="Normal 2 2 39 5 6" xfId="9012" xr:uid="{D3EBDB46-477D-4932-9B6A-A5661182BC5F}"/>
    <cellStyle name="Normal 2 2 39 6 2" xfId="9013" xr:uid="{2DF1D3FC-6A3D-4EF3-96C8-805ABFFD8977}"/>
    <cellStyle name="Normal 2 2 39 6 4" xfId="9014" xr:uid="{D2CFC40B-A82A-4169-9F92-397EF7287471}"/>
    <cellStyle name="Normal 2 2 39 6 6" xfId="9015" xr:uid="{E50B5622-C70F-41DA-95A8-04107B162A75}"/>
    <cellStyle name="Normal 2 2 39 7 2" xfId="9016" xr:uid="{023D4568-2DB2-4E42-AEA4-4B0553B140C6}"/>
    <cellStyle name="Normal 2 2 39 7 4" xfId="9017" xr:uid="{0099B6CC-AD3D-432C-ABED-A6248C15ACF7}"/>
    <cellStyle name="Normal 2 2 39 7 6" xfId="9018" xr:uid="{7E0DD883-D4F3-4C76-8915-3D7728A06514}"/>
    <cellStyle name="Normal 2 2 39 8 2" xfId="9019" xr:uid="{86E916D0-2BC6-46FC-BA4C-34E04997409C}"/>
    <cellStyle name="Normal 2 2 39 8 4" xfId="9020" xr:uid="{F7C130A2-F63A-4111-ADCF-C313BE7A9F3B}"/>
    <cellStyle name="Normal 2 2 39 8 6" xfId="9021" xr:uid="{BFB34A0F-41C9-4280-B3F1-B7763E8123D4}"/>
    <cellStyle name="Normal 2 2 4" xfId="383" xr:uid="{72A0F204-7487-4626-B00A-B95FD0AEF6AA}"/>
    <cellStyle name="Normal 2 2 4 11" xfId="9022" xr:uid="{EF9FC2DE-B754-4A29-8341-B1D109D530BE}"/>
    <cellStyle name="Normal 2 2 4 13" xfId="9023" xr:uid="{992DE20D-15CD-4A6A-9BB2-557CFF59203B}"/>
    <cellStyle name="Normal 2 2 4 2" xfId="9024" xr:uid="{46684197-7567-4BEC-899E-998F49682C11}"/>
    <cellStyle name="Normal 2 2 4 2 3" xfId="9025" xr:uid="{34820D9F-A36D-4189-8F8E-9F4037A36779}"/>
    <cellStyle name="Normal 2 2 4 2 5" xfId="9026" xr:uid="{96E54165-8914-4808-9A45-DF2551835556}"/>
    <cellStyle name="Normal 2 2 4 3" xfId="9027" xr:uid="{DBDBF92F-FACA-4EA6-B384-9C9CB4ACDDC0}"/>
    <cellStyle name="Normal 2 2 4 3 3" xfId="9028" xr:uid="{D1B9AF24-AECB-4203-BFA5-59C659AF0BC8}"/>
    <cellStyle name="Normal 2 2 4 3 5" xfId="9029" xr:uid="{83A88711-C955-4FB3-A860-4F4595AA7174}"/>
    <cellStyle name="Normal 2 2 4 4" xfId="9030" xr:uid="{C933E23C-9063-4514-AA1C-5D550FE9DA10}"/>
    <cellStyle name="Normal 2 2 4 4 3" xfId="9031" xr:uid="{C24B1569-9FC9-46A9-B513-6F60A2522F8C}"/>
    <cellStyle name="Normal 2 2 4 4 5" xfId="9032" xr:uid="{9F942814-FA0A-4B15-9251-820B378773B8}"/>
    <cellStyle name="Normal 2 2 4 5" xfId="9033" xr:uid="{28BEF65E-6348-4614-84F7-073446789DF1}"/>
    <cellStyle name="Normal 2 2 4 5 3" xfId="9034" xr:uid="{4BCC26A8-4C35-46DB-B0D6-39180C330D72}"/>
    <cellStyle name="Normal 2 2 4 5 5" xfId="9035" xr:uid="{2DE5B39E-40D6-4944-ADD9-2490C49D22FC}"/>
    <cellStyle name="Normal 2 2 4 6" xfId="9036" xr:uid="{271C1846-B5D7-4E4F-951E-5AF58A6C1C50}"/>
    <cellStyle name="Normal 2 2 4 6 2" xfId="9037" xr:uid="{4AA8A0AC-D16D-4CF9-84A3-41A3FE3831D9}"/>
    <cellStyle name="Normal 2 2 4 6 4" xfId="9038" xr:uid="{D20242D1-3F7B-49F1-B8FB-7CCF406425D9}"/>
    <cellStyle name="Normal 2 2 4 6 6" xfId="9039" xr:uid="{8C4ABADA-AC32-4B0D-BCB1-9609D029ECAD}"/>
    <cellStyle name="Normal 2 2 4 7 2" xfId="9040" xr:uid="{3D5D1E81-DFD0-458F-A71A-0679007CAC54}"/>
    <cellStyle name="Normal 2 2 4 7 4" xfId="9041" xr:uid="{C34EF07B-6FE1-467E-AD96-EF736E2E0CF8}"/>
    <cellStyle name="Normal 2 2 4 7 6" xfId="9042" xr:uid="{271A60DD-9C0C-4289-B170-FCBD7D973A4D}"/>
    <cellStyle name="Normal 2 2 4 8 2" xfId="9043" xr:uid="{5A30E043-2625-4317-9F02-B6F6BEC705A7}"/>
    <cellStyle name="Normal 2 2 4 8 4" xfId="9044" xr:uid="{6846348F-72BC-41DD-89BB-BB889683AA61}"/>
    <cellStyle name="Normal 2 2 4 8 6" xfId="9045" xr:uid="{939C501B-0231-4D96-BFEE-45416247ACA9}"/>
    <cellStyle name="Normal 2 2 40" xfId="9046" xr:uid="{A070508B-9635-4264-A7C6-A755D19B8E81}"/>
    <cellStyle name="Normal 2 2 40 11" xfId="9047" xr:uid="{D9E31FFC-22D4-4001-9E6E-C648E00B26CC}"/>
    <cellStyle name="Normal 2 2 40 13" xfId="9048" xr:uid="{CE1F4C8F-49AE-4504-BB6E-7C84612DBDD1}"/>
    <cellStyle name="Normal 2 2 40 2" xfId="9049" xr:uid="{6DE2422B-A0A9-4AA9-99FF-4D5B2ABC5F14}"/>
    <cellStyle name="Normal 2 2 40 2 3" xfId="9050" xr:uid="{446E6C9A-40AE-43C3-B967-BBD7D8B169DD}"/>
    <cellStyle name="Normal 2 2 40 2 5" xfId="9051" xr:uid="{37673564-80AE-4F28-B0F4-6438AE6B28DC}"/>
    <cellStyle name="Normal 2 2 40 3" xfId="9052" xr:uid="{5A36E9D4-244C-4151-816E-02B3B697F11B}"/>
    <cellStyle name="Normal 2 2 40 3 3" xfId="9053" xr:uid="{FC109956-5B4F-469A-AE8A-5763671ACD77}"/>
    <cellStyle name="Normal 2 2 40 3 5" xfId="9054" xr:uid="{DDEB6BE5-1AC5-44FE-B428-9F06E11678F8}"/>
    <cellStyle name="Normal 2 2 40 4" xfId="9055" xr:uid="{32D05897-48C1-4802-9112-0654E02C2831}"/>
    <cellStyle name="Normal 2 2 40 4 3" xfId="9056" xr:uid="{DA2B1471-14EA-43C8-B0BA-486D73240CE8}"/>
    <cellStyle name="Normal 2 2 40 4 5" xfId="9057" xr:uid="{544ECCBB-66D7-4E95-BA12-A991D83B455B}"/>
    <cellStyle name="Normal 2 2 40 5" xfId="9058" xr:uid="{A4B5211C-4FEB-41DA-846C-B710F8F6B86F}"/>
    <cellStyle name="Normal 2 2 40 5 3" xfId="9059" xr:uid="{D20EBB1A-DEEC-4AA9-B491-56B521C83F03}"/>
    <cellStyle name="Normal 2 2 40 5 5" xfId="9060" xr:uid="{54DA0B8D-F5B2-405A-87FE-056046D93835}"/>
    <cellStyle name="Normal 2 2 40 6" xfId="9061" xr:uid="{73833FCD-C67E-4870-AD2C-E4C0C6D4403B}"/>
    <cellStyle name="Normal 2 2 40 6 3" xfId="9062" xr:uid="{8237F57E-E3C1-4832-9092-4EAB70C5B8B3}"/>
    <cellStyle name="Normal 2 2 40 6 5" xfId="9063" xr:uid="{29276A31-281C-4070-89EB-2FC465C3FF3C}"/>
    <cellStyle name="Normal 2 2 40 7" xfId="9064" xr:uid="{8AB3289D-95DA-4138-8A38-B28A20B52EB4}"/>
    <cellStyle name="Normal 2 2 40 7 3" xfId="9065" xr:uid="{01AB7940-2854-4B3D-8E3D-77E1F663CAAB}"/>
    <cellStyle name="Normal 2 2 40 7 5" xfId="9066" xr:uid="{E6B13203-7D33-4BF6-9D9F-3B39ACF4BFB4}"/>
    <cellStyle name="Normal 2 2 40 8" xfId="9067" xr:uid="{0A43069C-153F-4D79-BCF4-AAA803E9A203}"/>
    <cellStyle name="Normal 2 2 40 8 3" xfId="9068" xr:uid="{B44BE6A4-DE49-49C4-A95B-4D455BB3AB05}"/>
    <cellStyle name="Normal 2 2 40 8 5" xfId="9069" xr:uid="{5D535787-F689-4EF0-9D25-0CDA089A90A0}"/>
    <cellStyle name="Normal 2 2 40 9" xfId="9070" xr:uid="{01585ED5-2565-432B-B1D6-5200D1BD775F}"/>
    <cellStyle name="Normal 2 2 41 10" xfId="9071" xr:uid="{9429E391-F00D-4035-90A0-12F56E5DF454}"/>
    <cellStyle name="Normal 2 2 41 12" xfId="9072" xr:uid="{2A9228F0-C049-4F61-8212-2403B566572F}"/>
    <cellStyle name="Normal 2 2 41 14" xfId="9073" xr:uid="{15BA82D1-E4EB-4874-8506-283CFBE61576}"/>
    <cellStyle name="Normal 2 2 41 2 2" xfId="9074" xr:uid="{27B2B733-A315-4769-81D3-6AC2268B5AE8}"/>
    <cellStyle name="Normal 2 2 41 2 4" xfId="9075" xr:uid="{172C99FE-F292-4A06-99FD-3F23199A6C3D}"/>
    <cellStyle name="Normal 2 2 41 2 6" xfId="9076" xr:uid="{FB69F70D-9FF3-407B-BF29-8640548D8072}"/>
    <cellStyle name="Normal 2 2 41 3 2" xfId="9077" xr:uid="{64860A1E-8284-412E-9926-DAA72718D065}"/>
    <cellStyle name="Normal 2 2 41 3 4" xfId="9078" xr:uid="{0401BD25-F999-44F7-87AF-B482069CEE69}"/>
    <cellStyle name="Normal 2 2 41 3 6" xfId="9079" xr:uid="{E2D1455E-B94F-4BF9-8AD1-300AFBB0B85E}"/>
    <cellStyle name="Normal 2 2 41 4 2" xfId="9080" xr:uid="{943031DD-6B77-46E8-83E0-5AB47613D1A2}"/>
    <cellStyle name="Normal 2 2 41 4 4" xfId="9081" xr:uid="{FF28503B-1B5E-44E6-8915-69E3EC6F57DC}"/>
    <cellStyle name="Normal 2 2 41 4 6" xfId="9082" xr:uid="{DBCBA73E-B523-4A1E-8E08-16BB432729E3}"/>
    <cellStyle name="Normal 2 2 41 5 2" xfId="9083" xr:uid="{1A4E930F-409C-4246-AC5A-2D234BD259C5}"/>
    <cellStyle name="Normal 2 2 41 5 4" xfId="9084" xr:uid="{8CB831DA-21A1-4C61-B1D0-FDAB795FE531}"/>
    <cellStyle name="Normal 2 2 41 5 6" xfId="9085" xr:uid="{03482CA6-473F-477B-AFE3-92CC9F6D4113}"/>
    <cellStyle name="Normal 2 2 41 6" xfId="9086" xr:uid="{7C69917D-EB0B-4B5E-971B-609B1A4AC3A0}"/>
    <cellStyle name="Normal 2 2 41 6 3" xfId="9087" xr:uid="{5FE6153A-0712-43A1-91B8-EC682F53DB1D}"/>
    <cellStyle name="Normal 2 2 41 6 5" xfId="9088" xr:uid="{189BED3A-25CD-48E4-99AE-A6DF42CAD466}"/>
    <cellStyle name="Normal 2 2 41 7" xfId="9089" xr:uid="{DD358074-AF91-44FB-8400-827F9DA99A37}"/>
    <cellStyle name="Normal 2 2 41 7 3" xfId="9090" xr:uid="{F128150F-96F7-4A95-BFD0-F386F0418B00}"/>
    <cellStyle name="Normal 2 2 41 7 5" xfId="9091" xr:uid="{8DA33D6C-B48C-4C7F-8C6F-2D6095F1816B}"/>
    <cellStyle name="Normal 2 2 41 8" xfId="9092" xr:uid="{03D5D3A7-83BC-472D-A6CF-5726EE6425D9}"/>
    <cellStyle name="Normal 2 2 41 8 3" xfId="9093" xr:uid="{6B719255-E811-4223-A057-94567FB4782B}"/>
    <cellStyle name="Normal 2 2 41 8 5" xfId="9094" xr:uid="{0C0F2CCB-18BF-417E-ACEC-4BCB3845D686}"/>
    <cellStyle name="Normal 2 2 41 9" xfId="9095" xr:uid="{E83C4A57-29B5-4C50-8531-51ACBC97DF4C}"/>
    <cellStyle name="Normal 2 2 42 10" xfId="9096" xr:uid="{EF96A363-15A3-485E-A62F-F1603BB42F45}"/>
    <cellStyle name="Normal 2 2 42 12" xfId="9097" xr:uid="{FAC5035B-52F2-4511-9B3B-82161F79E207}"/>
    <cellStyle name="Normal 2 2 42 14" xfId="9098" xr:uid="{FAA5F199-C2F1-4EF2-8CF2-332000A6AF78}"/>
    <cellStyle name="Normal 2 2 42 2 2" xfId="9099" xr:uid="{86BD4997-E4B1-4194-8D45-E361B398F797}"/>
    <cellStyle name="Normal 2 2 42 2 4" xfId="9100" xr:uid="{2B12212D-FE1C-4C97-8B72-3A7E8885AE31}"/>
    <cellStyle name="Normal 2 2 42 2 6" xfId="9101" xr:uid="{AC79FBB6-053B-4ED5-B6AA-EA54C56CCBC0}"/>
    <cellStyle name="Normal 2 2 42 3 2" xfId="9102" xr:uid="{BBF70D9F-9687-4C60-A6D5-A8CF545EC120}"/>
    <cellStyle name="Normal 2 2 42 3 4" xfId="9103" xr:uid="{8E07D604-BA6A-4A5E-88F0-9925D347E57A}"/>
    <cellStyle name="Normal 2 2 42 3 6" xfId="9104" xr:uid="{29716947-455E-46B1-AD03-A50C80D75B21}"/>
    <cellStyle name="Normal 2 2 42 4 2" xfId="9105" xr:uid="{329DDF16-7071-49EA-96D6-A741FE4A85B3}"/>
    <cellStyle name="Normal 2 2 42 4 4" xfId="9106" xr:uid="{59577D83-EF83-411B-836C-A6C37C95426A}"/>
    <cellStyle name="Normal 2 2 42 4 6" xfId="9107" xr:uid="{C459A4EF-A291-4936-B346-B5B2A8C53C89}"/>
    <cellStyle name="Normal 2 2 42 5 2" xfId="9108" xr:uid="{908627AC-946E-4336-A5FA-87CE03E069A7}"/>
    <cellStyle name="Normal 2 2 42 5 4" xfId="9109" xr:uid="{634C5ED2-FD9F-4295-9195-C1F134313BA1}"/>
    <cellStyle name="Normal 2 2 42 5 6" xfId="9110" xr:uid="{46A363F0-CDD7-486E-8AAF-3859F7F84DB6}"/>
    <cellStyle name="Normal 2 2 42 6 2" xfId="9111" xr:uid="{7AC2F987-78A7-4E82-AD31-0B9A396B254C}"/>
    <cellStyle name="Normal 2 2 42 6 4" xfId="9112" xr:uid="{1F0C59E9-9E4C-482C-A27E-15F157C74F56}"/>
    <cellStyle name="Normal 2 2 42 6 6" xfId="9113" xr:uid="{F93DF0B7-C50D-453E-A8A5-D81B2B04A45D}"/>
    <cellStyle name="Normal 2 2 42 7 2" xfId="9114" xr:uid="{41794228-7235-46ED-85BE-14856FEFF39A}"/>
    <cellStyle name="Normal 2 2 42 7 4" xfId="9115" xr:uid="{E072379D-0BF7-4FB7-88A9-BC94F0DBAB10}"/>
    <cellStyle name="Normal 2 2 42 7 6" xfId="9116" xr:uid="{68BF3A4D-23FA-4BC9-8ECB-12D5AB371906}"/>
    <cellStyle name="Normal 2 2 42 8 2" xfId="9117" xr:uid="{219E3F64-4CDA-4F49-AEB0-D6D2373866F7}"/>
    <cellStyle name="Normal 2 2 42 8 4" xfId="9118" xr:uid="{90E5B868-BF03-4F7D-96B1-BDF679B910B4}"/>
    <cellStyle name="Normal 2 2 42 8 6" xfId="9119" xr:uid="{60E0025B-C5B4-4E78-9581-D23F44652F61}"/>
    <cellStyle name="Normal 2 2 43" xfId="9120" xr:uid="{3C48350F-C59A-466F-A132-AB8CA92134FF}"/>
    <cellStyle name="Normal 2 2 43 11" xfId="9121" xr:uid="{8548D7C0-D91A-4D22-A8FF-716DBB4F0D5D}"/>
    <cellStyle name="Normal 2 2 43 13" xfId="9122" xr:uid="{059D8201-EA29-4C78-88E3-FDD3EF5BAA01}"/>
    <cellStyle name="Normal 2 2 43 2" xfId="9123" xr:uid="{0F66F627-B2FF-4658-9936-D5AB718AA936}"/>
    <cellStyle name="Normal 2 2 43 2 3" xfId="9124" xr:uid="{791A2B69-DD56-4B63-8B4E-DEFF9ABA3D8F}"/>
    <cellStyle name="Normal 2 2 43 2 5" xfId="9125" xr:uid="{1C21AF1D-79EE-4577-A8DF-3E689ED36403}"/>
    <cellStyle name="Normal 2 2 43 3" xfId="9126" xr:uid="{0B03CA51-2AA4-4C68-A689-D94F23DBF99E}"/>
    <cellStyle name="Normal 2 2 43 3 3" xfId="9127" xr:uid="{10486E52-A7E5-4D3B-8075-1DC3D7516DFF}"/>
    <cellStyle name="Normal 2 2 43 3 5" xfId="9128" xr:uid="{C356E4E8-EFDB-4858-B79A-126938AC74F9}"/>
    <cellStyle name="Normal 2 2 43 4" xfId="9129" xr:uid="{B55BA61B-2A9F-4402-AA2E-E8E1F7CB79A9}"/>
    <cellStyle name="Normal 2 2 43 4 3" xfId="9130" xr:uid="{3CE950A3-C98D-4F52-88DA-BB46F8735CE2}"/>
    <cellStyle name="Normal 2 2 43 4 5" xfId="9131" xr:uid="{8E575B53-49A0-49EC-BD6E-C34E331E564F}"/>
    <cellStyle name="Normal 2 2 43 5" xfId="9132" xr:uid="{45099D28-4F59-4E33-A3E8-9F2CA6658FEF}"/>
    <cellStyle name="Normal 2 2 43 5 3" xfId="9133" xr:uid="{34913890-574F-4A9B-BC5B-E3A0C156E738}"/>
    <cellStyle name="Normal 2 2 43 5 5" xfId="9134" xr:uid="{D31F514B-3CCB-4644-9A7D-B8344D87CB92}"/>
    <cellStyle name="Normal 2 2 43 5 6" xfId="9135" xr:uid="{07401402-5739-4509-A210-3732961B5E77}"/>
    <cellStyle name="Normal 2 2 43 6 2" xfId="9136" xr:uid="{5F307ECD-DF3D-467A-A7A4-8A11B21A998B}"/>
    <cellStyle name="Normal 2 2 43 6 4" xfId="9137" xr:uid="{B3940437-06EE-4DAF-A6FF-4430424BF358}"/>
    <cellStyle name="Normal 2 2 43 6 6" xfId="9138" xr:uid="{8F3A956D-35A4-4BB3-852A-497C6796E09D}"/>
    <cellStyle name="Normal 2 2 43 7 2" xfId="9139" xr:uid="{B9C055FD-6896-43FB-BFBB-B3FA948D8377}"/>
    <cellStyle name="Normal 2 2 43 7 4" xfId="9140" xr:uid="{74D59C25-FBB7-49C6-B82B-5755C0E5EA1E}"/>
    <cellStyle name="Normal 2 2 43 7 6" xfId="9141" xr:uid="{E938CA87-DD28-4B85-A8A6-5A9A4C03B87A}"/>
    <cellStyle name="Normal 2 2 43 8 2" xfId="9142" xr:uid="{C612BA5D-C18A-4E63-9B02-E55598D1FD28}"/>
    <cellStyle name="Normal 2 2 43 8 4" xfId="9143" xr:uid="{C0838AAB-8B72-4CDB-9B68-6FED2BDD265C}"/>
    <cellStyle name="Normal 2 2 43 8 6" xfId="9144" xr:uid="{4E92E37D-DF0F-487E-BD43-803848ED54EC}"/>
    <cellStyle name="Normal 2 2 44" xfId="9145" xr:uid="{26B9E6CD-34E7-4A5F-83CF-3B524BD15E46}"/>
    <cellStyle name="Normal 2 2 44 11" xfId="9146" xr:uid="{F95FCFBC-4743-4F77-A1D0-8E47DC84970A}"/>
    <cellStyle name="Normal 2 2 44 13" xfId="9147" xr:uid="{E64432EF-0D82-4021-B150-57324342478A}"/>
    <cellStyle name="Normal 2 2 44 2" xfId="9148" xr:uid="{E767B03F-C659-43E9-9705-91B3FD3F8A87}"/>
    <cellStyle name="Normal 2 2 44 2 3" xfId="9149" xr:uid="{6759F609-3AB1-4867-BA2E-ADB4F13108DD}"/>
    <cellStyle name="Normal 2 2 44 2 5" xfId="9150" xr:uid="{406F042A-B5BF-4709-93B4-2CF9213C9C3B}"/>
    <cellStyle name="Normal 2 2 44 3" xfId="9151" xr:uid="{F576E7FA-A20E-4A42-BA67-5B0BAF1D3972}"/>
    <cellStyle name="Normal 2 2 44 3 3" xfId="9152" xr:uid="{8EC0E868-3F66-45CD-8B12-4BE6C42B7A7B}"/>
    <cellStyle name="Normal 2 2 44 3 5" xfId="9153" xr:uid="{7E81CA41-E54C-4E74-ABDE-9D586D80FC6A}"/>
    <cellStyle name="Normal 2 2 44 4" xfId="9154" xr:uid="{5F4F8E42-41AB-4E76-8642-BC58182075FD}"/>
    <cellStyle name="Normal 2 2 44 4 3" xfId="9155" xr:uid="{18B71BB3-1B65-4BB0-86BA-F1AA960EEFEB}"/>
    <cellStyle name="Normal 2 2 44 4 5" xfId="9156" xr:uid="{82B05B1D-05D6-41BF-A135-3A0A1BFAEF7B}"/>
    <cellStyle name="Normal 2 2 44 5" xfId="9157" xr:uid="{A60AE266-4535-4646-98CC-95C03E8D6663}"/>
    <cellStyle name="Normal 2 2 44 5 4" xfId="9158" xr:uid="{177E34FF-4A17-4C31-9BC6-A33CB870E984}"/>
    <cellStyle name="Normal 2 2 44 6 2" xfId="9159" xr:uid="{EAFD47B7-646D-4D45-9F24-EFD589266C26}"/>
    <cellStyle name="Normal 2 2 44 6 6" xfId="9160" xr:uid="{5C68ACB7-A8FC-4CA8-801B-F422D5BA0E93}"/>
    <cellStyle name="Normal 2 2 44 7 2" xfId="9161" xr:uid="{84D4D540-FC43-4192-8D17-AEB54482E11B}"/>
    <cellStyle name="Normal 2 2 44 7 5" xfId="9162" xr:uid="{58F83E5E-D652-4E64-9FE6-CA4C44F17D15}"/>
    <cellStyle name="Normal 2 2 44 8" xfId="9163" xr:uid="{AAC08C48-537C-4FA0-9DEC-5C80D41FD363}"/>
    <cellStyle name="Normal 2 2 44 8 3" xfId="9164" xr:uid="{2DC01D80-C9FA-4A16-8760-B3D440D9D529}"/>
    <cellStyle name="Normal 2 2 44 8 6" xfId="9165" xr:uid="{F3A36A2D-8E58-4A40-8F00-4D491C71D14D}"/>
    <cellStyle name="Normal 2 2 45" xfId="9166" xr:uid="{201F7CF0-1EB6-4121-8864-0C633B4A3A63}"/>
    <cellStyle name="Normal 2 2 45 11" xfId="9167" xr:uid="{014DF4D9-C5D9-4F6B-A020-9C88A545739E}"/>
    <cellStyle name="Normal 2 2 45 13" xfId="9168" xr:uid="{86EFDC06-2BD3-46A1-B5F1-2730D8BDA852}"/>
    <cellStyle name="Normal 2 2 45 2" xfId="9169" xr:uid="{F5F9362C-021B-4A53-AF61-34959A9271EB}"/>
    <cellStyle name="Normal 2 2 45 2 3" xfId="9170" xr:uid="{F81C0ACE-1EED-46F5-9B87-073698ED5E54}"/>
    <cellStyle name="Normal 2 2 45 2 5" xfId="9171" xr:uid="{C9CE33AD-1390-4F40-A64F-54E517FF48CC}"/>
    <cellStyle name="Normal 2 2 45 3" xfId="9172" xr:uid="{3282F099-5941-4B7A-A104-73D0FB62D956}"/>
    <cellStyle name="Normal 2 2 45 3 3" xfId="9173" xr:uid="{99793A6B-DC58-4F25-BCF6-BA8E1D0AF8C4}"/>
    <cellStyle name="Normal 2 2 45 3 5" xfId="9174" xr:uid="{EF617823-74F1-442A-887A-E63073A7D878}"/>
    <cellStyle name="Normal 2 2 45 4" xfId="9175" xr:uid="{1E2C258B-D607-4CF7-9F3C-F92C71F5FC61}"/>
    <cellStyle name="Normal 2 2 45 4 3" xfId="9176" xr:uid="{3CD179AA-27E2-47FE-8396-EEBDE53E9E28}"/>
    <cellStyle name="Normal 2 2 45 4 5" xfId="9177" xr:uid="{D2CC9B4F-8A8A-4F64-8D07-09E673A22078}"/>
    <cellStyle name="Normal 2 2 45 5" xfId="9178" xr:uid="{7C7C08E3-3887-4A02-81AD-B1423626946B}"/>
    <cellStyle name="Normal 2 2 45 5 3" xfId="9179" xr:uid="{A6FFAD2A-6F85-48DA-8690-F25E2D6DF126}"/>
    <cellStyle name="Normal 2 2 45 5 5" xfId="9180" xr:uid="{B7E7C828-6008-4927-8BE4-5401375F92B8}"/>
    <cellStyle name="Normal 2 2 45 6" xfId="9181" xr:uid="{A61AD5CE-F52C-492C-94F8-F7708405B8CD}"/>
    <cellStyle name="Normal 2 2 45 6 3" xfId="9182" xr:uid="{01E1DEED-2ACD-4A32-8E1E-86CC2104A122}"/>
    <cellStyle name="Normal 2 2 45 6 5" xfId="9183" xr:uid="{E8BDB0DB-8A60-4799-8561-4F6E594EA7D2}"/>
    <cellStyle name="Normal 2 2 45 6 6" xfId="9184" xr:uid="{A432E7C3-9E21-4AEA-B7A3-AED1D5A51E3A}"/>
    <cellStyle name="Normal 2 2 45 7 2" xfId="9185" xr:uid="{5452823A-4AE9-403A-8255-A1D122F63326}"/>
    <cellStyle name="Normal 2 2 45 7 4" xfId="9186" xr:uid="{E6198037-E8BD-46D2-BDFF-ADA0C1D9F71B}"/>
    <cellStyle name="Normal 2 2 45 7 6" xfId="9187" xr:uid="{55BEE361-D7BA-484A-93BC-5264B5BE0C1D}"/>
    <cellStyle name="Normal 2 2 45 8 4" xfId="9188" xr:uid="{1250A83E-9B18-4A82-8225-2EF83D99A83A}"/>
    <cellStyle name="Normal 2 2 46" xfId="9189" xr:uid="{AF743CE9-19A6-4A62-B47F-EC6C0CF0A6C5}"/>
    <cellStyle name="Normal 2 2 46 2" xfId="9190" xr:uid="{93CC231D-A0BA-4D83-BA9D-6FB215155E2E}"/>
    <cellStyle name="Normal 2 2 46 2 13" xfId="9191" xr:uid="{97039879-3682-47CF-BDAE-E4499B5C782D}"/>
    <cellStyle name="Normal 2 2 46 2 17" xfId="9192" xr:uid="{F65F5366-23D9-4536-9287-29A7B9E94BA8}"/>
    <cellStyle name="Normal 2 2 46 2 19" xfId="9193" xr:uid="{886FBB2A-997C-4B29-BBB1-AD79D341749D}"/>
    <cellStyle name="Normal 2 2 46 2 20" xfId="9194" xr:uid="{7606535E-C93D-43B7-A72E-3D22FC1BDDA6}"/>
    <cellStyle name="Normal 2 2 46 2 22" xfId="9195" xr:uid="{D8DB1322-8581-4801-BF64-31E6D42046E8}"/>
    <cellStyle name="Normal 2 2 46 2 24" xfId="9196" xr:uid="{7273272C-6DC4-4885-B302-6CD45174F906}"/>
    <cellStyle name="Normal 2 2 46 2 26" xfId="9197" xr:uid="{24AD5DD7-3CD5-4707-9C9D-A9CB1CF2140E}"/>
    <cellStyle name="Normal 2 2 46 2 28" xfId="9198" xr:uid="{E6D3E4D5-BFEC-4B19-9982-B6591E0D12B2}"/>
    <cellStyle name="Normal 2 2 46 2 3" xfId="9199" xr:uid="{9949EBF7-3724-4AC6-A440-600BD765FAF1}"/>
    <cellStyle name="Normal 2 2 46 2 5" xfId="9200" xr:uid="{9549092E-D1BB-4E69-9697-A99D6A74D677}"/>
    <cellStyle name="Normal 2 2 46 2 7" xfId="9201" xr:uid="{3ED915A7-0827-4EDF-9A5E-A6347FB665A1}"/>
    <cellStyle name="Normal 2 2 46 2 9" xfId="9202" xr:uid="{E0A1F3E5-635E-4A7D-B770-6A5E9C1C03DD}"/>
    <cellStyle name="Normal 2 2 46 4" xfId="9203" xr:uid="{52F45A12-F892-4AA9-8F39-BF7DD599FC74}"/>
    <cellStyle name="Normal 2 2 46 6" xfId="9204" xr:uid="{A7770EA6-BB0F-4F6F-951B-F86161C69D63}"/>
    <cellStyle name="Normal 2 2 46 8" xfId="9205" xr:uid="{5FB6AB66-BB2B-4761-84D2-0151C8A7C0D9}"/>
    <cellStyle name="Normal 2 2 47" xfId="9206" xr:uid="{8B4BE480-E59A-4B5C-8CD6-3643331AC060}"/>
    <cellStyle name="Normal 2 2 47 11" xfId="9207" xr:uid="{5301C446-9499-4154-AB3C-B294C2BD6808}"/>
    <cellStyle name="Normal 2 2 47 13" xfId="9208" xr:uid="{EC299F9D-EB9C-4361-B5DC-7BE6E88B2A54}"/>
    <cellStyle name="Normal 2 2 47 15" xfId="9209" xr:uid="{6293A395-BCEC-48A5-ADC0-D939ACB8E388}"/>
    <cellStyle name="Normal 2 2 47 17" xfId="9210" xr:uid="{0ADD9B6C-D0A2-4229-A21F-F398F5D16B03}"/>
    <cellStyle name="Normal 2 2 47 19" xfId="9211" xr:uid="{F4FC7DA4-985E-4BB1-9934-244158988108}"/>
    <cellStyle name="Normal 2 2 47 20" xfId="9212" xr:uid="{FB965A2E-B370-48CB-B484-5F81A324D590}"/>
    <cellStyle name="Normal 2 2 47 22" xfId="9213" xr:uid="{427CE27B-F8BA-4EB9-8220-BFB786CBD435}"/>
    <cellStyle name="Normal 2 2 47 24" xfId="9214" xr:uid="{C06F6234-260A-441C-A33D-49CEE90E682D}"/>
    <cellStyle name="Normal 2 2 47 26" xfId="9215" xr:uid="{89EF3F06-8D5C-47E9-83E6-E36FFC138CFD}"/>
    <cellStyle name="Normal 2 2 47 28" xfId="9216" xr:uid="{AFA44247-1B39-48EB-B8AC-8BBAB403CECD}"/>
    <cellStyle name="Normal 2 2 47 30" xfId="9217" xr:uid="{6B84787E-F799-4F4B-BDFE-1FF88EF8F793}"/>
    <cellStyle name="Normal 2 2 47 34" xfId="9218" xr:uid="{93F34669-50B9-49D4-A99C-FF4F7125E75B}"/>
    <cellStyle name="Normal 2 2 47 5" xfId="9219" xr:uid="{C385B807-8CD8-407C-B754-F37454FF4CA3}"/>
    <cellStyle name="Normal 2 2 47 7" xfId="9220" xr:uid="{5B032D5F-AF9B-4BD5-9B6D-D280A31FD4BB}"/>
    <cellStyle name="Normal 2 2 47 9" xfId="9221" xr:uid="{8B2DAA32-B626-4026-8F1F-9DD8865E8437}"/>
    <cellStyle name="Normal 2 2 48 10" xfId="9222" xr:uid="{0AEC05DD-2237-4955-9BB8-F32736B37011}"/>
    <cellStyle name="Normal 2 2 48 12" xfId="9223" xr:uid="{71C302DD-71B2-450C-A06A-1CDE30CA99CA}"/>
    <cellStyle name="Normal 2 2 48 14" xfId="9224" xr:uid="{6ADA3AE2-BED7-452F-B831-F75772934876}"/>
    <cellStyle name="Normal 2 2 48 16" xfId="9225" xr:uid="{9C1EDDE8-7024-4213-AC43-C7B095B978CA}"/>
    <cellStyle name="Normal 2 2 48 18" xfId="9226" xr:uid="{62FA36D1-49A5-483B-B843-CA735D168D4D}"/>
    <cellStyle name="Normal 2 2 48 2" xfId="9227" xr:uid="{A49F1117-73AC-4FB1-836A-9C348ED48151}"/>
    <cellStyle name="Normal 2 2 48 21" xfId="9228" xr:uid="{D8307BAF-B563-4396-B9CC-D80398AEAAEF}"/>
    <cellStyle name="Normal 2 2 48 23" xfId="9229" xr:uid="{FAB8C8F1-7732-44CE-978F-AF469E0DD0CA}"/>
    <cellStyle name="Normal 2 2 48 25" xfId="9230" xr:uid="{8BBFF931-40F4-42E5-98D3-1EE430DDFE8B}"/>
    <cellStyle name="Normal 2 2 48 28" xfId="9231" xr:uid="{7FAB3BC6-531C-469A-93B1-97EAB040F53D}"/>
    <cellStyle name="Normal 2 2 48 30" xfId="9232" xr:uid="{1701D998-AE6F-4099-8778-1B00E5FD4523}"/>
    <cellStyle name="Normal 2 2 48 31" xfId="9233" xr:uid="{F615252D-8C1A-4DF5-B458-E9C2A7E223B6}"/>
    <cellStyle name="Normal 2 2 48 33" xfId="9234" xr:uid="{14F2D997-1914-4B1E-B0D9-45195CCBAC95}"/>
    <cellStyle name="Normal 2 2 48 4" xfId="9235" xr:uid="{2A26895A-F946-4940-8533-F12E344B8583}"/>
    <cellStyle name="Normal 2 2 48 7" xfId="9236" xr:uid="{97E42433-1708-4606-8FC3-76695779F254}"/>
    <cellStyle name="Normal 2 2 48 9" xfId="9237" xr:uid="{558D4944-6D79-416C-9B74-A8378E0CE52A}"/>
    <cellStyle name="Normal 2 2 49 10" xfId="9238" xr:uid="{CCB3579B-635E-4BBC-9691-D91C27E8A65E}"/>
    <cellStyle name="Normal 2 2 49 14" xfId="9239" xr:uid="{5BEC8DF6-1628-4AAF-BF63-78D01096E306}"/>
    <cellStyle name="Normal 2 2 49 16" xfId="9240" xr:uid="{A691622A-C471-447B-B382-73CF34122EAB}"/>
    <cellStyle name="Normal 2 2 49 18" xfId="9241" xr:uid="{E61D6DF3-B3A2-4275-9F31-9DCCA3473192}"/>
    <cellStyle name="Normal 2 2 49 2" xfId="9242" xr:uid="{89BACBB6-4A12-46AA-901F-AEDC31D1087D}"/>
    <cellStyle name="Normal 2 2 49 21" xfId="9243" xr:uid="{7AB45F41-08A0-46FB-B2F5-6DD854A8FDC2}"/>
    <cellStyle name="Normal 2 2 49 23" xfId="9244" xr:uid="{E94C5F3A-09B4-4A67-82B1-41F6DC01ABEC}"/>
    <cellStyle name="Normal 2 2 49 25" xfId="9245" xr:uid="{F296429B-66BE-4580-BF4B-04830B9EBC65}"/>
    <cellStyle name="Normal 2 2 49 27" xfId="9246" xr:uid="{F89E15D7-CA74-49EC-817E-A20D179D7CDE}"/>
    <cellStyle name="Normal 2 2 49 29" xfId="9247" xr:uid="{537A763F-54A5-419D-9577-69EF50AE8BAA}"/>
    <cellStyle name="Normal 2 2 49 30" xfId="9248" xr:uid="{4658D5F7-FA0E-479C-8DEC-C12E2ABAF997}"/>
    <cellStyle name="Normal 2 2 49 32" xfId="9249" xr:uid="{172CB15C-9B82-4476-A18F-E7B16EC67D08}"/>
    <cellStyle name="Normal 2 2 49 34" xfId="9250" xr:uid="{75EFA940-A070-4B89-B95C-BFD078A1A71D}"/>
    <cellStyle name="Normal 2 2 49 5" xfId="9251" xr:uid="{9DD3CCEE-4845-41EF-B67D-D2707D3B84AC}"/>
    <cellStyle name="Normal 2 2 49 7" xfId="9252" xr:uid="{7C15B8F1-F4B8-48DC-8682-E79C1CAFA135}"/>
    <cellStyle name="Normal 2 2 49 9" xfId="9253" xr:uid="{0ECE01EA-3304-4F96-BD7C-3E014AD79931}"/>
    <cellStyle name="Normal 2 2 5 10" xfId="9254" xr:uid="{4CD399E6-1B5C-4942-855B-43FBE3B0EF73}"/>
    <cellStyle name="Normal 2 2 5 12" xfId="9255" xr:uid="{D76C5317-9C60-4715-B07C-BF1792FB2760}"/>
    <cellStyle name="Normal 2 2 5 14" xfId="9256" xr:uid="{EFB04719-B4A3-4394-A81A-3D8196EB0649}"/>
    <cellStyle name="Normal 2 2 5 2" xfId="736" xr:uid="{8F973DBF-5482-48E9-953E-D2FD7C286326}"/>
    <cellStyle name="Normal 2 2 5 2 2 2" xfId="9257" xr:uid="{A0DF2977-553F-41D3-9EBC-8FC5EADA048F}"/>
    <cellStyle name="Normal 2 2 5 2 2 2 3" xfId="9258" xr:uid="{63A32DCF-D427-46B1-BCD9-35C66F57C9F0}"/>
    <cellStyle name="Normal 2 2 5 2 2 2 5" xfId="9259" xr:uid="{8586E61B-46FA-4A94-8E04-54BC8AD769E4}"/>
    <cellStyle name="Normal 2 2 5 2 3" xfId="9260" xr:uid="{7EB2930D-7E22-480F-A73B-A3C3B0A44C30}"/>
    <cellStyle name="Normal 2 2 5 2 3 2 2" xfId="9261" xr:uid="{2C0AA475-BDE5-4D65-ABC0-D898F1FB22C6}"/>
    <cellStyle name="Normal 2 2 5 2 3 2 4" xfId="9262" xr:uid="{6ECABA90-255A-40D9-AA1A-11628CED448F}"/>
    <cellStyle name="Normal 2 2 5 2 7" xfId="17318" xr:uid="{DC372DFA-D439-4800-9A09-1BA161A2E133}"/>
    <cellStyle name="Normal 2 2 5 3 4" xfId="9263" xr:uid="{E9094EEE-B647-4EF5-8312-A13755313B09}"/>
    <cellStyle name="Normal 2 2 5 4" xfId="836" xr:uid="{4AE12FB3-5B78-4368-9DD6-D45597395A62}"/>
    <cellStyle name="Normal 2 2 5 4 5" xfId="9264" xr:uid="{CDCA126D-BA41-4CAC-BDFF-099668DF9762}"/>
    <cellStyle name="Normal 2 2 5 5 3" xfId="9265" xr:uid="{77C12E1B-755D-495B-AE10-A3AE91F89DB8}"/>
    <cellStyle name="Normal 2 2 5 5 4" xfId="9266" xr:uid="{356EEDA9-2D6B-491E-AE89-BE6990D6E1C2}"/>
    <cellStyle name="Normal 2 2 5 5 5" xfId="9267" xr:uid="{AD628283-9D3C-4CDB-8A7C-D40C8D15FFFE}"/>
    <cellStyle name="Normal 2 2 5 5 6" xfId="9268" xr:uid="{67F85DDB-0DF0-4ACD-8AB1-A9F33DC32655}"/>
    <cellStyle name="Normal 2 2 5 6" xfId="9269" xr:uid="{396734F0-EE88-4954-8364-B4DC99E835B8}"/>
    <cellStyle name="Normal 2 2 5 6 2" xfId="9270" xr:uid="{C9FEA453-4A80-47C7-976A-79134BE343A5}"/>
    <cellStyle name="Normal 2 2 5 6 3" xfId="9271" xr:uid="{FF9822FC-475C-4FA2-A198-027FF5232F44}"/>
    <cellStyle name="Normal 2 2 5 6 4" xfId="9272" xr:uid="{BE83D26C-8B77-4CD0-B753-F5D1880E1D12}"/>
    <cellStyle name="Normal 2 2 5 6 5" xfId="9273" xr:uid="{591EC1F2-7A6B-4191-B6ED-B49F3262E095}"/>
    <cellStyle name="Normal 2 2 5 6 6" xfId="9274" xr:uid="{7638D1F7-623D-450D-9DC6-2B6F46AEF466}"/>
    <cellStyle name="Normal 2 2 5 7" xfId="9275" xr:uid="{D76F74F1-CB54-47B4-9F7E-C8F4BABD01AA}"/>
    <cellStyle name="Normal 2 2 5 7 2" xfId="9276" xr:uid="{BB0F0F11-FE31-4EF5-A531-E9364C043F28}"/>
    <cellStyle name="Normal 2 2 5 7 4" xfId="9277" xr:uid="{3641152E-564A-4E9C-82E8-202F007DCAA3}"/>
    <cellStyle name="Normal 2 2 5 7 5" xfId="9278" xr:uid="{B1D52E66-DAFE-49DD-8976-A9DDD127B52B}"/>
    <cellStyle name="Normal 2 2 5 7 6" xfId="9279" xr:uid="{A42BE054-A9F9-49B0-8D9B-99F4A1D65F57}"/>
    <cellStyle name="Normal 2 2 5 8" xfId="9280" xr:uid="{B8F04646-78C6-47CC-9DC9-6F3827D77268}"/>
    <cellStyle name="Normal 2 2 5 8 2" xfId="9281" xr:uid="{4A958A81-F366-4720-BD38-7A8C2536F7B6}"/>
    <cellStyle name="Normal 2 2 5 8 3" xfId="9282" xr:uid="{4BE2704A-CBD2-43F0-B722-0DDB1A81FCE5}"/>
    <cellStyle name="Normal 2 2 5 8 4" xfId="9283" xr:uid="{76A43A31-0B18-4B18-AC3E-D9EECF2CFD07}"/>
    <cellStyle name="Normal 2 2 5 8 5" xfId="9284" xr:uid="{D90CEB2C-80F6-403C-BA68-37FF4CBBD9D0}"/>
    <cellStyle name="Normal 2 2 5 8 6" xfId="9285" xr:uid="{28959683-1622-4E67-9310-AA7BF65EC079}"/>
    <cellStyle name="Normal 2 2 5 9" xfId="9286" xr:uid="{C5E66435-B112-4879-AD51-C1E877BEF2D6}"/>
    <cellStyle name="Normal 2 2 50" xfId="9287" xr:uid="{CC073C43-EFEB-4D90-A956-7D4FB6DE685B}"/>
    <cellStyle name="Normal 2 2 50 10" xfId="9288" xr:uid="{EDA6B79E-F10A-467C-9A5E-AD1579DC3C5A}"/>
    <cellStyle name="Normal 2 2 50 11" xfId="9289" xr:uid="{EFCE6F40-7CF5-4FF5-A004-BC2419BD5988}"/>
    <cellStyle name="Normal 2 2 50 12" xfId="9290" xr:uid="{8B07489D-FB97-4AF9-AF24-97570126EE73}"/>
    <cellStyle name="Normal 2 2 50 13" xfId="9291" xr:uid="{9A7E5904-D042-465B-8ECD-D7ABCA6DDFAE}"/>
    <cellStyle name="Normal 2 2 50 14" xfId="9292" xr:uid="{464157AB-CCD6-4E46-AA19-6B6DF7D1B705}"/>
    <cellStyle name="Normal 2 2 50 15" xfId="9293" xr:uid="{BEAC5EBD-4222-427E-8228-D7307E002617}"/>
    <cellStyle name="Normal 2 2 50 16" xfId="9294" xr:uid="{C4268206-16AD-4873-8B68-C00773998599}"/>
    <cellStyle name="Normal 2 2 50 17" xfId="9295" xr:uid="{4E8B3A16-8A66-425C-94C8-8D152AA801AA}"/>
    <cellStyle name="Normal 2 2 50 18" xfId="9296" xr:uid="{07C61A86-B64A-4227-9697-C8EFE4475CAF}"/>
    <cellStyle name="Normal 2 2 50 19" xfId="9297" xr:uid="{D2F84057-BDE3-4653-8ED9-4C30E7CC9996}"/>
    <cellStyle name="Normal 2 2 50 2" xfId="9298" xr:uid="{B2BBAA37-08F7-4531-A9DC-5A5CAF1B7FDF}"/>
    <cellStyle name="Normal 2 2 50 20" xfId="9299" xr:uid="{47295882-AB86-4553-93CB-CD92ABE3FEE1}"/>
    <cellStyle name="Normal 2 2 50 21" xfId="9300" xr:uid="{61EE00B7-AFC9-4C12-8463-82B5F98CF344}"/>
    <cellStyle name="Normal 2 2 50 22" xfId="9301" xr:uid="{A3CD92AC-82FE-40EE-9EEA-C31A1FC7192B}"/>
    <cellStyle name="Normal 2 2 50 23" xfId="9302" xr:uid="{847C7160-A60F-41BA-B8B9-DD2FF2C95F9D}"/>
    <cellStyle name="Normal 2 2 50 24" xfId="9303" xr:uid="{09A9F077-41C6-4AEF-9D4B-FA7C60754D6E}"/>
    <cellStyle name="Normal 2 2 50 25" xfId="9304" xr:uid="{BB230283-8015-406C-892F-B8D0FED8122F}"/>
    <cellStyle name="Normal 2 2 50 26" xfId="9305" xr:uid="{39757F1F-6E52-456C-84D6-03EA64247C1B}"/>
    <cellStyle name="Normal 2 2 50 27" xfId="9306" xr:uid="{2B050F88-54CA-4C85-9E77-54D053AE0E85}"/>
    <cellStyle name="Normal 2 2 50 28" xfId="9307" xr:uid="{2E8A3135-9D74-4781-AD74-A5E6B1C8EBBA}"/>
    <cellStyle name="Normal 2 2 50 29" xfId="9308" xr:uid="{B122DB4C-9A0D-478E-88FE-73FA540F073D}"/>
    <cellStyle name="Normal 2 2 50 3" xfId="9309" xr:uid="{10542D90-F7CB-41EE-9071-7AC8297233E9}"/>
    <cellStyle name="Normal 2 2 50 31" xfId="9310" xr:uid="{124DC3E0-DD1F-4D3F-BA45-A3774FEC3758}"/>
    <cellStyle name="Normal 2 2 50 32" xfId="9311" xr:uid="{4E02E0C1-1B57-44DF-9A78-04B9851F6504}"/>
    <cellStyle name="Normal 2 2 50 34" xfId="9312" xr:uid="{00CF5A96-7378-4CF5-A0F5-812F4460E4EB}"/>
    <cellStyle name="Normal 2 2 50 5" xfId="9313" xr:uid="{73B49AE0-3164-4836-A578-DF8F5B866D35}"/>
    <cellStyle name="Normal 2 2 50 7" xfId="9314" xr:uid="{1C1F3E2E-8349-47C9-9D14-E5C4C163227E}"/>
    <cellStyle name="Normal 2 2 50 9" xfId="9315" xr:uid="{CCE86272-0A30-4656-9A41-2FC94050516D}"/>
    <cellStyle name="Normal 2 2 51 10" xfId="9316" xr:uid="{71BD74CB-5CEF-4C5E-91F5-F2050AE29C1E}"/>
    <cellStyle name="Normal 2 2 51 12" xfId="9317" xr:uid="{DC7B3A1F-B9A6-4E4C-838A-9E06D9423838}"/>
    <cellStyle name="Normal 2 2 51 14" xfId="9318" xr:uid="{5833BBF3-B9FA-4BC7-8C75-F4002086CD70}"/>
    <cellStyle name="Normal 2 2 51 15" xfId="9319" xr:uid="{E0A2F86B-F9F0-41CF-94C8-5D59F3101349}"/>
    <cellStyle name="Normal 2 2 51 17" xfId="9320" xr:uid="{BF1A513F-608E-492A-8B31-17DAFF256B89}"/>
    <cellStyle name="Normal 2 2 51 18" xfId="9321" xr:uid="{806FB88B-89F2-4207-A7B2-F5FBAEC7F9BE}"/>
    <cellStyle name="Normal 2 2 51 19" xfId="9322" xr:uid="{FE68DB07-D24D-4D54-846D-15B506CA7463}"/>
    <cellStyle name="Normal 2 2 51 2" xfId="9323" xr:uid="{076019AC-72A4-4D14-8A86-1B1BC1DE24FF}"/>
    <cellStyle name="Normal 2 2 51 20" xfId="9324" xr:uid="{ECBBEDB3-650F-4D17-A32A-781F6F2DCD0C}"/>
    <cellStyle name="Normal 2 2 51 21" xfId="9325" xr:uid="{99DC00CE-1425-458B-8766-EF84F934B785}"/>
    <cellStyle name="Normal 2 2 51 22" xfId="9326" xr:uid="{1ED2295F-3693-46A4-9D90-6E48549BF872}"/>
    <cellStyle name="Normal 2 2 51 23" xfId="9327" xr:uid="{2DA2DF70-75FF-4017-80FC-4C1873D4AC98}"/>
    <cellStyle name="Normal 2 2 51 25" xfId="9328" xr:uid="{433DC879-A2F4-45F7-9F7E-2E02E6553AEB}"/>
    <cellStyle name="Normal 2 2 51 27" xfId="9329" xr:uid="{5E013603-0BCA-4E40-A6AF-DF736DF18AA9}"/>
    <cellStyle name="Normal 2 2 51 28" xfId="9330" xr:uid="{293ABEB1-8A02-4187-A332-6348CE4FD161}"/>
    <cellStyle name="Normal 2 2 51 3" xfId="9331" xr:uid="{D76A4965-CD7E-4CB6-B80E-EDB34E41836E}"/>
    <cellStyle name="Normal 2 2 51 31" xfId="9332" xr:uid="{293BB8B2-E916-4B76-847F-5E585E5A3C39}"/>
    <cellStyle name="Normal 2 2 51 33" xfId="9333" xr:uid="{29D3D3B3-DF6B-4D1D-BC3A-957D5279BE9B}"/>
    <cellStyle name="Normal 2 2 51 4" xfId="9334" xr:uid="{59B859C7-A3D7-4898-B259-A7340745CC80}"/>
    <cellStyle name="Normal 2 2 51 6" xfId="9335" xr:uid="{5BAB3F12-8945-4E3C-9841-3D53D8B2973F}"/>
    <cellStyle name="Normal 2 2 51 8" xfId="9336" xr:uid="{7B4C75AD-DC72-4B81-B443-34CF4829A6E0}"/>
    <cellStyle name="Normal 2 2 52" xfId="9337" xr:uid="{418ECEF3-626F-43AA-831B-75FA07C280D7}"/>
    <cellStyle name="Normal 2 2 52 11" xfId="9338" xr:uid="{A052E1B7-8CDD-4F72-962A-2CE4D791C502}"/>
    <cellStyle name="Normal 2 2 52 12" xfId="9339" xr:uid="{DFBB6924-EE84-4D21-BFFD-C622D05D716A}"/>
    <cellStyle name="Normal 2 2 52 14" xfId="9340" xr:uid="{B688A05D-4D17-4FF1-A524-3A190190D492}"/>
    <cellStyle name="Normal 2 2 52 16" xfId="9341" xr:uid="{EAFDD84D-9505-4763-A1C7-14409AE00471}"/>
    <cellStyle name="Normal 2 2 52 18" xfId="9342" xr:uid="{2ADD9BBE-6D5C-432D-ADEC-F52A7D2FBB01}"/>
    <cellStyle name="Normal 2 2 52 19" xfId="9343" xr:uid="{2216C11C-FB2D-402A-B34A-04698F8714E6}"/>
    <cellStyle name="Normal 2 2 52 2" xfId="9344" xr:uid="{1007B4E2-3218-4ABA-8E00-B1822A8F9D75}"/>
    <cellStyle name="Normal 2 2 52 20" xfId="9345" xr:uid="{DE8C80CB-5CB6-4CE5-85B9-50CCC0523CC1}"/>
    <cellStyle name="Normal 2 2 52 21" xfId="9346" xr:uid="{5B94637F-9F92-4C32-A239-556BDD0F8B73}"/>
    <cellStyle name="Normal 2 2 52 23" xfId="9347" xr:uid="{A7B4156F-05E2-4E7F-B606-A2BC6DBF6593}"/>
    <cellStyle name="Normal 2 2 52 25" xfId="9348" xr:uid="{2AE23314-F3E9-416F-B4E8-76699805733F}"/>
    <cellStyle name="Normal 2 2 52 26" xfId="9349" xr:uid="{610404C9-69BD-4CAE-9D2B-ED8DA0EFFA5F}"/>
    <cellStyle name="Normal 2 2 52 27" xfId="9350" xr:uid="{FFADBE26-232C-495A-A8AE-80C55BD2E879}"/>
    <cellStyle name="Normal 2 2 52 28" xfId="9351" xr:uid="{0DAEA646-1DB4-4D26-BFAC-F12800F670A2}"/>
    <cellStyle name="Normal 2 2 52 29" xfId="9352" xr:uid="{2835053A-86A3-4D90-AF21-85CA66D09802}"/>
    <cellStyle name="Normal 2 2 52 3" xfId="9353" xr:uid="{8A1BE730-B7FD-4FF1-B4DF-D6874414BF67}"/>
    <cellStyle name="Normal 2 2 52 30" xfId="9354" xr:uid="{609B443B-B638-4BD9-AE4A-5E8B227C90F7}"/>
    <cellStyle name="Normal 2 2 52 31" xfId="9355" xr:uid="{B1D93EDB-61FA-4A34-82D7-E96B0CD11565}"/>
    <cellStyle name="Normal 2 2 52 32" xfId="9356" xr:uid="{9DFE2955-1DAA-47C3-ADB7-8B2B6146054E}"/>
    <cellStyle name="Normal 2 2 52 33" xfId="9357" xr:uid="{FAA73059-1F67-417A-BCBC-5E4DD1C92FDC}"/>
    <cellStyle name="Normal 2 2 52 34" xfId="9358" xr:uid="{A187CF2A-5C31-4C74-92E7-ED58E808FCA8}"/>
    <cellStyle name="Normal 2 2 52 4" xfId="9359" xr:uid="{9CA7FDD7-CDAF-4165-A9DC-28172675AB8F}"/>
    <cellStyle name="Normal 2 2 52 5" xfId="9360" xr:uid="{F8C99B06-4941-46C7-8AAD-52CA2074AD98}"/>
    <cellStyle name="Normal 2 2 52 6" xfId="9361" xr:uid="{8F46C34C-5672-4ADB-A622-A366F17F44B7}"/>
    <cellStyle name="Normal 2 2 52 7" xfId="9362" xr:uid="{AA498BAA-6C69-4BDC-B47F-28885CF1955E}"/>
    <cellStyle name="Normal 2 2 52 8" xfId="9363" xr:uid="{BD954860-4E34-4489-BB2F-344AD25C02B9}"/>
    <cellStyle name="Normal 2 2 52 9" xfId="9364" xr:uid="{E563808C-4471-467A-ABD8-2D5DE18C0FAF}"/>
    <cellStyle name="Normal 2 2 53" xfId="9365" xr:uid="{3915A5F1-E0DE-46B1-8B0F-820D3EF76053}"/>
    <cellStyle name="Normal 2 2 53 10" xfId="9366" xr:uid="{DF9E9265-EA4A-4636-834B-7E4045D3EC02}"/>
    <cellStyle name="Normal 2 2 53 11" xfId="9367" xr:uid="{7BB57D92-8B70-49FF-8852-3F3038E61201}"/>
    <cellStyle name="Normal 2 2 53 12" xfId="9368" xr:uid="{9217E47A-B625-4D22-9732-BD7608872BBA}"/>
    <cellStyle name="Normal 2 2 53 13" xfId="9369" xr:uid="{27470985-A9C9-430B-862D-F2219C889FF1}"/>
    <cellStyle name="Normal 2 2 53 14" xfId="9370" xr:uid="{A0DDE6B9-135E-4F24-99A6-41796E4A2509}"/>
    <cellStyle name="Normal 2 2 53 15" xfId="9371" xr:uid="{215878C2-A17F-4001-8861-4ACFFAB9F8C9}"/>
    <cellStyle name="Normal 2 2 53 16" xfId="9372" xr:uid="{2A9C7001-C7F7-4469-B026-E9AD15F41726}"/>
    <cellStyle name="Normal 2 2 53 17" xfId="9373" xr:uid="{010055FE-DFF0-486F-A296-149894E7646F}"/>
    <cellStyle name="Normal 2 2 53 18" xfId="9374" xr:uid="{D4C2A377-782E-44E6-90AB-4312CF386DB3}"/>
    <cellStyle name="Normal 2 2 53 19" xfId="9375" xr:uid="{C65B4B40-B9D9-43E7-89A2-057285C7721B}"/>
    <cellStyle name="Normal 2 2 53 2" xfId="9376" xr:uid="{FD4E57D0-DB98-42EB-AC81-8DDB069E5E15}"/>
    <cellStyle name="Normal 2 2 53 20" xfId="9377" xr:uid="{7E4EDD91-AE36-443F-B33D-F13F1A7B27F5}"/>
    <cellStyle name="Normal 2 2 53 21" xfId="9378" xr:uid="{56861560-7F3F-4F15-82DE-454EE15836A8}"/>
    <cellStyle name="Normal 2 2 53 22" xfId="9379" xr:uid="{0320787A-48F3-4551-8B49-CDDC5A517774}"/>
    <cellStyle name="Normal 2 2 53 23" xfId="9380" xr:uid="{8DE5D2CD-A4BF-4A32-BF1F-D1136DCD2429}"/>
    <cellStyle name="Normal 2 2 53 24" xfId="9381" xr:uid="{9C70241D-F977-44C6-9D46-8B827890947B}"/>
    <cellStyle name="Normal 2 2 53 25" xfId="9382" xr:uid="{B1AFF7EF-BB2E-4E02-BCD7-129A0C2E4239}"/>
    <cellStyle name="Normal 2 2 53 26" xfId="9383" xr:uid="{EC35E41C-BDAF-4265-87A5-953D555F08FD}"/>
    <cellStyle name="Normal 2 2 53 27" xfId="9384" xr:uid="{6FF6C78D-0C2F-4CDE-A7E0-B13A6306C8E4}"/>
    <cellStyle name="Normal 2 2 53 28" xfId="9385" xr:uid="{C44EE90E-15C0-4C34-8089-B786B11420A4}"/>
    <cellStyle name="Normal 2 2 53 29" xfId="9386" xr:uid="{CC04A0AB-5E6D-4798-A9F8-FC6600830FAD}"/>
    <cellStyle name="Normal 2 2 53 3" xfId="9387" xr:uid="{20D647A4-6740-47D7-BE35-7E821E936AC3}"/>
    <cellStyle name="Normal 2 2 53 30" xfId="9388" xr:uid="{DA51ADB6-BEFC-42F1-8253-81D3D70C4241}"/>
    <cellStyle name="Normal 2 2 53 31" xfId="9389" xr:uid="{AAC4259F-881C-4D9C-ABD2-178B216446C8}"/>
    <cellStyle name="Normal 2 2 53 32" xfId="9390" xr:uid="{F0439B8C-BA61-47FC-B668-99BE173A06CB}"/>
    <cellStyle name="Normal 2 2 53 33" xfId="9391" xr:uid="{A8C1D8E4-C6F6-48E2-9F49-34653A6AE91E}"/>
    <cellStyle name="Normal 2 2 53 34" xfId="9392" xr:uid="{79482882-E22E-4E74-AE03-4213174C12F1}"/>
    <cellStyle name="Normal 2 2 53 4" xfId="9393" xr:uid="{3886490A-97D5-462E-A3C5-132FBAB1DD15}"/>
    <cellStyle name="Normal 2 2 53 5" xfId="9394" xr:uid="{C964797A-054D-4169-BA65-38BEAAE814E5}"/>
    <cellStyle name="Normal 2 2 53 6" xfId="9395" xr:uid="{7FF92DA3-7D96-4FC8-B19D-D09E3DBDA9CD}"/>
    <cellStyle name="Normal 2 2 53 7" xfId="9396" xr:uid="{23273DCC-64A1-4D0A-942F-7E900E222835}"/>
    <cellStyle name="Normal 2 2 53 9" xfId="9397" xr:uid="{5CD2B127-3092-4254-9C04-82957774925C}"/>
    <cellStyle name="Normal 2 2 54" xfId="9398" xr:uid="{B5AD6757-62B6-44DF-B75F-3B39E51B9DCB}"/>
    <cellStyle name="Normal 2 2 54 11" xfId="9399" xr:uid="{70ECD38F-9C0E-4E6E-B6D4-77C425908210}"/>
    <cellStyle name="Normal 2 2 54 12" xfId="9400" xr:uid="{76C9CCBB-740F-42AF-82F4-7BAFCD0D1A1B}"/>
    <cellStyle name="Normal 2 2 54 13" xfId="9401" xr:uid="{AD9D760A-36FA-4B4E-A0B8-C106FA812140}"/>
    <cellStyle name="Normal 2 2 54 14" xfId="9402" xr:uid="{0AF3526A-2351-48CB-8879-5EAD80481987}"/>
    <cellStyle name="Normal 2 2 54 15" xfId="9403" xr:uid="{61DCE761-D12E-4694-80C2-F2641A125F74}"/>
    <cellStyle name="Normal 2 2 54 16" xfId="9404" xr:uid="{B29675FA-4CC9-49BE-8785-1F2780161B74}"/>
    <cellStyle name="Normal 2 2 54 17" xfId="9405" xr:uid="{94764E1D-E856-4EFF-AA0F-CC9534BEC25D}"/>
    <cellStyle name="Normal 2 2 54 18" xfId="9406" xr:uid="{9FC35859-7239-4B1D-A63A-37DF02CFDD5C}"/>
    <cellStyle name="Normal 2 2 54 19" xfId="9407" xr:uid="{1F26898C-600E-47B6-A2F3-952704D6285F}"/>
    <cellStyle name="Normal 2 2 54 20" xfId="9408" xr:uid="{263BF83C-4ACD-4E3E-9CA3-A6624A51DD79}"/>
    <cellStyle name="Normal 2 2 54 21" xfId="9409" xr:uid="{83D63F60-BCEE-4DE4-BA9B-9AF27AC83E06}"/>
    <cellStyle name="Normal 2 2 54 22" xfId="9410" xr:uid="{E45276CA-9E1B-43C3-8751-13BF9AFEFF72}"/>
    <cellStyle name="Normal 2 2 54 24" xfId="9411" xr:uid="{857F9EAA-84E2-4FC3-92A7-6F98E958E15C}"/>
    <cellStyle name="Normal 2 2 54 26" xfId="9412" xr:uid="{1017A2F5-3175-4165-8CB2-B0723EED7FBA}"/>
    <cellStyle name="Normal 2 2 54 28" xfId="9413" xr:uid="{23437110-4C1E-4222-9420-A8D9F2A067C8}"/>
    <cellStyle name="Normal 2 2 54 3" xfId="9414" xr:uid="{94C5876B-B8AC-48EA-A92A-483A00177888}"/>
    <cellStyle name="Normal 2 2 54 31" xfId="9415" xr:uid="{894351A4-E2EE-4E19-9EC3-26F708D14158}"/>
    <cellStyle name="Normal 2 2 54 34" xfId="9416" xr:uid="{4B6E8999-7F60-4FDF-BC06-E8F45BECFC39}"/>
    <cellStyle name="Normal 2 2 54 5" xfId="9417" xr:uid="{09E830BF-CDF8-4A23-9C45-D016E5EBF70F}"/>
    <cellStyle name="Normal 2 2 54 7" xfId="9418" xr:uid="{7C71A314-B26D-458C-9DC2-2E88B53B50A5}"/>
    <cellStyle name="Normal 2 2 54 9" xfId="9419" xr:uid="{B9204EC7-7FDC-464D-BBCD-DF27366B83B9}"/>
    <cellStyle name="Normal 2 2 55 10" xfId="9420" xr:uid="{C235ED5C-BB84-4554-A963-E76E14DD610E}"/>
    <cellStyle name="Normal 2 2 55 12" xfId="9421" xr:uid="{04FA84D6-A54F-4B28-A513-C5F90EDED84B}"/>
    <cellStyle name="Normal 2 2 55 13" xfId="9422" xr:uid="{B3252EBF-5848-4D30-A557-90084EDDA0AA}"/>
    <cellStyle name="Normal 2 2 55 14" xfId="9423" xr:uid="{6BFC2619-B414-4FCE-84A0-11056D9487BB}"/>
    <cellStyle name="Normal 2 2 55 15" xfId="9424" xr:uid="{C6BDC958-4063-417A-9280-A515ABC52D09}"/>
    <cellStyle name="Normal 2 2 55 16" xfId="9425" xr:uid="{3A4E1C0C-EC01-4896-91F1-C5ED06CF5894}"/>
    <cellStyle name="Normal 2 2 55 17" xfId="9426" xr:uid="{49E61FA9-1FD3-4ADF-89A1-B24E829C8BB1}"/>
    <cellStyle name="Normal 2 2 55 18" xfId="9427" xr:uid="{2F7E193E-BD00-4242-8E8B-F5DF8A4257CA}"/>
    <cellStyle name="Normal 2 2 55 19" xfId="9428" xr:uid="{DD05104F-F69C-481F-8DF2-1EEC21B0258E}"/>
    <cellStyle name="Normal 2 2 55 2" xfId="9429" xr:uid="{7A58C602-08D7-48D0-BDC2-52BEFECFCB3B}"/>
    <cellStyle name="Normal 2 2 55 20" xfId="9430" xr:uid="{4700D209-AD44-4D67-A69A-C5F74B8B10E6}"/>
    <cellStyle name="Normal 2 2 55 21" xfId="9431" xr:uid="{B889433F-62EB-490F-8B5E-892B17928EDA}"/>
    <cellStyle name="Normal 2 2 55 22" xfId="9432" xr:uid="{DCD3C320-1918-4CCC-BC73-BBE87EC3AA00}"/>
    <cellStyle name="Normal 2 2 55 23" xfId="9433" xr:uid="{CB4E797B-AA17-45CE-9904-5901115BCF59}"/>
    <cellStyle name="Normal 2 2 55 25" xfId="9434" xr:uid="{7D500CC3-01F5-442A-B517-AD3789E12B78}"/>
    <cellStyle name="Normal 2 2 55 26" xfId="9435" xr:uid="{FE4B8F58-1A8C-4A7F-8FB9-7CD2B77D6A36}"/>
    <cellStyle name="Normal 2 2 55 27" xfId="9436" xr:uid="{7C59997D-7697-4349-B342-FBE85D8C694D}"/>
    <cellStyle name="Normal 2 2 55 28" xfId="9437" xr:uid="{AE93E7DB-E77D-43B4-9FC8-0F3BFA9ABC6A}"/>
    <cellStyle name="Normal 2 2 55 29" xfId="9438" xr:uid="{B74E9D67-72C1-4ACA-86CE-3B45B572A7E6}"/>
    <cellStyle name="Normal 2 2 55 3" xfId="9439" xr:uid="{ED71A3AB-B716-4382-9EA6-1AA0391631C1}"/>
    <cellStyle name="Normal 2 2 55 30" xfId="9440" xr:uid="{F0FD6C2A-75EC-45E7-BD51-6BB4CA659A7E}"/>
    <cellStyle name="Normal 2 2 55 31" xfId="9441" xr:uid="{84608DE5-B377-4319-8464-0F6D6C3D1F69}"/>
    <cellStyle name="Normal 2 2 55 33" xfId="9442" xr:uid="{A69CC44E-40F8-4FD5-8F94-27C9F458C0C5}"/>
    <cellStyle name="Normal 2 2 55 34" xfId="9443" xr:uid="{42F5A5C8-1D3B-42DC-BC06-D9E15ADED50A}"/>
    <cellStyle name="Normal 2 2 55 4" xfId="9444" xr:uid="{638CC1AD-943F-4CD4-A68A-73D3C148F11C}"/>
    <cellStyle name="Normal 2 2 55 5" xfId="9445" xr:uid="{0A2FA6CA-D98D-4717-96C0-241B59D85E58}"/>
    <cellStyle name="Normal 2 2 55 6" xfId="9446" xr:uid="{85CDF37F-0686-4CFB-910E-B59C2A1C3C6E}"/>
    <cellStyle name="Normal 2 2 55 7" xfId="9447" xr:uid="{5C5F245C-515F-4475-8171-A50206E527E7}"/>
    <cellStyle name="Normal 2 2 55 8" xfId="9448" xr:uid="{CF77E808-BCA7-465C-B45C-D60A832EF8A0}"/>
    <cellStyle name="Normal 2 2 55 9" xfId="9449" xr:uid="{266E982F-D810-472C-975D-74F8F1DCA651}"/>
    <cellStyle name="Normal 2 2 56" xfId="9450" xr:uid="{8C29D3F3-A736-4F32-BAEE-D4FD9F0B9F23}"/>
    <cellStyle name="Normal 2 2 56 10" xfId="9451" xr:uid="{1BC97B00-C45C-4ED9-921E-191BEDB247F8}"/>
    <cellStyle name="Normal 2 2 56 11" xfId="9452" xr:uid="{A148E968-F791-46F1-8E47-F4447BDFA51C}"/>
    <cellStyle name="Normal 2 2 56 12" xfId="9453" xr:uid="{EFA6F11D-19D2-4F1C-85BB-BEA589D96618}"/>
    <cellStyle name="Normal 2 2 56 13" xfId="9454" xr:uid="{0081CC6A-9AE2-45D5-915D-7152092FA365}"/>
    <cellStyle name="Normal 2 2 56 14" xfId="9455" xr:uid="{8785D23E-F0EA-4897-9892-5E4FD389AFD3}"/>
    <cellStyle name="Normal 2 2 56 15" xfId="9456" xr:uid="{6DD8B75F-1843-48BB-8936-7EA0E5801C23}"/>
    <cellStyle name="Normal 2 2 56 16" xfId="9457" xr:uid="{B43850A6-F903-42F1-817E-B0DFB45991DC}"/>
    <cellStyle name="Normal 2 2 56 17" xfId="9458" xr:uid="{F93C0DEF-4FF2-4CEB-9F98-77F2503148A6}"/>
    <cellStyle name="Normal 2 2 56 18" xfId="9459" xr:uid="{1C6EAB0A-E206-48D4-8237-89B83A361DBD}"/>
    <cellStyle name="Normal 2 2 56 19" xfId="9460" xr:uid="{6EC816FA-3F53-4D47-A669-D375E0A1B4A8}"/>
    <cellStyle name="Normal 2 2 56 2" xfId="9461" xr:uid="{5146CE3A-0F4B-4AC4-A628-3B7C7D0A39CA}"/>
    <cellStyle name="Normal 2 2 56 20" xfId="9462" xr:uid="{B112CC3E-8B3B-4C33-839A-01F6FFA03C36}"/>
    <cellStyle name="Normal 2 2 56 21" xfId="9463" xr:uid="{2C0E01BF-BC71-4CE6-B458-8FA60E8150B4}"/>
    <cellStyle name="Normal 2 2 56 24" xfId="9464" xr:uid="{75F8A34D-5B6D-4128-8626-72DDCCB882BD}"/>
    <cellStyle name="Normal 2 2 56 25" xfId="9465" xr:uid="{B60AB538-535E-4837-9493-7115E69A24EA}"/>
    <cellStyle name="Normal 2 2 56 26" xfId="9466" xr:uid="{E4917355-121C-4FD7-A123-F33AEF388133}"/>
    <cellStyle name="Normal 2 2 56 27" xfId="9467" xr:uid="{D08B961A-F00C-4317-A7DB-6247C663E62B}"/>
    <cellStyle name="Normal 2 2 56 29" xfId="9468" xr:uid="{43241370-0F6F-4E24-BF40-70A4B7E901A3}"/>
    <cellStyle name="Normal 2 2 56 30" xfId="9469" xr:uid="{836D616B-F130-4794-96EB-5FC15E29D71D}"/>
    <cellStyle name="Normal 2 2 56 32" xfId="9470" xr:uid="{17A43CBA-BCD5-4E21-81C2-24F648DFE88F}"/>
    <cellStyle name="Normal 2 2 56 34" xfId="9471" xr:uid="{52BCBC50-CFE5-4BCD-8149-B368797BECB6}"/>
    <cellStyle name="Normal 2 2 56 5" xfId="9472" xr:uid="{E5DF1EE9-229F-4051-9158-E5E7ED29A36C}"/>
    <cellStyle name="Normal 2 2 56 7" xfId="9473" xr:uid="{241F6F5B-2CE2-4BC5-893E-97A163013475}"/>
    <cellStyle name="Normal 2 2 56 9" xfId="9474" xr:uid="{3FBCDCF0-7C63-40C9-9A5B-EEEDC5F7CD74}"/>
    <cellStyle name="Normal 2 2 57" xfId="9475" xr:uid="{8D8EBD49-FBD0-4521-9AD9-D12DFFB1F7E2}"/>
    <cellStyle name="Normal 2 2 58" xfId="9476" xr:uid="{9E803F84-708B-46CE-8212-1FD7C94EBB88}"/>
    <cellStyle name="Normal 2 2 58 2" xfId="9477" xr:uid="{59774AF9-FE3E-4E15-BF46-EDF59D27D927}"/>
    <cellStyle name="Normal 2 2 59" xfId="9478" xr:uid="{2CF383D8-7EE9-4E1E-A00B-CA8A54BC504A}"/>
    <cellStyle name="Normal 2 2 59 2" xfId="9479" xr:uid="{49F04151-64FF-4DBC-A9B2-1AEC5C1CA4F2}"/>
    <cellStyle name="Normal 2 2 6" xfId="698" xr:uid="{2597A0A6-3DAC-475D-89E8-1399495F7FDE}"/>
    <cellStyle name="Normal 2 2 6 10" xfId="9480" xr:uid="{D4539D88-FCA1-457F-83C1-EDD3DACC938D}"/>
    <cellStyle name="Normal 2 2 6 11" xfId="9481" xr:uid="{B83609F8-1446-4889-B40F-8B4578A9ED72}"/>
    <cellStyle name="Normal 2 2 6 12" xfId="9482" xr:uid="{5A86219D-1C45-4D2D-A82E-D36C3A3F7D94}"/>
    <cellStyle name="Normal 2 2 6 13" xfId="9483" xr:uid="{E518B92C-7305-45F0-84DF-8F14D59D49D5}"/>
    <cellStyle name="Normal 2 2 6 14" xfId="9484" xr:uid="{1D4C8419-F970-412A-8A04-0784305206F8}"/>
    <cellStyle name="Normal 2 2 6 2" xfId="865" xr:uid="{00A6BB15-7839-46CF-A40D-700ED704F230}"/>
    <cellStyle name="Normal 2 2 6 2 2" xfId="9485" xr:uid="{B045604A-84C2-4410-B33F-AB0D6370F08E}"/>
    <cellStyle name="Normal 2 2 6 2 2 2" xfId="9486" xr:uid="{5735D2D2-2C56-49C4-BECC-4C50F0BA576E}"/>
    <cellStyle name="Normal 2 2 6 2 2 2 2" xfId="9487" xr:uid="{D6A7FE43-1CFD-4919-B56F-364009F61B62}"/>
    <cellStyle name="Normal 2 2 6 2 2 3" xfId="9488" xr:uid="{D8131222-4AC2-42E3-A4F6-9549B895FB8D}"/>
    <cellStyle name="Normal 2 2 6 2 3" xfId="9489" xr:uid="{DEDE1C6D-F685-4D4B-A41A-B6E57E24AF95}"/>
    <cellStyle name="Normal 2 2 6 2 3 2" xfId="9490" xr:uid="{14C139DA-133C-48B7-92FC-63D29F5DC593}"/>
    <cellStyle name="Normal 2 2 6 2 4" xfId="9491" xr:uid="{B7610567-3366-49C4-89AF-80DDF0B03C81}"/>
    <cellStyle name="Normal 2 2 6 2 5" xfId="9492" xr:uid="{EA689E0A-6579-4C8F-8FAB-A45E7C24F3B7}"/>
    <cellStyle name="Normal 2 2 6 2 6" xfId="9493" xr:uid="{72ECEFEB-7FFF-458F-84A7-CEA03EBCAD85}"/>
    <cellStyle name="Normal 2 2 6 3" xfId="9494" xr:uid="{CB4F74C0-07B1-48B5-9BC6-C19AFC4EE4C6}"/>
    <cellStyle name="Normal 2 2 6 3 2" xfId="9495" xr:uid="{4A1CB5DE-C4EE-4128-A5B3-D288284B792F}"/>
    <cellStyle name="Normal 2 2 6 3 3" xfId="9496" xr:uid="{3FA3BE69-2468-448D-87E4-C831E6F2F23C}"/>
    <cellStyle name="Normal 2 2 6 3 4" xfId="9497" xr:uid="{590CC224-08D6-4980-A0D4-168CDDEDDCA9}"/>
    <cellStyle name="Normal 2 2 6 3 5" xfId="9498" xr:uid="{61CC435E-13E9-40AE-A466-31773352CF8E}"/>
    <cellStyle name="Normal 2 2 6 3 6" xfId="9499" xr:uid="{44A1010F-21BE-4D28-9CBC-C3688D909A63}"/>
    <cellStyle name="Normal 2 2 6 4" xfId="9500" xr:uid="{0036DA5A-50FD-4CE9-BC12-6F3A8CEF2018}"/>
    <cellStyle name="Normal 2 2 6 4 2" xfId="9501" xr:uid="{C1618388-35C4-4803-86D9-A8EF9412B714}"/>
    <cellStyle name="Normal 2 2 6 4 3" xfId="9502" xr:uid="{88A8B8BB-1D69-409A-AC2A-FC08D8122377}"/>
    <cellStyle name="Normal 2 2 6 4 4" xfId="9503" xr:uid="{7C653D79-A8EF-44C3-92F7-77C00DD05219}"/>
    <cellStyle name="Normal 2 2 6 4 5" xfId="9504" xr:uid="{202B4AD2-03AC-4CB3-B706-576F9871FD13}"/>
    <cellStyle name="Normal 2 2 6 4 6" xfId="9505" xr:uid="{45C302E8-2399-4484-A1C4-D4F01FDCBF09}"/>
    <cellStyle name="Normal 2 2 6 5" xfId="9506" xr:uid="{DE16CCF5-B119-4ED2-B636-41CAF0A4FF55}"/>
    <cellStyle name="Normal 2 2 6 5 2" xfId="9507" xr:uid="{1EB08305-33C9-428F-A517-5DF817FADA17}"/>
    <cellStyle name="Normal 2 2 6 5 3" xfId="9508" xr:uid="{1CACB3C5-7F9A-48A2-B69B-5948F1680B2E}"/>
    <cellStyle name="Normal 2 2 6 5 4" xfId="9509" xr:uid="{749B3FA5-5F15-40C6-8F22-91A396EBB00E}"/>
    <cellStyle name="Normal 2 2 6 5 5" xfId="9510" xr:uid="{1A403617-9C70-4E4C-8F96-9AFE66B14375}"/>
    <cellStyle name="Normal 2 2 6 5 6" xfId="9511" xr:uid="{FD561F69-C9E4-48D9-83E1-5D9787158952}"/>
    <cellStyle name="Normal 2 2 6 6" xfId="9512" xr:uid="{2A095098-364A-4890-90DA-8024F0B3FD8D}"/>
    <cellStyle name="Normal 2 2 6 6 2" xfId="9513" xr:uid="{9F9C9F84-3465-4EBE-86EC-0731BC44C854}"/>
    <cellStyle name="Normal 2 2 6 6 3" xfId="9514" xr:uid="{11C73E3F-302D-404E-BE40-493199F2E2FE}"/>
    <cellStyle name="Normal 2 2 6 6 4" xfId="9515" xr:uid="{F67D74B5-B762-49AC-BE33-7B745BC4F9DF}"/>
    <cellStyle name="Normal 2 2 6 6 5" xfId="9516" xr:uid="{476227CF-B362-4000-A765-A30E740EE532}"/>
    <cellStyle name="Normal 2 2 6 6 6" xfId="9517" xr:uid="{CC9A218F-CEEB-456C-A45F-D1AC49186322}"/>
    <cellStyle name="Normal 2 2 6 7" xfId="9518" xr:uid="{083C0B5F-7212-4EB1-B54D-0EF1A55B7F31}"/>
    <cellStyle name="Normal 2 2 6 7 2" xfId="9519" xr:uid="{8EAD7CD8-518A-4F86-B05C-43433783582E}"/>
    <cellStyle name="Normal 2 2 6 7 3" xfId="9520" xr:uid="{F53339CB-0B60-4129-99E1-00FD9A9EACEF}"/>
    <cellStyle name="Normal 2 2 6 7 4" xfId="9521" xr:uid="{2FBBD445-240B-4EAF-B209-8DF0F9B5B3A4}"/>
    <cellStyle name="Normal 2 2 6 7 5" xfId="9522" xr:uid="{0319DA97-4483-4573-9B1F-0EED5BB86434}"/>
    <cellStyle name="Normal 2 2 6 7 6" xfId="9523" xr:uid="{6305CA5D-D357-490D-91AE-D5DD363FF082}"/>
    <cellStyle name="Normal 2 2 6 8 2" xfId="9524" xr:uid="{FB2BEE22-5F42-4260-9AE7-0EB8A064AED6}"/>
    <cellStyle name="Normal 2 2 6 8 3" xfId="9525" xr:uid="{DA51AAE8-115A-4A95-95A8-6F64641DA1E8}"/>
    <cellStyle name="Normal 2 2 6 8 4" xfId="9526" xr:uid="{DD465AF6-99FD-497B-BA04-E3ADCDB89166}"/>
    <cellStyle name="Normal 2 2 6 8 5" xfId="9527" xr:uid="{EB0DAF3F-900A-4325-84E9-8183BB8B77B6}"/>
    <cellStyle name="Normal 2 2 6 8 6" xfId="9528" xr:uid="{61D1258A-1DD3-4CC1-98E9-C258C2C0B5E2}"/>
    <cellStyle name="Normal 2 2 6 9" xfId="9529" xr:uid="{7187E966-6667-403F-9FB2-24BA88FE6DF4}"/>
    <cellStyle name="Normal 2 2 60 2" xfId="9530" xr:uid="{6C31004A-16B6-461D-AA6A-10B9FF50D709}"/>
    <cellStyle name="Normal 2 2 61 2" xfId="9531" xr:uid="{ABDD9CFA-C14B-433B-A210-062E672BC92F}"/>
    <cellStyle name="Normal 2 2 61 4" xfId="9532" xr:uid="{BA973151-64C0-406E-9971-DF4BA10800C9}"/>
    <cellStyle name="Normal 2 2 61 6" xfId="9533" xr:uid="{38D83B12-A68D-4427-A439-44A2D0748F5B}"/>
    <cellStyle name="Normal 2 2 62" xfId="9534" xr:uid="{54240847-B849-4A6E-8659-239EAD6BDD24}"/>
    <cellStyle name="Normal 2 2 62 3" xfId="9535" xr:uid="{88E40CFE-AE4F-4506-8E1E-38FBD0CCF1DB}"/>
    <cellStyle name="Normal 2 2 62 5" xfId="9536" xr:uid="{9070E9EF-0B32-4246-92CF-EA943D9BC0D8}"/>
    <cellStyle name="Normal 2 2 62 7" xfId="9537" xr:uid="{D74572FA-ABB9-4659-8BA3-C08800180F2F}"/>
    <cellStyle name="Normal 2 2 63 2" xfId="9538" xr:uid="{53678865-EA37-4DD7-A302-AB1ED2463494}"/>
    <cellStyle name="Normal 2 2 63 4" xfId="9539" xr:uid="{85CBF85C-7B1A-4925-9297-98506DB86DD2}"/>
    <cellStyle name="Normal 2 2 63 6" xfId="9540" xr:uid="{0AED78EB-A853-4BD0-B90B-0B6E7EF77D0C}"/>
    <cellStyle name="Normal 2 2 64" xfId="9541" xr:uid="{9ED502A3-9323-4EB5-80A4-2F5B1026A2FE}"/>
    <cellStyle name="Normal 2 2 64 2" xfId="9542" xr:uid="{7E50E66C-CBC8-4663-A21B-E8FBA05DCBEA}"/>
    <cellStyle name="Normal 2 2 64 3" xfId="9543" xr:uid="{2DFD625C-8D2C-4ED8-9CE9-81A9CD3C46C0}"/>
    <cellStyle name="Normal 2 2 64 4" xfId="9544" xr:uid="{134DA66E-FB1F-4A8B-B1D9-05BBA2005EBB}"/>
    <cellStyle name="Normal 2 2 64 5" xfId="9545" xr:uid="{255C5475-9696-48DC-A69A-804455AD46DC}"/>
    <cellStyle name="Normal 2 2 64 6" xfId="9546" xr:uid="{D215A556-8FF1-41FE-99F8-0E6EBC6B4629}"/>
    <cellStyle name="Normal 2 2 65" xfId="9547" xr:uid="{B20E70F0-88D5-4145-94FA-41C707A32320}"/>
    <cellStyle name="Normal 2 2 65 2" xfId="9548" xr:uid="{68AE15D0-E777-49B3-95BC-13E6B3559A20}"/>
    <cellStyle name="Normal 2 2 65 2 2" xfId="9549" xr:uid="{5EC42509-9706-41CA-B5AC-DAD72E5668B6}"/>
    <cellStyle name="Normal 2 2 65 2 2 2" xfId="9550" xr:uid="{4117A71D-5830-4F6D-AC98-A441B5745429}"/>
    <cellStyle name="Normal 2 2 65 2 2 3" xfId="9551" xr:uid="{1A9865AF-1FF8-4B97-AAA2-FCCB6950AE94}"/>
    <cellStyle name="Normal 2 2 65 2 2 4" xfId="9552" xr:uid="{575A48E8-F0AA-4FE6-94C8-B2901BFF748B}"/>
    <cellStyle name="Normal 2 2 65 2 2 5" xfId="9553" xr:uid="{ED501F27-4047-4829-BB03-8306404DA663}"/>
    <cellStyle name="Normal 2 2 65 2 2 6" xfId="9554" xr:uid="{AFD5E500-8F4C-439F-A131-5EBB04B2B02F}"/>
    <cellStyle name="Normal 2 2 65 2 2 7" xfId="9555" xr:uid="{DA1B0EF4-11A6-4E4E-9C3C-BF2C5AC376E5}"/>
    <cellStyle name="Normal 2 2 65 3" xfId="9556" xr:uid="{FE488132-A77C-4D2F-B540-81C3A513F356}"/>
    <cellStyle name="Normal 2 2 65 4" xfId="9557" xr:uid="{BA551C44-A16C-4507-A297-A6195C675B37}"/>
    <cellStyle name="Normal 2 2 65 5" xfId="9558" xr:uid="{8BDEB4D3-007A-4BDA-B0AE-D4BC43985811}"/>
    <cellStyle name="Normal 2 2 65 6" xfId="9559" xr:uid="{9DE3307A-1DB7-4A82-B28B-3CF67E23D3E7}"/>
    <cellStyle name="Normal 2 2 65 7" xfId="9560" xr:uid="{3B5ABAA4-F9FD-403C-BE42-504748B02081}"/>
    <cellStyle name="Normal 2 2 65 8" xfId="9561" xr:uid="{2A81D563-198A-43C7-B7DA-8FAEA2F6EF9A}"/>
    <cellStyle name="Normal 2 2 66" xfId="9562" xr:uid="{3953BDB7-B40F-4667-B6E6-5791527F98ED}"/>
    <cellStyle name="Normal 2 2 66 2" xfId="9563" xr:uid="{4F302450-B082-4B67-B235-FBCE9ED425C8}"/>
    <cellStyle name="Normal 2 2 67 2" xfId="9564" xr:uid="{F0F56A0B-9442-42FE-8A45-08E8EE9E4EBA}"/>
    <cellStyle name="Normal 2 2 69" xfId="9565" xr:uid="{47CBA85E-54C3-46EF-AE8F-1DCC1F9C0333}"/>
    <cellStyle name="Normal 2 2 7 10" xfId="9566" xr:uid="{6F52ED5F-F2C1-4E01-913E-94927812B7F0}"/>
    <cellStyle name="Normal 2 2 7 12" xfId="9567" xr:uid="{D768402F-CFA3-4537-A1BD-00E172FA3E1A}"/>
    <cellStyle name="Normal 2 2 7 14" xfId="9568" xr:uid="{69D7DA9B-7411-4EF5-BF27-B7BC028A889A}"/>
    <cellStyle name="Normal 2 2 7 15" xfId="17319" xr:uid="{DBAD97BD-85D4-445F-BA8F-CE71D189FD44}"/>
    <cellStyle name="Normal 2 2 7 2" xfId="9569" xr:uid="{F8978415-3133-4DDE-A27F-545B21EE7046}"/>
    <cellStyle name="Normal 2 2 7 2 2" xfId="9570" xr:uid="{B9CD0825-BE0B-42CA-BCCF-5CD8331FFB03}"/>
    <cellStyle name="Normal 2 2 7 2 2 2" xfId="9571" xr:uid="{DABA333C-84DD-4D55-8A3A-7E17800642C5}"/>
    <cellStyle name="Normal 2 2 7 2 3" xfId="9572" xr:uid="{57242B00-AE29-4C04-B735-0281F85FCAD9}"/>
    <cellStyle name="Normal 2 2 7 2 4" xfId="9573" xr:uid="{1B385772-5D9C-45B1-A4E1-C846326996DB}"/>
    <cellStyle name="Normal 2 2 7 2 5" xfId="9574" xr:uid="{6569CC13-EFE1-4216-BDDE-356C034137D9}"/>
    <cellStyle name="Normal 2 2 7 2 6" xfId="9575" xr:uid="{15B232C9-FC0A-4422-B8D2-F824B1EDB73A}"/>
    <cellStyle name="Normal 2 2 7 2 7" xfId="9576" xr:uid="{DC1B210F-4485-4FDE-9AB0-4D2D7C4D53B1}"/>
    <cellStyle name="Normal 2 2 7 3" xfId="9577" xr:uid="{BB585AEF-ECE9-42F3-9BFE-4FAECD0BB312}"/>
    <cellStyle name="Normal 2 2 7 3 2" xfId="9578" xr:uid="{080CE168-DB74-4435-ADD6-32891C7514D6}"/>
    <cellStyle name="Normal 2 2 7 3 3" xfId="9579" xr:uid="{E7300408-8D3A-4EE7-9DD3-936D6D4CC245}"/>
    <cellStyle name="Normal 2 2 7 3 4" xfId="9580" xr:uid="{7B1BC2AF-F719-4354-B8CB-0F09ABF3127E}"/>
    <cellStyle name="Normal 2 2 7 3 6" xfId="9581" xr:uid="{CC15343F-99B7-4955-A34E-FA38EF3A168A}"/>
    <cellStyle name="Normal 2 2 7 4 2" xfId="9582" xr:uid="{FB4F483B-7C76-4819-8980-DFE6F9B90529}"/>
    <cellStyle name="Normal 2 2 7 4 3" xfId="9583" xr:uid="{9FD7F3BD-0FE7-4BD5-B0EE-249DD44AED28}"/>
    <cellStyle name="Normal 2 2 7 4 4" xfId="9584" xr:uid="{DB3DD40D-EA3C-4FB1-9DDD-6262949FD1CF}"/>
    <cellStyle name="Normal 2 2 7 4 5" xfId="9585" xr:uid="{CDC1FD34-3F61-48EF-9B8E-951569086597}"/>
    <cellStyle name="Normal 2 2 7 4 6" xfId="9586" xr:uid="{2E85CB41-06F7-436A-AC66-A9A55D2EA678}"/>
    <cellStyle name="Normal 2 2 7 5" xfId="9587" xr:uid="{8A5537C9-7E00-4A6C-B662-597C4F5B459E}"/>
    <cellStyle name="Normal 2 2 7 5 3" xfId="9588" xr:uid="{8A0A02F7-27F6-415D-8935-A622C43B5293}"/>
    <cellStyle name="Normal 2 2 7 5 5" xfId="9589" xr:uid="{5DCE6CBB-D8C8-4097-9153-BDBBCF22F6A0}"/>
    <cellStyle name="Normal 2 2 7 6" xfId="9590" xr:uid="{5F2D8517-55CD-43C4-A1D3-B8CED866E9C5}"/>
    <cellStyle name="Normal 2 2 7 6 3" xfId="9591" xr:uid="{7BDD8A12-7602-4B7A-8864-1C14A58C128F}"/>
    <cellStyle name="Normal 2 2 7 6 4" xfId="9592" xr:uid="{0D3339F9-081E-4B53-8DD4-CE895D899E52}"/>
    <cellStyle name="Normal 2 2 7 6 6" xfId="9593" xr:uid="{F7734DC1-03EA-4A47-8937-D388B2097AE6}"/>
    <cellStyle name="Normal 2 2 7 7 2" xfId="9594" xr:uid="{6B49E5F8-7EEC-4064-B8E1-1AB6A08553EC}"/>
    <cellStyle name="Normal 2 2 7 7 4" xfId="9595" xr:uid="{DA00BCBA-5323-471C-923B-1DB2501200D3}"/>
    <cellStyle name="Normal 2 2 7 7 6" xfId="9596" xr:uid="{778B99CC-5B7C-46A2-BD6D-562AEC05DA6A}"/>
    <cellStyle name="Normal 2 2 7 8 2" xfId="9597" xr:uid="{08C32BE9-FE9E-48DF-B1F1-7C67544040F4}"/>
    <cellStyle name="Normal 2 2 7 8 4" xfId="9598" xr:uid="{73EFE65A-3635-4A6F-8846-9BDC1D5C9E3D}"/>
    <cellStyle name="Normal 2 2 7 8 6" xfId="9599" xr:uid="{E6AC3E2B-FBF8-4C4A-AF91-57F04C0C25D8}"/>
    <cellStyle name="Normal 2 2 70" xfId="9600" xr:uid="{0370BD7D-A64C-4A85-89D1-652B83E25341}"/>
    <cellStyle name="Normal 2 2 72" xfId="9601" xr:uid="{D23DA671-BAB2-423A-9974-B536AA4DF2DE}"/>
    <cellStyle name="Normal 2 2 76" xfId="9602" xr:uid="{4E43016D-01E8-41D8-895F-59D4A9FC362C}"/>
    <cellStyle name="Normal 2 2 78" xfId="9603" xr:uid="{A000FF29-9276-4EBE-ADEC-132D9434FBBC}"/>
    <cellStyle name="Normal 2 2 8" xfId="866" xr:uid="{92EA363A-6119-4D1E-B94E-8EC7C2A43ECD}"/>
    <cellStyle name="Normal 2 2 8 11" xfId="9604" xr:uid="{05CC3F72-C66D-4121-989C-B524A16F703B}"/>
    <cellStyle name="Normal 2 2 8 13" xfId="9605" xr:uid="{A252E030-B809-45C2-A0BE-7C77623088B1}"/>
    <cellStyle name="Normal 2 2 8 15" xfId="17320" xr:uid="{3ED54A7B-2976-4942-9DA1-30129661B93E}"/>
    <cellStyle name="Normal 2 2 8 2 2" xfId="9606" xr:uid="{DE03935F-145E-47CF-8AD4-46B798802CCF}"/>
    <cellStyle name="Normal 2 2 8 2 4" xfId="9607" xr:uid="{9A2B2A6E-0D82-4818-BCE5-93704E994203}"/>
    <cellStyle name="Normal 2 2 8 2 6" xfId="9608" xr:uid="{006176FC-6852-42BD-88DD-4F05CEFC2811}"/>
    <cellStyle name="Normal 2 2 8 3 2" xfId="9609" xr:uid="{0564260F-6220-4526-9630-D0C1CB27669F}"/>
    <cellStyle name="Normal 2 2 8 3 4" xfId="9610" xr:uid="{0C3ACDD4-38E1-4118-AF88-D38CB9F582DD}"/>
    <cellStyle name="Normal 2 2 8 3 6" xfId="9611" xr:uid="{F7198D34-E6BC-40D0-AF72-0A2349EE1ADF}"/>
    <cellStyle name="Normal 2 2 8 4 2" xfId="9612" xr:uid="{6F007BE5-B13C-4E5B-B024-E31468478A8E}"/>
    <cellStyle name="Normal 2 2 8 4 4" xfId="9613" xr:uid="{4C879C5A-CB24-4368-8556-4ADA41F1702A}"/>
    <cellStyle name="Normal 2 2 8 4 6" xfId="9614" xr:uid="{A44377B1-35F6-447E-9E29-23CE5E33D3CF}"/>
    <cellStyle name="Normal 2 2 8 5 2" xfId="9615" xr:uid="{677D5530-4879-42ED-8D9B-ED6D554DB4AE}"/>
    <cellStyle name="Normal 2 2 8 5 4" xfId="9616" xr:uid="{E28F91BE-F6AE-4076-BB5C-B09435BD3939}"/>
    <cellStyle name="Normal 2 2 8 5 6" xfId="9617" xr:uid="{8C68B2A5-22BC-4F74-A99F-68B947AEE08F}"/>
    <cellStyle name="Normal 2 2 8 6 2" xfId="9618" xr:uid="{6AB26CE4-2FD8-459D-8DF3-6336BF3ACB91}"/>
    <cellStyle name="Normal 2 2 8 6 4" xfId="9619" xr:uid="{CDE499AD-4AEA-4EDC-A5CD-B490B6E2CC2A}"/>
    <cellStyle name="Normal 2 2 8 6 6" xfId="9620" xr:uid="{9B646787-0444-414D-98D0-CCC3B721E00B}"/>
    <cellStyle name="Normal 2 2 8 7 2" xfId="9621" xr:uid="{5445546A-CDD5-411A-81D5-24CC7E2353B3}"/>
    <cellStyle name="Normal 2 2 8 7 4" xfId="9622" xr:uid="{44D1BEE9-B2E0-4CA2-A061-1CE9D15B16C3}"/>
    <cellStyle name="Normal 2 2 8 7 6" xfId="9623" xr:uid="{C608A9DC-57CC-4280-8DFA-FE8052AB864A}"/>
    <cellStyle name="Normal 2 2 8 8 2" xfId="9624" xr:uid="{CC2113C6-ABC2-4BCD-85F3-91A7FBC47548}"/>
    <cellStyle name="Normal 2 2 8 8 4" xfId="9625" xr:uid="{361F8D88-3A5E-49CC-A3B0-A66A88D13B05}"/>
    <cellStyle name="Normal 2 2 8 8 6" xfId="9626" xr:uid="{62679133-C8AC-4CE2-B608-AD61346A45EC}"/>
    <cellStyle name="Normal 2 2 80" xfId="9627" xr:uid="{A1C498B3-ED1C-4BC5-B2D5-6FD376AF7952}"/>
    <cellStyle name="Normal 2 2 82" xfId="9628" xr:uid="{72ABD988-90BD-4598-96CD-11FA4C943FCB}"/>
    <cellStyle name="Normal 2 2 84" xfId="9629" xr:uid="{168B3CE8-8DC9-420D-BC0A-9EA3DDB509A3}"/>
    <cellStyle name="Normal 2 2 85 2" xfId="9630" xr:uid="{B39B536C-08D7-45D0-A6CA-BD31A3A4761D}"/>
    <cellStyle name="Normal 2 2 85 4" xfId="9631" xr:uid="{CC9A066F-68E0-4A3E-9DB7-5C2CA4D863EF}"/>
    <cellStyle name="Normal 2 2 85 7" xfId="9632" xr:uid="{936558F4-2C82-4157-A120-63EE600F15DC}"/>
    <cellStyle name="Normal 2 2 86 2" xfId="9633" xr:uid="{C2DC64CC-B5AB-4E18-AA83-B9D4A1980F4E}"/>
    <cellStyle name="Normal 2 2 86 2 2 2" xfId="9634" xr:uid="{1613B430-8A7A-4A47-9133-5FB7064118A0}"/>
    <cellStyle name="Normal 2 2 86 2 3" xfId="9635" xr:uid="{4B842030-280C-468F-9636-1A81DBAF7FC0}"/>
    <cellStyle name="Normal 2 2 86 2 5" xfId="9636" xr:uid="{CD24AAD6-98DD-4005-9F25-6B8697CAA31C}"/>
    <cellStyle name="Normal 2 2 86 2 8" xfId="9637" xr:uid="{AF51329D-962C-4A34-BB39-CEBD2B94CA9B}"/>
    <cellStyle name="Normal 2 2 86 3" xfId="9638" xr:uid="{64ACD304-C6EC-49EF-B418-09A6D215C80E}"/>
    <cellStyle name="Normal 2 2 86 5" xfId="9639" xr:uid="{0FC7639D-34E0-4DE2-A302-1017CCD0DA3C}"/>
    <cellStyle name="Normal 2 2 86 6" xfId="9640" xr:uid="{48438304-00C3-4CDC-916C-AAB3008CB4A9}"/>
    <cellStyle name="Normal 2 2 86 8" xfId="9641" xr:uid="{568EEDB9-2C54-483E-9B5A-B88A986BBF62}"/>
    <cellStyle name="Normal 2 2 87" xfId="9642" xr:uid="{5F9861EB-5720-4E55-8E44-15C1D3E2802C}"/>
    <cellStyle name="Normal 2 2 87 4" xfId="9643" xr:uid="{2F213351-5782-48A0-B8C6-DF53F038A2ED}"/>
    <cellStyle name="Normal 2 2 87 6" xfId="9644" xr:uid="{BF5E812C-18E0-4C5E-9743-BAD4A960355F}"/>
    <cellStyle name="Normal 2 2 87 8" xfId="9645" xr:uid="{0133A12E-2F43-4F59-8F45-E0E798AE95A5}"/>
    <cellStyle name="Normal 2 2 88 2" xfId="9646" xr:uid="{AF405CF6-03F2-4B8E-96FE-13BBA01AF4A9}"/>
    <cellStyle name="Normal 2 2 88 4" xfId="9647" xr:uid="{7B431B40-0DB2-49E9-8C51-28424AD0AA07}"/>
    <cellStyle name="Normal 2 2 88 6" xfId="9648" xr:uid="{04E4D28C-AAC8-405C-92CC-C1BA807C9E3C}"/>
    <cellStyle name="Normal 2 2 88 8" xfId="9649" xr:uid="{BEE71D66-ED30-4FF8-93DF-22ABE93F817C}"/>
    <cellStyle name="Normal 2 2 89 2" xfId="9650" xr:uid="{F3C04A8E-C748-4C91-BD5C-9DBE0901755C}"/>
    <cellStyle name="Normal 2 2 89 2 3" xfId="9651" xr:uid="{EB30445F-4646-4C90-ACBB-19AAAC36F7D0}"/>
    <cellStyle name="Normal 2 2 89 4" xfId="9652" xr:uid="{3E7ADAC3-4559-44FE-92E3-8160D1F50C7C}"/>
    <cellStyle name="Normal 2 2 89 6" xfId="9653" xr:uid="{21F8BBA7-0340-4085-A357-5C8377FF5D8E}"/>
    <cellStyle name="Normal 2 2 89 8" xfId="9654" xr:uid="{45C0950E-8D38-4C6C-A0BB-40ABA34BC5D2}"/>
    <cellStyle name="Normal 2 2 9" xfId="835" xr:uid="{27B6F61F-EA63-4E4C-A733-ADF81E337286}"/>
    <cellStyle name="Normal 2 2 9 11" xfId="9655" xr:uid="{E23081A7-FACB-49D3-8A5E-E1FAE2C7B351}"/>
    <cellStyle name="Normal 2 2 9 13" xfId="9656" xr:uid="{7FEBE804-5504-49FC-A347-18D8923F0601}"/>
    <cellStyle name="Normal 2 2 9 2" xfId="9657" xr:uid="{B56E1799-D6C2-4E70-92FB-3F91825E771B}"/>
    <cellStyle name="Normal 2 2 9 2 3" xfId="9658" xr:uid="{F68D4644-04C3-435F-98C6-6FE383A927E3}"/>
    <cellStyle name="Normal 2 2 9 2 5" xfId="9659" xr:uid="{3BBDA2D2-2193-4FB0-BAE4-5E20948DAED8}"/>
    <cellStyle name="Normal 2 2 9 3" xfId="9660" xr:uid="{AF82669C-779F-4A9E-A6D5-C0EB4EB65490}"/>
    <cellStyle name="Normal 2 2 9 3 3" xfId="9661" xr:uid="{26299661-12D9-416A-A1E7-70267BD1EAE2}"/>
    <cellStyle name="Normal 2 2 9 3 5" xfId="9662" xr:uid="{E1309086-8E1C-4659-8DBE-2066F4D49764}"/>
    <cellStyle name="Normal 2 2 9 4" xfId="9663" xr:uid="{A576D3BD-A18C-4ADB-AEAD-C5CA550A8FF0}"/>
    <cellStyle name="Normal 2 2 9 4 3" xfId="9664" xr:uid="{9626EF06-29B0-49EB-9EA2-DD206E5E9BE6}"/>
    <cellStyle name="Normal 2 2 9 4 5" xfId="9665" xr:uid="{988FC396-B843-42EE-85CC-4D4E2F3275D2}"/>
    <cellStyle name="Normal 2 2 9 5" xfId="9666" xr:uid="{FCF606B4-45DC-4949-A76D-FC80DC21CADA}"/>
    <cellStyle name="Normal 2 2 9 5 3" xfId="9667" xr:uid="{C9702A04-606A-4DC0-B282-61B4C0B4975E}"/>
    <cellStyle name="Normal 2 2 9 5 5" xfId="9668" xr:uid="{15162C52-3351-4056-BC67-33F682C0361A}"/>
    <cellStyle name="Normal 2 2 9 6" xfId="9669" xr:uid="{118B5D0A-12BA-4EC1-BEDE-302773CB6F1D}"/>
    <cellStyle name="Normal 2 2 9 6 3" xfId="9670" xr:uid="{34674132-970B-4778-B62B-11EC905D24E2}"/>
    <cellStyle name="Normal 2 2 9 6 5" xfId="9671" xr:uid="{89807138-4145-4EDE-952C-3254959D5C0E}"/>
    <cellStyle name="Normal 2 2 9 7" xfId="9672" xr:uid="{7AFEADB8-2B0B-4459-97B1-DD59A206CEFC}"/>
    <cellStyle name="Normal 2 2 9 7 3" xfId="9673" xr:uid="{ABAE52B6-426D-414E-A97A-B4BDB0AA77F6}"/>
    <cellStyle name="Normal 2 2 9 7 5" xfId="9674" xr:uid="{654E9665-DBE8-494F-8906-7D35DA201A8C}"/>
    <cellStyle name="Normal 2 2 9 8" xfId="9675" xr:uid="{F2B7DA65-E416-4B9E-B048-A59DF80F5C05}"/>
    <cellStyle name="Normal 2 2 9 8 3" xfId="9676" xr:uid="{7798CEB1-6712-478B-82F6-29759103CC4A}"/>
    <cellStyle name="Normal 2 2 9 8 5" xfId="9677" xr:uid="{B39A5399-9088-4240-8A58-70230F8CC004}"/>
    <cellStyle name="Normal 2 2 9 9" xfId="9678" xr:uid="{81A90EE4-A61E-465B-8B1F-FA94E77B576A}"/>
    <cellStyle name="Normal 2 2 91" xfId="9679" xr:uid="{E8E0F174-526C-4BBF-8703-353F31964E87}"/>
    <cellStyle name="Normal 2 2 91 3" xfId="9680" xr:uid="{76CCB02A-26D7-49CA-8062-69DE321E3682}"/>
    <cellStyle name="Normal 2 2 93" xfId="9681" xr:uid="{1D18110B-57F8-4906-8E4D-F0ABF3A7357D}"/>
    <cellStyle name="Normal 2 2 94" xfId="9682" xr:uid="{3726FCC2-1E62-452F-B53A-CA446451F153}"/>
    <cellStyle name="Normal 2 2 96" xfId="9683" xr:uid="{49977D7A-12DA-4722-BD6E-730CD7AAECAB}"/>
    <cellStyle name="Normal 2 2 98" xfId="9684" xr:uid="{1D3AF098-E77D-46C8-8861-9EAD9C9EAC56}"/>
    <cellStyle name="Normal 2 2_Dados de Entrada" xfId="9685" xr:uid="{CAA99ABB-11A7-4525-9F43-A0DF45A80AF2}"/>
    <cellStyle name="Normal 2 20 10" xfId="9686" xr:uid="{F5DCE81A-680D-405F-80C6-8EB64545C096}"/>
    <cellStyle name="Normal 2 20 11" xfId="9687" xr:uid="{DAB1EB3F-948E-4E66-94E7-EB3655DB45BA}"/>
    <cellStyle name="Normal 2 20 12" xfId="9688" xr:uid="{F549AF23-0059-4D0A-93EF-20E1DEC1AF0F}"/>
    <cellStyle name="Normal 2 20 13" xfId="9689" xr:uid="{FBFD1CA3-6DD1-42A4-8FF9-3453458B5BF3}"/>
    <cellStyle name="Normal 2 20 14" xfId="9690" xr:uid="{9621FA08-53E3-4CA3-9CDF-A7C5D1469E65}"/>
    <cellStyle name="Normal 2 20 15" xfId="9691" xr:uid="{ADCB5613-2B24-4050-85C6-1AFBA1514FCF}"/>
    <cellStyle name="Normal 2 20 16" xfId="9692" xr:uid="{DB2EDFE0-5495-4399-85F7-4A77EE0EC4FF}"/>
    <cellStyle name="Normal 2 20 17" xfId="9693" xr:uid="{D9FF38C5-F899-4387-995B-539D7E9861FF}"/>
    <cellStyle name="Normal 2 20 18" xfId="9694" xr:uid="{BD313222-0939-42DB-8907-0E59B3E54459}"/>
    <cellStyle name="Normal 2 20 19" xfId="9695" xr:uid="{F3EDE6E7-6D30-43C3-95D3-1849C91C043E}"/>
    <cellStyle name="Normal 2 20 2" xfId="9696" xr:uid="{32DEDC36-74E2-4FD1-B432-087ACC8A3555}"/>
    <cellStyle name="Normal 2 20 20" xfId="9697" xr:uid="{44AF3DC8-4D47-4452-967B-2231A5857E8F}"/>
    <cellStyle name="Normal 2 20 21" xfId="9698" xr:uid="{52F463F5-82DA-44A0-92FC-29A00D340AC1}"/>
    <cellStyle name="Normal 2 20 22" xfId="9699" xr:uid="{FC420447-2FB1-4E19-ABC0-A92AC193AB71}"/>
    <cellStyle name="Normal 2 20 23" xfId="9700" xr:uid="{D48D7422-9444-4FAD-8F66-B8577C711C59}"/>
    <cellStyle name="Normal 2 20 24" xfId="9701" xr:uid="{6C3FBC77-60C7-4AF7-9C39-BAB2472650E2}"/>
    <cellStyle name="Normal 2 20 25" xfId="9702" xr:uid="{5285018A-3420-495F-86C2-317546896490}"/>
    <cellStyle name="Normal 2 20 26" xfId="9703" xr:uid="{59E4516E-42DA-4B03-8B1D-C25D3AFF564D}"/>
    <cellStyle name="Normal 2 20 27" xfId="9704" xr:uid="{20170E00-7374-4EB4-AC8E-714C70E0F0D7}"/>
    <cellStyle name="Normal 2 20 28" xfId="9705" xr:uid="{1F1BFC07-5D90-4715-A51F-481B3A51BE04}"/>
    <cellStyle name="Normal 2 20 29" xfId="9706" xr:uid="{C16DD69F-6F87-43B1-A12A-78829BF287F5}"/>
    <cellStyle name="Normal 2 20 3" xfId="9707" xr:uid="{F26795F3-2357-4F6E-BFC1-0502D69704AF}"/>
    <cellStyle name="Normal 2 20 30" xfId="9708" xr:uid="{6F6914F9-EA30-4B6B-A2BD-4222375B79F4}"/>
    <cellStyle name="Normal 2 20 31" xfId="9709" xr:uid="{30A46BB5-F7D4-48D2-A8F6-AF2D05502AD3}"/>
    <cellStyle name="Normal 2 20 32" xfId="9710" xr:uid="{4E154C02-3631-4567-BA06-BAA0AEE1329E}"/>
    <cellStyle name="Normal 2 20 33" xfId="9711" xr:uid="{D56D7BA4-23FB-4118-BE37-906E9572FB4F}"/>
    <cellStyle name="Normal 2 20 34" xfId="9712" xr:uid="{F5E932F5-4941-4588-BCFA-0642611959D7}"/>
    <cellStyle name="Normal 2 20 35" xfId="9713" xr:uid="{5F33A0D5-03A6-4128-B37D-21F0E1034891}"/>
    <cellStyle name="Normal 2 20 36" xfId="9714" xr:uid="{A5E551BF-8C31-4198-9C9C-4A286042606F}"/>
    <cellStyle name="Normal 2 20 37" xfId="9715" xr:uid="{BB5A72D4-19D0-4DD0-BACF-08ED9A534187}"/>
    <cellStyle name="Normal 2 20 39" xfId="9716" xr:uid="{799801C3-4447-4427-891D-98BCEEC8351F}"/>
    <cellStyle name="Normal 2 20 4" xfId="9717" xr:uid="{88124D33-B200-4787-AEE4-1F13F72B3AA3}"/>
    <cellStyle name="Normal 2 20 40" xfId="9718" xr:uid="{525EC432-2CC2-487C-AF14-BA636FC577FF}"/>
    <cellStyle name="Normal 2 20 41" xfId="9719" xr:uid="{5B1E0540-CBB7-487B-AB36-40F69082E810}"/>
    <cellStyle name="Normal 2 20 42" xfId="9720" xr:uid="{29D7BBCE-68D2-4B99-81C8-EB8A7745E0FE}"/>
    <cellStyle name="Normal 2 20 43" xfId="9721" xr:uid="{5E295502-9C6F-4B30-9B31-B66968699088}"/>
    <cellStyle name="Normal 2 20 44" xfId="9722" xr:uid="{85854688-CC2A-4FF8-9D6A-107F45AE2012}"/>
    <cellStyle name="Normal 2 20 45" xfId="9723" xr:uid="{63074CB8-90DD-4B5E-BA61-16E42F09EF83}"/>
    <cellStyle name="Normal 2 20 46" xfId="9724" xr:uid="{90AC9A18-C5E2-431F-BF42-ECA65A5AAF1D}"/>
    <cellStyle name="Normal 2 20 5" xfId="9725" xr:uid="{65CCA6A7-965B-4B12-8584-39939FFBB7CB}"/>
    <cellStyle name="Normal 2 20 6" xfId="9726" xr:uid="{BE87BA1B-72D1-48AC-A7BF-7C3FE4C3159E}"/>
    <cellStyle name="Normal 2 20 7" xfId="9727" xr:uid="{833C78B5-839B-4213-85D0-EEC66FBB059C}"/>
    <cellStyle name="Normal 2 20 8" xfId="9728" xr:uid="{696A3EF1-C272-4386-9421-7FD82698AAA8}"/>
    <cellStyle name="Normal 2 20 9" xfId="9729" xr:uid="{1C627144-A12D-4369-92E0-6FBA2A1F66D7}"/>
    <cellStyle name="Normal 2 21" xfId="9730" xr:uid="{5E96E48D-3973-447E-A826-97A6E7B759D0}"/>
    <cellStyle name="Normal 2 21 10" xfId="9731" xr:uid="{71D9C67A-CF6A-412E-A1CE-CA1A7C7AF27F}"/>
    <cellStyle name="Normal 2 21 11" xfId="9732" xr:uid="{17C55CDE-C677-4069-9CA4-37ECAE092941}"/>
    <cellStyle name="Normal 2 21 12" xfId="9733" xr:uid="{E50BBB5B-31B5-4A16-BB9C-162A01045C4E}"/>
    <cellStyle name="Normal 2 21 14" xfId="9734" xr:uid="{0836C568-F6C0-438C-B275-6E722FDBB90D}"/>
    <cellStyle name="Normal 2 21 15" xfId="9735" xr:uid="{95584C02-4717-445A-92CD-6475F113A698}"/>
    <cellStyle name="Normal 2 21 17" xfId="9736" xr:uid="{C035CE14-4804-42B1-B1C9-986DECBD2F6D}"/>
    <cellStyle name="Normal 2 21 18" xfId="9737" xr:uid="{44C7C998-A9C3-43AD-9F3E-10489B71D2C6}"/>
    <cellStyle name="Normal 2 21 19" xfId="9738" xr:uid="{7AD4ED87-38A8-4780-9F77-4F4FA9DC5728}"/>
    <cellStyle name="Normal 2 21 2" xfId="9739" xr:uid="{716A1F23-D43B-4747-B8AA-11981AD453F4}"/>
    <cellStyle name="Normal 2 21 2 10" xfId="9740" xr:uid="{33D99D27-FCFE-40E0-8F72-F3A289D1FF8D}"/>
    <cellStyle name="Normal 2 21 2 11" xfId="9741" xr:uid="{590ABE55-FC6B-4EF6-B7FE-8D46A92BEDA4}"/>
    <cellStyle name="Normal 2 21 2 12" xfId="9742" xr:uid="{6881ECF8-2528-4C1A-A2BB-8B1EAF45FCBE}"/>
    <cellStyle name="Normal 2 21 2 13" xfId="9743" xr:uid="{E8CC4FF2-9891-4C3E-98F6-E89F4D7C480E}"/>
    <cellStyle name="Normal 2 21 2 2" xfId="9744" xr:uid="{F3A222D3-62F5-4D54-853F-20E49944068B}"/>
    <cellStyle name="Normal 2 21 2 2 2" xfId="9745" xr:uid="{970BA8BE-2E29-4787-B269-12C412C8DB40}"/>
    <cellStyle name="Normal 2 21 2 2 3" xfId="9746" xr:uid="{3580425C-BBF5-4053-B652-B0CC6234A06B}"/>
    <cellStyle name="Normal 2 21 2 2 4" xfId="9747" xr:uid="{3AE45E7A-7B4E-482C-8870-9BECCF27AEBB}"/>
    <cellStyle name="Normal 2 21 2 2 5" xfId="9748" xr:uid="{37572A13-3B8C-4BAB-9F5A-6353DB642090}"/>
    <cellStyle name="Normal 2 21 2 2 6" xfId="9749" xr:uid="{14ACED57-4C44-4B3A-8F5C-B9F9E1F77F46}"/>
    <cellStyle name="Normal 2 21 2 3" xfId="9750" xr:uid="{645D8565-9016-4243-923C-294EA3CDA262}"/>
    <cellStyle name="Normal 2 21 2 3 2" xfId="9751" xr:uid="{7789118E-67F7-4F28-853B-4E4F6EBACBA9}"/>
    <cellStyle name="Normal 2 21 2 3 3" xfId="9752" xr:uid="{60F276CC-8295-49E8-AA19-CAC5FEF9B67F}"/>
    <cellStyle name="Normal 2 21 2 3 4" xfId="9753" xr:uid="{F997DC4F-AE19-4412-AE9F-C860107C7276}"/>
    <cellStyle name="Normal 2 21 2 3 5" xfId="9754" xr:uid="{E8CEACA2-ADB3-4159-A852-7EF4196B3174}"/>
    <cellStyle name="Normal 2 21 2 3 6" xfId="9755" xr:uid="{701E78FC-C1DE-4BE0-ADA6-912C78B864B3}"/>
    <cellStyle name="Normal 2 21 2 4" xfId="9756" xr:uid="{B45073A3-974C-40D5-90EE-93B823A98190}"/>
    <cellStyle name="Normal 2 21 2 4 2" xfId="9757" xr:uid="{9C8B6482-D915-4544-8CBC-B60875701633}"/>
    <cellStyle name="Normal 2 21 2 4 3" xfId="9758" xr:uid="{CDAAF075-58AF-4593-9544-50B46C901C4C}"/>
    <cellStyle name="Normal 2 21 2 4 4" xfId="9759" xr:uid="{45DD663C-4F45-44DB-8124-D20D45417494}"/>
    <cellStyle name="Normal 2 21 2 4 5" xfId="9760" xr:uid="{CF3C3F81-289B-41B9-8992-4118DCA0716C}"/>
    <cellStyle name="Normal 2 21 2 4 6" xfId="9761" xr:uid="{D2630C9D-777C-463C-919C-645036A9A3C3}"/>
    <cellStyle name="Normal 2 21 2 5" xfId="9762" xr:uid="{8A37F756-F0CA-4CE0-8943-01CA973FE3A6}"/>
    <cellStyle name="Normal 2 21 2 5 2" xfId="9763" xr:uid="{174048ED-3370-4D69-A6FE-CAEDC6C99380}"/>
    <cellStyle name="Normal 2 21 2 5 3" xfId="9764" xr:uid="{3EA63AD3-416D-43CB-91C1-95CC831D0D90}"/>
    <cellStyle name="Normal 2 21 2 5 4" xfId="9765" xr:uid="{A4EC8C03-8EBA-4F4B-8CD7-B672BA2F6FFE}"/>
    <cellStyle name="Normal 2 21 2 5 5" xfId="9766" xr:uid="{7E7425A0-8AA0-46C4-9977-F8E0DCFED883}"/>
    <cellStyle name="Normal 2 21 2 5 6" xfId="9767" xr:uid="{CAD6477D-B085-4C3D-A5E1-0EE346082125}"/>
    <cellStyle name="Normal 2 21 2 6" xfId="9768" xr:uid="{7B91F7B5-CFA4-49F2-8023-F0E00FBA70F6}"/>
    <cellStyle name="Normal 2 21 2 6 3" xfId="9769" xr:uid="{136503C8-1F31-455A-8165-E494B890E960}"/>
    <cellStyle name="Normal 2 21 2 6 4" xfId="9770" xr:uid="{D58DC68C-4A3B-466E-9F22-3B34CF7D5CBC}"/>
    <cellStyle name="Normal 2 21 2 6 5" xfId="9771" xr:uid="{29FE98FE-6567-42E9-8F49-92682DC6B065}"/>
    <cellStyle name="Normal 2 21 2 6 6" xfId="9772" xr:uid="{F85CEC39-7054-4378-B6CC-AD74FA7BFF52}"/>
    <cellStyle name="Normal 2 21 2 7" xfId="9773" xr:uid="{3FAE2716-D9DD-4767-AB93-C25F94FC4635}"/>
    <cellStyle name="Normal 2 21 2 7 2" xfId="9774" xr:uid="{66ABEAE3-5B5F-45E4-8A99-3647C960CC54}"/>
    <cellStyle name="Normal 2 21 2 7 3" xfId="9775" xr:uid="{88633521-EAAD-4910-AB20-4E8D1D6F6E33}"/>
    <cellStyle name="Normal 2 21 2 7 4" xfId="9776" xr:uid="{7F776638-5056-4928-8AB1-E8994E8E3A67}"/>
    <cellStyle name="Normal 2 21 2 7 5" xfId="9777" xr:uid="{794239C1-7DA6-4CCA-8156-57EA7BBB8865}"/>
    <cellStyle name="Normal 2 21 2 7 6" xfId="9778" xr:uid="{60EBBB4F-7330-477A-A534-D35D2FB426A7}"/>
    <cellStyle name="Normal 2 21 2 8" xfId="9779" xr:uid="{C8B0B154-9DEF-4025-9948-FE5D40DCF9C4}"/>
    <cellStyle name="Normal 2 21 2 8 2" xfId="9780" xr:uid="{FE783DCA-3CEC-42EE-8E4F-5F2802B1C4E3}"/>
    <cellStyle name="Normal 2 21 2 8 3" xfId="9781" xr:uid="{F72B71F3-25C9-4037-8C99-B73221434761}"/>
    <cellStyle name="Normal 2 21 2 8 4" xfId="9782" xr:uid="{42E488DC-2F80-4417-95A0-2AD7E9BA425C}"/>
    <cellStyle name="Normal 2 21 2 8 5" xfId="9783" xr:uid="{231A9B3D-7BDC-4D01-9708-DA524D54C3AE}"/>
    <cellStyle name="Normal 2 21 2 8 6" xfId="9784" xr:uid="{8B356B2B-638B-43F7-AB21-00B84B24AE4C}"/>
    <cellStyle name="Normal 2 21 2 9" xfId="9785" xr:uid="{06B4E383-7F61-48E1-9639-98BF1A99C143}"/>
    <cellStyle name="Normal 2 21 20" xfId="9786" xr:uid="{DA5CAB34-952A-4BB1-B3FD-8F0395E6F33B}"/>
    <cellStyle name="Normal 2 21 21" xfId="9787" xr:uid="{E0AE9CFF-1D72-4A1B-9BD6-BAC6B08504C2}"/>
    <cellStyle name="Normal 2 21 22" xfId="9788" xr:uid="{E29D25F8-E9FB-451F-98C6-62BB13109BC0}"/>
    <cellStyle name="Normal 2 21 23" xfId="9789" xr:uid="{CA3D037D-165A-4CB1-8485-AE5D18EE0834}"/>
    <cellStyle name="Normal 2 21 24" xfId="9790" xr:uid="{2FE98544-9996-4EE1-AD19-AD91F59DD0DD}"/>
    <cellStyle name="Normal 2 21 25" xfId="9791" xr:uid="{3618AFE5-1DB9-499B-9B82-F4FC5F2AE819}"/>
    <cellStyle name="Normal 2 21 26" xfId="9792" xr:uid="{57EAFD32-FEE4-4E04-9799-66A7BD70B515}"/>
    <cellStyle name="Normal 2 21 27" xfId="9793" xr:uid="{7B7476F4-D2F7-4097-B7EE-1376C4540EBE}"/>
    <cellStyle name="Normal 2 21 28" xfId="9794" xr:uid="{1BE4A842-30E7-48B4-949D-3F3A80918D91}"/>
    <cellStyle name="Normal 2 21 29" xfId="9795" xr:uid="{90C54BF5-CA15-4D4E-8BD8-EE979B04B47D}"/>
    <cellStyle name="Normal 2 21 3" xfId="9796" xr:uid="{D48E7F1D-B8B8-4FBC-AB50-E893E497380C}"/>
    <cellStyle name="Normal 2 21 3 10" xfId="9797" xr:uid="{B49224ED-F148-4517-9A47-1F1D8471C73B}"/>
    <cellStyle name="Normal 2 21 3 11" xfId="9798" xr:uid="{3F7A0A30-14D6-4A99-A637-FC86B79790BB}"/>
    <cellStyle name="Normal 2 21 3 12" xfId="9799" xr:uid="{64BF5808-8077-478C-89EB-A213642AE39A}"/>
    <cellStyle name="Normal 2 21 3 13" xfId="9800" xr:uid="{CE0208A2-717A-480A-A5FE-918869101B4C}"/>
    <cellStyle name="Normal 2 21 3 2" xfId="9801" xr:uid="{A083B101-88C5-4D1B-B427-FADCE503A45F}"/>
    <cellStyle name="Normal 2 21 3 2 2" xfId="9802" xr:uid="{A6A857B2-E044-4887-AB3D-F746332A022D}"/>
    <cellStyle name="Normal 2 21 3 2 3" xfId="9803" xr:uid="{301783B8-2478-4586-958A-B65E7DDF1C39}"/>
    <cellStyle name="Normal 2 21 3 2 4" xfId="9804" xr:uid="{8FC98AA3-DD32-43E5-8C47-78B260749CA8}"/>
    <cellStyle name="Normal 2 21 3 2 5" xfId="9805" xr:uid="{24DD8B29-FF45-47D8-A2C1-CA7A683B4C2C}"/>
    <cellStyle name="Normal 2 21 3 2 6" xfId="9806" xr:uid="{FBC27D79-7EF3-471B-B034-AC2D9D3B870F}"/>
    <cellStyle name="Normal 2 21 3 3" xfId="9807" xr:uid="{F1F65F01-5754-4738-B743-D57F8ADED27F}"/>
    <cellStyle name="Normal 2 21 3 3 2" xfId="9808" xr:uid="{9C145A6E-4C62-4AE8-9957-339E6876861A}"/>
    <cellStyle name="Normal 2 21 3 3 3" xfId="9809" xr:uid="{B8C6E29D-36D4-49CA-983D-6569A184B4B3}"/>
    <cellStyle name="Normal 2 21 3 3 4" xfId="9810" xr:uid="{158435A8-161D-473C-AD92-708A1C6ED23B}"/>
    <cellStyle name="Normal 2 21 3 3 5" xfId="9811" xr:uid="{AA7EFFE6-F981-41D0-B5C5-464165D18954}"/>
    <cellStyle name="Normal 2 21 3 3 6" xfId="9812" xr:uid="{E9DF8F46-940C-46AB-AB43-5261A8BE763E}"/>
    <cellStyle name="Normal 2 21 3 4" xfId="9813" xr:uid="{C909ACBA-9694-42A7-A634-7F96448FFD03}"/>
    <cellStyle name="Normal 2 21 3 4 2" xfId="9814" xr:uid="{BC223CD6-77F3-40C8-9A7F-350677452F73}"/>
    <cellStyle name="Normal 2 21 3 4 4" xfId="9815" xr:uid="{2D6FCFF6-67EE-4663-B18A-A8992095A8D3}"/>
    <cellStyle name="Normal 2 21 3 4 5" xfId="9816" xr:uid="{2A0D6829-E601-429D-98D3-BF1D4B063336}"/>
    <cellStyle name="Normal 2 21 3 4 6" xfId="9817" xr:uid="{7B6796D6-2E51-41DE-8672-A93CABDE5D90}"/>
    <cellStyle name="Normal 2 21 3 5" xfId="9818" xr:uid="{F59573F7-5801-4387-809F-A03C5438E390}"/>
    <cellStyle name="Normal 2 21 3 5 2" xfId="9819" xr:uid="{2015BFB1-5504-4331-A6FD-32FA3B106739}"/>
    <cellStyle name="Normal 2 21 3 5 3" xfId="9820" xr:uid="{408C4834-DF2A-434A-9591-0D7CD67719FD}"/>
    <cellStyle name="Normal 2 21 3 5 4" xfId="9821" xr:uid="{C1E4BCAE-0CB1-4573-B8EC-9C14E5DE97A0}"/>
    <cellStyle name="Normal 2 21 3 5 5" xfId="9822" xr:uid="{2CFE8B07-ECC8-468C-9F5A-23955F16DE5E}"/>
    <cellStyle name="Normal 2 21 3 5 6" xfId="9823" xr:uid="{526B587F-FDBB-4D0C-BFAC-AF74B2DAE58B}"/>
    <cellStyle name="Normal 2 21 3 6" xfId="9824" xr:uid="{CEDEFD7B-D9F6-4C55-8AB2-4C05DAA6FFD1}"/>
    <cellStyle name="Normal 2 21 3 6 2" xfId="9825" xr:uid="{EAE7637F-05E6-4183-87AF-F2FFA124EC5E}"/>
    <cellStyle name="Normal 2 21 3 6 3" xfId="9826" xr:uid="{77EE5299-5BEB-404F-98BB-3144209F1372}"/>
    <cellStyle name="Normal 2 21 3 6 4" xfId="9827" xr:uid="{2953A315-863D-480C-BD1F-9876E8EF08AA}"/>
    <cellStyle name="Normal 2 21 3 6 5" xfId="9828" xr:uid="{4AAE8F52-3D7C-4967-A126-BD2B024AC0BA}"/>
    <cellStyle name="Normal 2 21 3 6 6" xfId="9829" xr:uid="{94F1BD52-DE6C-462F-B21C-93AF2EBDCA47}"/>
    <cellStyle name="Normal 2 21 3 7" xfId="9830" xr:uid="{00364532-BD8E-4D6C-96F0-CDABB7A0409E}"/>
    <cellStyle name="Normal 2 21 3 7 2" xfId="9831" xr:uid="{12492A27-3485-431A-A6BA-677105FA7870}"/>
    <cellStyle name="Normal 2 21 3 7 3" xfId="9832" xr:uid="{F6DB64E2-09D9-4E77-9775-D0C2E5B8E523}"/>
    <cellStyle name="Normal 2 21 3 7 4" xfId="9833" xr:uid="{DDA4A8F2-D859-41A8-A7B8-AE4717061347}"/>
    <cellStyle name="Normal 2 21 3 7 5" xfId="9834" xr:uid="{F974B5C9-0A08-40E8-BDEA-E8CD9A0628B8}"/>
    <cellStyle name="Normal 2 21 3 7 6" xfId="9835" xr:uid="{2BEBB3B7-F7E6-4948-AE26-B47BEE49770A}"/>
    <cellStyle name="Normal 2 21 3 8" xfId="9836" xr:uid="{C612AFE9-809E-41DF-BD91-122FFB5EB0F6}"/>
    <cellStyle name="Normal 2 21 3 8 2" xfId="9837" xr:uid="{F803E1CE-BC66-41CC-BB96-D556B70E5A68}"/>
    <cellStyle name="Normal 2 21 3 8 3" xfId="9838" xr:uid="{0D09EFAB-FC8B-49CC-949B-12E3F6A26670}"/>
    <cellStyle name="Normal 2 21 3 8 4" xfId="9839" xr:uid="{1C12537E-1833-4B39-92DA-2E899EB7AF34}"/>
    <cellStyle name="Normal 2 21 3 8 5" xfId="9840" xr:uid="{A7F25263-E300-4E8A-95E3-0316A3FA3D7B}"/>
    <cellStyle name="Normal 2 21 3 8 6" xfId="9841" xr:uid="{E4D08C49-0551-4C79-8107-73B0E1F8C872}"/>
    <cellStyle name="Normal 2 21 3 9" xfId="9842" xr:uid="{E42A87EE-6144-416D-851B-78ABE7362310}"/>
    <cellStyle name="Normal 2 21 30" xfId="9843" xr:uid="{7BBF4CDF-C8FB-4557-9F23-8C48E22C9A6C}"/>
    <cellStyle name="Normal 2 21 31" xfId="9844" xr:uid="{DB9A3422-4CD0-47C3-8EC3-C8AE8B673D20}"/>
    <cellStyle name="Normal 2 21 32" xfId="9845" xr:uid="{F11B48D3-1626-4A90-A21A-7D0C47F78D04}"/>
    <cellStyle name="Normal 2 21 33" xfId="9846" xr:uid="{5FE367A8-AC43-4BC0-8830-86499FE492F7}"/>
    <cellStyle name="Normal 2 21 34" xfId="9847" xr:uid="{492B4368-2FA9-459B-A097-CC89D1F500B2}"/>
    <cellStyle name="Normal 2 21 35" xfId="9848" xr:uid="{001C7CC4-00C9-4746-A3B9-20DE970E0BCF}"/>
    <cellStyle name="Normal 2 21 36" xfId="9849" xr:uid="{DCF5538C-BC1D-4891-8F0E-D708440F9DD4}"/>
    <cellStyle name="Normal 2 21 37" xfId="9850" xr:uid="{1298C6F2-54E8-4455-98F2-C3488DCAF72D}"/>
    <cellStyle name="Normal 2 21 38" xfId="9851" xr:uid="{0C6FF1C0-CBE7-4B80-8350-350D76720FAB}"/>
    <cellStyle name="Normal 2 21 39" xfId="9852" xr:uid="{FA047FF2-3D0A-40E5-AEAC-FDAAA2656821}"/>
    <cellStyle name="Normal 2 21 4" xfId="9853" xr:uid="{02DB8543-E59A-4479-88BC-3BF5D1B0F1A3}"/>
    <cellStyle name="Normal 2 21 4 10" xfId="9854" xr:uid="{3F3B1826-6255-47AC-9797-DA35D2D8000A}"/>
    <cellStyle name="Normal 2 21 4 11" xfId="9855" xr:uid="{8BCCCC7D-22FE-4A3A-B03E-1E78FD85A478}"/>
    <cellStyle name="Normal 2 21 4 12" xfId="9856" xr:uid="{69FA9111-2079-4E81-AA3A-F8B3F7C2AA8E}"/>
    <cellStyle name="Normal 2 21 4 13" xfId="9857" xr:uid="{DA2F8811-E877-4F66-B2B5-7BBB8F60CEEB}"/>
    <cellStyle name="Normal 2 21 4 2" xfId="9858" xr:uid="{F94BA0BE-3C68-4656-8202-9C2A21A0AE87}"/>
    <cellStyle name="Normal 2 21 4 2 2" xfId="9859" xr:uid="{DD889C8A-9D45-4DB6-BE9F-22915E2861D6}"/>
    <cellStyle name="Normal 2 21 4 2 3" xfId="9860" xr:uid="{F02E26CC-10AB-427B-B487-1D92F5C6A117}"/>
    <cellStyle name="Normal 2 21 4 2 5" xfId="9861" xr:uid="{75283D30-CE0E-478C-AB9A-31086789ADFE}"/>
    <cellStyle name="Normal 2 21 4 2 6" xfId="9862" xr:uid="{58D7A177-B0D4-49AC-BA11-44F4EBB4258A}"/>
    <cellStyle name="Normal 2 21 4 3" xfId="9863" xr:uid="{7B1765FB-FC5A-4D83-9A13-837FCB4AF469}"/>
    <cellStyle name="Normal 2 21 4 3 2" xfId="9864" xr:uid="{B9B62363-74E6-47E2-B885-BDB03642ACCA}"/>
    <cellStyle name="Normal 2 21 4 3 3" xfId="9865" xr:uid="{3C4A6847-17E1-4E62-BF9B-D6DFA68DEAD4}"/>
    <cellStyle name="Normal 2 21 4 3 4" xfId="9866" xr:uid="{DF8BAA15-C03B-4F01-B3AA-440AFB95C9E4}"/>
    <cellStyle name="Normal 2 21 4 3 6" xfId="9867" xr:uid="{0694A4AA-A22C-4008-95B6-E72FDBC56582}"/>
    <cellStyle name="Normal 2 21 4 4" xfId="9868" xr:uid="{A000EBF3-7879-4ABF-8F27-EB04371FA45D}"/>
    <cellStyle name="Normal 2 21 4 4 2" xfId="9869" xr:uid="{B1AD0791-A55C-40BA-9BE2-552B8EF356D6}"/>
    <cellStyle name="Normal 2 21 4 4 3" xfId="9870" xr:uid="{6CB23A75-A30A-4311-8F9F-973EE828D32B}"/>
    <cellStyle name="Normal 2 21 4 4 4" xfId="9871" xr:uid="{1F9E29F5-3A0C-4D58-AAB8-731F8387F000}"/>
    <cellStyle name="Normal 2 21 4 4 5" xfId="9872" xr:uid="{50DB03C6-2D46-4A90-8AF4-A8D27CEB1124}"/>
    <cellStyle name="Normal 2 21 4 4 6" xfId="9873" xr:uid="{81E5DA23-9C1A-4C29-973C-EB755A5088A8}"/>
    <cellStyle name="Normal 2 21 4 5 2" xfId="9874" xr:uid="{AD95CC24-2ADC-41C9-86FC-BCA127C5501E}"/>
    <cellStyle name="Normal 2 21 4 5 4" xfId="9875" xr:uid="{A01C8D04-127E-4B80-9077-ACEE6ED45438}"/>
    <cellStyle name="Normal 2 21 4 5 5" xfId="9876" xr:uid="{C2927AE5-000C-413F-B57F-8906D11E037B}"/>
    <cellStyle name="Normal 2 21 4 5 6" xfId="9877" xr:uid="{6B1C0D1B-5D34-49CF-8BF7-80815F3A0F02}"/>
    <cellStyle name="Normal 2 21 4 6 2" xfId="9878" xr:uid="{EA89FCB1-C953-4690-83DC-C94CD3D7C164}"/>
    <cellStyle name="Normal 2 21 4 6 3" xfId="9879" xr:uid="{1D3C5224-1F5A-4C4E-A10F-34C29014F734}"/>
    <cellStyle name="Normal 2 21 4 6 4" xfId="9880" xr:uid="{C27005A1-65D6-41C4-846E-8C42583C24B5}"/>
    <cellStyle name="Normal 2 21 4 6 5" xfId="9881" xr:uid="{D8218227-5AAD-40EE-8114-62DDACE22628}"/>
    <cellStyle name="Normal 2 21 4 6 6" xfId="9882" xr:uid="{203A9762-4B7F-42B1-A29E-A503C441F5E3}"/>
    <cellStyle name="Normal 2 21 4 7" xfId="9883" xr:uid="{AF90BE08-8B8D-4563-80DF-FE342A329876}"/>
    <cellStyle name="Normal 2 21 4 7 2" xfId="9884" xr:uid="{CB39F319-E359-41DA-A459-4E700370C5F5}"/>
    <cellStyle name="Normal 2 21 4 7 3" xfId="9885" xr:uid="{0B2CBE9D-2181-48F2-800E-44658D7F115E}"/>
    <cellStyle name="Normal 2 21 4 7 4" xfId="9886" xr:uid="{04CFE76B-2050-4723-A97E-F5720CC2A730}"/>
    <cellStyle name="Normal 2 21 4 7 6" xfId="9887" xr:uid="{B5707D49-A716-44DF-A31A-808499230D36}"/>
    <cellStyle name="Normal 2 21 4 8" xfId="9888" xr:uid="{1F1A55EF-F470-47DE-9021-87B9BD3EAFCE}"/>
    <cellStyle name="Normal 2 21 4 8 2" xfId="9889" xr:uid="{B855945A-3D46-441A-AB0D-28EC0FB133CD}"/>
    <cellStyle name="Normal 2 21 4 8 3" xfId="9890" xr:uid="{1B07F35D-9FB4-496C-8B80-05E80D1CF5BC}"/>
    <cellStyle name="Normal 2 21 4 8 5" xfId="9891" xr:uid="{689C9BF7-D7B6-410A-AA32-A4FA479CCFA6}"/>
    <cellStyle name="Normal 2 21 4 9" xfId="9892" xr:uid="{73B0C51A-4D74-46AD-B4D0-2A611706D21B}"/>
    <cellStyle name="Normal 2 21 41" xfId="9893" xr:uid="{2D133BF5-1532-4833-9AE0-B4DC8FAA3629}"/>
    <cellStyle name="Normal 2 21 43" xfId="9894" xr:uid="{02ABAF35-52F8-4C54-9E7D-F75561FDF967}"/>
    <cellStyle name="Normal 2 21 45" xfId="9895" xr:uid="{EDFA288A-AB27-49AE-B8FA-ABC1572397D9}"/>
    <cellStyle name="Normal 2 21 47" xfId="9896" xr:uid="{6E9ACA51-1543-4E4B-A2AC-1E16FC0819CC}"/>
    <cellStyle name="Normal 2 21 48" xfId="9897" xr:uid="{6DE55AEA-8A7E-4CCF-8529-62C699D7F48F}"/>
    <cellStyle name="Normal 2 21 49" xfId="9898" xr:uid="{C30BCDF2-DAE0-456F-ADD1-6E323B1034C4}"/>
    <cellStyle name="Normal 2 21 5 10" xfId="9899" xr:uid="{DE2860E6-6200-410C-AE47-178754EC3E2C}"/>
    <cellStyle name="Normal 2 21 5 11" xfId="9900" xr:uid="{39A7DD96-358E-4492-92D6-5357CF86C6E7}"/>
    <cellStyle name="Normal 2 21 5 13" xfId="9901" xr:uid="{5EB0E823-AD23-4007-BB16-CE67B267AC34}"/>
    <cellStyle name="Normal 2 21 5 2 2" xfId="9902" xr:uid="{36DB8AB1-4C28-4511-A1AA-025AE47205B2}"/>
    <cellStyle name="Normal 2 21 5 2 4" xfId="9903" xr:uid="{D6E7E2CC-9E29-4358-9B9C-8A3713B9D30B}"/>
    <cellStyle name="Normal 2 21 5 2 6" xfId="9904" xr:uid="{4B465906-137B-40DD-9149-428554142BF4}"/>
    <cellStyle name="Normal 2 21 5 3 2" xfId="9905" xr:uid="{B434D3E8-2646-41A7-8529-7C2FE3F09B8A}"/>
    <cellStyle name="Normal 2 21 5 3 4" xfId="9906" xr:uid="{F1805773-5D8F-412C-8823-28DB1E13885B}"/>
    <cellStyle name="Normal 2 21 5 4 2" xfId="9907" xr:uid="{B6486132-871C-44B7-BEB8-6667DFBF8CBD}"/>
    <cellStyle name="Normal 2 21 5 4 5" xfId="9908" xr:uid="{56CFEB62-90AC-4995-A93D-301D67D0C271}"/>
    <cellStyle name="Normal 2 21 5 5 2" xfId="9909" xr:uid="{F7C68EE8-5B4C-44D2-BA94-7AD9C9D57C2E}"/>
    <cellStyle name="Normal 2 21 5 5 4" xfId="9910" xr:uid="{FC0498B4-B19F-4AC4-9DB6-9A62641F3ED1}"/>
    <cellStyle name="Normal 2 21 5 5 6" xfId="9911" xr:uid="{660A2BD1-33BA-40F5-9613-79EB7ED0A41F}"/>
    <cellStyle name="Normal 2 21 5 6 2" xfId="9912" xr:uid="{FA5C5C86-DFD7-447B-9E4C-FDF4C1249CD8}"/>
    <cellStyle name="Normal 2 21 5 6 5" xfId="9913" xr:uid="{DE6D4B82-8646-48EC-A3EB-10AE3474E874}"/>
    <cellStyle name="Normal 2 21 5 7" xfId="9914" xr:uid="{56E124EF-3056-4EAB-885F-1E15C022B618}"/>
    <cellStyle name="Normal 2 21 5 7 3" xfId="9915" xr:uid="{5005DCFC-195B-4665-B7BB-D9D4DC9924B9}"/>
    <cellStyle name="Normal 2 21 5 7 5" xfId="9916" xr:uid="{2E42A68C-8319-40AE-B9C0-DF45C60B73CF}"/>
    <cellStyle name="Normal 2 21 5 8" xfId="9917" xr:uid="{129C38DC-AF66-4364-B3CD-A7162D602D02}"/>
    <cellStyle name="Normal 2 21 5 8 3" xfId="9918" xr:uid="{7D6D1DA2-9819-43D6-B24C-D4F62F736A02}"/>
    <cellStyle name="Normal 2 21 5 9" xfId="9919" xr:uid="{89409B1B-4AF2-4AD0-8186-6C6E73860FE2}"/>
    <cellStyle name="Normal 2 21 52" xfId="9920" xr:uid="{4A46519E-898C-4372-ABCA-A5696B62B400}"/>
    <cellStyle name="Normal 2 21 6 10" xfId="9921" xr:uid="{5EE78816-C8D5-432E-B13A-429ACE23C8E3}"/>
    <cellStyle name="Normal 2 21 6 12" xfId="9922" xr:uid="{F992A0D0-2903-47FB-A192-95D20EA7F3B2}"/>
    <cellStyle name="Normal 2 21 6 2" xfId="9923" xr:uid="{314CFD5A-248C-43D4-B7B3-937E228FBC8F}"/>
    <cellStyle name="Normal 2 21 6 2 3" xfId="9924" xr:uid="{09D3D7EC-1604-4E9A-9396-A162FE05B92A}"/>
    <cellStyle name="Normal 2 21 6 2 5" xfId="9925" xr:uid="{C06A2D13-CFE1-4C2D-A955-B22A3781A86B}"/>
    <cellStyle name="Normal 2 21 6 3" xfId="9926" xr:uid="{A77BD847-D843-456B-80ED-1E384CFB95A2}"/>
    <cellStyle name="Normal 2 21 6 3 3" xfId="9927" xr:uid="{BFEFC6E9-C935-403B-8090-203A70DAE7CF}"/>
    <cellStyle name="Normal 2 21 6 3 5" xfId="9928" xr:uid="{9F7D5BEC-8365-4039-BC02-9B645434D5E0}"/>
    <cellStyle name="Normal 2 21 6 4" xfId="9929" xr:uid="{33E97990-D89B-4798-9B13-B542497B5892}"/>
    <cellStyle name="Normal 2 21 6 4 3" xfId="9930" xr:uid="{87F2C82D-8526-478E-9AB0-EAF630696C8C}"/>
    <cellStyle name="Normal 2 21 6 4 5" xfId="9931" xr:uid="{99E9A3C6-1193-4316-A070-C9DFF4D5CE1F}"/>
    <cellStyle name="Normal 2 21 6 5" xfId="9932" xr:uid="{2050F4ED-2BA6-4D19-95C9-EEA508DC67A4}"/>
    <cellStyle name="Normal 2 21 6 5 3" xfId="9933" xr:uid="{FAB718C4-3C35-4484-8201-A0E0859D9E6B}"/>
    <cellStyle name="Normal 2 21 6 5 5" xfId="9934" xr:uid="{6EC7B155-6B32-4FC4-8459-2D1333D9D8BB}"/>
    <cellStyle name="Normal 2 21 6 6" xfId="9935" xr:uid="{04A7D8AD-23E6-4DD0-B987-8F04F908DD1E}"/>
    <cellStyle name="Normal 2 21 6 6 3" xfId="9936" xr:uid="{2FB3511D-1EDD-4A06-99E7-767C9E266911}"/>
    <cellStyle name="Normal 2 21 6 6 5" xfId="9937" xr:uid="{070A3EB4-D741-436E-B1DA-3108429E0EEB}"/>
    <cellStyle name="Normal 2 21 6 7" xfId="9938" xr:uid="{DCCCAE38-0889-40DA-BC9C-08AA9465EC90}"/>
    <cellStyle name="Normal 2 21 6 7 3" xfId="9939" xr:uid="{FB819066-3903-4C6D-96E0-105C0E54914F}"/>
    <cellStyle name="Normal 2 21 6 7 5" xfId="9940" xr:uid="{87472C3E-E7CF-4FA2-B717-A07FEFC15A36}"/>
    <cellStyle name="Normal 2 21 6 8" xfId="9941" xr:uid="{EBA73500-0FB2-4916-9137-2D8CA83DA9A2}"/>
    <cellStyle name="Normal 2 21 6 8 3" xfId="9942" xr:uid="{C14C8FB5-573F-4BA7-93B7-B78BBD0D552E}"/>
    <cellStyle name="Normal 2 21 6 8 5" xfId="9943" xr:uid="{E176C1EE-4BDD-4639-8116-2D2621A7A831}"/>
    <cellStyle name="Normal 2 21 6 9" xfId="9944" xr:uid="{DFFE285E-B179-4F96-BEAB-FDD40E4F8D83}"/>
    <cellStyle name="Normal 2 21 7 10" xfId="9945" xr:uid="{98405EEB-B109-43FF-A709-DE6AD4D5E1AE}"/>
    <cellStyle name="Normal 2 21 7 12" xfId="9946" xr:uid="{CAC24ADC-F636-4C51-8DEB-721370D4A48F}"/>
    <cellStyle name="Normal 2 21 7 2" xfId="9947" xr:uid="{A98F4797-A15D-42AA-AB87-2A83D25C38B2}"/>
    <cellStyle name="Normal 2 21 7 2 3" xfId="9948" xr:uid="{F02DA49F-5D6A-4231-8322-7A2FCD891A37}"/>
    <cellStyle name="Normal 2 21 7 2 5" xfId="9949" xr:uid="{CEB05A34-E7C3-47C6-A19B-02FE3EA5D763}"/>
    <cellStyle name="Normal 2 21 7 3" xfId="9950" xr:uid="{1DC2EE61-E04F-40BF-A6E1-B3A0A689C593}"/>
    <cellStyle name="Normal 2 21 7 3 3" xfId="9951" xr:uid="{F7A4032F-5632-4D8E-A0E3-54C5F9BD7850}"/>
    <cellStyle name="Normal 2 21 7 3 5" xfId="9952" xr:uid="{C685E12C-BAE7-4C5B-AF8B-E91F0230D627}"/>
    <cellStyle name="Normal 2 21 7 4 3" xfId="9953" xr:uid="{67AF8423-57CE-411C-A546-58E0056C7866}"/>
    <cellStyle name="Normal 2 21 7 4 5" xfId="9954" xr:uid="{6D3DF82F-CC66-45B3-84AB-D765FAAF67CD}"/>
    <cellStyle name="Normal 2 21 7 5" xfId="9955" xr:uid="{80D79A4B-B09A-4ED8-B8AB-1A7583133B8E}"/>
    <cellStyle name="Normal 2 21 7 5 3" xfId="9956" xr:uid="{A002A471-A305-4B51-80AA-E9599BF57F7D}"/>
    <cellStyle name="Normal 2 21 7 5 5" xfId="9957" xr:uid="{FECF0F40-59DE-41B2-B3C4-EF339A0CF07A}"/>
    <cellStyle name="Normal 2 21 7 6" xfId="9958" xr:uid="{47189DC4-9B20-4EFA-B770-2A1E30FFB3A1}"/>
    <cellStyle name="Normal 2 21 7 6 3" xfId="9959" xr:uid="{E545BEF9-1805-4784-A7B6-527DFC0AC183}"/>
    <cellStyle name="Normal 2 21 7 6 5" xfId="9960" xr:uid="{1475E7C1-61F8-421A-B414-F6696C6777FE}"/>
    <cellStyle name="Normal 2 21 7 7" xfId="9961" xr:uid="{83E906FA-03E0-40FD-9C5D-75FEF18F6729}"/>
    <cellStyle name="Normal 2 21 7 7 3" xfId="9962" xr:uid="{BF003B38-8D5D-4871-A986-147A51414F39}"/>
    <cellStyle name="Normal 2 21 7 7 5" xfId="9963" xr:uid="{3732FB5C-E7DD-43BE-BC5F-7310C2E59DBE}"/>
    <cellStyle name="Normal 2 21 7 8" xfId="9964" xr:uid="{C7D93983-B150-4A82-85D4-A5C1EDF66680}"/>
    <cellStyle name="Normal 2 21 7 8 3" xfId="9965" xr:uid="{2F8B12B1-7D61-47FF-BE08-BCA2C7750365}"/>
    <cellStyle name="Normal 2 21 7 8 5" xfId="9966" xr:uid="{307599BA-461D-44C2-97A0-973EE03E1681}"/>
    <cellStyle name="Normal 2 21 7 9" xfId="9967" xr:uid="{43FB9AC5-E955-4AF5-B4C5-DEB6BA7BC064}"/>
    <cellStyle name="Normal 2 21 9" xfId="9968" xr:uid="{F28B57FF-103F-4C1E-B4DF-B18E8CD214B3}"/>
    <cellStyle name="Normal 2 22 10" xfId="9969" xr:uid="{49A0B37E-4A3F-4642-BB96-3DF021C948BB}"/>
    <cellStyle name="Normal 2 22 12" xfId="9970" xr:uid="{0CB94130-F34F-4855-AD86-FE1FAA73BF27}"/>
    <cellStyle name="Normal 2 22 14" xfId="9971" xr:uid="{DAF981A0-482F-40B8-8A4D-0388492CD3F4}"/>
    <cellStyle name="Normal 2 22 2 2" xfId="9972" xr:uid="{CFFA1D29-8654-410A-981A-1D3A3BAA84B1}"/>
    <cellStyle name="Normal 2 22 2 4" xfId="9973" xr:uid="{1A40E5DC-C23F-44A6-BB09-4E374BE48CBF}"/>
    <cellStyle name="Normal 2 22 2 6" xfId="9974" xr:uid="{471F087C-6219-4103-9849-F5E0012514B6}"/>
    <cellStyle name="Normal 2 22 3 2" xfId="9975" xr:uid="{FA09A32A-2FDD-46E6-9418-E139423E19DB}"/>
    <cellStyle name="Normal 2 22 3 4" xfId="9976" xr:uid="{9F5D4509-ECEF-41D2-B22C-C15E9C4A3232}"/>
    <cellStyle name="Normal 2 22 3 6" xfId="9977" xr:uid="{6B0F3480-BE22-46D8-86EB-EE824F3A45E5}"/>
    <cellStyle name="Normal 2 22 4 2" xfId="9978" xr:uid="{7C430537-30A8-4438-89F1-40B4C55E3394}"/>
    <cellStyle name="Normal 2 22 4 4" xfId="9979" xr:uid="{BDF26B36-1FC8-4F51-B3B9-3FE4AA02461B}"/>
    <cellStyle name="Normal 2 22 4 6" xfId="9980" xr:uid="{58165B86-2D1C-496C-83EC-31DB27CB2B78}"/>
    <cellStyle name="Normal 2 22 5 2" xfId="9981" xr:uid="{38E4530F-9931-4D08-8C58-E8FB6E1EC3FA}"/>
    <cellStyle name="Normal 2 22 5 4" xfId="9982" xr:uid="{046F7BBB-578D-4A92-A3DD-0C39A49661E2}"/>
    <cellStyle name="Normal 2 22 5 6" xfId="9983" xr:uid="{2FC4FAFD-F4A2-4B62-A36F-AB92F0472AB6}"/>
    <cellStyle name="Normal 2 22 6 2" xfId="9984" xr:uid="{1C84AF71-9F10-4E00-B418-1B54246D8477}"/>
    <cellStyle name="Normal 2 22 6 4" xfId="9985" xr:uid="{4D81EB48-CEA6-49AD-A910-BA64C42365E8}"/>
    <cellStyle name="Normal 2 22 6 6" xfId="9986" xr:uid="{1F2F1556-3B84-4157-9772-000A7BB720F1}"/>
    <cellStyle name="Normal 2 22 7 2" xfId="9987" xr:uid="{4F7E0D3A-FA61-4945-97EA-9594AB207F1E}"/>
    <cellStyle name="Normal 2 22 7 4" xfId="9988" xr:uid="{65C3713B-0541-4BED-BBF4-02942845F25F}"/>
    <cellStyle name="Normal 2 22 7 6" xfId="9989" xr:uid="{2FD7B36B-CD45-4D19-AE42-4898729A8397}"/>
    <cellStyle name="Normal 2 22 8 2" xfId="9990" xr:uid="{8B12F026-F586-4AF2-8E95-BE104CF75761}"/>
    <cellStyle name="Normal 2 22 8 4" xfId="9991" xr:uid="{26436961-378A-4154-A8EF-558204D0BA0B}"/>
    <cellStyle name="Normal 2 22 8 6" xfId="9992" xr:uid="{45B0B5E2-8D42-4205-8898-8827108CC264}"/>
    <cellStyle name="Normal 2 23" xfId="9993" xr:uid="{996CB457-7151-4DFB-A309-616E265F1026}"/>
    <cellStyle name="Normal 2 23 11" xfId="9994" xr:uid="{59CA8103-19C6-4BA3-ADB0-D88EEED2B14F}"/>
    <cellStyle name="Normal 2 23 13" xfId="9995" xr:uid="{6D60FE6E-A897-48AC-BA02-0FA630D8989E}"/>
    <cellStyle name="Normal 2 23 2" xfId="9996" xr:uid="{15D7DAFC-C796-495C-B271-0E417C73D9DE}"/>
    <cellStyle name="Normal 2 23 2 3" xfId="9997" xr:uid="{363B4D98-10B2-4CE2-820F-F0C0012DDD1F}"/>
    <cellStyle name="Normal 2 23 2 5" xfId="9998" xr:uid="{3E2672DF-3017-4E53-8D2C-4DB6801E4564}"/>
    <cellStyle name="Normal 2 23 3 3" xfId="9999" xr:uid="{09A6FBCA-ED96-4760-9C3E-700717B5CCDC}"/>
    <cellStyle name="Normal 2 23 3 5" xfId="10000" xr:uid="{552694BD-B7B6-409E-A9DB-31C1931BAE73}"/>
    <cellStyle name="Normal 2 23 4" xfId="10001" xr:uid="{EAFF3A35-C9F3-47C3-923A-3AA025F408FE}"/>
    <cellStyle name="Normal 2 23 4 2" xfId="10002" xr:uid="{BD350E9C-DA92-4519-9AB1-E95356DB9C1F}"/>
    <cellStyle name="Normal 2 23 4 3" xfId="10003" xr:uid="{6E92D1D8-E577-471B-A7BD-59874734D6D9}"/>
    <cellStyle name="Normal 2 23 4 4" xfId="10004" xr:uid="{E0114817-D1AD-43DC-8C0A-FE74C6EA2D0E}"/>
    <cellStyle name="Normal 2 23 4 5" xfId="10005" xr:uid="{4A7EB7D6-6C16-4CDC-A384-FA2E9A895003}"/>
    <cellStyle name="Normal 2 23 4 6" xfId="10006" xr:uid="{A59CE538-60E6-4A7E-8580-58675EE047BE}"/>
    <cellStyle name="Normal 2 23 5" xfId="10007" xr:uid="{2E193AE3-26F9-4A06-B54E-191201938F50}"/>
    <cellStyle name="Normal 2 23 5 2" xfId="10008" xr:uid="{F3AB3832-959F-42A4-B576-E76B702860FB}"/>
    <cellStyle name="Normal 2 23 5 3" xfId="10009" xr:uid="{25FCBBEA-BDC1-4B38-A8F7-EE085E0125EF}"/>
    <cellStyle name="Normal 2 23 5 5" xfId="10010" xr:uid="{72D1D8C3-3E88-4FFF-957F-BC89B055C871}"/>
    <cellStyle name="Normal 2 23 6" xfId="10011" xr:uid="{2761339D-F9AA-4F1B-860A-DE7F976CEB96}"/>
    <cellStyle name="Normal 2 23 6 3" xfId="10012" xr:uid="{A43A8D28-6BE2-4FF5-A563-A5DAFEBEB707}"/>
    <cellStyle name="Normal 2 23 6 5" xfId="10013" xr:uid="{328CB58A-0BF1-4441-AB83-4B576A579E25}"/>
    <cellStyle name="Normal 2 23 7" xfId="10014" xr:uid="{FC406077-0A11-4DEA-B65E-44CB2C418183}"/>
    <cellStyle name="Normal 2 23 7 3" xfId="10015" xr:uid="{26447384-7A33-48BC-8CF5-47313E068C20}"/>
    <cellStyle name="Normal 2 23 7 5" xfId="10016" xr:uid="{A03031F9-EC1B-48B8-98E0-9EC4F12FDA03}"/>
    <cellStyle name="Normal 2 23 8" xfId="10017" xr:uid="{AD6F4BAA-B7B6-4340-B578-33A2D69816E4}"/>
    <cellStyle name="Normal 2 23 8 3" xfId="10018" xr:uid="{547D2E82-3806-43F1-BEF1-04634660D5E8}"/>
    <cellStyle name="Normal 2 23 8 5" xfId="10019" xr:uid="{9999B8CD-1638-468D-B898-9CF05935B9C2}"/>
    <cellStyle name="Normal 2 23 9" xfId="10020" xr:uid="{93E45BF3-6397-4307-9CC3-11A133A140CD}"/>
    <cellStyle name="Normal 2 24 10" xfId="10021" xr:uid="{825E6630-05FD-4973-9C37-F13D462485EB}"/>
    <cellStyle name="Normal 2 24 12" xfId="10022" xr:uid="{CAE0DB07-3EC0-4DBF-9ACA-75B30FC1811F}"/>
    <cellStyle name="Normal 2 24 14" xfId="10023" xr:uid="{67A2F1E0-D5B6-4257-B0C3-32FEBC2179F4}"/>
    <cellStyle name="Normal 2 24 16" xfId="10024" xr:uid="{975507E8-2A3D-459D-99BC-86F0D3FBE9D0}"/>
    <cellStyle name="Normal 2 24 18" xfId="10025" xr:uid="{BACED161-0AAC-4D53-B28D-241E97398A4C}"/>
    <cellStyle name="Normal 2 24 2" xfId="10026" xr:uid="{9D99D584-4813-4317-AEA4-F6247F3FAA9E}"/>
    <cellStyle name="Normal 2 24 21" xfId="10027" xr:uid="{642A5F4F-6445-4F90-B4D7-ED23C5FBC144}"/>
    <cellStyle name="Normal 2 24 23" xfId="10028" xr:uid="{D48C6249-F8C0-443B-A24A-4028DED39C0F}"/>
    <cellStyle name="Normal 2 24 25" xfId="10029" xr:uid="{D57684C3-BBD6-4594-BBED-22E05C0F3B2F}"/>
    <cellStyle name="Normal 2 24 27" xfId="10030" xr:uid="{99C56026-14E5-4BD5-A315-FC2D12DB3DA6}"/>
    <cellStyle name="Normal 2 24 29" xfId="10031" xr:uid="{E0D3DA0A-3F5B-486D-B647-5AC4CFB57CA2}"/>
    <cellStyle name="Normal 2 24 30" xfId="10032" xr:uid="{6991EDF6-9FDC-4AB7-8C9B-983FCFFAAFD1}"/>
    <cellStyle name="Normal 2 24 32" xfId="10033" xr:uid="{E43A3437-A357-4A64-8058-1FB7320CF14B}"/>
    <cellStyle name="Normal 2 24 34" xfId="10034" xr:uid="{AA2B1E6A-252B-435A-A4BA-F1BCB53D056B}"/>
    <cellStyle name="Normal 2 24 36" xfId="10035" xr:uid="{51032BBC-106F-42B8-B97E-56BBF1250489}"/>
    <cellStyle name="Normal 2 24 38" xfId="10036" xr:uid="{07727A98-4D39-42BE-8CFA-529740ED9E4C}"/>
    <cellStyle name="Normal 2 24 4" xfId="10037" xr:uid="{F70131E2-6781-4465-9DC0-6D3EF8F9F687}"/>
    <cellStyle name="Normal 2 24 41" xfId="10038" xr:uid="{CD9DBE20-84D5-4B6B-8D1C-BE0745C6A8F5}"/>
    <cellStyle name="Normal 2 24 43" xfId="10039" xr:uid="{214AB388-F37F-4485-97B0-619A268E6DFE}"/>
    <cellStyle name="Normal 2 24 45" xfId="10040" xr:uid="{8AD7893A-1AC9-446B-B506-07884B9FCEDB}"/>
    <cellStyle name="Normal 2 24 5" xfId="10041" xr:uid="{10F6860D-0DCC-4EDB-BB86-DFD040C7A65F}"/>
    <cellStyle name="Normal 2 24 7" xfId="10042" xr:uid="{36A14CE2-83B6-422A-AF63-E6A26F021511}"/>
    <cellStyle name="Normal 2 24 9" xfId="10043" xr:uid="{FA840378-A321-4A07-85D1-4C0C46C03B5A}"/>
    <cellStyle name="Normal 2 25 10" xfId="10044" xr:uid="{1058C1AB-FD75-4B1D-99CA-1CE0A0F1F3DA}"/>
    <cellStyle name="Normal 2 25 14" xfId="10045" xr:uid="{2A44D003-90D1-427D-B5BF-592572862C0E}"/>
    <cellStyle name="Normal 2 25 16" xfId="10046" xr:uid="{DA8B4708-87EB-45E6-96D0-5FDB9F248FC2}"/>
    <cellStyle name="Normal 2 25 18" xfId="10047" xr:uid="{162388B9-0DF4-4981-95A6-7FD541ED2E5D}"/>
    <cellStyle name="Normal 2 25 2" xfId="10048" xr:uid="{E6287311-AF9B-414E-A748-A79F4BED98C8}"/>
    <cellStyle name="Normal 2 25 21" xfId="10049" xr:uid="{C389DC10-D800-4479-9E2C-E8179936B473}"/>
    <cellStyle name="Normal 2 25 23" xfId="10050" xr:uid="{244789EA-60C8-4F6A-BB61-C9C5B6F66A50}"/>
    <cellStyle name="Normal 2 25 25" xfId="10051" xr:uid="{CD30679F-179F-4ECD-85BF-CD32353C3409}"/>
    <cellStyle name="Normal 2 25 27" xfId="10052" xr:uid="{C7DD46F2-B70B-48B2-AE8E-1ED507AD8C55}"/>
    <cellStyle name="Normal 2 25 29" xfId="10053" xr:uid="{21973551-A614-4A19-9A74-695DF51ACCC6}"/>
    <cellStyle name="Normal 2 25 30" xfId="10054" xr:uid="{5ED3C5E3-3B8F-4B6B-9EB3-4271A357BBDB}"/>
    <cellStyle name="Normal 2 25 32" xfId="10055" xr:uid="{6E4C6250-428F-4BC9-8E8E-0914B70A0F76}"/>
    <cellStyle name="Normal 2 25 34" xfId="10056" xr:uid="{776266F0-B162-4E3A-881C-09695ECE6B63}"/>
    <cellStyle name="Normal 2 25 35" xfId="10057" xr:uid="{FAE1DF3D-F4D4-4CBE-B49D-C1DE1E69EFF1}"/>
    <cellStyle name="Normal 2 25 36" xfId="10058" xr:uid="{C66A16C2-F24C-460B-876A-7DED8BBE3ED4}"/>
    <cellStyle name="Normal 2 25 37" xfId="10059" xr:uid="{0046B3BC-AB6B-402D-96BC-E7D291D25F6F}"/>
    <cellStyle name="Normal 2 25 38" xfId="10060" xr:uid="{6578DBA3-D47A-4162-8A23-19731E4ACD09}"/>
    <cellStyle name="Normal 2 25 39" xfId="10061" xr:uid="{24A009C3-AC1A-4BD0-9F65-55151D00FCB8}"/>
    <cellStyle name="Normal 2 25 4" xfId="10062" xr:uid="{1A6BE190-2E75-4AE0-A4CA-AF605C0084BA}"/>
    <cellStyle name="Normal 2 25 40" xfId="10063" xr:uid="{2FA36599-73CF-490B-BB5F-324816610674}"/>
    <cellStyle name="Normal 2 25 41" xfId="10064" xr:uid="{B4096A02-786D-42AA-80FD-D575A14B93F9}"/>
    <cellStyle name="Normal 2 25 42" xfId="10065" xr:uid="{2CE2ADA7-993B-4377-BF94-FAC3FAB1CEF1}"/>
    <cellStyle name="Normal 2 25 43" xfId="10066" xr:uid="{63DEE5D1-3929-4D81-AA10-71125DE14683}"/>
    <cellStyle name="Normal 2 25 45" xfId="10067" xr:uid="{F2F72781-7750-4F15-8C45-B74AE706899A}"/>
    <cellStyle name="Normal 2 25 5" xfId="10068" xr:uid="{20179B21-8A94-47F2-B9C8-99B0D552BBCB}"/>
    <cellStyle name="Normal 2 25 7" xfId="10069" xr:uid="{B2D11561-892D-438D-89EF-41581A9331F4}"/>
    <cellStyle name="Normal 2 25 9" xfId="10070" xr:uid="{002337F7-ECED-4105-9D0D-00C274DE20F5}"/>
    <cellStyle name="Normal 2 26 10" xfId="10071" xr:uid="{883FE91F-F38A-48D9-86BF-3BC8A5E72956}"/>
    <cellStyle name="Normal 2 26 12" xfId="10072" xr:uid="{38F137F2-D07F-40DD-9BA9-C24EFC87529B}"/>
    <cellStyle name="Normal 2 26 14" xfId="10073" xr:uid="{6BB3883E-DF09-4A72-A78B-35BF373AE787}"/>
    <cellStyle name="Normal 2 26 16" xfId="10074" xr:uid="{E7AB5E91-00CF-4ACB-971A-8CB6441C7E2B}"/>
    <cellStyle name="Normal 2 26 18" xfId="10075" xr:uid="{CDFFEF3F-A70D-401E-A3E4-4ADBDC230D53}"/>
    <cellStyle name="Normal 2 26 2" xfId="10076" xr:uid="{90C056DE-D5A2-4561-A41C-9F7A426A2FC1}"/>
    <cellStyle name="Normal 2 26 21" xfId="10077" xr:uid="{ED3720E4-3614-43BB-A217-368F812B801F}"/>
    <cellStyle name="Normal 2 26 23" xfId="10078" xr:uid="{5BE0C5B3-894E-4B59-9B13-4C4B3218C513}"/>
    <cellStyle name="Normal 2 26 25" xfId="10079" xr:uid="{280214E2-548F-452E-9326-9F29B5A00057}"/>
    <cellStyle name="Normal 2 26 27" xfId="10080" xr:uid="{3B71FFCB-D7AB-4C63-9CA3-9AA4974B2414}"/>
    <cellStyle name="Normal 2 26 29" xfId="10081" xr:uid="{61DDEEDE-5E8B-4866-8651-87D30C9484F0}"/>
    <cellStyle name="Normal 2 26 30" xfId="10082" xr:uid="{DB166FF5-7B78-4612-B08F-205425B444EA}"/>
    <cellStyle name="Normal 2 26 32" xfId="10083" xr:uid="{98AC25FA-F08F-487D-B9D7-23B46EC9451E}"/>
    <cellStyle name="Normal 2 26 34" xfId="10084" xr:uid="{47530694-76F0-4844-A83E-F0011458AA25}"/>
    <cellStyle name="Normal 2 26 36" xfId="10085" xr:uid="{1A68E235-1943-4DF7-950A-A0A5E0178F7C}"/>
    <cellStyle name="Normal 2 26 38" xfId="10086" xr:uid="{9E9073E0-5FBB-483F-9FD6-4B0484270532}"/>
    <cellStyle name="Normal 2 26 4" xfId="10087" xr:uid="{DE195669-749C-463E-B43A-88BCB3239CCD}"/>
    <cellStyle name="Normal 2 26 41" xfId="10088" xr:uid="{9CA72D44-291A-49D1-AEBD-997254255756}"/>
    <cellStyle name="Normal 2 26 43" xfId="10089" xr:uid="{574578FE-21DD-4905-813D-54994F545B53}"/>
    <cellStyle name="Normal 2 26 45" xfId="10090" xr:uid="{3FD8AFC9-BBFE-40E5-8654-103A0E3250BF}"/>
    <cellStyle name="Normal 2 26 5" xfId="10091" xr:uid="{39585BE8-3C61-4798-987C-80E844BCDF8F}"/>
    <cellStyle name="Normal 2 26 7" xfId="10092" xr:uid="{378E524D-70B6-457A-BEE4-A844A285F320}"/>
    <cellStyle name="Normal 2 26 9" xfId="10093" xr:uid="{C08E56D3-F379-4672-A540-4F3B6000002B}"/>
    <cellStyle name="Normal 2 27 10" xfId="10094" xr:uid="{104C1FAE-982C-4EB8-8A97-24C38ECD29F2}"/>
    <cellStyle name="Normal 2 27 12" xfId="10095" xr:uid="{077C1C2F-6259-4BD0-85A5-6B296289A472}"/>
    <cellStyle name="Normal 2 27 14" xfId="10096" xr:uid="{08DD8DC2-7640-4D25-AE02-F4C4F518292A}"/>
    <cellStyle name="Normal 2 27 16" xfId="10097" xr:uid="{FDE6E82F-685D-40B7-AC85-4803AB1FB1D1}"/>
    <cellStyle name="Normal 2 27 18" xfId="10098" xr:uid="{CEB1AF5F-604D-482E-ADA2-C7A1B1BA76F0}"/>
    <cellStyle name="Normal 2 27 2" xfId="10099" xr:uid="{44EB5670-034F-4937-9770-B1819531829E}"/>
    <cellStyle name="Normal 2 27 21" xfId="10100" xr:uid="{A7020545-7A50-4779-B5BA-BB613B13FBC4}"/>
    <cellStyle name="Normal 2 27 23" xfId="10101" xr:uid="{943BF3DC-6BC0-446F-853F-F9F130FA16C2}"/>
    <cellStyle name="Normal 2 27 25" xfId="10102" xr:uid="{13802B6B-D43C-42F0-B732-31C0890E2A90}"/>
    <cellStyle name="Normal 2 27 27" xfId="10103" xr:uid="{6CB578E6-3A70-49A5-BEC0-6172DA89C404}"/>
    <cellStyle name="Normal 2 27 29" xfId="10104" xr:uid="{12ACBA46-3AA6-4132-8598-C1FA53A9A9DC}"/>
    <cellStyle name="Normal 2 27 30" xfId="10105" xr:uid="{B0EEE917-FDD1-480D-8EFF-F27E43C5E939}"/>
    <cellStyle name="Normal 2 27 32" xfId="10106" xr:uid="{925E0036-FB0B-45E9-84B9-390673996764}"/>
    <cellStyle name="Normal 2 27 34" xfId="10107" xr:uid="{3BC218F9-0984-4217-8D1B-7C4AD036506C}"/>
    <cellStyle name="Normal 2 27 36" xfId="10108" xr:uid="{1881F2A6-9EBB-4CB3-89AC-B5DE37FF2061}"/>
    <cellStyle name="Normal 2 27 38" xfId="10109" xr:uid="{05D98AD9-4BED-4101-A2F7-532C27C44ED0}"/>
    <cellStyle name="Normal 2 27 4" xfId="10110" xr:uid="{69CEC5D7-14DD-4933-8905-4553FB24285C}"/>
    <cellStyle name="Normal 2 27 41" xfId="10111" xr:uid="{536FBC02-013C-431A-83F1-A9CC6CDE5C1C}"/>
    <cellStyle name="Normal 2 27 43" xfId="10112" xr:uid="{5B924F2B-3079-4AB5-95CB-1C5B12C796DA}"/>
    <cellStyle name="Normal 2 27 45" xfId="10113" xr:uid="{9CA78342-0CB1-40CD-939A-1834604B3DAE}"/>
    <cellStyle name="Normal 2 27 5" xfId="10114" xr:uid="{CCE995AF-32FD-419D-94F4-50709E34337B}"/>
    <cellStyle name="Normal 2 27 6" xfId="10115" xr:uid="{38CDD162-20DF-4B05-B024-7F143D46DD55}"/>
    <cellStyle name="Normal 2 27 7" xfId="10116" xr:uid="{2575DEAE-1C70-48D2-A392-E33D0F9193EC}"/>
    <cellStyle name="Normal 2 27 8" xfId="10117" xr:uid="{6AFDD137-C8D6-494A-829D-C568D76EF630}"/>
    <cellStyle name="Normal 2 27 9" xfId="10118" xr:uid="{753FA506-7DB3-40ED-899F-6329D84FFB69}"/>
    <cellStyle name="Normal 2 28" xfId="10119" xr:uid="{DA842553-A8C4-4A99-A2BD-5B1C59A6B6AD}"/>
    <cellStyle name="Normal 2 28 10" xfId="10120" xr:uid="{17008838-0D5B-4F09-B5ED-603972E5740C}"/>
    <cellStyle name="Normal 2 28 11" xfId="10121" xr:uid="{519FCE1F-C246-40AC-9E7B-94A9BBFC326D}"/>
    <cellStyle name="Normal 2 28 12" xfId="10122" xr:uid="{C2023E88-E128-4CA4-9660-345FE6282640}"/>
    <cellStyle name="Normal 2 28 13" xfId="10123" xr:uid="{4CA7D6EF-D9E5-4C90-B99A-5381EA566FCE}"/>
    <cellStyle name="Normal 2 28 14" xfId="10124" xr:uid="{924BBCA6-FCE1-44EF-8AB9-5088F8C921DE}"/>
    <cellStyle name="Normal 2 28 16" xfId="10125" xr:uid="{3F9D411C-7B28-40B5-AE08-46DD84DE85BC}"/>
    <cellStyle name="Normal 2 28 18" xfId="10126" xr:uid="{884B2F5B-4D11-4EB9-AFFA-D249A92C012A}"/>
    <cellStyle name="Normal 2 28 2" xfId="10127" xr:uid="{6B1B056D-21B2-419F-9895-8FE3BD3A4467}"/>
    <cellStyle name="Normal 2 28 21" xfId="10128" xr:uid="{FBDE9617-6FFD-46AF-A450-9B0F78CFB354}"/>
    <cellStyle name="Normal 2 28 23" xfId="10129" xr:uid="{165D0ACF-4704-4916-B35D-AA5AB7C54FDE}"/>
    <cellStyle name="Normal 2 28 25" xfId="10130" xr:uid="{F66342FB-949C-450E-B0AB-673101055DAF}"/>
    <cellStyle name="Normal 2 28 27" xfId="10131" xr:uid="{7229B46D-1ACF-4703-93E9-5A7E7726A17D}"/>
    <cellStyle name="Normal 2 28 29" xfId="10132" xr:uid="{49F4BA76-4F4A-4632-A9DD-F1734A4C5320}"/>
    <cellStyle name="Normal 2 28 30" xfId="10133" xr:uid="{10180876-8393-45C7-8AC8-A36B9A251F9A}"/>
    <cellStyle name="Normal 2 28 32" xfId="10134" xr:uid="{0C0479D5-0A01-42B6-80C5-048BE5B7BC16}"/>
    <cellStyle name="Normal 2 28 34" xfId="10135" xr:uid="{25A45FAD-98D8-41AA-A6DE-D8C8BF41DAF6}"/>
    <cellStyle name="Normal 2 28 36" xfId="10136" xr:uid="{0984EE40-1C83-46E1-B9AA-8BB0149F12DA}"/>
    <cellStyle name="Normal 2 28 38" xfId="10137" xr:uid="{E913C956-FA48-4A10-B476-A81CBE89C4BC}"/>
    <cellStyle name="Normal 2 28 4" xfId="10138" xr:uid="{8164EDB2-705C-4838-8388-78B6CD4645BC}"/>
    <cellStyle name="Normal 2 28 41" xfId="10139" xr:uid="{93AE1867-E6E1-46E0-AB4D-7E1E0F3EE523}"/>
    <cellStyle name="Normal 2 28 43" xfId="10140" xr:uid="{2A312A47-57A8-45E3-8BD1-C8E1D32BEF58}"/>
    <cellStyle name="Normal 2 28 45" xfId="10141" xr:uid="{D2C91395-0613-4365-BBB1-76EBE133BFB5}"/>
    <cellStyle name="Normal 2 28 5" xfId="10142" xr:uid="{BBF457A4-6C88-4EBC-BE14-A2F07CC490EB}"/>
    <cellStyle name="Normal 2 28 7" xfId="10143" xr:uid="{0D6DBC17-A643-414B-B9B9-F7274DBD49A5}"/>
    <cellStyle name="Normal 2 28 9" xfId="10144" xr:uid="{9641559A-106B-4A08-A9EE-80D69F1BE62F}"/>
    <cellStyle name="Normal 2 29 10" xfId="10145" xr:uid="{E26F7331-DF39-4EE7-BE32-FB5DB1D797A5}"/>
    <cellStyle name="Normal 2 29 10 11" xfId="10146" xr:uid="{C79FE373-ABB6-4C16-BBFE-07F1836FCE02}"/>
    <cellStyle name="Normal 2 29 10 13" xfId="10147" xr:uid="{610B1957-A340-4206-880E-EC33A856F3F5}"/>
    <cellStyle name="Normal 2 29 10 2 2" xfId="10148" xr:uid="{0A7E1F74-97D4-4F5C-ADC7-E3CC9AAE97DF}"/>
    <cellStyle name="Normal 2 29 10 2 4" xfId="10149" xr:uid="{497489F8-7345-4399-B9AF-370E196BFFA9}"/>
    <cellStyle name="Normal 2 29 10 2 6" xfId="10150" xr:uid="{2A105099-4C60-4550-87DE-E21ADC2E10B5}"/>
    <cellStyle name="Normal 2 29 10 3 2" xfId="10151" xr:uid="{5C2C2DDF-1A90-4D93-88EE-084A96C6B7A2}"/>
    <cellStyle name="Normal 2 29 10 3 4" xfId="10152" xr:uid="{82318CFC-E73F-4102-BF8D-6207554D5ED9}"/>
    <cellStyle name="Normal 2 29 10 3 6" xfId="10153" xr:uid="{491B9EB6-D2B0-400B-B2F2-A3F8A31B5584}"/>
    <cellStyle name="Normal 2 29 10 4 2" xfId="10154" xr:uid="{9471119D-9342-4EE4-BF56-F90A31A46B3A}"/>
    <cellStyle name="Normal 2 29 10 4 4" xfId="10155" xr:uid="{29BC446C-3059-4D0A-B1D5-32DF8032A895}"/>
    <cellStyle name="Normal 2 29 10 4 6" xfId="10156" xr:uid="{2E7F4CBA-8BDC-4091-91B8-4451447B7B94}"/>
    <cellStyle name="Normal 2 29 10 5 2" xfId="10157" xr:uid="{656B01F4-C77A-43E9-B4FD-229D5BDE3978}"/>
    <cellStyle name="Normal 2 29 10 5 4" xfId="10158" xr:uid="{72F46318-12C2-47FB-8ACC-85A70863E735}"/>
    <cellStyle name="Normal 2 29 10 5 6" xfId="10159" xr:uid="{983FD03C-BF34-4C7B-BD04-B55ADA0D3C9D}"/>
    <cellStyle name="Normal 2 29 10 6 2" xfId="10160" xr:uid="{494AA995-A0EF-427C-A794-D54CB791D399}"/>
    <cellStyle name="Normal 2 29 10 6 4" xfId="10161" xr:uid="{18D4552F-F41D-4F72-BA51-76FBC68C73A8}"/>
    <cellStyle name="Normal 2 29 10 6 6" xfId="10162" xr:uid="{A40E96B0-FEA1-4B8A-A7C0-CC94BEB2CE2C}"/>
    <cellStyle name="Normal 2 29 10 7 2" xfId="10163" xr:uid="{7F28D34F-E265-419D-942E-3EF138A60A7A}"/>
    <cellStyle name="Normal 2 29 10 7 4" xfId="10164" xr:uid="{661460C0-2416-4691-93B1-D3E2A09D5E29}"/>
    <cellStyle name="Normal 2 29 10 7 6" xfId="10165" xr:uid="{A74BFEBE-F676-43A7-98F2-CA6037A2C4F6}"/>
    <cellStyle name="Normal 2 29 10 8 2" xfId="10166" xr:uid="{4DA3B029-47DC-4458-BE08-89C00E85B38C}"/>
    <cellStyle name="Normal 2 29 10 8 4" xfId="10167" xr:uid="{25557338-B522-472A-9624-C0993C72F2F9}"/>
    <cellStyle name="Normal 2 29 10 8 6" xfId="10168" xr:uid="{DFA487C6-1353-4566-9D83-C211167F1B58}"/>
    <cellStyle name="Normal 2 29 11" xfId="10169" xr:uid="{C0D7F936-EE20-4229-9C1E-55193D1A98F7}"/>
    <cellStyle name="Normal 2 29 11 11" xfId="10170" xr:uid="{45A45EE8-09E7-4836-8B61-1428CA29F81E}"/>
    <cellStyle name="Normal 2 29 11 13" xfId="10171" xr:uid="{5ABB464C-82F0-4E78-AFB9-8199F1D15788}"/>
    <cellStyle name="Normal 2 29 11 2 2" xfId="10172" xr:uid="{EFED6DB0-80C0-43AA-9119-6A47E120CE80}"/>
    <cellStyle name="Normal 2 29 11 2 3" xfId="10173" xr:uid="{24BE8751-5137-42CA-967B-C7A27848AA20}"/>
    <cellStyle name="Normal 2 29 11 2 4" xfId="10174" xr:uid="{B6D81CFB-57C9-4A96-9FCF-B22FE7F5B614}"/>
    <cellStyle name="Normal 2 29 11 2 5" xfId="10175" xr:uid="{A2153909-8665-49C7-A451-0A34A97CAB20}"/>
    <cellStyle name="Normal 2 29 11 2 6" xfId="10176" xr:uid="{148E7C49-DF0A-45AF-B868-636DFB627A70}"/>
    <cellStyle name="Normal 2 29 11 3" xfId="10177" xr:uid="{FCD7523D-56EF-4095-9BC4-BE07303BD89F}"/>
    <cellStyle name="Normal 2 29 11 3 3" xfId="10178" xr:uid="{B0254CCA-885C-44D2-955C-3F1688BFE26C}"/>
    <cellStyle name="Normal 2 29 11 3 5" xfId="10179" xr:uid="{94360A0E-5425-4950-A74E-00079FAD7E02}"/>
    <cellStyle name="Normal 2 29 11 4" xfId="10180" xr:uid="{5B506636-E891-4682-8B14-AD0856F21766}"/>
    <cellStyle name="Normal 2 29 11 4 3" xfId="10181" xr:uid="{7943F7DF-FC52-4FD8-831E-E04CBA095ACB}"/>
    <cellStyle name="Normal 2 29 11 4 6" xfId="10182" xr:uid="{51457184-932A-4708-A65F-5359D1F21B13}"/>
    <cellStyle name="Normal 2 29 11 5 2" xfId="10183" xr:uid="{AE9D68C8-6DA5-4A95-8767-9A10BAC7CF13}"/>
    <cellStyle name="Normal 2 29 11 5 6" xfId="10184" xr:uid="{08EA9DEB-3FCF-494D-B2F4-BD412BDE77CF}"/>
    <cellStyle name="Normal 2 29 11 6 2" xfId="10185" xr:uid="{D7596A41-68CD-40D3-AE41-35BE161EE329}"/>
    <cellStyle name="Normal 2 29 11 6 4" xfId="10186" xr:uid="{FBF9667C-C89F-4EB5-9FA5-75104DB32E61}"/>
    <cellStyle name="Normal 2 29 11 6 6" xfId="10187" xr:uid="{0F2EC90B-C5F5-437B-BED3-F9B5FB0B8A16}"/>
    <cellStyle name="Normal 2 29 11 7 2" xfId="10188" xr:uid="{46276FCD-1698-47B7-8F8A-EAB7956D7EEA}"/>
    <cellStyle name="Normal 2 29 11 7 4" xfId="10189" xr:uid="{0719AB43-9629-41A4-986E-76B485FBD1ED}"/>
    <cellStyle name="Normal 2 29 11 7 6" xfId="10190" xr:uid="{CFCEDB9B-416A-4204-95C2-1041A44D9DDC}"/>
    <cellStyle name="Normal 2 29 11 8 2" xfId="10191" xr:uid="{AC7E2F8D-08D6-4516-BCE4-91CBBCCE9DB8}"/>
    <cellStyle name="Normal 2 29 11 8 4" xfId="10192" xr:uid="{ADA999D1-EA9E-444F-A41E-AB51701DD366}"/>
    <cellStyle name="Normal 2 29 11 8 6" xfId="10193" xr:uid="{43CA64DB-C214-413D-97D7-93B595A0760C}"/>
    <cellStyle name="Normal 2 29 12" xfId="10194" xr:uid="{84DDE09D-6F92-4DB4-92FE-36CCE33DAE26}"/>
    <cellStyle name="Normal 2 29 14" xfId="10195" xr:uid="{9001DA8B-E3AE-417C-8109-3EE814250DFD}"/>
    <cellStyle name="Normal 2 29 16" xfId="10196" xr:uid="{ED937222-AC20-4E9A-AD59-A6031E14F839}"/>
    <cellStyle name="Normal 2 29 18" xfId="10197" xr:uid="{F44CE916-DF0A-4AD5-ABB8-BE9FDFF0CBD1}"/>
    <cellStyle name="Normal 2 29 2" xfId="10198" xr:uid="{E1AD9EB5-B064-42BC-985A-D663A0899477}"/>
    <cellStyle name="Normal 2 29 2 11" xfId="10199" xr:uid="{AE5D12F7-CC3E-4611-ACA5-DDE073EAF03C}"/>
    <cellStyle name="Normal 2 29 2 13" xfId="10200" xr:uid="{45ABA265-89B3-4241-9333-B3366009F6D1}"/>
    <cellStyle name="Normal 2 29 2 2 2" xfId="10201" xr:uid="{A81C8F10-2AE7-4728-8A0B-2F4A0B9A2FE4}"/>
    <cellStyle name="Normal 2 29 2 2 4" xfId="10202" xr:uid="{4A46FCFA-5D0F-4EAB-874F-B8FB63585A4B}"/>
    <cellStyle name="Normal 2 29 2 2 6" xfId="10203" xr:uid="{3778C42E-0510-4508-816F-E2F5E68CBAAF}"/>
    <cellStyle name="Normal 2 29 2 3 2" xfId="10204" xr:uid="{95189620-6E13-4C4D-B14F-DB4B9A4B0DDF}"/>
    <cellStyle name="Normal 2 29 2 3 4" xfId="10205" xr:uid="{3FC8E316-7176-4DEC-8EB9-3E63DA3E2ACF}"/>
    <cellStyle name="Normal 2 29 2 3 6" xfId="10206" xr:uid="{13BAE8D4-7CA6-4CF3-81D2-5A7803A7295B}"/>
    <cellStyle name="Normal 2 29 2 4 2" xfId="10207" xr:uid="{6FC7B35F-9FE3-43C3-B508-533232791E21}"/>
    <cellStyle name="Normal 2 29 2 4 4" xfId="10208" xr:uid="{09B97489-6199-4E4D-B4D7-B66E18C0CEA2}"/>
    <cellStyle name="Normal 2 29 2 5" xfId="10209" xr:uid="{CC73B897-1990-4DD6-B33D-D0D42EDD6E37}"/>
    <cellStyle name="Normal 2 29 2 5 5" xfId="10210" xr:uid="{1A774AB8-50C1-4C77-95F8-BEE61D9808BF}"/>
    <cellStyle name="Normal 2 29 2 6 3" xfId="10211" xr:uid="{629F13C4-2E75-4C31-BCC0-C026BBE462B9}"/>
    <cellStyle name="Normal 2 29 2 7" xfId="10212" xr:uid="{D64CC697-2454-49C0-835E-047C205B98E8}"/>
    <cellStyle name="Normal 2 29 2 7 5" xfId="10213" xr:uid="{E573E75A-7270-4544-A92E-9FE7D4990EAB}"/>
    <cellStyle name="Normal 2 29 2 8 2" xfId="10214" xr:uid="{F2483A46-81C8-49AE-A64D-D3ED21FF0BF9}"/>
    <cellStyle name="Normal 2 29 2 8 4" xfId="10215" xr:uid="{CAF1E0BA-848F-49B6-BD2B-060D9E4872D2}"/>
    <cellStyle name="Normal 2 29 2 8 6" xfId="10216" xr:uid="{69F06249-66FF-4DA4-9D53-664EC89FE09A}"/>
    <cellStyle name="Normal 2 29 20" xfId="10217" xr:uid="{B6A218D2-7A5D-4157-83CF-EAECD9C546A0}"/>
    <cellStyle name="Normal 2 29 22" xfId="10218" xr:uid="{38A84C25-6C86-4449-A977-666B5F69329C}"/>
    <cellStyle name="Normal 2 29 24" xfId="10219" xr:uid="{B6A95EC0-4523-4EA1-9A1F-645017BC6365}"/>
    <cellStyle name="Normal 2 29 26" xfId="10220" xr:uid="{02338044-75E7-4FA7-BE19-F41F83A58A5D}"/>
    <cellStyle name="Normal 2 29 28" xfId="10221" xr:uid="{742E6CD5-FC00-419B-9887-22FA40C20534}"/>
    <cellStyle name="Normal 2 29 3" xfId="10222" xr:uid="{6DCD5910-428A-4F79-9C83-BC83F855C7BF}"/>
    <cellStyle name="Normal 2 29 3 11" xfId="10223" xr:uid="{4AECF33A-415D-4B74-B09B-55E7438A2677}"/>
    <cellStyle name="Normal 2 29 3 13" xfId="10224" xr:uid="{BF9B9C13-26A3-438A-A1AE-43C1EC4C3F6A}"/>
    <cellStyle name="Normal 2 29 3 2 2" xfId="10225" xr:uid="{07A85989-2662-4D90-BEC0-35CE824F1A22}"/>
    <cellStyle name="Normal 2 29 3 2 4" xfId="10226" xr:uid="{7F4ED0D2-6440-4981-9139-861B6A483345}"/>
    <cellStyle name="Normal 2 29 3 2 6" xfId="10227" xr:uid="{A0566C2A-43A3-4D71-B562-D7D8FFFD1B60}"/>
    <cellStyle name="Normal 2 29 3 3 2" xfId="10228" xr:uid="{540D3D14-B8C8-407F-9E73-CB7426363D4B}"/>
    <cellStyle name="Normal 2 29 3 3 4" xfId="10229" xr:uid="{F0E81918-392D-4FA3-A339-B0BCD274A255}"/>
    <cellStyle name="Normal 2 29 3 3 6" xfId="10230" xr:uid="{20C58041-945D-492A-BD3A-744203B36F4F}"/>
    <cellStyle name="Normal 2 29 3 4 2" xfId="10231" xr:uid="{E0EB96B4-194F-4BF6-99AA-34941E0B8729}"/>
    <cellStyle name="Normal 2 29 3 4 4" xfId="10232" xr:uid="{9063EA52-5111-4931-9EFB-A3E15DD02DFE}"/>
    <cellStyle name="Normal 2 29 3 4 6" xfId="10233" xr:uid="{E3D4EFA4-088C-47B9-BFCB-3837BEEABD13}"/>
    <cellStyle name="Normal 2 29 3 5 2" xfId="10234" xr:uid="{FAE8BD68-911C-4030-B094-F31404655118}"/>
    <cellStyle name="Normal 2 29 3 5 4" xfId="10235" xr:uid="{1A6DE220-FA57-416F-83A2-04F0E19719ED}"/>
    <cellStyle name="Normal 2 29 3 5 6" xfId="10236" xr:uid="{E74491C2-D77A-4DC4-884B-E4900DEBC5F8}"/>
    <cellStyle name="Normal 2 29 3 6 2" xfId="10237" xr:uid="{87C395FA-4739-476F-849D-BD6A8929814D}"/>
    <cellStyle name="Normal 2 29 3 6 5" xfId="10238" xr:uid="{B7553A07-A484-4FF8-9408-BCEBE3B5382B}"/>
    <cellStyle name="Normal 2 29 3 7 2" xfId="10239" xr:uid="{2EB23C8B-CBB5-4F8D-95CA-22747A1201E9}"/>
    <cellStyle name="Normal 2 29 3 7 4" xfId="10240" xr:uid="{A8C7BA2B-B407-48E9-BCBA-533BA274AC57}"/>
    <cellStyle name="Normal 2 29 3 7 6" xfId="10241" xr:uid="{723663D6-825C-4BA2-8C8E-82997A9D9175}"/>
    <cellStyle name="Normal 2 29 3 8 2" xfId="10242" xr:uid="{FEE7DB35-BEB1-4B4E-8BE5-DAAEBA1390CC}"/>
    <cellStyle name="Normal 2 29 3 8 4" xfId="10243" xr:uid="{1E7752E4-30F8-42B7-AFD4-1C132B0D7B0A}"/>
    <cellStyle name="Normal 2 29 3 8 6" xfId="10244" xr:uid="{F1F432C0-457E-4CB4-8932-D8CF33CC751C}"/>
    <cellStyle name="Normal 2 29 30" xfId="10245" xr:uid="{CD756C71-CACA-4DAB-9FC6-52B6400AD373}"/>
    <cellStyle name="Normal 2 29 32" xfId="10246" xr:uid="{D75CEF77-B7D4-47EF-8DA6-B60859D4A4CD}"/>
    <cellStyle name="Normal 2 29 34" xfId="10247" xr:uid="{B1C52F97-2EE7-4A39-A9E2-D3B571699B48}"/>
    <cellStyle name="Normal 2 29 36" xfId="10248" xr:uid="{3F47CED9-DA95-40DF-9506-DD4A06A758AD}"/>
    <cellStyle name="Normal 2 29 38" xfId="10249" xr:uid="{79030365-AF0D-41E0-B5A0-200BAC3F7257}"/>
    <cellStyle name="Normal 2 29 4" xfId="10250" xr:uid="{66018BDB-63CC-4647-8318-7A868BA4D653}"/>
    <cellStyle name="Normal 2 29 4 11" xfId="10251" xr:uid="{7413109F-7327-41E5-8C15-1D72FE403444}"/>
    <cellStyle name="Normal 2 29 4 2" xfId="10252" xr:uid="{2B65C5AE-2263-438A-976E-5C6B8ADD20BC}"/>
    <cellStyle name="Normal 2 29 4 2 4" xfId="10253" xr:uid="{4917D58F-3904-471C-90F9-90842977FE89}"/>
    <cellStyle name="Normal 2 29 4 2 6" xfId="10254" xr:uid="{75A56843-BF07-4393-B77E-952FA18FE4AA}"/>
    <cellStyle name="Normal 2 29 4 3 2" xfId="10255" xr:uid="{005ED595-0975-4C59-8EE6-32B2179316CC}"/>
    <cellStyle name="Normal 2 29 4 3 5" xfId="10256" xr:uid="{25698AF9-26AF-4012-B111-FAF4B2303C33}"/>
    <cellStyle name="Normal 2 29 4 4" xfId="10257" xr:uid="{83131991-FCE5-43C5-B492-EEB0992076A2}"/>
    <cellStyle name="Normal 2 29 4 4 3" xfId="10258" xr:uid="{0D96D1D8-0268-4DE6-9517-42D92E864479}"/>
    <cellStyle name="Normal 2 29 4 5" xfId="10259" xr:uid="{5C68B964-B438-48AE-987F-2BE7113EAD91}"/>
    <cellStyle name="Normal 2 29 4 5 4" xfId="10260" xr:uid="{22D00621-01AA-48A0-85FF-53F9796BF6A8}"/>
    <cellStyle name="Normal 2 29 4 5 6" xfId="10261" xr:uid="{FA22DE22-7FE1-44DE-84A7-C050C6B0D534}"/>
    <cellStyle name="Normal 2 29 4 6 2" xfId="10262" xr:uid="{394026AC-9F25-4D14-BD05-C216F81153CE}"/>
    <cellStyle name="Normal 2 29 4 6 4" xfId="10263" xr:uid="{A76E8491-8BB1-46A5-A638-42BDEE9A25A1}"/>
    <cellStyle name="Normal 2 29 4 6 6" xfId="10264" xr:uid="{BA31FF8B-AB30-4EAD-A841-3C180020502B}"/>
    <cellStyle name="Normal 2 29 4 7 2" xfId="10265" xr:uid="{98306E0C-189B-47A9-AF2B-17017C65957D}"/>
    <cellStyle name="Normal 2 29 4 7 4" xfId="10266" xr:uid="{268C1E4F-6C65-41D9-B0ED-032203AF7A60}"/>
    <cellStyle name="Normal 2 29 4 7 6" xfId="10267" xr:uid="{1CCF783C-2036-4DCD-8B3D-C9FCD0FE1BDD}"/>
    <cellStyle name="Normal 2 29 4 8 2" xfId="10268" xr:uid="{1AABF66A-2859-42EE-9987-817B97BA9DFF}"/>
    <cellStyle name="Normal 2 29 4 8 4" xfId="10269" xr:uid="{C6ABEB83-DE98-42B0-BB31-1DDB9188A212}"/>
    <cellStyle name="Normal 2 29 4 8 6" xfId="10270" xr:uid="{5DE86CDD-02B9-4C44-9FD8-D60FDFF2741D}"/>
    <cellStyle name="Normal 2 29 40" xfId="10271" xr:uid="{B06D1377-56C6-483D-A8AA-699DA6F4B07E}"/>
    <cellStyle name="Normal 2 29 42" xfId="10272" xr:uid="{C412FD2E-E2D2-4E5E-9DDF-D8D6340396E7}"/>
    <cellStyle name="Normal 2 29 44" xfId="10273" xr:uid="{5DC9CDC5-247D-49F3-8DAA-10CFF7125B31}"/>
    <cellStyle name="Normal 2 29 46" xfId="10274" xr:uid="{12FF41F5-9C05-4628-9AA6-CA5EFE01382D}"/>
    <cellStyle name="Normal 2 29 48" xfId="10275" xr:uid="{2072BE4C-7226-423B-964F-16C2D2482780}"/>
    <cellStyle name="Normal 2 29 5 10" xfId="10276" xr:uid="{7CD9EA8A-7FB3-41CF-A4BB-D3FFC29D7EA0}"/>
    <cellStyle name="Normal 2 29 5 12" xfId="10277" xr:uid="{8785624D-E42A-4548-B607-6D93771291ED}"/>
    <cellStyle name="Normal 2 29 5 2" xfId="10278" xr:uid="{B787DB13-FE36-4EBC-A5A8-814372E1A46C}"/>
    <cellStyle name="Normal 2 29 5 2 3" xfId="10279" xr:uid="{DAFFCF71-4451-4290-943F-A27550C59659}"/>
    <cellStyle name="Normal 2 29 5 2 5" xfId="10280" xr:uid="{B42D4E13-CDFD-4780-ABC8-8D834D7E59B1}"/>
    <cellStyle name="Normal 2 29 5 3" xfId="10281" xr:uid="{470037EA-DA62-492B-861A-6E72EF250915}"/>
    <cellStyle name="Normal 2 29 5 3 3" xfId="10282" xr:uid="{5EEEDB57-0913-4081-AF35-5915C1FC0765}"/>
    <cellStyle name="Normal 2 29 5 3 5" xfId="10283" xr:uid="{E96D04BA-455D-437E-B891-3F814EA661A0}"/>
    <cellStyle name="Normal 2 29 5 4 2" xfId="10284" xr:uid="{0DEAC88E-1E3D-4BDD-B075-1FC1E19F9981}"/>
    <cellStyle name="Normal 2 29 5 4 6" xfId="10285" xr:uid="{41FF2F32-0031-4965-8FEC-3C87D8A99C64}"/>
    <cellStyle name="Normal 2 29 5 5 4" xfId="10286" xr:uid="{0ACC535F-832E-455C-9389-CA8D5977B70D}"/>
    <cellStyle name="Normal 2 29 5 6 2" xfId="10287" xr:uid="{308AAB97-CD8C-4825-B764-28205B01798B}"/>
    <cellStyle name="Normal 2 29 5 6 6" xfId="10288" xr:uid="{8192FEDA-CBBD-47B4-B8A8-A3AC2C2C752F}"/>
    <cellStyle name="Normal 2 29 5 7 3" xfId="10289" xr:uid="{B12029A0-4357-415B-93F3-BA4B90EF3E99}"/>
    <cellStyle name="Normal 2 29 5 7 5" xfId="10290" xr:uid="{A89B7567-6193-40F0-A6F5-EC088ECDA258}"/>
    <cellStyle name="Normal 2 29 5 8" xfId="10291" xr:uid="{C99B36A8-A5D6-4B0A-8902-0C920DD4D54E}"/>
    <cellStyle name="Normal 2 29 5 8 3" xfId="10292" xr:uid="{15CF1E28-A285-4B10-9C77-3D28D0ACDB9C}"/>
    <cellStyle name="Normal 2 29 5 8 5" xfId="10293" xr:uid="{55E62920-E28C-434C-B3C0-C2694871295E}"/>
    <cellStyle name="Normal 2 29 5 9" xfId="10294" xr:uid="{1EC84467-CB23-42D2-B4E0-5C40F3DF0CC8}"/>
    <cellStyle name="Normal 2 29 6 10" xfId="10295" xr:uid="{0AA996DA-2D6F-47CE-99A1-CA50834CE7C4}"/>
    <cellStyle name="Normal 2 29 6 12" xfId="10296" xr:uid="{6909BFC9-5F91-4E28-B01D-A2450DE4FC8F}"/>
    <cellStyle name="Normal 2 29 6 2" xfId="10297" xr:uid="{D7B4DC40-2EBC-46D3-B25F-8B65BA4C2EAB}"/>
    <cellStyle name="Normal 2 29 6 2 3" xfId="10298" xr:uid="{4D800012-E68D-48FB-A246-42C16CBE9A3A}"/>
    <cellStyle name="Normal 2 29 6 2 5" xfId="10299" xr:uid="{B596B04B-8D3B-4F0A-8883-89BB0D1AE8AB}"/>
    <cellStyle name="Normal 2 29 6 3" xfId="10300" xr:uid="{C543CAD4-9BDF-47AF-B871-74C5DBCAC319}"/>
    <cellStyle name="Normal 2 29 6 3 3" xfId="10301" xr:uid="{204AE1C2-A4F4-4D1D-BD47-F3D9E69A3DC6}"/>
    <cellStyle name="Normal 2 29 6 3 5" xfId="10302" xr:uid="{F162EB5D-764B-4CE2-B074-4B87793AC547}"/>
    <cellStyle name="Normal 2 29 6 4" xfId="10303" xr:uid="{05EE5875-5AE4-4AAC-AAA9-92FBC511CCF6}"/>
    <cellStyle name="Normal 2 29 6 4 3" xfId="10304" xr:uid="{5D74790D-E5CA-4AED-ACE1-1027C97A15F7}"/>
    <cellStyle name="Normal 2 29 6 4 5" xfId="10305" xr:uid="{AE54F994-08CC-470A-9BBE-77E4D57278D7}"/>
    <cellStyle name="Normal 2 29 6 5" xfId="10306" xr:uid="{0624296E-3AD3-4F71-9A49-868F6CD70844}"/>
    <cellStyle name="Normal 2 29 6 5 3" xfId="10307" xr:uid="{608463B6-38A8-4547-BC04-AD7D452F72A7}"/>
    <cellStyle name="Normal 2 29 6 5 5" xfId="10308" xr:uid="{2B7FD365-7287-48BD-AF43-95A000AA7D30}"/>
    <cellStyle name="Normal 2 29 6 6" xfId="10309" xr:uid="{341E7CC5-1E30-4088-8166-6B44BEB5EE0C}"/>
    <cellStyle name="Normal 2 29 6 6 3" xfId="10310" xr:uid="{25B43245-4C45-4DD5-80A7-F812A7087EF0}"/>
    <cellStyle name="Normal 2 29 6 6 5" xfId="10311" xr:uid="{1C85F3C6-B4CC-41EB-8BC4-D1F762FDD20E}"/>
    <cellStyle name="Normal 2 29 6 7" xfId="10312" xr:uid="{FD1BA282-CDE4-4067-9E08-3B534EEE6AA5}"/>
    <cellStyle name="Normal 2 29 6 7 4" xfId="10313" xr:uid="{719E7BD2-00C1-411C-9335-A16B64143D98}"/>
    <cellStyle name="Normal 2 29 6 8 2" xfId="10314" xr:uid="{0714BA78-BB4E-4C7C-8514-9C208DAFF444}"/>
    <cellStyle name="Normal 2 29 6 8 6" xfId="10315" xr:uid="{C7EA05FA-AE7C-4F3A-B58A-965E4C7F0329}"/>
    <cellStyle name="Normal 2 29 7 10" xfId="10316" xr:uid="{F6E96E63-ED64-4CE3-AD00-5616065CE153}"/>
    <cellStyle name="Normal 2 29 7 13" xfId="10317" xr:uid="{8989A5E5-6BE3-462D-A00D-62405B95B929}"/>
    <cellStyle name="Normal 2 29 7 2 2" xfId="10318" xr:uid="{AD7EE27D-BB1F-4A12-9152-419F7068ED01}"/>
    <cellStyle name="Normal 2 29 7 2 4" xfId="10319" xr:uid="{CB128E19-90FD-4323-95B4-2BDB02ECEEF6}"/>
    <cellStyle name="Normal 2 29 7 2 6" xfId="10320" xr:uid="{1F6772D7-6F84-4599-A74C-CA647952DF58}"/>
    <cellStyle name="Normal 2 29 7 3 4" xfId="10321" xr:uid="{EA4D95A3-C3FF-4468-8FD3-076290A23A44}"/>
    <cellStyle name="Normal 2 29 7 4" xfId="10322" xr:uid="{B17C4D3E-4DA0-48AD-BF82-652F304CBD71}"/>
    <cellStyle name="Normal 2 29 7 4 5" xfId="10323" xr:uid="{62F32082-6ECE-4017-A6B9-F4CB53D78215}"/>
    <cellStyle name="Normal 2 29 7 5 3" xfId="10324" xr:uid="{5740EC28-4EEB-42F5-9E09-F5467E3CB20F}"/>
    <cellStyle name="Normal 2 29 7 6" xfId="10325" xr:uid="{12B424E5-F7BB-4F34-A325-984F2CB72248}"/>
    <cellStyle name="Normal 2 29 7 6 4" xfId="10326" xr:uid="{B971742A-AB9D-459F-8247-93F2C335B09D}"/>
    <cellStyle name="Normal 2 29 7 7 2" xfId="10327" xr:uid="{7E1D5C4D-41CC-41E2-9B21-B463ACBF82E5}"/>
    <cellStyle name="Normal 2 29 7 7 5" xfId="10328" xr:uid="{7A229906-F3DD-44C8-8E1F-C6050AF03D10}"/>
    <cellStyle name="Normal 2 29 7 8" xfId="10329" xr:uid="{887CBC4F-C253-4BE3-B69F-2628877223DA}"/>
    <cellStyle name="Normal 2 29 7 8 3" xfId="10330" xr:uid="{415641B2-A3F4-4217-9C06-9A17FADAEBA7}"/>
    <cellStyle name="Normal 2 29 7 8 6" xfId="10331" xr:uid="{97CA24DE-3A01-4CFD-8C89-58CC2A77F2C3}"/>
    <cellStyle name="Normal 2 29 8 10" xfId="10332" xr:uid="{985F7C86-DAAA-4F14-90E7-EE5E563A25BB}"/>
    <cellStyle name="Normal 2 29 8 12" xfId="10333" xr:uid="{10FE2F23-2F06-461B-9D9A-59352D563517}"/>
    <cellStyle name="Normal 2 29 8 2" xfId="10334" xr:uid="{B017AFFE-435D-46F2-A3B7-D0AB03C6E391}"/>
    <cellStyle name="Normal 2 29 8 2 3" xfId="10335" xr:uid="{0652A6FA-C869-4F03-8164-CC24348CA186}"/>
    <cellStyle name="Normal 2 29 8 2 5" xfId="10336" xr:uid="{2C106D00-8811-4490-AC6C-128CB8B65701}"/>
    <cellStyle name="Normal 2 29 8 3" xfId="10337" xr:uid="{46239D02-B658-49BD-A941-E784F490CB53}"/>
    <cellStyle name="Normal 2 29 8 3 3" xfId="10338" xr:uid="{560A4568-2005-45D4-B3D8-8385A01B8D99}"/>
    <cellStyle name="Normal 2 29 8 3 5" xfId="10339" xr:uid="{8854421C-9E5B-4527-8236-B653A4607092}"/>
    <cellStyle name="Normal 2 29 8 4" xfId="10340" xr:uid="{C6CD4312-ABF4-4BF2-8DDC-BDD654831534}"/>
    <cellStyle name="Normal 2 29 8 4 3" xfId="10341" xr:uid="{8884DCCF-5194-475D-BACB-03B4DAA48A95}"/>
    <cellStyle name="Normal 2 29 8 4 5" xfId="10342" xr:uid="{EEABA034-4E4B-41CE-9069-7077784A77AC}"/>
    <cellStyle name="Normal 2 29 8 5" xfId="10343" xr:uid="{9790DF79-8BFF-40B0-9098-0351D2045747}"/>
    <cellStyle name="Normal 2 29 8 5 3" xfId="10344" xr:uid="{A4FFF212-C324-4849-99CB-116DB53A6451}"/>
    <cellStyle name="Normal 2 29 8 5 5" xfId="10345" xr:uid="{2AD85F64-F2DD-467F-BF88-5926298FE2D5}"/>
    <cellStyle name="Normal 2 29 8 6" xfId="10346" xr:uid="{0BDED283-C2AA-482D-8EC0-1DA0CF828DCB}"/>
    <cellStyle name="Normal 2 29 8 6 3" xfId="10347" xr:uid="{93C55A53-FA0B-4C25-ABA4-7BD62CF84889}"/>
    <cellStyle name="Normal 2 29 8 6 5" xfId="10348" xr:uid="{60FCDC5E-AA33-4FD3-B979-CE6F4C582BCF}"/>
    <cellStyle name="Normal 2 29 8 7" xfId="10349" xr:uid="{DD341289-6906-4199-8DE6-75BD63005355}"/>
    <cellStyle name="Normal 2 29 8 7 3" xfId="10350" xr:uid="{88E79F91-0C5B-4039-9ECA-7BFCAF005373}"/>
    <cellStyle name="Normal 2 29 8 7 5" xfId="10351" xr:uid="{5D110B9B-2EED-4BFF-B3DE-CFB3246353E4}"/>
    <cellStyle name="Normal 2 29 8 8" xfId="10352" xr:uid="{5F44659E-09CB-436E-A8AB-8454DA42D9EE}"/>
    <cellStyle name="Normal 2 29 8 8 3" xfId="10353" xr:uid="{5A41ABD4-26CF-474E-A97D-0C5EFC7CC506}"/>
    <cellStyle name="Normal 2 29 8 8 5" xfId="10354" xr:uid="{B30722B9-861D-46DB-9000-D07FFD86E045}"/>
    <cellStyle name="Normal 2 29 8 9" xfId="10355" xr:uid="{EEBBCEAD-DCFC-4369-80DB-2734685A0052}"/>
    <cellStyle name="Normal 2 29 9 10" xfId="10356" xr:uid="{B822F544-119E-4617-BC4A-8607D0653C44}"/>
    <cellStyle name="Normal 2 29 9 13" xfId="10357" xr:uid="{DDB06E6E-946A-43EE-AAD7-63E48B411FF6}"/>
    <cellStyle name="Normal 2 29 9 2 2" xfId="10358" xr:uid="{5CE9D790-19FE-49AD-B80E-22EAD1222339}"/>
    <cellStyle name="Normal 2 29 9 2 4" xfId="10359" xr:uid="{F059F16B-F408-482C-AADF-E8C53DE716B3}"/>
    <cellStyle name="Normal 2 29 9 2 6" xfId="10360" xr:uid="{4624A236-BA50-4289-9812-F83C83EA2ECA}"/>
    <cellStyle name="Normal 2 29 9 3 3" xfId="10361" xr:uid="{215C741A-C9E3-4CC5-8386-5AD354A79596}"/>
    <cellStyle name="Normal 2 29 9 3 5" xfId="10362" xr:uid="{0BA40010-4925-4A9B-ABDE-9EF4E0685F30}"/>
    <cellStyle name="Normal 2 29 9 4 3" xfId="10363" xr:uid="{E9C0BEF6-4BC8-492F-8A86-A3ACB870C8E1}"/>
    <cellStyle name="Normal 2 29 9 5" xfId="10364" xr:uid="{7EDC124E-4BA5-45E2-A479-8A04C580243F}"/>
    <cellStyle name="Normal 2 29 9 5 5" xfId="10365" xr:uid="{5DC1AF9A-FB18-475C-B8E2-251BD7108EE0}"/>
    <cellStyle name="Normal 2 29 9 6 2" xfId="10366" xr:uid="{2E914E67-47B3-491B-BD82-FCDA91F483A0}"/>
    <cellStyle name="Normal 2 29 9 6 4" xfId="10367" xr:uid="{28C1800F-9F3E-4AE5-AE6C-E9A530F3FAE7}"/>
    <cellStyle name="Normal 2 29 9 6 6" xfId="10368" xr:uid="{490DB99E-F878-40D4-A853-09DC5E79E5BA}"/>
    <cellStyle name="Normal 2 29 9 7 2" xfId="10369" xr:uid="{0DAF628F-D1EA-4B39-B1B1-D40F947653B8}"/>
    <cellStyle name="Normal 2 29 9 7 4" xfId="10370" xr:uid="{7EFB7264-88A1-4ACC-AA3A-1854692B8403}"/>
    <cellStyle name="Normal 2 29 9 7 6" xfId="10371" xr:uid="{2D5D0F24-67FC-4D3C-8113-9E47E0175B26}"/>
    <cellStyle name="Normal 2 29 9 8 2" xfId="10372" xr:uid="{8B7D798D-4E30-4FBE-AA32-91179AFA8E4B}"/>
    <cellStyle name="Normal 2 29 9 8 4" xfId="10373" xr:uid="{47D48253-F23F-4C17-AB5C-3FAB302B371C}"/>
    <cellStyle name="Normal 2 29 9 8 6" xfId="10374" xr:uid="{2E006038-2C60-4CBC-9454-18DE0B7825F8}"/>
    <cellStyle name="Normal 2 3" xfId="384" xr:uid="{170FFAE1-E5EA-4502-A451-6AEEBD0E17B7}"/>
    <cellStyle name="Normal 2 3 11" xfId="10375" xr:uid="{57218A70-7583-43FF-8160-BA0461A9C439}"/>
    <cellStyle name="Normal 2 3 13" xfId="10376" xr:uid="{457AC2B0-BF04-4667-8018-29FC006B6ABA}"/>
    <cellStyle name="Normal 2 3 2" xfId="10377" xr:uid="{DE95D771-B44A-4BC2-8374-C3AD3B9EFBD6}"/>
    <cellStyle name="Normal 2 3 2 3" xfId="10378" xr:uid="{6048113F-5E7E-427E-9B8E-1DBA760CA898}"/>
    <cellStyle name="Normal 2 3 2 5" xfId="10379" xr:uid="{7B1E249F-8BEC-4572-ADA6-8874FB60551B}"/>
    <cellStyle name="Normal 2 3 3" xfId="10380" xr:uid="{F9A87671-91AA-4C8E-AB5D-9526E76C4763}"/>
    <cellStyle name="Normal 2 3 3 3" xfId="10381" xr:uid="{4D291D9B-0411-4878-A73D-CBD4A7EE4FF7}"/>
    <cellStyle name="Normal 2 3 3 5" xfId="10382" xr:uid="{425C5862-F25C-42E2-96A5-5310FA41F612}"/>
    <cellStyle name="Normal 2 3 4" xfId="10383" xr:uid="{23FFFB8E-7B31-4E4C-8F66-652EC6498768}"/>
    <cellStyle name="Normal 2 3 4 4" xfId="10384" xr:uid="{D52E8342-0070-415D-A9CF-131B0EB067F5}"/>
    <cellStyle name="Normal 2 3 5 2" xfId="10385" xr:uid="{3C767710-BC56-4C3C-BE2F-C8777D39DC57}"/>
    <cellStyle name="Normal 2 3 5 6" xfId="10386" xr:uid="{F050E0BA-8F37-4903-92E3-79BE19D07A1A}"/>
    <cellStyle name="Normal 2 3 6 3" xfId="10387" xr:uid="{D03C635E-C91C-407D-899D-2B3D35BFCB9F}"/>
    <cellStyle name="Normal 2 3 6 5" xfId="10388" xr:uid="{BE837487-BDC6-41FB-B67B-C8D8A34F8DE4}"/>
    <cellStyle name="Normal 2 3 7" xfId="10389" xr:uid="{A6233502-272A-4992-B26C-86C2B875842F}"/>
    <cellStyle name="Normal 2 3 7 3" xfId="10390" xr:uid="{6C577B0F-1056-4991-BFF7-6EAE41528BDE}"/>
    <cellStyle name="Normal 2 3 7 5" xfId="10391" xr:uid="{A3C19A45-8289-403E-A0EE-AB44B5C64B6C}"/>
    <cellStyle name="Normal 2 3 8" xfId="10392" xr:uid="{65725ED8-8AEA-4571-8E86-7569079556CD}"/>
    <cellStyle name="Normal 2 3 8 3" xfId="10393" xr:uid="{C09CE463-94CB-4926-A9F2-E130D7D34220}"/>
    <cellStyle name="Normal 2 3 8 5" xfId="10394" xr:uid="{FFEA2D0D-F3D7-4B03-8D9D-FD0D2F223BDD}"/>
    <cellStyle name="Normal 2 3 9" xfId="10395" xr:uid="{C70BF8D8-8AB0-4A1B-B988-3FBD2BD9F468}"/>
    <cellStyle name="Normal 2 30 10" xfId="10396" xr:uid="{F7F941B8-8987-4E2D-BFE3-05E604E24C45}"/>
    <cellStyle name="Normal 2 30 12" xfId="10397" xr:uid="{2064B213-E4C9-4B21-81AA-6E68BBF179EF}"/>
    <cellStyle name="Normal 2 30 14" xfId="10398" xr:uid="{E9126D0A-C7FC-44C0-A91B-DF1B16FB6F46}"/>
    <cellStyle name="Normal 2 30 2 2" xfId="10399" xr:uid="{070CEC4D-2DD1-4361-8361-1C1765B72EF2}"/>
    <cellStyle name="Normal 2 30 2 4" xfId="10400" xr:uid="{31FF29E1-8F62-4F2B-B7EC-CD18240DE276}"/>
    <cellStyle name="Normal 2 30 2 6" xfId="10401" xr:uid="{3BC08656-396B-462B-8301-8EADE7BC3B53}"/>
    <cellStyle name="Normal 2 30 3 2" xfId="10402" xr:uid="{DB6C10A7-53DF-4B98-9074-833317BED104}"/>
    <cellStyle name="Normal 2 30 3 4" xfId="10403" xr:uid="{00B59080-5036-4577-BC16-30CA11B7016D}"/>
    <cellStyle name="Normal 2 30 3 6" xfId="10404" xr:uid="{8F4566A2-5934-4D8F-A199-41ECD79570E1}"/>
    <cellStyle name="Normal 2 30 4 2" xfId="10405" xr:uid="{2404F923-31C5-4D5C-874E-DE0F803D5121}"/>
    <cellStyle name="Normal 2 30 4 4" xfId="10406" xr:uid="{D7769BA4-DB2C-4EB1-AE90-B56BDA25ADD2}"/>
    <cellStyle name="Normal 2 30 4 6" xfId="10407" xr:uid="{1398BB40-F23C-4268-98C3-A21683818FA5}"/>
    <cellStyle name="Normal 2 30 5 2" xfId="10408" xr:uid="{271BE6FC-70F0-429E-8D10-312E97D43017}"/>
    <cellStyle name="Normal 2 30 5 4" xfId="10409" xr:uid="{662434FD-3FC7-4477-BEA7-5182317B1C04}"/>
    <cellStyle name="Normal 2 30 5 6" xfId="10410" xr:uid="{FC86F071-C924-43EC-B4F5-1F382BB8F50C}"/>
    <cellStyle name="Normal 2 30 6 2" xfId="10411" xr:uid="{4F587402-96C2-47E2-B1C6-64C1A9F77904}"/>
    <cellStyle name="Normal 2 30 6 4" xfId="10412" xr:uid="{49B13115-13BF-49CC-B109-D002E85C312F}"/>
    <cellStyle name="Normal 2 30 6 6" xfId="10413" xr:uid="{6F01B191-0E5C-46BF-9C09-691898308F85}"/>
    <cellStyle name="Normal 2 30 7 2" xfId="10414" xr:uid="{E865F1B3-D4E3-4018-9551-F48F29AB3649}"/>
    <cellStyle name="Normal 2 30 7 4" xfId="10415" xr:uid="{BD26BA49-D9E9-425B-88F8-28958F764709}"/>
    <cellStyle name="Normal 2 30 7 6" xfId="10416" xr:uid="{6BC759D6-F7D6-4A51-9E05-AB93D412C611}"/>
    <cellStyle name="Normal 2 30 8 2" xfId="10417" xr:uid="{246E5894-E58E-47DE-8974-EB2BEA0E401F}"/>
    <cellStyle name="Normal 2 30 8 4" xfId="10418" xr:uid="{E9AE6936-3AF3-4C18-A3BD-3643423C3069}"/>
    <cellStyle name="Normal 2 30 8 6" xfId="10419" xr:uid="{786A6132-2D87-4FFF-B06E-F1B15D935E18}"/>
    <cellStyle name="Normal 2 31" xfId="10420" xr:uid="{2731B663-12F9-4EEB-BF4E-8DF91A8DAF7D}"/>
    <cellStyle name="Normal 2 31 10" xfId="10421" xr:uid="{487FC0FC-FA00-4201-A257-EF1A18716E49}"/>
    <cellStyle name="Normal 2 31 12" xfId="10422" xr:uid="{398F3EEF-DB40-4D20-90C7-736DC80B6502}"/>
    <cellStyle name="Normal 2 31 14" xfId="10423" xr:uid="{96A771EA-A45E-4E25-92C3-484D26BE5F0B}"/>
    <cellStyle name="Normal 2 31 2 2" xfId="10424" xr:uid="{C6CE6036-2424-404E-A491-4538A1D2298D}"/>
    <cellStyle name="Normal 2 31 2 4" xfId="10425" xr:uid="{6EA56FF1-B3FD-4AC4-B9BA-A1FFDC159D0D}"/>
    <cellStyle name="Normal 2 31 2 5" xfId="10426" xr:uid="{897CB236-CA0F-4711-B5FA-52224C227717}"/>
    <cellStyle name="Normal 2 31 3" xfId="10427" xr:uid="{401FC5AD-39B6-40A9-BAFB-6B651B9A054F}"/>
    <cellStyle name="Normal 2 31 3 3" xfId="10428" xr:uid="{6F35C372-A589-47FA-8D33-DD8EDF476496}"/>
    <cellStyle name="Normal 2 31 3 5" xfId="10429" xr:uid="{52BADA14-34EB-4DBB-9929-7F6A3AA51829}"/>
    <cellStyle name="Normal 2 31 4" xfId="10430" xr:uid="{D52D496A-9B06-4FFF-A728-2FFC1D2D5C47}"/>
    <cellStyle name="Normal 2 31 4 3" xfId="10431" xr:uid="{0F8754E6-C929-45E3-BF20-828A22D363D8}"/>
    <cellStyle name="Normal 2 31 4 5" xfId="10432" xr:uid="{B27A868A-2806-46F1-970D-641A114B89CE}"/>
    <cellStyle name="Normal 2 31 5" xfId="10433" xr:uid="{4858BB44-EAC6-4B3F-A7A1-8417E8C68E46}"/>
    <cellStyle name="Normal 2 31 5 3" xfId="10434" xr:uid="{DAEDDE92-B553-4374-B32F-29526B3A17E9}"/>
    <cellStyle name="Normal 2 31 5 5" xfId="10435" xr:uid="{B6793887-2C47-4CCD-8987-567460A886E1}"/>
    <cellStyle name="Normal 2 31 6" xfId="10436" xr:uid="{698EE860-22EF-4261-B5CD-1CA1B8DBA63D}"/>
    <cellStyle name="Normal 2 31 6 3" xfId="10437" xr:uid="{06602BF3-D4A6-43A4-A7C3-42777A2D1CA9}"/>
    <cellStyle name="Normal 2 31 6 5" xfId="10438" xr:uid="{86FE671A-D6B2-411C-B13D-124F60414CF3}"/>
    <cellStyle name="Normal 2 31 7" xfId="10439" xr:uid="{74B427E3-B0AB-4A39-9905-85EA3FDF1F6B}"/>
    <cellStyle name="Normal 2 31 7 3" xfId="10440" xr:uid="{6E0C0D3F-D10F-4C77-85FA-0E083AFE526C}"/>
    <cellStyle name="Normal 2 31 7 5" xfId="10441" xr:uid="{8B1F17EB-BDCD-4121-8421-81E9ABBE9288}"/>
    <cellStyle name="Normal 2 31 8" xfId="10442" xr:uid="{0D01BD83-C115-4B4E-B4ED-1B3B134ACC4C}"/>
    <cellStyle name="Normal 2 31 8 3" xfId="10443" xr:uid="{0AA3D509-6EA0-4D41-A920-6C71D3B1214D}"/>
    <cellStyle name="Normal 2 31 8 5" xfId="10444" xr:uid="{FDB1B8E3-76A2-4B75-AAEB-A0973A8ECF3A}"/>
    <cellStyle name="Normal 2 31 9" xfId="10445" xr:uid="{AB24034E-5A15-4A67-A0EF-1FC452409EEF}"/>
    <cellStyle name="Normal 2 32 10" xfId="10446" xr:uid="{863D33BE-A980-4A09-9541-85B779802823}"/>
    <cellStyle name="Normal 2 32 12" xfId="10447" xr:uid="{8058D691-43AB-44DE-8512-3124227B1E04}"/>
    <cellStyle name="Normal 2 32 14" xfId="10448" xr:uid="{88CF5A0D-D957-4F35-883D-866CF646E1E4}"/>
    <cellStyle name="Normal 2 32 2 2" xfId="10449" xr:uid="{0B621E11-D495-4F59-8E9B-0D0C6E360F5E}"/>
    <cellStyle name="Normal 2 32 2 4" xfId="10450" xr:uid="{0B5F289A-324D-4C3C-B76B-B724668AD060}"/>
    <cellStyle name="Normal 2 32 2 6" xfId="10451" xr:uid="{434F941A-BB04-42D1-9052-7CF88A49B56D}"/>
    <cellStyle name="Normal 2 32 3 2" xfId="10452" xr:uid="{CBA0D0DB-E684-4A90-B35F-6BF918429BDB}"/>
    <cellStyle name="Normal 2 32 3 4" xfId="10453" xr:uid="{DF54883F-3351-43D2-987F-C8BF0E888A55}"/>
    <cellStyle name="Normal 2 32 4 2" xfId="10454" xr:uid="{8D7DFA5C-1FD5-48F6-89B4-21A55344258E}"/>
    <cellStyle name="Normal 2 32 4 4" xfId="10455" xr:uid="{5F8FCB32-A234-4AB0-B6E7-57F977D4BD90}"/>
    <cellStyle name="Normal 2 32 4 6" xfId="10456" xr:uid="{1A7531B6-DC76-4519-A797-293A7998D2B1}"/>
    <cellStyle name="Normal 2 32 5 2" xfId="10457" xr:uid="{77053290-0930-49F9-BCCA-BF4CD4ED6FE8}"/>
    <cellStyle name="Normal 2 32 5 4" xfId="10458" xr:uid="{9F632E08-2E61-4A32-9BC7-51602CFABE0F}"/>
    <cellStyle name="Normal 2 32 5 6" xfId="10459" xr:uid="{DA736F9F-8B21-46D8-B1D5-9EBA6157490B}"/>
    <cellStyle name="Normal 2 32 6 2" xfId="10460" xr:uid="{45A6667D-F106-4790-BF15-B97D2FD6D856}"/>
    <cellStyle name="Normal 2 32 6 4" xfId="10461" xr:uid="{44087C9D-B399-48C5-8C27-2702D0C72FBF}"/>
    <cellStyle name="Normal 2 32 6 6" xfId="10462" xr:uid="{C21D71FD-1D9E-4BC7-88CA-01B515533C83}"/>
    <cellStyle name="Normal 2 32 7 2" xfId="10463" xr:uid="{8E42B1B6-5D20-42A6-B2DF-71B363DD7A6D}"/>
    <cellStyle name="Normal 2 32 7 4" xfId="10464" xr:uid="{9279AF4F-F045-466D-B9F4-26CF91066E16}"/>
    <cellStyle name="Normal 2 32 7 6" xfId="10465" xr:uid="{BC154328-3C6F-47A4-8A1B-8416A5776A50}"/>
    <cellStyle name="Normal 2 32 8 2" xfId="10466" xr:uid="{598FD74F-CDBB-4A8E-846F-6E39CC889103}"/>
    <cellStyle name="Normal 2 32 8 4" xfId="10467" xr:uid="{D871D44F-FAC8-4547-A287-A9C7F088C2E1}"/>
    <cellStyle name="Normal 2 32 8 6" xfId="10468" xr:uid="{682342AD-3D27-4BE9-A07A-800DF77BFBDC}"/>
    <cellStyle name="Normal 2 32 9" xfId="10469" xr:uid="{AB53F2BE-687D-492C-A117-F0BD7895EBF7}"/>
    <cellStyle name="Normal 2 33 10" xfId="10470" xr:uid="{DFF9869C-D1D8-408E-824B-A3DC7A1F91E8}"/>
    <cellStyle name="Normal 2 33 12" xfId="10471" xr:uid="{7B99B656-258D-45C2-AD11-34512EAC0A7C}"/>
    <cellStyle name="Normal 2 33 14" xfId="10472" xr:uid="{023FB765-89F5-47F6-8343-E8550337906E}"/>
    <cellStyle name="Normal 2 33 2 2" xfId="10473" xr:uid="{A306F9B3-9586-4598-ABDF-4535B8947F96}"/>
    <cellStyle name="Normal 2 33 2 3" xfId="10474" xr:uid="{F2C080C9-2B57-471C-9960-72EE226F885E}"/>
    <cellStyle name="Normal 2 33 2 5" xfId="10475" xr:uid="{307DB882-1A9A-4791-BE4D-DAB1BDCB19BB}"/>
    <cellStyle name="Normal 2 33 3" xfId="10476" xr:uid="{8F997AE8-27E5-425E-843C-D536025FA0CC}"/>
    <cellStyle name="Normal 2 33 3 3" xfId="10477" xr:uid="{AB7AE6A5-66DD-45D8-943E-15E1E666F117}"/>
    <cellStyle name="Normal 2 33 3 5" xfId="10478" xr:uid="{3F292103-3066-4F2F-840B-2B4C69574CDF}"/>
    <cellStyle name="Normal 2 33 4" xfId="10479" xr:uid="{064C9706-7FF6-4D57-9B88-9D7E83A554F9}"/>
    <cellStyle name="Normal 2 33 4 3" xfId="10480" xr:uid="{F56E628F-C6C7-4D33-BD6D-DC229921BAC3}"/>
    <cellStyle name="Normal 2 33 4 5" xfId="10481" xr:uid="{B79F5A32-AFAC-4B12-B2A0-A709C6826E8D}"/>
    <cellStyle name="Normal 2 33 5" xfId="10482" xr:uid="{ED3167FC-4BDB-47BF-A61B-2B9C8B8A6C3E}"/>
    <cellStyle name="Normal 2 33 5 3" xfId="10483" xr:uid="{69240BC9-1F0F-4A51-8E99-21CA0D992425}"/>
    <cellStyle name="Normal 2 33 5 5" xfId="10484" xr:uid="{FDBD3156-A7B1-4F99-98DB-5ABA94248BEC}"/>
    <cellStyle name="Normal 2 33 6" xfId="10485" xr:uid="{FF94D1D7-7C2E-4D87-931A-DCCF8A1A511C}"/>
    <cellStyle name="Normal 2 33 6 3" xfId="10486" xr:uid="{50516302-C10D-4ACF-8089-3D064F1FA978}"/>
    <cellStyle name="Normal 2 33 6 5" xfId="10487" xr:uid="{214747EB-7201-4ACE-8EB6-C9527E34186A}"/>
    <cellStyle name="Normal 2 33 7" xfId="10488" xr:uid="{265FA3BE-8234-4729-B3CE-F3B5713A41EF}"/>
    <cellStyle name="Normal 2 33 7 3" xfId="10489" xr:uid="{735858A7-BD47-4DBB-85AD-5D3446B5FA48}"/>
    <cellStyle name="Normal 2 33 7 5" xfId="10490" xr:uid="{4CBBE5A6-7320-4ADC-B9D4-341DCD366B45}"/>
    <cellStyle name="Normal 2 33 8" xfId="10491" xr:uid="{2D6EFA4C-E4D6-4A80-9743-6090DBC7BE4A}"/>
    <cellStyle name="Normal 2 33 8 3" xfId="10492" xr:uid="{13403C5D-6A01-49CD-BF51-7164CC847461}"/>
    <cellStyle name="Normal 2 33 8 5" xfId="10493" xr:uid="{2CB12E68-6005-418A-AC53-D79A98FB612B}"/>
    <cellStyle name="Normal 2 33 9" xfId="10494" xr:uid="{6B2DDB7A-0167-45C8-99B3-1A782D6E0531}"/>
    <cellStyle name="Normal 2 34 10" xfId="10495" xr:uid="{C001F9F9-BD74-4EAB-B11A-D5ACD9A6BD1C}"/>
    <cellStyle name="Normal 2 34 12" xfId="10496" xr:uid="{9CC353B1-EF62-4D62-90DB-82EDD1E67A8D}"/>
    <cellStyle name="Normal 2 34 14" xfId="10497" xr:uid="{F4F31E42-0996-42E7-A0FC-33FDAE860BA6}"/>
    <cellStyle name="Normal 2 34 2 2" xfId="10498" xr:uid="{3D4B4288-7E38-4CEB-96E6-141FFDF69B30}"/>
    <cellStyle name="Normal 2 34 2 4" xfId="10499" xr:uid="{E171E06C-5D3B-4A76-BD45-A4747E2E9081}"/>
    <cellStyle name="Normal 2 34 2 6" xfId="10500" xr:uid="{C11B669F-C65B-45A3-A930-F82937235AD3}"/>
    <cellStyle name="Normal 2 34 3 2" xfId="10501" xr:uid="{486D7941-762F-4290-8ADE-EAFD6DB37D25}"/>
    <cellStyle name="Normal 2 34 3 4" xfId="10502" xr:uid="{94EDCB43-3D4E-494B-9583-3DD46770B877}"/>
    <cellStyle name="Normal 2 34 3 6" xfId="10503" xr:uid="{490F9C6D-0EDF-441D-9E88-5A788D7D6E45}"/>
    <cellStyle name="Normal 2 34 4 2" xfId="10504" xr:uid="{AB48F798-171C-4BFF-BC90-A95C79084E36}"/>
    <cellStyle name="Normal 2 34 4 4" xfId="10505" xr:uid="{97AC20DC-7602-475F-8F34-09156C90FE61}"/>
    <cellStyle name="Normal 2 34 4 6" xfId="10506" xr:uid="{6E01081F-1F6E-4507-BBDF-3BDE9E961B90}"/>
    <cellStyle name="Normal 2 34 5 2" xfId="10507" xr:uid="{C089CA01-A16A-4AC4-8C06-FE0CC53B3B64}"/>
    <cellStyle name="Normal 2 34 5 4" xfId="10508" xr:uid="{718E2EB6-CE0C-445E-868F-42C79A9C397C}"/>
    <cellStyle name="Normal 2 34 5 6" xfId="10509" xr:uid="{0F411DF8-793F-4CE4-84D3-DE4A00E6FB6C}"/>
    <cellStyle name="Normal 2 34 6 2" xfId="10510" xr:uid="{624192CF-71C0-4A92-AB98-9CEE5675D952}"/>
    <cellStyle name="Normal 2 34 6 4" xfId="10511" xr:uid="{A260FB37-840C-4237-BD5C-FB1CC68112CC}"/>
    <cellStyle name="Normal 2 34 6 6" xfId="10512" xr:uid="{FCE22AC5-7AE6-4C0F-A792-49ABFAFCE0D7}"/>
    <cellStyle name="Normal 2 34 7 2" xfId="10513" xr:uid="{CCAF1E48-D71E-4798-BDBE-7D317057BE7F}"/>
    <cellStyle name="Normal 2 34 7 4" xfId="10514" xr:uid="{68E9B843-5212-4D8A-83EF-09BE42B52945}"/>
    <cellStyle name="Normal 2 34 7 6" xfId="10515" xr:uid="{C0E9E6E7-2CF9-4CFB-AEDE-61A05313CFF7}"/>
    <cellStyle name="Normal 2 34 8 2" xfId="10516" xr:uid="{A861D251-AF85-4206-A69D-BC7CE55F8CBD}"/>
    <cellStyle name="Normal 2 34 8 4" xfId="10517" xr:uid="{05CDEA31-C846-42CE-88F7-7471D370477A}"/>
    <cellStyle name="Normal 2 34 8 5" xfId="10518" xr:uid="{F4C2A176-0067-456A-B554-9D7C7136A7D4}"/>
    <cellStyle name="Normal 2 34 8 6" xfId="10519" xr:uid="{8D952885-EEDB-485F-BBAE-F5C25FDBC159}"/>
    <cellStyle name="Normal 2 34 9" xfId="10520" xr:uid="{D75A73F5-4153-463E-8831-E0CC11E24F94}"/>
    <cellStyle name="Normal 2 35" xfId="10521" xr:uid="{E0829FD2-EB67-41E2-B7B2-D4EE0E324FF1}"/>
    <cellStyle name="Normal 2 35 11" xfId="10522" xr:uid="{A377192C-AB27-4197-94E3-A7A85EBB9AEA}"/>
    <cellStyle name="Normal 2 35 13" xfId="10523" xr:uid="{B060CDB3-F1A3-48AC-B931-E9AC5C3D8C06}"/>
    <cellStyle name="Normal 2 35 2" xfId="10524" xr:uid="{2C484E2C-55AE-427C-AE24-03BAEF949F83}"/>
    <cellStyle name="Normal 2 35 2 3" xfId="10525" xr:uid="{EC9E7040-0F76-4CC5-9F42-F4153C909EB1}"/>
    <cellStyle name="Normal 2 35 2 5" xfId="10526" xr:uid="{E2A369A4-BFE6-4534-AA3E-00C8E2707F89}"/>
    <cellStyle name="Normal 2 35 3" xfId="10527" xr:uid="{AC0DA778-2650-40D1-967E-5AC5B2D0BC46}"/>
    <cellStyle name="Normal 2 35 3 3" xfId="10528" xr:uid="{1286CE50-7E2D-4339-8494-CBD6DD5E1978}"/>
    <cellStyle name="Normal 2 35 3 5" xfId="10529" xr:uid="{3EF5E8B4-D4C9-40D0-8D92-2A0439C54130}"/>
    <cellStyle name="Normal 2 35 4" xfId="10530" xr:uid="{76BD4750-2E33-4B9A-9C9D-53B491AA742C}"/>
    <cellStyle name="Normal 2 35 4 3" xfId="10531" xr:uid="{B29F5D44-5863-4808-8C34-AEE4E134D315}"/>
    <cellStyle name="Normal 2 35 4 5" xfId="10532" xr:uid="{B9EA17CE-EDB3-4AC1-A814-E94475CCC1A5}"/>
    <cellStyle name="Normal 2 35 5" xfId="10533" xr:uid="{6C08567C-7B4F-4B6A-BA62-4A41FEFFC08A}"/>
    <cellStyle name="Normal 2 35 5 3" xfId="10534" xr:uid="{0F061E23-4709-4E65-9386-871E994BE099}"/>
    <cellStyle name="Normal 2 35 5 5" xfId="10535" xr:uid="{536DB46A-910D-4409-B8CE-EC88184BFF5C}"/>
    <cellStyle name="Normal 2 35 6" xfId="10536" xr:uid="{F7005D9E-0744-48C3-A885-E20232C4EE99}"/>
    <cellStyle name="Normal 2 35 6 3" xfId="10537" xr:uid="{6F20FDA0-324F-4AA0-BA44-0CA8313D5C0A}"/>
    <cellStyle name="Normal 2 35 6 5" xfId="10538" xr:uid="{79BB4F76-26E5-401D-88CB-1D534E278B82}"/>
    <cellStyle name="Normal 2 35 7" xfId="10539" xr:uid="{781385D9-BBA1-4F2E-8F81-3C6247583B86}"/>
    <cellStyle name="Normal 2 35 7 3" xfId="10540" xr:uid="{D85EDA29-8B69-4B8F-A72C-2D8E87ACB425}"/>
    <cellStyle name="Normal 2 35 7 5" xfId="10541" xr:uid="{2B65BBEA-A6B0-43C6-A351-B5013632F41F}"/>
    <cellStyle name="Normal 2 35 8" xfId="10542" xr:uid="{A8CC2E9B-1568-4FB7-ADB4-F9E753907B0F}"/>
    <cellStyle name="Normal 2 35 8 3" xfId="10543" xr:uid="{E8889767-26BB-468C-980F-5601783B59D3}"/>
    <cellStyle name="Normal 2 35 8 5" xfId="10544" xr:uid="{571524D8-1E07-45E8-A6A5-5FAC8988EA51}"/>
    <cellStyle name="Normal 2 35 9" xfId="10545" xr:uid="{7BB69DDA-24BE-482D-9C46-4C24DF668FDB}"/>
    <cellStyle name="Normal 2 36 10" xfId="10546" xr:uid="{7F55911A-3D9A-4317-B5A6-AB94F0E755B2}"/>
    <cellStyle name="Normal 2 36 12" xfId="10547" xr:uid="{14AC9947-002C-49BF-9F54-DF54DAA335F4}"/>
    <cellStyle name="Normal 2 36 14" xfId="10548" xr:uid="{16986414-45A6-4502-A55C-F1564E994D68}"/>
    <cellStyle name="Normal 2 36 2 2" xfId="10549" xr:uid="{543720D8-A6BD-4428-AE23-1EA464E713EF}"/>
    <cellStyle name="Normal 2 36 2 4" xfId="10550" xr:uid="{6FAB1DA9-3C81-4FA7-9AED-96AFF1856B62}"/>
    <cellStyle name="Normal 2 36 2 6" xfId="10551" xr:uid="{9C48AECA-0054-4ADE-B3B9-1A34D6DFAA10}"/>
    <cellStyle name="Normal 2 36 3 2" xfId="10552" xr:uid="{F3C63C11-2683-4CDE-A82C-C63C2EA14669}"/>
    <cellStyle name="Normal 2 36 3 4" xfId="10553" xr:uid="{5422F6A7-EA81-42F7-BB80-ABB184E0582C}"/>
    <cellStyle name="Normal 2 36 3 6" xfId="10554" xr:uid="{8846CF8B-9719-4108-AE08-313ABCE9BF6D}"/>
    <cellStyle name="Normal 2 36 4 2" xfId="10555" xr:uid="{858A0F7B-3B2B-490F-81D6-0C56924B9683}"/>
    <cellStyle name="Normal 2 36 4 4" xfId="10556" xr:uid="{83A15842-2C49-4308-A57E-5C6562CEED21}"/>
    <cellStyle name="Normal 2 36 4 6" xfId="10557" xr:uid="{A43C8141-F37A-4E68-B89D-2D098A837890}"/>
    <cellStyle name="Normal 2 36 5 2" xfId="10558" xr:uid="{7109EEDB-5A1F-4E76-9B2C-57F90577F5E2}"/>
    <cellStyle name="Normal 2 36 5 4" xfId="10559" xr:uid="{F2E4527F-3720-4F90-AD18-8ADAA31DF0F6}"/>
    <cellStyle name="Normal 2 36 5 6" xfId="10560" xr:uid="{6192BD24-C814-4846-A454-15318A989CB2}"/>
    <cellStyle name="Normal 2 36 6 2" xfId="10561" xr:uid="{09B57ADC-4FCC-4399-9469-BEEF43E1CFFB}"/>
    <cellStyle name="Normal 2 36 6 4" xfId="10562" xr:uid="{84BDD16A-CE1B-472B-8BF4-2DD110D6D990}"/>
    <cellStyle name="Normal 2 36 6 6" xfId="10563" xr:uid="{813D4A80-46B0-4E46-B6E0-695A0E324B87}"/>
    <cellStyle name="Normal 2 36 7 2" xfId="10564" xr:uid="{AC131993-B596-4976-A367-8705B0B95F03}"/>
    <cellStyle name="Normal 2 36 7 4" xfId="10565" xr:uid="{855CE943-685E-448E-8DCB-BA1CFB88FC2C}"/>
    <cellStyle name="Normal 2 36 7 6" xfId="10566" xr:uid="{37F21B43-FFBC-4FD3-84DA-849B13A9AC90}"/>
    <cellStyle name="Normal 2 36 8 2" xfId="10567" xr:uid="{E6635C01-39AD-43BA-91E0-42308E1BF06C}"/>
    <cellStyle name="Normal 2 36 8 4" xfId="10568" xr:uid="{9140049B-6643-4FFA-A9AA-A510103374B1}"/>
    <cellStyle name="Normal 2 36 8 5" xfId="10569" xr:uid="{A3BC44FB-24E9-41ED-B3D8-6AAE48469267}"/>
    <cellStyle name="Normal 2 36 9" xfId="10570" xr:uid="{70E200F3-95C0-4C45-96CB-51116191BA86}"/>
    <cellStyle name="Normal 2 37 10" xfId="10571" xr:uid="{0A4ECFC7-FFFD-48A1-A088-8666004F1AA5}"/>
    <cellStyle name="Normal 2 37 12" xfId="10572" xr:uid="{F7538AC5-747F-4F37-9ACF-058AF7CFCE47}"/>
    <cellStyle name="Normal 2 37 14" xfId="10573" xr:uid="{F19E7206-08A3-4AE2-8C53-FC3F67A63106}"/>
    <cellStyle name="Normal 2 37 2 2" xfId="10574" xr:uid="{39D2E0ED-B3CD-471D-88E6-62C4EB641166}"/>
    <cellStyle name="Normal 2 37 2 4" xfId="10575" xr:uid="{96EB2C83-DB1C-4EAA-97F8-F8AC5AF7C9E5}"/>
    <cellStyle name="Normal 2 37 2 6" xfId="10576" xr:uid="{AA031EF1-12D6-4FBE-8B26-17EB1843033E}"/>
    <cellStyle name="Normal 2 37 3 2" xfId="10577" xr:uid="{BAC3CFB7-4A61-4BBD-87F5-5485732711F2}"/>
    <cellStyle name="Normal 2 37 3 4" xfId="10578" xr:uid="{F040EF54-8E0C-4C87-AF40-BB5AA514ED48}"/>
    <cellStyle name="Normal 2 37 3 6" xfId="10579" xr:uid="{7CA16132-54D6-4F51-9ACF-748EFDF8DCFC}"/>
    <cellStyle name="Normal 2 37 4 2" xfId="10580" xr:uid="{81AA236C-0DDC-4A91-83DA-F61FF69D0CFF}"/>
    <cellStyle name="Normal 2 37 4 4" xfId="10581" xr:uid="{7B4D4AEC-0138-4CC0-8B02-01C8A1630D89}"/>
    <cellStyle name="Normal 2 37 4 6" xfId="10582" xr:uid="{8EB310C3-B1F1-4C2D-9B89-27AD4AC3657F}"/>
    <cellStyle name="Normal 2 37 5 2" xfId="10583" xr:uid="{C24E86A1-C33A-4BF4-ADFB-7EB80272DC42}"/>
    <cellStyle name="Normal 2 37 5 4" xfId="10584" xr:uid="{F65DC7F0-E89E-474F-ACA3-38EE8B808348}"/>
    <cellStyle name="Normal 2 37 5 6" xfId="10585" xr:uid="{854390C0-A832-4BCE-9584-B0C2DED63EA3}"/>
    <cellStyle name="Normal 2 37 6 2" xfId="10586" xr:uid="{29B16C77-CA0A-4F09-8759-DC3AADB4F5DD}"/>
    <cellStyle name="Normal 2 37 6 4" xfId="10587" xr:uid="{1228FA99-AA83-44AB-8891-FDDA94854999}"/>
    <cellStyle name="Normal 2 37 6 6" xfId="10588" xr:uid="{50745B42-81D8-4329-8D3C-07E10DEA78F8}"/>
    <cellStyle name="Normal 2 37 7 2" xfId="10589" xr:uid="{3EACBAA6-A27D-4AFD-AFE6-8398D6F0F5A7}"/>
    <cellStyle name="Normal 2 37 7 4" xfId="10590" xr:uid="{88312D40-1B60-49ED-A5E2-868B1EEE5C87}"/>
    <cellStyle name="Normal 2 37 7 6" xfId="10591" xr:uid="{B3AB99E2-B5BD-464F-9C7F-8E3BEEEFDAC4}"/>
    <cellStyle name="Normal 2 37 8 2" xfId="10592" xr:uid="{48010D2C-D020-4452-8F4C-9221561FB4E8}"/>
    <cellStyle name="Normal 2 37 8 5" xfId="10593" xr:uid="{E77BE160-D8C9-48EF-968D-F9B97FE52C45}"/>
    <cellStyle name="Normal 2 38 10" xfId="10594" xr:uid="{A30C1BE4-31F1-4162-B09F-CE8A835F89E6}"/>
    <cellStyle name="Normal 2 38 14" xfId="10595" xr:uid="{97178B0E-CF97-4EF6-8602-E215EC975BB2}"/>
    <cellStyle name="Normal 2 38 2 4" xfId="10596" xr:uid="{B3B096E2-A754-4707-8570-542E97B0B8AC}"/>
    <cellStyle name="Normal 2 38 3 2" xfId="10597" xr:uid="{CFBB5533-08A9-4A2A-B80E-E35E79D403A7}"/>
    <cellStyle name="Normal 2 38 3 6" xfId="10598" xr:uid="{23F6E439-7CA3-4082-9455-C5B5F5CD409A}"/>
    <cellStyle name="Normal 2 38 4 4" xfId="10599" xr:uid="{8B801BAE-C721-440B-86F0-73EC1AFF5060}"/>
    <cellStyle name="Normal 2 38 5 2" xfId="10600" xr:uid="{24F722B2-1BC2-400E-9CCD-E000BF8CBFCD}"/>
    <cellStyle name="Normal 2 38 5 6" xfId="10601" xr:uid="{9B859914-310E-428B-A462-5F844F59E69A}"/>
    <cellStyle name="Normal 2 38 6 4" xfId="10602" xr:uid="{B9730C2D-BF68-4263-AC23-CF876CF51956}"/>
    <cellStyle name="Normal 2 38 7 2" xfId="10603" xr:uid="{7A467B86-3F8D-420C-80CE-DD87965066C6}"/>
    <cellStyle name="Normal 2 38 7 6" xfId="10604" xr:uid="{3409130F-9422-4C71-9067-64E02D1AB6F7}"/>
    <cellStyle name="Normal 2 38 8 4" xfId="10605" xr:uid="{6D47D07A-C3B6-4BFE-A7C2-2FE65A7D4A6A}"/>
    <cellStyle name="Normal 2 39" xfId="10606" xr:uid="{F30E01CF-3751-4085-A3C7-217B59B90CD9}"/>
    <cellStyle name="Normal 2 39 13" xfId="10607" xr:uid="{EEC74D8B-C15A-4482-A82F-3BDD9265A19F}"/>
    <cellStyle name="Normal 2 39 2 3" xfId="10608" xr:uid="{D6C33ABF-9AB4-4E35-B269-77EE8FB94A0D}"/>
    <cellStyle name="Normal 2 39 2 6" xfId="10609" xr:uid="{5F8BE45F-2303-44FD-A914-FEB819FB7F94}"/>
    <cellStyle name="Normal 2 39 3 4" xfId="10610" xr:uid="{BAD1E572-418C-4F0E-BA49-AE803C75CF70}"/>
    <cellStyle name="Normal 2 39 4 2" xfId="10611" xr:uid="{AA737783-5FDA-4D40-9016-75FDFC41965A}"/>
    <cellStyle name="Normal 2 39 4 6" xfId="10612" xr:uid="{BF4746EC-2456-4797-A767-8D1AC2928223}"/>
    <cellStyle name="Normal 2 39 5 4" xfId="10613" xr:uid="{869C6E60-C755-4FB4-AEB7-0EC84340CC84}"/>
    <cellStyle name="Normal 2 39 6 3" xfId="10614" xr:uid="{0C25813E-FB8C-44B2-8015-092577306775}"/>
    <cellStyle name="Normal 2 39 7" xfId="10615" xr:uid="{4C4B3A77-4642-48A7-AE23-DE2E2D7B40C2}"/>
    <cellStyle name="Normal 2 39 7 5" xfId="10616" xr:uid="{CC634D3D-8617-4881-8022-FD3488FCAF6B}"/>
    <cellStyle name="Normal 2 39 8" xfId="10617" xr:uid="{B0FE1C16-54A7-4DEB-BA4F-B9CB19C67516}"/>
    <cellStyle name="Normal 2 39 8 5" xfId="10618" xr:uid="{4FED108A-3272-410F-89D7-381257137C63}"/>
    <cellStyle name="Normal 2 4 10" xfId="10619" xr:uid="{E016015C-D407-4370-BCB4-053DE3B2D819}"/>
    <cellStyle name="Normal 2 4 14" xfId="10620" xr:uid="{FBEE1BCC-0BAA-478F-BBBD-865D40011DC1}"/>
    <cellStyle name="Normal 2 4 2 4" xfId="10621" xr:uid="{4F88340A-E2FE-4D3C-AB0C-6699785082DC}"/>
    <cellStyle name="Normal 2 4 3 2" xfId="10622" xr:uid="{040C2F63-111E-434E-BB74-6609E551B349}"/>
    <cellStyle name="Normal 2 4 3 6" xfId="10623" xr:uid="{F30DD866-2422-4D2F-AFCA-00A42C067F9D}"/>
    <cellStyle name="Normal 2 4 4 4" xfId="10624" xr:uid="{6E50800C-08DA-4BCF-B751-B21CE170195A}"/>
    <cellStyle name="Normal 2 4 5 2" xfId="10625" xr:uid="{7E0E5139-DAE1-44B8-B0C9-18950650F313}"/>
    <cellStyle name="Normal 2 4 5 6" xfId="10626" xr:uid="{33087833-E6BC-4BED-837E-3CCD5D4F0218}"/>
    <cellStyle name="Normal 2 4 6 4" xfId="10627" xr:uid="{0AAFC3AF-82FF-4AA5-AFE8-490792EB1A4D}"/>
    <cellStyle name="Normal 2 4 7" xfId="10628" xr:uid="{DA1D6607-B331-48D3-916D-60E17B62B538}"/>
    <cellStyle name="Normal 2 4 7 5" xfId="10629" xr:uid="{95ECE249-C2FC-4C0F-AB2B-1739B299C33B}"/>
    <cellStyle name="Normal 2 4 8 3" xfId="10630" xr:uid="{CFCBFD48-97A4-459A-8F6D-381EB5606837}"/>
    <cellStyle name="Normal 2 4 9" xfId="10631" xr:uid="{9D5BD45E-357F-4BD0-91B7-D7319944DAB4}"/>
    <cellStyle name="Normal 2 40 10" xfId="10632" xr:uid="{4276D1A1-1258-4756-A23D-3122598C8A2F}"/>
    <cellStyle name="Normal 2 40 14" xfId="10633" xr:uid="{20A7E099-E421-4C6D-929F-5C39AF646350}"/>
    <cellStyle name="Normal 2 40 18" xfId="10634" xr:uid="{81B445CE-78FD-4A34-B0BA-67FA13A02DE6}"/>
    <cellStyle name="Normal 2 40 21" xfId="10635" xr:uid="{68C49883-E850-4FE8-BD1D-E03A16222842}"/>
    <cellStyle name="Normal 2 40 25" xfId="10636" xr:uid="{4D7E8ADC-F35F-4E18-B5C1-B45C20A83EEA}"/>
    <cellStyle name="Normal 2 40 29" xfId="10637" xr:uid="{A95EB698-7A4A-4892-8ADA-C5DD79855BA9}"/>
    <cellStyle name="Normal 2 40 32" xfId="10638" xr:uid="{FE304136-BE75-4B64-8432-D0AB50121F93}"/>
    <cellStyle name="Normal 2 40 36" xfId="10639" xr:uid="{C4D0AE0D-5A42-4AF1-9943-3E68CBAF4825}"/>
    <cellStyle name="Normal 2 40 5" xfId="10640" xr:uid="{602D1B94-6F05-41FB-964F-DC9C45398CA5}"/>
    <cellStyle name="Normal 2 40 9" xfId="10641" xr:uid="{F0BD6218-15B1-40BA-8F21-D19F05722748}"/>
    <cellStyle name="Normal 2 41 12" xfId="10642" xr:uid="{F5D51E9D-0ED3-4192-AE2A-11ED07C8BE6E}"/>
    <cellStyle name="Normal 2 41 16" xfId="10643" xr:uid="{CF21C3FD-F40D-4A6A-BBB5-5136632B9768}"/>
    <cellStyle name="Normal 2 41 2" xfId="10644" xr:uid="{A44DB052-4838-4EBA-9525-59AC969EE208}"/>
    <cellStyle name="Normal 2 41 23" xfId="10645" xr:uid="{1D19512B-5434-497C-AE56-40FA6B9B8024}"/>
    <cellStyle name="Normal 2 41 27" xfId="10646" xr:uid="{58C393A1-462A-436F-A310-A46FBAA7BB8F}"/>
    <cellStyle name="Normal 2 41 30" xfId="10647" xr:uid="{0A5CCCC3-2A25-4ECD-AE6A-F0D92696526A}"/>
    <cellStyle name="Normal 2 41 33" xfId="10648" xr:uid="{F8EB89FA-1922-4D85-8BF5-2979235A3F3D}"/>
    <cellStyle name="Normal 2 41 37" xfId="10649" xr:uid="{351594B9-CD0E-4E79-B71D-88C145619D93}"/>
    <cellStyle name="Normal 2 41 6" xfId="10650" xr:uid="{01771188-63E6-448B-957A-27D035D9E8E0}"/>
    <cellStyle name="Normal 2 42" xfId="10651" xr:uid="{4AE11FD1-8FAC-4954-B010-53B0C89D641E}"/>
    <cellStyle name="Normal 2 42 13" xfId="10652" xr:uid="{3A5C517A-77F6-490D-B834-FC3BBE67C139}"/>
    <cellStyle name="Normal 2 42 17" xfId="10653" xr:uid="{FA90E0D6-4603-44B9-96F8-460055CEAC62}"/>
    <cellStyle name="Normal 2 42 20" xfId="10654" xr:uid="{92D3927E-44E2-451B-98A3-ADD502FE7AF0}"/>
    <cellStyle name="Normal 2 42 24" xfId="10655" xr:uid="{E68497D9-CDD5-431F-B6D8-378F17670845}"/>
    <cellStyle name="Normal 2 42 28" xfId="10656" xr:uid="{739DC8AC-143D-4069-AC0A-57C87CA56F83}"/>
    <cellStyle name="Normal 2 42 31" xfId="10657" xr:uid="{EDC852AE-1105-4018-A100-B7C79C83A428}"/>
    <cellStyle name="Normal 2 42 35" xfId="10658" xr:uid="{9DC589B8-E785-409F-B390-2FA7C2C7E286}"/>
    <cellStyle name="Normal 2 42 4" xfId="10659" xr:uid="{54DC55D3-1D97-451A-BFA9-8794195863C6}"/>
    <cellStyle name="Normal 2 42 8" xfId="10660" xr:uid="{483AD1D5-D9DD-417D-BC70-D580F411E51B}"/>
    <cellStyle name="Normal 2 43 11" xfId="10661" xr:uid="{F5318F2B-7412-44FE-8D9E-625499F6DBD2}"/>
    <cellStyle name="Normal 2 43 15" xfId="10662" xr:uid="{2DA2D730-8E4C-453E-B3C0-A118A7C429C2}"/>
    <cellStyle name="Normal 2 43 19" xfId="10663" xr:uid="{ED39ACD3-0310-46F1-8CCF-9AEE68037284}"/>
    <cellStyle name="Normal 2 43 22" xfId="10664" xr:uid="{3148AE2D-C7B4-40F1-8649-8535C561E955}"/>
    <cellStyle name="Normal 2 43 24" xfId="10665" xr:uid="{66E7D6FA-B9DB-4DC4-B13F-52B26A2DC9F8}"/>
    <cellStyle name="Normal 2 43 28" xfId="10666" xr:uid="{64734FD3-128C-49A2-994B-C213F7291493}"/>
    <cellStyle name="Normal 2 43 31" xfId="10667" xr:uid="{10E87E7D-0864-47A4-A741-E9CC7105008D}"/>
    <cellStyle name="Normal 2 43 34" xfId="10668" xr:uid="{C1F3E568-AABF-42AB-8D98-3B7BD5148D81}"/>
    <cellStyle name="Normal 2 43 38" xfId="10669" xr:uid="{41D40E64-82BC-4707-887C-1AA4A127B5CF}"/>
    <cellStyle name="Normal 2 43 7" xfId="10670" xr:uid="{D5211145-E015-4B1C-8A35-6C8010E161A2}"/>
    <cellStyle name="Normal 2 44 10" xfId="10671" xr:uid="{6010FD76-3F1F-4332-9BEB-A7D9B7569EA6}"/>
    <cellStyle name="Normal 2 44 14" xfId="10672" xr:uid="{DB9A1757-0527-4443-8473-C73A6DE9793B}"/>
    <cellStyle name="Normal 2 44 18" xfId="10673" xr:uid="{E796A207-0BA3-47F8-AFE2-BD04E4572964}"/>
    <cellStyle name="Normal 2 44 21" xfId="10674" xr:uid="{ED870798-AE70-4F45-91E1-6656808D256D}"/>
    <cellStyle name="Normal 2 44 25" xfId="10675" xr:uid="{E195996D-F9CB-4F43-B22E-C6AF653598C1}"/>
    <cellStyle name="Normal 2 44 29" xfId="10676" xr:uid="{D48C94D3-7C81-49B0-9290-1D318241E56F}"/>
    <cellStyle name="Normal 2 44 32" xfId="10677" xr:uid="{6B2002AD-DC2F-44AF-A74F-BBA09C629D5C}"/>
    <cellStyle name="Normal 2 44 36" xfId="10678" xr:uid="{28B1EEAF-6593-4321-A734-8C22BA33B35F}"/>
    <cellStyle name="Normal 2 44 5" xfId="10679" xr:uid="{F0075C46-960D-4B7C-9751-07C8F42EC4D9}"/>
    <cellStyle name="Normal 2 44 9" xfId="10680" xr:uid="{0B752706-752F-4F86-B221-F97B7D96EEFB}"/>
    <cellStyle name="Normal 2 45 12" xfId="10681" xr:uid="{09F646A3-752E-4911-9FE4-EE0F617AA190}"/>
    <cellStyle name="Normal 2 45 16" xfId="10682" xr:uid="{77085893-7AD4-4D83-8A83-B3614B458F6F}"/>
    <cellStyle name="Normal 2 45 2" xfId="10683" xr:uid="{4A2F6F92-2953-480D-9883-1B8B66E05835}"/>
    <cellStyle name="Normal 2 45 23" xfId="10684" xr:uid="{B5B2A214-A8B0-49BC-A80F-6D4D30B37BA4}"/>
    <cellStyle name="Normal 2 45 27" xfId="10685" xr:uid="{A8F64C34-67C6-4F8B-9ACA-E4A5AA6AB22C}"/>
    <cellStyle name="Normal 2 45 30" xfId="10686" xr:uid="{7B7751C8-3F9A-4F5C-B0D9-355A8D8C2B12}"/>
    <cellStyle name="Normal 2 45 33" xfId="10687" xr:uid="{7971A59E-CA12-46AD-AD39-EEE0F2B7F117}"/>
    <cellStyle name="Normal 2 45 37" xfId="10688" xr:uid="{F8995DD6-494D-4FB9-8726-D16504A8BA7D}"/>
    <cellStyle name="Normal 2 45 6" xfId="10689" xr:uid="{3BC48B0C-B1CE-4FBD-A742-A09967F91656}"/>
    <cellStyle name="Normal 2 46" xfId="10690" xr:uid="{2EB1E786-E050-40DE-9239-038F92391459}"/>
    <cellStyle name="Normal 2 46 13" xfId="10691" xr:uid="{332583E8-3119-4485-9677-93599C502B9C}"/>
    <cellStyle name="Normal 2 46 17" xfId="10692" xr:uid="{9A77E4C7-8A3F-43E4-B050-C266CC5A3660}"/>
    <cellStyle name="Normal 2 46 20" xfId="10693" xr:uid="{47DC3957-97E1-44AE-AE47-00C5C94B42E2}"/>
    <cellStyle name="Normal 2 46 24" xfId="10694" xr:uid="{E9F9BF93-1E47-48A9-9EF7-AB49E2825AD8}"/>
    <cellStyle name="Normal 2 46 28" xfId="10695" xr:uid="{C42079BC-EF3B-4829-A71D-33432DB6B655}"/>
    <cellStyle name="Normal 2 46 31" xfId="10696" xr:uid="{1A6A45EC-E0EA-4014-A235-451AF85A9342}"/>
    <cellStyle name="Normal 2 46 35" xfId="10697" xr:uid="{3672A60F-B5AA-4964-82C8-C8F0579BF4B9}"/>
    <cellStyle name="Normal 2 46 4" xfId="10698" xr:uid="{5AB55CBF-5148-4CB2-BFB1-1612F5F6EFB6}"/>
    <cellStyle name="Normal 2 46 8" xfId="10699" xr:uid="{05058C20-45F9-40F4-A18F-84C66F47BA4C}"/>
    <cellStyle name="Normal 2 47 11" xfId="10700" xr:uid="{0E9B9599-EFC2-4BF2-BC24-6D189FE0571F}"/>
    <cellStyle name="Normal 2 47 15" xfId="10701" xr:uid="{41F36B6C-FD93-4D9C-88AE-D6234B1E36B4}"/>
    <cellStyle name="Normal 2 47 19" xfId="10702" xr:uid="{6B807ECE-3D3B-47B7-A5B2-656D1F396843}"/>
    <cellStyle name="Normal 2 47 22" xfId="10703" xr:uid="{3620D6F1-410C-49BE-9E3C-04CC77B2B168}"/>
    <cellStyle name="Normal 2 47 26" xfId="10704" xr:uid="{F93AB0A2-6C58-421C-A165-E5E2B08F85B1}"/>
    <cellStyle name="Normal 2 47 3" xfId="10705" xr:uid="{91289D19-92BB-4FC3-98D9-328AB1B8E4D7}"/>
    <cellStyle name="Normal 2 47 32" xfId="10706" xr:uid="{07A17FB9-0650-4015-ABD4-D1F113844D17}"/>
    <cellStyle name="Normal 2 47 36" xfId="10707" xr:uid="{E2A74D16-2F4C-42C1-BD83-D484E558FEAA}"/>
    <cellStyle name="Normal 2 47 5" xfId="10708" xr:uid="{459406B7-BFC9-4E13-811B-EC4A61BAD64C}"/>
    <cellStyle name="Normal 2 47 9" xfId="10709" xr:uid="{7AAA0DD9-0EB6-4C45-9677-FD7E8311F484}"/>
    <cellStyle name="Normal 2 48 12" xfId="10710" xr:uid="{5368DD23-3096-4300-B5D6-1F14A79EACBD}"/>
    <cellStyle name="Normal 2 48 16" xfId="10711" xr:uid="{67D58335-6BA0-4F36-8A8C-F92538445F0A}"/>
    <cellStyle name="Normal 2 48 2" xfId="10712" xr:uid="{C51C9564-E332-4641-824D-DDA42DAFBFF7}"/>
    <cellStyle name="Normal 2 48 21" xfId="10713" xr:uid="{67F6C76C-0EE1-4257-877A-5BECD4825350}"/>
    <cellStyle name="Normal 2 48 25" xfId="10714" xr:uid="{A67090FB-C5E9-496A-A6A1-E397ECB475E3}"/>
    <cellStyle name="Normal 2 48 29" xfId="10715" xr:uid="{178D1068-D665-4A7D-A60A-5C8C94464641}"/>
    <cellStyle name="Normal 2 48 32" xfId="10716" xr:uid="{56B3361F-C106-4BE2-A339-2C8C1654977B}"/>
    <cellStyle name="Normal 2 48 36" xfId="10717" xr:uid="{5106B286-9737-4304-8523-214AAE30FFAC}"/>
    <cellStyle name="Normal 2 48 5" xfId="10718" xr:uid="{43C69F59-26BD-4DBA-AE8F-730332005D15}"/>
    <cellStyle name="Normal 2 48 9" xfId="10719" xr:uid="{4D76E613-8251-4146-B470-01E121A35AD0}"/>
    <cellStyle name="Normal 2 49 12" xfId="10720" xr:uid="{984CF949-BADD-416E-BA9E-42F26423416C}"/>
    <cellStyle name="Normal 2 49 16" xfId="10721" xr:uid="{98343312-6648-4F3A-9044-0A86C0C29A2C}"/>
    <cellStyle name="Normal 2 49 2" xfId="10722" xr:uid="{8C7B58A1-BACB-4C4B-8194-D1134B2573E6}"/>
    <cellStyle name="Normal 2 49 2 5" xfId="10723" xr:uid="{1939A5F1-A07E-4E72-ACF3-B001BF3F4FFD}"/>
    <cellStyle name="Normal 2 49 22" xfId="10724" xr:uid="{CEEEF3CD-9083-495C-B820-907898FAFAAA}"/>
    <cellStyle name="Normal 2 49 25" xfId="10725" xr:uid="{B1628B6B-196F-43F1-80B0-6227A177AFF1}"/>
    <cellStyle name="Normal 2 49 29" xfId="10726" xr:uid="{5E205FDE-5550-4A26-9E71-CF952EE8DA09}"/>
    <cellStyle name="Normal 2 49 3 4" xfId="10727" xr:uid="{422EEF71-F9A3-4873-8F3B-E6B1A737715F}"/>
    <cellStyle name="Normal 2 49 31" xfId="10728" xr:uid="{52A1A7E4-710F-4410-9AC4-21B9C9836209}"/>
    <cellStyle name="Normal 2 49 35" xfId="10729" xr:uid="{498AA285-8465-4F6C-A755-8D3A3A7E7E7C}"/>
    <cellStyle name="Normal 2 49 4 4" xfId="10730" xr:uid="{0CC29993-920C-4D82-9607-15DC45A82880}"/>
    <cellStyle name="Normal 2 49 5 2" xfId="10731" xr:uid="{2C7A221A-0A49-4333-A56A-469B7AB1B147}"/>
    <cellStyle name="Normal 2 49 5 6" xfId="10732" xr:uid="{AFA5A7A1-52FD-46EB-A5CE-212FD3713872}"/>
    <cellStyle name="Normal 2 49 6 4" xfId="10733" xr:uid="{75918831-6EA8-4A5B-9F29-C93CDA974CDB}"/>
    <cellStyle name="Normal 2 49 8" xfId="10734" xr:uid="{74282AC8-A5F4-435C-9152-A39E575D1FE8}"/>
    <cellStyle name="Normal 2 5 11" xfId="10735" xr:uid="{61DAF58F-9877-45D7-9A9D-2CC75C655720}"/>
    <cellStyle name="Normal 2 5 2" xfId="10736" xr:uid="{77EDE453-EFD2-4F5B-B734-4E2897690E67}"/>
    <cellStyle name="Normal 2 5 3 3" xfId="10737" xr:uid="{1CFF69B2-4513-4008-AB5E-3A011C75297B}"/>
    <cellStyle name="Normal 2 5 4" xfId="10738" xr:uid="{2A0D6251-FA68-4778-A7D0-07A354020230}"/>
    <cellStyle name="Normal 2 5 4 5" xfId="10739" xr:uid="{91235AC4-04BD-4241-9BD5-55C8B8D66D7D}"/>
    <cellStyle name="Normal 2 5 5 3" xfId="10740" xr:uid="{4FA29650-19EF-41F5-B3F9-1ABCBCB29221}"/>
    <cellStyle name="Normal 2 5 6" xfId="10741" xr:uid="{47E61238-A126-4811-A027-33E22908B3C3}"/>
    <cellStyle name="Normal 2 5 6 5" xfId="10742" xr:uid="{B8B6D7E8-2015-4857-9AE2-50906048FA4B}"/>
    <cellStyle name="Normal 2 5 7 2" xfId="10743" xr:uid="{15B6E97D-EDE6-4D97-BF92-D1204E9A09A4}"/>
    <cellStyle name="Normal 2 5 7 6" xfId="10744" xr:uid="{A651087C-CA25-4C9D-974F-F63567296A60}"/>
    <cellStyle name="Normal 2 5 8 4" xfId="10745" xr:uid="{6B8EDC3C-3A7E-47CA-AF44-5682D0867E8C}"/>
    <cellStyle name="Normal 2 50" xfId="10746" xr:uid="{52C46EEE-EAE1-4084-BE8F-71644E8A17D0}"/>
    <cellStyle name="Normal 2 50 5" xfId="10747" xr:uid="{9E881B7F-FF1F-4A10-BB39-A7BF2E2DB696}"/>
    <cellStyle name="Normal 2 51 2" xfId="10748" xr:uid="{D9D806F9-38D6-46A0-9B94-A62AAC5E12B3}"/>
    <cellStyle name="Normal 2 51 6" xfId="10749" xr:uid="{D767224F-FF48-44B0-8EA2-B8871DFE6A05}"/>
    <cellStyle name="Normal 2 52 4" xfId="10750" xr:uid="{A12B9496-7ACD-4859-829F-32FB48EA84BA}"/>
    <cellStyle name="Normal 2 53" xfId="10751" xr:uid="{4C4F5AC8-34C6-4BEC-9F01-264DBACAC504}"/>
    <cellStyle name="Normal 2 53 5" xfId="10752" xr:uid="{3C71B591-9A6F-4CA0-9F98-4F1A7E9851ED}"/>
    <cellStyle name="Normal 2 54 2" xfId="10753" xr:uid="{3CE3FFAC-B4BE-4D49-8AD8-F11566A3C3C0}"/>
    <cellStyle name="Normal 2 54 6" xfId="10754" xr:uid="{1B0BBAFE-B4C9-46E1-AB9B-33E91C88544F}"/>
    <cellStyle name="Normal 2 55 3" xfId="10755" xr:uid="{F6EDAC0B-59C9-4EE8-AD8A-C08415082EA5}"/>
    <cellStyle name="Normal 2 55 7" xfId="10756" xr:uid="{48E5BDEC-6929-4C4D-9AAA-D745E3286C97}"/>
    <cellStyle name="Normal 2 56 4" xfId="10757" xr:uid="{0AA70D28-73DC-42DE-807A-3EC45A50C977}"/>
    <cellStyle name="Normal 2 57" xfId="10758" xr:uid="{01FD0641-89A2-4453-98FE-4A6DA2A2803A}"/>
    <cellStyle name="Normal 2 57 5" xfId="10759" xr:uid="{C59B06C9-2934-4B73-B40F-06C9B6BD038F}"/>
    <cellStyle name="Normal 2 57 7" xfId="10760" xr:uid="{641D5C10-74B9-4762-A882-D455DF7A2DAC}"/>
    <cellStyle name="Normal 2 58 2" xfId="10761" xr:uid="{B0718AE8-2F98-4FEF-986A-45BEA27AEC48}"/>
    <cellStyle name="Normal 2 58 4" xfId="10762" xr:uid="{D6ACE91E-F220-4BE6-8913-36CAA724ED15}"/>
    <cellStyle name="Normal 2 59" xfId="10763" xr:uid="{4ED4303D-1E81-4BF5-A8F1-11DA13B7D8F4}"/>
    <cellStyle name="Normal 2 59 4" xfId="10764" xr:uid="{C3170D56-352A-4759-A2B4-458EABFA50DE}"/>
    <cellStyle name="Normal 2 6" xfId="385" xr:uid="{9EA75846-C7D3-4C98-A0CA-F938C7785F75}"/>
    <cellStyle name="Normal 2 6 13" xfId="10765" xr:uid="{41743667-6B98-4DD1-9159-35EEFB5FED11}"/>
    <cellStyle name="Normal 2 6 17" xfId="10766" xr:uid="{3FA33819-CF5C-4FD3-930C-22B55837657A}"/>
    <cellStyle name="Normal 2 6 2 10" xfId="10767" xr:uid="{E66A8B82-14A1-409F-806D-052E3512405E}"/>
    <cellStyle name="Normal 2 6 2 10 5" xfId="10768" xr:uid="{F5C9E8D3-13B5-447B-907D-F6DA034F1761}"/>
    <cellStyle name="Normal 2 6 2 11 3" xfId="10769" xr:uid="{C63F4B09-ADD4-41EC-9591-13D293140751}"/>
    <cellStyle name="Normal 2 6 2 12" xfId="10770" xr:uid="{28C2EC9E-A10A-4FAD-8018-0AFAB9D15108}"/>
    <cellStyle name="Normal 2 6 2 12 5" xfId="10771" xr:uid="{711E4564-8E6E-4CCE-81B6-60995D110A22}"/>
    <cellStyle name="Normal 2 6 2 13" xfId="10772" xr:uid="{423130D2-1BA9-45AC-9681-1885CFE39585}"/>
    <cellStyle name="Normal 2 6 2 13 3" xfId="10773" xr:uid="{BA6C8B0F-C411-4AC8-B605-46134AE02B02}"/>
    <cellStyle name="Normal 2 6 2 13 5" xfId="10774" xr:uid="{3F1FE576-8D29-4804-A56F-F42769F13E1D}"/>
    <cellStyle name="Normal 2 6 2 14 3" xfId="10775" xr:uid="{7E249D64-A484-4DF7-826D-DF19B19F3717}"/>
    <cellStyle name="Normal 2 6 2 15" xfId="10776" xr:uid="{E9ADFCCA-504D-48DB-98A4-9CFB3C2471EA}"/>
    <cellStyle name="Normal 2 6 2 15 5" xfId="10777" xr:uid="{5AA23E3D-A357-4F55-882F-F92686491C52}"/>
    <cellStyle name="Normal 2 6 2 18" xfId="10778" xr:uid="{5F70F146-1601-43D2-96A5-26BA9673827B}"/>
    <cellStyle name="Normal 2 6 2 2 2 2" xfId="10779" xr:uid="{9D543E62-9C1D-490B-B0E2-793B0CCFFD7F}"/>
    <cellStyle name="Normal 2 6 2 2 2 4" xfId="10780" xr:uid="{F273A3C8-593D-4B3B-87E5-2D50723D1368}"/>
    <cellStyle name="Normal 2 6 2 2 4" xfId="10781" xr:uid="{69840FCA-FE36-4F86-88F8-FDDCFA6B0AFE}"/>
    <cellStyle name="Normal 2 6 2 20" xfId="10782" xr:uid="{D250BBFC-4B83-40A7-8D55-F76B4709AC9E}"/>
    <cellStyle name="Normal 2 6 2 3 4" xfId="10783" xr:uid="{70351247-DC9D-46FF-ABE1-BED87ABD1136}"/>
    <cellStyle name="Normal 2 6 2 7" xfId="10784" xr:uid="{AA218749-4AFE-459A-9D31-543566029B13}"/>
    <cellStyle name="Normal 2 6 2 9 2" xfId="10785" xr:uid="{A8B54145-04CC-4C33-9EFE-A2ADD9EC7622}"/>
    <cellStyle name="Normal 2 6 2 9 4" xfId="10786" xr:uid="{5D07C994-7E87-441F-BDE9-939327CC6A5A}"/>
    <cellStyle name="Normal 2 6 2 9 6" xfId="10787" xr:uid="{42934C4F-0264-4346-AB35-9A1A762C96A3}"/>
    <cellStyle name="Normal 2 6 21" xfId="10788" xr:uid="{19A20E26-14D2-4D62-98A9-F376E38BF2D3}"/>
    <cellStyle name="Normal 2 6 23" xfId="10789" xr:uid="{89E25AE5-6B4A-4138-ADF6-4D582DDB9FC5}"/>
    <cellStyle name="Normal 2 6 25" xfId="10790" xr:uid="{ACEF9D4D-4BDC-4491-AB10-08C813974713}"/>
    <cellStyle name="Normal 2 6 27" xfId="10791" xr:uid="{986F61E1-EC52-4FF6-ABE0-EF6ABB5F25AA}"/>
    <cellStyle name="Normal 2 6 29" xfId="10792" xr:uid="{639D4260-0615-4603-AF13-7BB660EA3074}"/>
    <cellStyle name="Normal 2 6 3 10" xfId="10793" xr:uid="{4405D4E0-F70B-4105-98F9-F1660E9B2B6A}"/>
    <cellStyle name="Normal 2 6 3 12" xfId="10794" xr:uid="{5341C0ED-889F-452B-971A-246788005C46}"/>
    <cellStyle name="Normal 2 6 3 2 3" xfId="10795" xr:uid="{40D083DC-FEB9-4DC8-A93D-FE9E7AF6BB53}"/>
    <cellStyle name="Normal 2 6 3 2 6" xfId="10796" xr:uid="{FFDB8E6E-584D-4045-B9FF-A34A734E3366}"/>
    <cellStyle name="Normal 2 6 3 3 2" xfId="10797" xr:uid="{E2971F5D-472E-412A-A08C-97BE8DE6DEFE}"/>
    <cellStyle name="Normal 2 6 3 3 4" xfId="10798" xr:uid="{25578A10-54B6-42A8-8794-E815345B48EE}"/>
    <cellStyle name="Normal 2 6 3 3 6" xfId="10799" xr:uid="{A63781F9-26C5-424E-88DE-376C931DD013}"/>
    <cellStyle name="Normal 2 6 3 4 2" xfId="10800" xr:uid="{1CD365D6-E0B7-44E9-B5E1-316084A8FF90}"/>
    <cellStyle name="Normal 2 6 3 4 4" xfId="10801" xr:uid="{7B2331BA-05BC-4D5E-8101-011B0F568EE6}"/>
    <cellStyle name="Normal 2 6 3 4 6" xfId="10802" xr:uid="{40A57304-5F4C-4AD7-8E68-B53EEB2B2A05}"/>
    <cellStyle name="Normal 2 6 3 5 2" xfId="10803" xr:uid="{8C1741C1-83CA-48C8-9EEE-522EB01FE1D1}"/>
    <cellStyle name="Normal 2 6 3 5 4" xfId="10804" xr:uid="{629DB5BC-031C-4452-8560-32B8BDCA0D83}"/>
    <cellStyle name="Normal 2 6 3 5 5" xfId="10805" xr:uid="{24496B88-1A8E-4969-951B-534B89ABB469}"/>
    <cellStyle name="Normal 2 6 3 6" xfId="10806" xr:uid="{FEDEFA2A-1F16-4B37-AC3E-F2CFDCB2FEB3}"/>
    <cellStyle name="Normal 2 6 3 6 5" xfId="10807" xr:uid="{A59E8464-B723-4D9A-A33E-C6E7CE419625}"/>
    <cellStyle name="Normal 2 6 3 7" xfId="10808" xr:uid="{02FD06C0-83E8-4238-B5F0-58CB9BAC5AF0}"/>
    <cellStyle name="Normal 2 6 3 7 2" xfId="10809" xr:uid="{6E1AA54E-B860-4E07-B316-53A24B0661B8}"/>
    <cellStyle name="Normal 2 6 3 7 3" xfId="10810" xr:uid="{C43EBCD1-69B7-40E3-B4CE-458027CF8A3A}"/>
    <cellStyle name="Normal 2 6 3 7 4" xfId="10811" xr:uid="{E8A26EFE-BAB1-4F83-85AD-CB00B6CC2786}"/>
    <cellStyle name="Normal 2 6 3 7 6" xfId="10812" xr:uid="{BF7F69B2-7934-4739-B8D7-32581529D459}"/>
    <cellStyle name="Normal 2 6 3 8" xfId="10813" xr:uid="{9C55C589-4CC1-4D3E-9B2F-EC64CF70AE5F}"/>
    <cellStyle name="Normal 2 6 3 8 2" xfId="10814" xr:uid="{D5C4957F-03FD-4E15-AFF9-D65DB4BBF1DD}"/>
    <cellStyle name="Normal 2 6 3 8 3" xfId="10815" xr:uid="{8043FE67-8E10-4DD9-91A1-3E4987ACD0BA}"/>
    <cellStyle name="Normal 2 6 3 8 4" xfId="10816" xr:uid="{337732B8-4383-42B4-BD26-7BB99DCBA6F8}"/>
    <cellStyle name="Normal 2 6 3 8 5" xfId="10817" xr:uid="{569B19B1-E14B-499D-B877-AF6FDFAD9C4A}"/>
    <cellStyle name="Normal 2 6 3 8 6" xfId="10818" xr:uid="{0A529D15-F7AC-4E3B-96C8-0B61CC65D2E1}"/>
    <cellStyle name="Normal 2 6 3 9" xfId="10819" xr:uid="{41685645-9A59-468A-BE91-107D087F3D5E}"/>
    <cellStyle name="Normal 2 6 30" xfId="10820" xr:uid="{E130A7B8-33CE-485B-9190-F3551ADB07CC}"/>
    <cellStyle name="Normal 2 6 31" xfId="10821" xr:uid="{A950E2D4-16A5-4CFF-BFB3-47726C17124D}"/>
    <cellStyle name="Normal 2 6 32" xfId="10822" xr:uid="{CB63BDD4-9B02-4E49-AC8B-F9D18827F84C}"/>
    <cellStyle name="Normal 2 6 33" xfId="10823" xr:uid="{ADE9D380-955C-4479-9D10-B9E93DAF12B4}"/>
    <cellStyle name="Normal 2 6 34" xfId="10824" xr:uid="{AD71135C-C879-4BFE-AC8F-34AB905A48C4}"/>
    <cellStyle name="Normal 2 6 35" xfId="10825" xr:uid="{4646C55D-DA69-4C86-B0A7-F81B404B5AD4}"/>
    <cellStyle name="Normal 2 6 36" xfId="10826" xr:uid="{1F34984E-F534-4318-B25F-693970875901}"/>
    <cellStyle name="Normal 2 6 38" xfId="10827" xr:uid="{CD8B09AE-147A-444D-9F03-065035E10618}"/>
    <cellStyle name="Normal 2 6 4" xfId="10828" xr:uid="{15D5F424-EB88-41A2-A481-B28AFB381C9C}"/>
    <cellStyle name="Normal 2 6 4 11" xfId="10829" xr:uid="{C96285EC-A167-4119-AA4B-11066CFAD200}"/>
    <cellStyle name="Normal 2 6 4 13" xfId="10830" xr:uid="{D7C3A742-D86C-4542-9353-BA536A743842}"/>
    <cellStyle name="Normal 2 6 4 2 2" xfId="10831" xr:uid="{8C9DBC9B-5002-4A25-8ACA-74F7E9A33E40}"/>
    <cellStyle name="Normal 2 6 4 2 4" xfId="10832" xr:uid="{FE6C1CE5-B7DD-47CA-98A9-78B93F3A6FD5}"/>
    <cellStyle name="Normal 2 6 4 2 6" xfId="10833" xr:uid="{65B31D05-CD8F-44B7-9D5B-687200AE0E29}"/>
    <cellStyle name="Normal 2 6 4 3 2" xfId="10834" xr:uid="{FF8897E3-7426-4E99-BFDB-4DE21DE7010E}"/>
    <cellStyle name="Normal 2 6 4 3 4" xfId="10835" xr:uid="{9000B664-2B8C-43D2-A6A9-1BC3C1B4A5D2}"/>
    <cellStyle name="Normal 2 6 4 3 6" xfId="10836" xr:uid="{1B98859C-7672-4564-AC7A-6B86AEBE2C20}"/>
    <cellStyle name="Normal 2 6 4 4 2" xfId="10837" xr:uid="{F2825CC4-DA92-4654-AEA2-6221CCDB2005}"/>
    <cellStyle name="Normal 2 6 4 4 4" xfId="10838" xr:uid="{BF6182BF-B9FE-414C-985D-27154B032C5A}"/>
    <cellStyle name="Normal 2 6 4 4 6" xfId="10839" xr:uid="{BFD1C980-96B5-4406-B185-C93E25BE0EC6}"/>
    <cellStyle name="Normal 2 6 4 5 2" xfId="10840" xr:uid="{CD7C4568-1970-429C-B1D5-100176A9ED5E}"/>
    <cellStyle name="Normal 2 6 4 5 4" xfId="10841" xr:uid="{7C1A3A0D-CF16-4003-9AE2-444DFE9A9A54}"/>
    <cellStyle name="Normal 2 6 4 5 6" xfId="10842" xr:uid="{8509EE5A-6D19-4567-83D5-4923E54040D2}"/>
    <cellStyle name="Normal 2 6 4 6 2" xfId="10843" xr:uid="{AF518624-606D-461F-9B41-3DE83F01DDB5}"/>
    <cellStyle name="Normal 2 6 4 6 4" xfId="10844" xr:uid="{1CD5764D-89EE-4794-B398-FACEA3EC90B8}"/>
    <cellStyle name="Normal 2 6 4 6 6" xfId="10845" xr:uid="{744D5627-780F-4F5E-8D4B-251DC32048AB}"/>
    <cellStyle name="Normal 2 6 4 7 2" xfId="10846" xr:uid="{2445C94A-D668-47C8-833C-80CF9B140753}"/>
    <cellStyle name="Normal 2 6 4 7 4" xfId="10847" xr:uid="{E33AAFEA-6DF1-4940-83EA-C4EF0CBCF67D}"/>
    <cellStyle name="Normal 2 6 4 7 6" xfId="10848" xr:uid="{DE96176D-C24F-4528-8EA7-2C02C353EAE9}"/>
    <cellStyle name="Normal 2 6 4 8 2" xfId="10849" xr:uid="{47614610-2ECF-47E1-BCB6-2B42C2AC120E}"/>
    <cellStyle name="Normal 2 6 4 8 4" xfId="10850" xr:uid="{D964CF85-D694-4023-B2F1-B363A3B1E979}"/>
    <cellStyle name="Normal 2 6 4 8 6" xfId="10851" xr:uid="{11CA8C39-4D96-46E3-8E32-58B4449497DD}"/>
    <cellStyle name="Normal 2 6 40" xfId="10852" xr:uid="{0B6432AB-11F7-4BA9-A85F-CDFF23AC9D14}"/>
    <cellStyle name="Normal 2 6 42" xfId="10853" xr:uid="{1E756F8E-ABF9-4725-A8A5-61D526A72EEF}"/>
    <cellStyle name="Normal 2 6 44" xfId="10854" xr:uid="{D63941FC-16DA-4C4A-8C76-946AABF59706}"/>
    <cellStyle name="Normal 2 6 46" xfId="10855" xr:uid="{E6434A2F-12FF-44D4-BE6D-F4B06830864B}"/>
    <cellStyle name="Normal 2 6 5" xfId="10856" xr:uid="{F3BC3053-30BE-4F68-B90E-93BC1C33AB3E}"/>
    <cellStyle name="Normal 2 6 5 11" xfId="10857" xr:uid="{C0186E47-E864-417B-A446-B1510A59F430}"/>
    <cellStyle name="Normal 2 6 5 13" xfId="10858" xr:uid="{8CA7ADBC-1B0F-4ADA-BFF1-9BDE2563489B}"/>
    <cellStyle name="Normal 2 6 5 2 2" xfId="10859" xr:uid="{04C0ABC3-C91C-432D-84A2-9CBBCFAE2875}"/>
    <cellStyle name="Normal 2 6 5 2 4" xfId="10860" xr:uid="{0D464FBE-D7EB-4412-B3F9-CE3E1C974F0C}"/>
    <cellStyle name="Normal 2 6 5 3 4" xfId="10861" xr:uid="{2D1ABCD5-A386-4CFD-A9B3-36138F5A4EA8}"/>
    <cellStyle name="Normal 2 6 5 4" xfId="10862" xr:uid="{E9756E45-8C8A-49B7-BDF4-52831545D090}"/>
    <cellStyle name="Normal 2 6 5 4 4" xfId="10863" xr:uid="{10972FCF-B500-436A-A28C-8DC2D2B45A0C}"/>
    <cellStyle name="Normal 2 6 5 5" xfId="10864" xr:uid="{3ECB608A-4559-4179-9F74-BBED1CEE3B02}"/>
    <cellStyle name="Normal 2 6 5 5 4" xfId="10865" xr:uid="{47C34A3E-7350-4EED-8B0A-AA3396B0384D}"/>
    <cellStyle name="Normal 2 6 5 5 6" xfId="10866" xr:uid="{1ABB9AD3-126B-4591-9F70-3A6210FA036B}"/>
    <cellStyle name="Normal 2 6 5 6 2" xfId="10867" xr:uid="{120241CD-CEDC-464B-9273-31A4C1E0999A}"/>
    <cellStyle name="Normal 2 6 5 6 4" xfId="10868" xr:uid="{16A1A8BD-73F7-4DBF-AA79-69BAAEEFD3D5}"/>
    <cellStyle name="Normal 2 6 5 6 6" xfId="10869" xr:uid="{33AEC997-F4CC-4DC9-BB2A-0325AFFC8C8B}"/>
    <cellStyle name="Normal 2 6 5 7 2" xfId="10870" xr:uid="{B6A464A9-5AE6-45B9-BDA3-F1B0D7C11B5E}"/>
    <cellStyle name="Normal 2 6 5 7 4" xfId="10871" xr:uid="{A77A1E72-66A1-442B-8D67-005BB6DFC46D}"/>
    <cellStyle name="Normal 2 6 5 7 6" xfId="10872" xr:uid="{2FB1337A-787E-44C3-9955-8ED776E53BA9}"/>
    <cellStyle name="Normal 2 6 5 8 2" xfId="10873" xr:uid="{6A9CBE80-2A1F-4382-8132-AE6E711124D7}"/>
    <cellStyle name="Normal 2 6 5 8 4" xfId="10874" xr:uid="{F516C311-9DF9-4768-944D-F8256C5EB13F}"/>
    <cellStyle name="Normal 2 6 5 8 6" xfId="10875" xr:uid="{4BCE7321-B6B4-48F7-AA98-320ED7F93DC6}"/>
    <cellStyle name="Normal 2 6 50" xfId="10876" xr:uid="{4ED17E26-9DF9-46A7-9860-E4DCEE1F68A3}"/>
    <cellStyle name="Normal 2 6 52" xfId="10877" xr:uid="{0686789E-05AD-45BA-B5C6-B730F6BE7D23}"/>
    <cellStyle name="Normal 2 6 6" xfId="10878" xr:uid="{2450BF1C-0DBD-4DF4-BB7C-A5401C4A50E7}"/>
    <cellStyle name="Normal 2 6 6 11" xfId="10879" xr:uid="{89534FF5-D2DC-4317-8E53-096112CA5800}"/>
    <cellStyle name="Normal 2 6 6 13" xfId="10880" xr:uid="{09001A17-CA9E-4DCA-97DE-75423E470743}"/>
    <cellStyle name="Normal 2 6 6 2 2" xfId="10881" xr:uid="{F05E437D-360E-41E8-8B2C-5E85E9482DCE}"/>
    <cellStyle name="Normal 2 6 6 2 4" xfId="10882" xr:uid="{0E1ECB08-4819-4AD4-86F0-0D02789D78E7}"/>
    <cellStyle name="Normal 2 6 6 2 6" xfId="10883" xr:uid="{79610A02-6C8B-48B5-B2B5-B71E4B74C59B}"/>
    <cellStyle name="Normal 2 6 6 3 2" xfId="10884" xr:uid="{92CBC580-5262-4C41-B353-721FB84F33A0}"/>
    <cellStyle name="Normal 2 6 6 3 4" xfId="10885" xr:uid="{0EBB4AA4-6A40-49A6-B0AC-8E9A66EC8794}"/>
    <cellStyle name="Normal 2 6 6 3 6" xfId="10886" xr:uid="{AE86583E-6B32-460C-83C9-CEDB03722CA0}"/>
    <cellStyle name="Normal 2 6 6 4 2" xfId="10887" xr:uid="{EC8E8409-5B35-4674-916D-6127D13A54C5}"/>
    <cellStyle name="Normal 2 6 6 4 4" xfId="10888" xr:uid="{4ABB9125-50FF-42B9-BF81-71244D154EDF}"/>
    <cellStyle name="Normal 2 6 6 4 6" xfId="10889" xr:uid="{8B436E85-85DE-4EFA-BE47-5A34380DB38E}"/>
    <cellStyle name="Normal 2 6 6 5 2" xfId="10890" xr:uid="{11715FE6-41D5-4AA8-A952-A92E1358ABC6}"/>
    <cellStyle name="Normal 2 6 6 5 4" xfId="10891" xr:uid="{7FA7A13A-1FDB-4D33-A571-22F7327387EE}"/>
    <cellStyle name="Normal 2 6 6 5 6" xfId="10892" xr:uid="{EFFB1670-E816-4144-B970-AECC5A317C64}"/>
    <cellStyle name="Normal 2 6 6 6 2" xfId="10893" xr:uid="{DF164208-50F5-42D1-B480-D25481B7ABE4}"/>
    <cellStyle name="Normal 2 6 6 6 4" xfId="10894" xr:uid="{5881D33B-ED60-4B68-BC05-57D74AC860A5}"/>
    <cellStyle name="Normal 2 6 6 6 6" xfId="10895" xr:uid="{555DFF7F-10FF-4581-9956-D5ED114F378E}"/>
    <cellStyle name="Normal 2 6 6 7 2" xfId="10896" xr:uid="{A87B9413-1CD1-411E-8E80-12CFDBAE0F68}"/>
    <cellStyle name="Normal 2 6 6 7 4" xfId="10897" xr:uid="{C03E13DE-5D35-4425-AF74-F2A4977645B1}"/>
    <cellStyle name="Normal 2 6 6 7 6" xfId="10898" xr:uid="{FA927CE2-3043-4E9D-ABFD-10E3E0C1CD75}"/>
    <cellStyle name="Normal 2 6 6 8 2" xfId="10899" xr:uid="{CABF4694-C59F-4F98-B7F7-3DC2443DF441}"/>
    <cellStyle name="Normal 2 6 6 8 4" xfId="10900" xr:uid="{18872A67-DC05-48B5-96DB-12F72020A08A}"/>
    <cellStyle name="Normal 2 6 6 8 6" xfId="10901" xr:uid="{EBD0FF6C-D71D-4660-860D-4D19D9613911}"/>
    <cellStyle name="Normal 2 6 7" xfId="10902" xr:uid="{D235C97D-1230-4CAB-B44A-E891CED95F0A}"/>
    <cellStyle name="Normal 2 6 7 11" xfId="10903" xr:uid="{2FF7B3B2-8930-42BC-B9B1-8ACD65FFD945}"/>
    <cellStyle name="Normal 2 6 7 13" xfId="10904" xr:uid="{36C7BA15-CC12-4A2E-8CD6-46E575EF4CF3}"/>
    <cellStyle name="Normal 2 6 7 2 4" xfId="10905" xr:uid="{32475FA6-DA5C-478B-B80B-CE6F6A5C6E30}"/>
    <cellStyle name="Normal 2 6 7 2 6" xfId="10906" xr:uid="{1ADAADFA-1F19-4973-972A-2AC6CD70AE47}"/>
    <cellStyle name="Normal 2 6 7 3 2" xfId="10907" xr:uid="{FF42102A-2F33-42FF-A37F-62D1031A0447}"/>
    <cellStyle name="Normal 2 6 7 3 4" xfId="10908" xr:uid="{90919750-EC24-4F48-890D-E3C6F5B062A2}"/>
    <cellStyle name="Normal 2 6 7 3 6" xfId="10909" xr:uid="{EF47E019-BC05-48B7-91AE-3E1D11690D0D}"/>
    <cellStyle name="Normal 2 6 7 4 2" xfId="10910" xr:uid="{E3670CDB-4544-4D61-93DF-B0DB4A346E0A}"/>
    <cellStyle name="Normal 2 6 7 4 4" xfId="10911" xr:uid="{A0193B3E-02B3-4893-A9F2-A54273DBF0CB}"/>
    <cellStyle name="Normal 2 6 7 4 6" xfId="10912" xr:uid="{F744EC9E-7DA1-4807-B8AF-1CBB8646448C}"/>
    <cellStyle name="Normal 2 6 7 5 2" xfId="10913" xr:uid="{55FDBF77-F607-47E6-A4B8-D62682F34E8A}"/>
    <cellStyle name="Normal 2 6 7 5 4" xfId="10914" xr:uid="{391EFB10-DF25-4E4B-836E-AFEED8EA34DB}"/>
    <cellStyle name="Normal 2 6 7 5 6" xfId="10915" xr:uid="{78E22A0A-33F9-4CC4-9925-11D86862CDF7}"/>
    <cellStyle name="Normal 2 6 7 6 2" xfId="10916" xr:uid="{EA2FDC41-A343-45AB-B47E-6E90EB498193}"/>
    <cellStyle name="Normal 2 6 7 6 4" xfId="10917" xr:uid="{F1237D88-4207-4A38-893A-8FE274B540FD}"/>
    <cellStyle name="Normal 2 6 7 6 6" xfId="10918" xr:uid="{04D8C5A6-A165-4FDD-A7B4-B49CC4C5AEB8}"/>
    <cellStyle name="Normal 2 6 7 7 2" xfId="10919" xr:uid="{6427B45A-1EEF-4111-843B-0BC6D5E8794B}"/>
    <cellStyle name="Normal 2 6 7 7 4" xfId="10920" xr:uid="{85641D1C-B7F0-45A4-B70B-06126D3C524D}"/>
    <cellStyle name="Normal 2 6 7 7 6" xfId="10921" xr:uid="{8D43FE0F-BB0F-4468-8936-488F53647018}"/>
    <cellStyle name="Normal 2 6 7 8 2" xfId="10922" xr:uid="{AA976A40-58BA-4195-9F3E-938FDD7BB928}"/>
    <cellStyle name="Normal 2 6 7 8 4" xfId="10923" xr:uid="{7508EFCB-A400-478B-856B-122080470D86}"/>
    <cellStyle name="Normal 2 6 7 8 6" xfId="10924" xr:uid="{016B5B3B-F572-4A60-96FE-CE0A52ABB449}"/>
    <cellStyle name="Normal 2 6 8" xfId="10925" xr:uid="{4C88CEE3-6FA3-40E7-9470-A4494A27127D}"/>
    <cellStyle name="Normal 2 6 8 11" xfId="10926" xr:uid="{28A03250-985C-4752-B6B2-86577E840583}"/>
    <cellStyle name="Normal 2 6 8 13" xfId="10927" xr:uid="{FD689C25-BB2B-4DED-935D-EC7EC30242B4}"/>
    <cellStyle name="Normal 2 6 8 2 2" xfId="10928" xr:uid="{9F318789-E189-47DC-9B1F-D2C28E309B89}"/>
    <cellStyle name="Normal 2 6 8 2 4" xfId="10929" xr:uid="{3FBB4708-7994-46A7-8651-C831EE237E03}"/>
    <cellStyle name="Normal 2 6 8 2 6" xfId="10930" xr:uid="{9928A21A-1B8B-45F6-919C-B15221D6AB06}"/>
    <cellStyle name="Normal 2 6 8 3 2" xfId="10931" xr:uid="{91708AA5-AD9C-4732-9C21-FBEC0D28939C}"/>
    <cellStyle name="Normal 2 6 8 3 4" xfId="10932" xr:uid="{C535171F-73AD-4D85-8EAF-5D527BE76139}"/>
    <cellStyle name="Normal 2 6 8 3 6" xfId="10933" xr:uid="{11E08DE9-572C-4D78-B77A-925D7884081A}"/>
    <cellStyle name="Normal 2 6 8 4 3" xfId="10934" xr:uid="{87EAC04C-AB87-4837-BEDF-8D149EDD53ED}"/>
    <cellStyle name="Normal 2 6 8 4 5" xfId="10935" xr:uid="{CAA2B440-2EEC-4610-A7AC-CD8D47FC1A71}"/>
    <cellStyle name="Normal 2 6 8 5" xfId="10936" xr:uid="{0D741B22-D470-439A-9018-A3C719309EFE}"/>
    <cellStyle name="Normal 2 6 8 5 4" xfId="10937" xr:uid="{53800050-CDDB-45FD-B4DA-472408B4A32A}"/>
    <cellStyle name="Normal 2 6 8 6" xfId="10938" xr:uid="{260AE70D-5292-4BD6-B033-AB9AF05DF4CC}"/>
    <cellStyle name="Normal 2 6 8 6 4" xfId="10939" xr:uid="{918F133B-8CEE-439A-AC2F-C98BBE83B7AA}"/>
    <cellStyle name="Normal 2 6 8 6 6" xfId="10940" xr:uid="{959D87AC-8E20-4BCC-9D7D-C2EFC293E25A}"/>
    <cellStyle name="Normal 2 6 8 7 2" xfId="10941" xr:uid="{2741D7E3-3521-4332-A14A-1CF81B86CC15}"/>
    <cellStyle name="Normal 2 6 8 7 4" xfId="10942" xr:uid="{42D3EA0D-84F7-4A11-8760-AE774BB8E096}"/>
    <cellStyle name="Normal 2 6 8 7 6" xfId="10943" xr:uid="{93234C59-E11A-444A-8F08-AE4DC565BAC0}"/>
    <cellStyle name="Normal 2 6 8 8 3" xfId="10944" xr:uid="{893374B3-D530-4A62-A2DE-59F12404E8E4}"/>
    <cellStyle name="Normal 2 60" xfId="10945" xr:uid="{0AB53381-BD2C-43B1-A75F-E691B1053106}"/>
    <cellStyle name="Normal 2 60 5" xfId="10946" xr:uid="{07483ED2-EF0E-466D-9722-5811B53F8101}"/>
    <cellStyle name="Normal 2 61 2" xfId="10947" xr:uid="{B963A316-4CDA-47CB-BECC-0B3ACB211CC8}"/>
    <cellStyle name="Normal 2 61 4" xfId="10948" xr:uid="{3AC46B13-992C-439E-AEF2-AF1CC9A2EF84}"/>
    <cellStyle name="Normal 2 61 6" xfId="10949" xr:uid="{161A79B6-7E8F-4891-BB3C-21315930918D}"/>
    <cellStyle name="Normal 2 62 2" xfId="10950" xr:uid="{C6555341-B2B0-4479-86F1-D0DF1B1DF5F1}"/>
    <cellStyle name="Normal 2 63 3" xfId="10951" xr:uid="{AB53A34D-2AC0-40F0-9615-BB81923F234A}"/>
    <cellStyle name="Normal 2 63 7" xfId="10952" xr:uid="{9733E3A2-D845-46A7-8FD6-2D2C5D6942CF}"/>
    <cellStyle name="Normal 2 67" xfId="10953" xr:uid="{958127ED-5DBA-4CE5-A79E-90869DF89AB7}"/>
    <cellStyle name="Normal 2 68 2 2" xfId="10954" xr:uid="{9B2F62F3-6895-4335-BCA6-41CC4759A739}"/>
    <cellStyle name="Normal 2 68 2 2 2 3" xfId="10955" xr:uid="{2629FDFB-7116-4DED-BB6C-704ED7872E0F}"/>
    <cellStyle name="Normal 2 68 2 2 2 5" xfId="10956" xr:uid="{679242DA-BA2C-457B-B775-CDCC4583E668}"/>
    <cellStyle name="Normal 2 68 2 3" xfId="10957" xr:uid="{C740F1B5-FE82-4C07-9B44-1DE07D1BAA07}"/>
    <cellStyle name="Normal 2 68 2 5" xfId="10958" xr:uid="{19202A07-0E53-4214-850C-C364D05858EC}"/>
    <cellStyle name="Normal 2 68 3" xfId="10959" xr:uid="{AD0A994D-ECCB-4070-8CB7-610A861E0B7A}"/>
    <cellStyle name="Normal 2 68 3 4" xfId="10960" xr:uid="{62122C6C-F281-40A2-B4B6-512D21804CC2}"/>
    <cellStyle name="Normal 2 69 2" xfId="10961" xr:uid="{DC3A46C6-4717-4D71-8C00-6ED2F2ADFFB1}"/>
    <cellStyle name="Normal 2 69 6" xfId="10962" xr:uid="{2EE529A0-A065-4325-97DE-C83362E894EB}"/>
    <cellStyle name="Normal 2 7 12" xfId="10963" xr:uid="{1374FECE-890D-424B-8DE4-694048E1D12E}"/>
    <cellStyle name="Normal 2 7 16" xfId="10964" xr:uid="{16D56A99-F36B-40E0-9087-168997D810D5}"/>
    <cellStyle name="Normal 2 7 19" xfId="10965" xr:uid="{9FD1B279-25F4-45AB-9E2F-6064325A94D6}"/>
    <cellStyle name="Normal 2 7 20" xfId="10966" xr:uid="{A1D5EE15-A0D4-491E-BE29-EABABA486DF8}"/>
    <cellStyle name="Normal 2 7 22" xfId="10967" xr:uid="{1E82C3E2-B9E2-4F50-B5B3-441FD62A11C0}"/>
    <cellStyle name="Normal 2 7 24" xfId="10968" xr:uid="{DC1EA7DE-88BF-4AD0-8466-B32FA61D883E}"/>
    <cellStyle name="Normal 2 7 26" xfId="10969" xr:uid="{9A696BC9-718E-4AE5-B178-02A4DD531C03}"/>
    <cellStyle name="Normal 2 7 28" xfId="10970" xr:uid="{B44FA628-5C8C-44F6-9D2A-F0105142D31D}"/>
    <cellStyle name="Normal 2 7 3" xfId="10971" xr:uid="{93479210-8C73-41C4-B15E-893232E86299}"/>
    <cellStyle name="Normal 2 7 31" xfId="10972" xr:uid="{C86B9543-E26A-4193-B61D-130F7AC769BC}"/>
    <cellStyle name="Normal 2 7 33" xfId="10973" xr:uid="{83A8FC05-061F-4F70-ADFB-0B6FF8A7013F}"/>
    <cellStyle name="Normal 2 7 35" xfId="10974" xr:uid="{AF7D5AC1-4A34-44B6-82E3-B12DBBE12160}"/>
    <cellStyle name="Normal 2 7 37" xfId="10975" xr:uid="{9CC1F424-05E4-47F3-A8EB-0869FCC6CE12}"/>
    <cellStyle name="Normal 2 7 39" xfId="10976" xr:uid="{16D622EA-A7C8-4D67-A1D9-6D8119F69F7C}"/>
    <cellStyle name="Normal 2 7 40" xfId="10977" xr:uid="{5DA13364-39FB-4BD2-B478-CF7E11B60080}"/>
    <cellStyle name="Normal 2 7 42" xfId="10978" xr:uid="{832E62B7-CE2E-435B-8C02-37A518C3A294}"/>
    <cellStyle name="Normal 2 7 44" xfId="10979" xr:uid="{B299C353-2D77-4371-98F7-D6E300B33541}"/>
    <cellStyle name="Normal 2 7 46" xfId="10980" xr:uid="{66EB4F70-6D4B-4988-9863-C43C89703669}"/>
    <cellStyle name="Normal 2 7 48" xfId="10981" xr:uid="{813CEF46-66F6-4B95-8B8B-67A4FB3D604B}"/>
    <cellStyle name="Normal 2 7 5" xfId="10982" xr:uid="{510C3E4D-6F0E-4FD9-830E-A2E0ECBCA586}"/>
    <cellStyle name="Normal 2 7 51" xfId="10983" xr:uid="{80B2B948-F4D5-477A-9AB2-BADB8CAD4064}"/>
    <cellStyle name="Normal 2 7 53" xfId="10984" xr:uid="{905666EC-2C70-432A-9F50-779EF1C8DEA2}"/>
    <cellStyle name="Normal 2 7 7" xfId="10985" xr:uid="{B374B08B-7D98-40F2-BB26-AEC1D12300B3}"/>
    <cellStyle name="Normal 2 7 9" xfId="10986" xr:uid="{48B4C3AC-31CF-46E0-9C20-43946FB88EF1}"/>
    <cellStyle name="Normal 2 70 2" xfId="10987" xr:uid="{EFD5CA8F-AE90-4ADF-8B39-EA9495F5A6C3}"/>
    <cellStyle name="Normal 2 70 4" xfId="10988" xr:uid="{C1E1AFC1-B90F-41A3-ACDD-C49DE26ACF86}"/>
    <cellStyle name="Normal 2 71" xfId="10989" xr:uid="{562DA7C1-628A-4E4E-A86F-56336281CB3E}"/>
    <cellStyle name="Normal 2 71 5" xfId="10990" xr:uid="{48D7E207-24F2-48D3-A0B1-2D0AE55FFAD4}"/>
    <cellStyle name="Normal 2 73" xfId="10991" xr:uid="{D974F018-C200-4C40-84F4-C5C95D2A2541}"/>
    <cellStyle name="Normal 2 73 5" xfId="10992" xr:uid="{50977FC2-5BDF-4D94-9C8B-B5731F235389}"/>
    <cellStyle name="Normal 2 74 2" xfId="10993" xr:uid="{5570787B-DBDC-4BF5-8374-BE6E7D43685E}"/>
    <cellStyle name="Normal 2 74 4" xfId="10994" xr:uid="{E9D721C2-BCCC-4DE4-B1B0-4224144B2D6E}"/>
    <cellStyle name="Normal 2 74 6" xfId="10995" xr:uid="{698A00D0-76F9-4CDE-90F1-56179903EE12}"/>
    <cellStyle name="Normal 2 75 2" xfId="10996" xr:uid="{95607645-B7DC-44D9-BFDA-2C9FEF5106AA}"/>
    <cellStyle name="Normal 2 75 6" xfId="10997" xr:uid="{123D475B-EB06-4176-9F6E-E14EF8806503}"/>
    <cellStyle name="Normal 2 76 2" xfId="10998" xr:uid="{F3C8CBEB-F61F-47CA-ABF0-FAED55685888}"/>
    <cellStyle name="Normal 2 76 4" xfId="10999" xr:uid="{2DE66F59-3FFE-44AA-B967-20ACEF1E1268}"/>
    <cellStyle name="Normal 2 76 6" xfId="11000" xr:uid="{70C25888-058D-4FC7-8984-32DDD1D5D6F2}"/>
    <cellStyle name="Normal 2 77 2" xfId="11001" xr:uid="{68947195-84EC-47E0-AA59-C8A9C025DCC8}"/>
    <cellStyle name="Normal 2 77 4" xfId="11002" xr:uid="{3DFD4AA0-A2B1-48D7-AC50-D9E36B9B8A5D}"/>
    <cellStyle name="Normal 2 77 6" xfId="11003" xr:uid="{310C7F7E-9B88-4917-949E-90C0325B28B2}"/>
    <cellStyle name="Normal 2 78 2" xfId="11004" xr:uid="{73E89F10-AB34-4934-8C1D-A5716D9E1544}"/>
    <cellStyle name="Normal 2 78 4" xfId="11005" xr:uid="{7511EA56-F0B8-4059-A112-C89795E9F27C}"/>
    <cellStyle name="Normal 2 78 6" xfId="11006" xr:uid="{C57027D8-FE4E-4352-B8AE-2E51C87428E6}"/>
    <cellStyle name="Normal 2 79 2" xfId="11007" xr:uid="{D5D8F809-353E-4DF2-B244-FEA99AA9AAF0}"/>
    <cellStyle name="Normal 2 79 4" xfId="11008" xr:uid="{3034A4C5-7E13-4D69-BA8A-5342A5D7C789}"/>
    <cellStyle name="Normal 2 79 6" xfId="11009" xr:uid="{C81AA8CB-4701-4FF5-B06E-A88D64BA7544}"/>
    <cellStyle name="Normal 2 8 11" xfId="11010" xr:uid="{96E903D0-F1D7-4FCB-A02D-2A31FAD7828B}"/>
    <cellStyle name="Normal 2 8 13" xfId="11011" xr:uid="{4285D879-23C4-40FB-BCB1-0C360C733E5C}"/>
    <cellStyle name="Normal 2 8 15" xfId="11012" xr:uid="{2067C5A3-2226-44D5-A89E-44E27B8A8046}"/>
    <cellStyle name="Normal 2 8 19" xfId="11013" xr:uid="{AEA9CEBB-3166-4C20-AE81-1AF4DC63B3BB}"/>
    <cellStyle name="Normal 2 8 21" xfId="11014" xr:uid="{4B9F6723-4951-421E-A493-FA88EAA5168D}"/>
    <cellStyle name="Normal 2 8 23" xfId="11015" xr:uid="{28041087-2FE1-4F58-9606-EA41EE9AAA5C}"/>
    <cellStyle name="Normal 2 8 26" xfId="11016" xr:uid="{49101036-0BF3-4A68-B503-3B4A5727B4A2}"/>
    <cellStyle name="Normal 2 8 3" xfId="11017" xr:uid="{9799C0CB-C96A-46EB-837B-ED582D2CB6A6}"/>
    <cellStyle name="Normal 2 8 33" xfId="11018" xr:uid="{9FD9C29C-3AF3-4A0C-9174-4E19B1DB45CE}"/>
    <cellStyle name="Normal 2 8 37" xfId="11019" xr:uid="{56E1E16E-C5CA-429B-91FC-2DC5BF90E9A5}"/>
    <cellStyle name="Normal 2 8 40" xfId="11020" xr:uid="{16474733-F374-4BBA-83B3-CC91D48F2BB7}"/>
    <cellStyle name="Normal 2 8 43" xfId="11021" xr:uid="{BA475716-077B-419F-A101-F6A6764FFDA0}"/>
    <cellStyle name="Normal 2 8 45" xfId="11022" xr:uid="{EF65F41F-1C50-4F53-8BEB-2060376E12C6}"/>
    <cellStyle name="Normal 2 8 47" xfId="11023" xr:uid="{6993FD1F-5F45-4497-98E8-AD1A5CFBE154}"/>
    <cellStyle name="Normal 2 8 49" xfId="11024" xr:uid="{B0BF55B1-4607-4C00-BF5D-49EB8F7A33A1}"/>
    <cellStyle name="Normal 2 8 52" xfId="11025" xr:uid="{E057AFDF-86AF-4E41-926E-E5ABA5525C0B}"/>
    <cellStyle name="Normal 2 8 8" xfId="11026" xr:uid="{A42248BB-173D-4CE3-9782-F528C02A3B0E}"/>
    <cellStyle name="Normal 2 80" xfId="11027" xr:uid="{49B20AC6-B8E6-4ACC-8B86-17A45D154A20}"/>
    <cellStyle name="Normal 2 80 3" xfId="11028" xr:uid="{4E43D17E-F60D-465E-936F-EC1752BDD4DB}"/>
    <cellStyle name="Normal 2 80 5" xfId="11029" xr:uid="{5BA48FFA-9478-4333-AE88-8BEEE894EE52}"/>
    <cellStyle name="Normal 2 81" xfId="11030" xr:uid="{1D48B005-A3A0-4E47-96D8-7DD2FD67396F}"/>
    <cellStyle name="Normal 2 81 3" xfId="11031" xr:uid="{CC44DC90-E67C-4D32-B780-3B9AA138928D}"/>
    <cellStyle name="Normal 2 81 5" xfId="11032" xr:uid="{77C78274-BEAB-4A06-82D8-C1CEDD74A706}"/>
    <cellStyle name="Normal 2 82" xfId="11033" xr:uid="{90C5C134-48AD-4C3C-8E03-51F43FA66410}"/>
    <cellStyle name="Normal 2 82 3" xfId="11034" xr:uid="{30F59665-6E8F-432C-8730-0C9F29D28211}"/>
    <cellStyle name="Normal 2 82 5" xfId="11035" xr:uid="{C5F95555-246C-4C5A-8B8D-384A354E83ED}"/>
    <cellStyle name="Normal 2 83" xfId="11036" xr:uid="{95BBCC81-E660-4AA2-8087-3A4F8AEF7802}"/>
    <cellStyle name="Normal 2 83 5" xfId="11037" xr:uid="{6845E91D-59CA-4F62-8270-FE76FCCE5189}"/>
    <cellStyle name="Normal 2 84" xfId="11038" xr:uid="{A1894EC4-AF98-4B4E-B209-4D6A74D80B27}"/>
    <cellStyle name="Normal 2 84 3" xfId="11039" xr:uid="{BA9E1784-5951-429C-9102-5D430BB3DFA4}"/>
    <cellStyle name="Normal 2 84 5" xfId="11040" xr:uid="{F6DDE61F-F230-48CA-A4A3-B2349BD3A532}"/>
    <cellStyle name="Normal 2 85" xfId="11041" xr:uid="{1BCB041B-B4FA-4805-8E4D-4021F185C952}"/>
    <cellStyle name="Normal 2 85 3" xfId="11042" xr:uid="{53DE6271-0C21-4FFA-A87C-141EA8A96136}"/>
    <cellStyle name="Normal 2 86 2" xfId="11043" xr:uid="{FCD77448-41BA-411B-8A42-271876A6ECFB}"/>
    <cellStyle name="Normal 2 86 6" xfId="11044" xr:uid="{C9463994-0A5C-419A-AD7F-92E13A00AB48}"/>
    <cellStyle name="Normal 2 87 4" xfId="11045" xr:uid="{3E3ECA8A-DEA1-4201-9DFC-B73D3F4FD708}"/>
    <cellStyle name="Normal 2 88 2" xfId="11046" xr:uid="{84AF006D-49EC-4EDD-9131-F419154F6851}"/>
    <cellStyle name="Normal 2 88 2 5" xfId="11047" xr:uid="{797D5C5B-6002-4CB2-AF4F-0C2E667AB2B8}"/>
    <cellStyle name="Normal 2 9" xfId="11048" xr:uid="{B06E1DC3-2997-489B-BDC9-98E3CDDCB2E1}"/>
    <cellStyle name="Normal 2 9 11" xfId="11049" xr:uid="{454AAD03-7F69-4095-85FA-F7322492B760}"/>
    <cellStyle name="Normal 2 9 13" xfId="11050" xr:uid="{856874A5-D18F-4C8C-968B-6709B037054B}"/>
    <cellStyle name="Normal 2 9 15" xfId="11051" xr:uid="{94E21926-670E-49E7-8363-AA35D87D5339}"/>
    <cellStyle name="Normal 2 9 17" xfId="11052" xr:uid="{707D37F7-E303-49B5-9D69-95F246B11B41}"/>
    <cellStyle name="Normal 2 9 19" xfId="11053" xr:uid="{B91C46C9-C19D-40F7-8152-C36A0824F9EE}"/>
    <cellStyle name="Normal 2 9 20" xfId="11054" xr:uid="{E0BE69E0-7BA9-496F-8ADC-FC50AFEA236B}"/>
    <cellStyle name="Normal 2 9 22" xfId="11055" xr:uid="{4A0F5614-ABC5-40A5-A502-53555D1BEBD7}"/>
    <cellStyle name="Normal 2 9 24" xfId="11056" xr:uid="{90841872-9BE3-4A6F-ADC4-840398DBF784}"/>
    <cellStyle name="Normal 2 9 26" xfId="11057" xr:uid="{8D9BBCAC-B873-4407-977E-FC30CC41CD06}"/>
    <cellStyle name="Normal 2 9 28" xfId="11058" xr:uid="{F36F2E63-5FA0-44EC-AF48-511E8EE78846}"/>
    <cellStyle name="Normal 2 9 3" xfId="11059" xr:uid="{8312BF1D-3A26-48BF-84AE-4F072796AF76}"/>
    <cellStyle name="Normal 2 9 31" xfId="11060" xr:uid="{F101530F-43CA-41AF-87EA-DAD20B55B519}"/>
    <cellStyle name="Normal 2 9 33" xfId="11061" xr:uid="{11FCFB10-DC9F-49CF-A50B-B886894B0C83}"/>
    <cellStyle name="Normal 2 9 35" xfId="11062" xr:uid="{B085817E-271F-4BA8-9A49-D4EE28BB1863}"/>
    <cellStyle name="Normal 2 9 37" xfId="11063" xr:uid="{11D7651F-C3A4-4EC1-BF27-7C96F038876A}"/>
    <cellStyle name="Normal 2 9 39" xfId="11064" xr:uid="{7FD8882D-CE52-43D2-B3AE-E85EFF2C1D0F}"/>
    <cellStyle name="Normal 2 9 40" xfId="11065" xr:uid="{F21B6CA6-F475-43B4-8092-FC4BC4A21890}"/>
    <cellStyle name="Normal 2 9 42" xfId="11066" xr:uid="{4DD4FCC8-0822-49FA-85FD-833DAFC32BEB}"/>
    <cellStyle name="Normal 2 9 44" xfId="11067" xr:uid="{DB0C0A30-2CF8-4A9F-8AD9-ACBFC74DE985}"/>
    <cellStyle name="Normal 2 9 46" xfId="11068" xr:uid="{F2FDD7C6-2EBA-40A9-9945-447D8A791797}"/>
    <cellStyle name="Normal 2 9 48" xfId="11069" xr:uid="{565983A5-5A1C-4921-BB7E-2E61A3B05406}"/>
    <cellStyle name="Normal 2 9 5" xfId="11070" xr:uid="{2A13EA81-849B-4166-A108-23832707F15B}"/>
    <cellStyle name="Normal 2 9 51" xfId="11071" xr:uid="{9817645F-DDE0-40E9-9AE0-3CD120E486A2}"/>
    <cellStyle name="Normal 2 9 6" xfId="11072" xr:uid="{01BA4CE6-24A8-400E-BCDD-D84F77C437C8}"/>
    <cellStyle name="Normal 2 90" xfId="11073" xr:uid="{7654B39C-126D-4F14-9151-D89CC469CDDC}"/>
    <cellStyle name="Normal 2 92" xfId="11074" xr:uid="{6632771D-8922-40FB-99BC-115A72FC0AA9}"/>
    <cellStyle name="Normal 2 94" xfId="11075" xr:uid="{6465D12E-96DD-4609-9162-8540A075DF78}"/>
    <cellStyle name="Normal 2 96" xfId="11076" xr:uid="{93E15234-7621-4571-AEC7-1A88E5719624}"/>
    <cellStyle name="Normal 2 98" xfId="11077" xr:uid="{E68DC319-1EF7-4225-85A9-5748CFEFCA9E}"/>
    <cellStyle name="Normal 2_07-05-24-fnb- Banco de Preços R14" xfId="386" xr:uid="{00AC761E-A92C-4231-B2BF-A6430DF19BCF}"/>
    <cellStyle name="Normal 20 10" xfId="11078" xr:uid="{C700EE55-686A-484E-BBDD-034E71B535D3}"/>
    <cellStyle name="Normal 20 10 11" xfId="11079" xr:uid="{F591783C-0D5D-49CF-A46D-25A9AA90043C}"/>
    <cellStyle name="Normal 20 10 13" xfId="11080" xr:uid="{95CEA16A-869E-4731-99CC-767B6C53FB13}"/>
    <cellStyle name="Normal 20 10 2 2" xfId="11081" xr:uid="{8F72AF15-6BFE-4AD5-9920-1EC0173A78FC}"/>
    <cellStyle name="Normal 20 10 2 6" xfId="11082" xr:uid="{F9D540D3-4322-4395-ABAF-ADCE69748190}"/>
    <cellStyle name="Normal 20 10 3 2" xfId="11083" xr:uid="{B3B5840F-C689-4F3C-8127-019D6389BCF0}"/>
    <cellStyle name="Normal 20 10 3 4" xfId="11084" xr:uid="{F415634B-2B58-440D-80D9-C60241FADC13}"/>
    <cellStyle name="Normal 20 10 3 6" xfId="11085" xr:uid="{25D9C9C5-467D-43CB-9682-7BC0443FAD6E}"/>
    <cellStyle name="Normal 20 10 4 2" xfId="11086" xr:uid="{103E4E3C-EA7F-4187-A05B-5494112DC9F5}"/>
    <cellStyle name="Normal 20 10 4 4" xfId="11087" xr:uid="{C2221316-61DE-4611-90C9-15E144375025}"/>
    <cellStyle name="Normal 20 10 5 2" xfId="11088" xr:uid="{527F46AF-7D61-4721-B02E-F6513A3F6B20}"/>
    <cellStyle name="Normal 20 10 5 4" xfId="11089" xr:uid="{6F20403F-312C-43E1-ADE8-940765DA6EB6}"/>
    <cellStyle name="Normal 20 10 5 6" xfId="11090" xr:uid="{51073303-8588-42A6-B266-A4E338C1C060}"/>
    <cellStyle name="Normal 20 10 6 2" xfId="11091" xr:uid="{E914BA61-D1B8-4E37-9D8C-46298800151E}"/>
    <cellStyle name="Normal 20 10 6 4" xfId="11092" xr:uid="{2A5D8B5A-E23D-402D-A6A6-CC6A1E06D212}"/>
    <cellStyle name="Normal 20 10 6 6" xfId="11093" xr:uid="{017D38F5-CD6F-4BAD-B568-A4584372C669}"/>
    <cellStyle name="Normal 20 10 7 2" xfId="11094" xr:uid="{42A9CC87-4BA0-4690-97D5-59265E161575}"/>
    <cellStyle name="Normal 20 10 7 5" xfId="11095" xr:uid="{CDE6367B-BCEC-463B-95A8-95A7293BDD22}"/>
    <cellStyle name="Normal 20 10 8" xfId="11096" xr:uid="{F5534870-9CFB-4F0A-BC3B-233D980C6FB8}"/>
    <cellStyle name="Normal 20 10 8 3" xfId="11097" xr:uid="{FED2014F-3465-4DAA-A541-754F23371FD1}"/>
    <cellStyle name="Normal 20 10 8 5" xfId="11098" xr:uid="{C21D4723-BF22-4CD9-A0B8-79614CB81EA4}"/>
    <cellStyle name="Normal 20 10 9" xfId="11099" xr:uid="{C8DFED38-6865-42A3-9F78-979E15881D88}"/>
    <cellStyle name="Normal 20 11 10" xfId="11100" xr:uid="{C32B1797-6266-4D72-857D-FA837F0ADF0E}"/>
    <cellStyle name="Normal 20 11 13" xfId="11101" xr:uid="{AD6C2BEC-2F50-40FA-BA76-4CFEFEB169FE}"/>
    <cellStyle name="Normal 20 11 2 2" xfId="11102" xr:uid="{CDE6002D-E48C-400E-A415-6EB5D8632F9E}"/>
    <cellStyle name="Normal 20 11 2 4" xfId="11103" xr:uid="{D80F5731-E84B-4C13-8D2A-3C2DB36F88FB}"/>
    <cellStyle name="Normal 20 11 2 6" xfId="11104" xr:uid="{59110A40-1DAE-4CF4-A2B1-C19E35D0CE3E}"/>
    <cellStyle name="Normal 20 11 3 2" xfId="11105" xr:uid="{F9BFFB55-F3EC-4C20-B1BB-A6D10D21C44D}"/>
    <cellStyle name="Normal 20 11 3 4" xfId="11106" xr:uid="{FC25D720-E72B-4D6E-83CE-EC377F1E95D1}"/>
    <cellStyle name="Normal 20 11 3 6" xfId="11107" xr:uid="{7A0DC007-B76E-4AAE-9C1A-F6CB5A482FAC}"/>
    <cellStyle name="Normal 20 11 4 2" xfId="11108" xr:uid="{00833D85-04BC-4048-AFDB-1162CE6F636C}"/>
    <cellStyle name="Normal 20 11 4 4" xfId="11109" xr:uid="{38713A32-9FC2-4CC9-A311-AD9F23D0D680}"/>
    <cellStyle name="Normal 20 11 4 6" xfId="11110" xr:uid="{3DFAFD70-C59C-4745-9A87-4E70C314CA9A}"/>
    <cellStyle name="Normal 20 11 5 2" xfId="11111" xr:uid="{A9A73C5A-D6B9-4BC7-975A-26ECD534CA16}"/>
    <cellStyle name="Normal 20 11 5 4" xfId="11112" xr:uid="{466813C0-9280-417F-9D2C-B0992B0A29F4}"/>
    <cellStyle name="Normal 20 11 5 6" xfId="11113" xr:uid="{E1E63CDD-52C8-4160-AEDD-D755E4D4B352}"/>
    <cellStyle name="Normal 20 11 6 2" xfId="11114" xr:uid="{36310C96-3F16-4093-9300-C6217D6CBA03}"/>
    <cellStyle name="Normal 20 11 6 4" xfId="11115" xr:uid="{72F1C8FA-13A8-4A3E-8FB3-6F7FBA55B79F}"/>
    <cellStyle name="Normal 20 11 6 6" xfId="11116" xr:uid="{AF89095A-184F-49EC-B13F-A2D28753074E}"/>
    <cellStyle name="Normal 20 11 7 2" xfId="11117" xr:uid="{2BD1B962-049A-4A31-B827-8CEA67CEE7D4}"/>
    <cellStyle name="Normal 20 11 7 4" xfId="11118" xr:uid="{EBFC9E3B-6E8F-4E94-A4E7-3658F95461D2}"/>
    <cellStyle name="Normal 20 11 8 3" xfId="11119" xr:uid="{C8C2AA22-6BB2-4CB2-A38A-3D4E913DB893}"/>
    <cellStyle name="Normal 20 11 8 6" xfId="11120" xr:uid="{DFB54467-7E9A-45C2-8D32-3C6709A8E4C8}"/>
    <cellStyle name="Normal 20 12 11" xfId="11121" xr:uid="{84E2FD04-E458-4EA9-B973-229816A6567A}"/>
    <cellStyle name="Normal 20 12 2 2" xfId="11122" xr:uid="{0814C858-C32C-4F74-94DE-7A6EA58EE2CE}"/>
    <cellStyle name="Normal 20 12 2 6" xfId="11123" xr:uid="{7E65D114-6B80-4CAA-905B-77ABB2A6061F}"/>
    <cellStyle name="Normal 20 12 3 4" xfId="11124" xr:uid="{F55E05B7-31A4-4E49-85EE-22CF1EB9EB1A}"/>
    <cellStyle name="Normal 20 12 4 2" xfId="11125" xr:uid="{8680B6D7-9E50-43AD-9D6B-DA70E4EAA63B}"/>
    <cellStyle name="Normal 20 12 4 6" xfId="11126" xr:uid="{D4E723D5-6CCA-4F27-8841-7600DA05C31C}"/>
    <cellStyle name="Normal 20 12 5 4" xfId="11127" xr:uid="{1B32944D-2039-4C8A-A45A-767E664C95C8}"/>
    <cellStyle name="Normal 20 12 6 6" xfId="11128" xr:uid="{911F0917-52FB-4243-9936-6E3B861DAD95}"/>
    <cellStyle name="Normal 20 12 7 4" xfId="11129" xr:uid="{600E8B39-DE97-4121-97AB-B94DE716F655}"/>
    <cellStyle name="Normal 20 12 8 2" xfId="11130" xr:uid="{C9BF8C43-D6D6-4AE8-BAF2-ABA8A81B4A19}"/>
    <cellStyle name="Normal 20 12 8 6" xfId="11131" xr:uid="{D3EEBD75-FA2F-4C0B-A9F9-0293F3A683F1}"/>
    <cellStyle name="Normal 20 13 12" xfId="11132" xr:uid="{6BC8086D-B281-4887-BAEC-12CA1811F7DA}"/>
    <cellStyle name="Normal 20 13 2 3" xfId="11133" xr:uid="{A9C027F9-1921-4B25-81FA-40CEDA2253C1}"/>
    <cellStyle name="Normal 20 13 3 5" xfId="11134" xr:uid="{0F119167-D961-4D64-8A2A-9D6890132054}"/>
    <cellStyle name="Normal 20 13 4 3" xfId="11135" xr:uid="{F4F54145-B835-4352-9FE6-DB534230988F}"/>
    <cellStyle name="Normal 20 13 5" xfId="11136" xr:uid="{1495F862-5D94-44A2-B974-AACABE76CE39}"/>
    <cellStyle name="Normal 20 13 5 6" xfId="11137" xr:uid="{A5D96A7D-8714-4D0A-AEF2-20D81ECEC3F5}"/>
    <cellStyle name="Normal 20 13 6 3" xfId="11138" xr:uid="{1867ADEC-B47F-44C6-B4C6-9A95E74721DC}"/>
    <cellStyle name="Normal 20 13 7" xfId="11139" xr:uid="{D0A62DE2-AE4D-4EFE-9194-3B342F355CD0}"/>
    <cellStyle name="Normal 20 13 7 5" xfId="11140" xr:uid="{8021FAB3-688A-4EAE-ABCB-EC6D5BED203D}"/>
    <cellStyle name="Normal 20 13 8" xfId="11141" xr:uid="{4575B43B-14DE-402C-842A-1A31723AAF8D}"/>
    <cellStyle name="Normal 20 13 8 3" xfId="11142" xr:uid="{227A92DF-D3EF-4AE0-BC13-D362E976FF44}"/>
    <cellStyle name="Normal 20 13 8 5" xfId="11143" xr:uid="{9161B89A-27CA-4FB7-9AD0-E8BDF69F6342}"/>
    <cellStyle name="Normal 20 13 9" xfId="11144" xr:uid="{3610D643-CB02-4C45-8A30-22AB39454CDA}"/>
    <cellStyle name="Normal 20 14 10" xfId="11145" xr:uid="{7CA5AB3C-85F4-4154-95D8-A48CA5DF08BF}"/>
    <cellStyle name="Normal 20 14 12" xfId="11146" xr:uid="{5320DDB3-9E2A-4E33-B45A-E8892F24D08E}"/>
    <cellStyle name="Normal 20 14 2" xfId="11147" xr:uid="{557B7DC3-5DB2-4E61-85F5-864682653C88}"/>
    <cellStyle name="Normal 20 14 2 3" xfId="11148" xr:uid="{3E40B419-95C8-4AD4-991A-A3E39482135B}"/>
    <cellStyle name="Normal 20 14 2 5" xfId="11149" xr:uid="{D6003C78-FBDC-4D86-9D41-9F22CA498D8F}"/>
    <cellStyle name="Normal 20 14 3" xfId="11150" xr:uid="{764A3063-E3F2-4970-864B-C5DE2F513BE0}"/>
    <cellStyle name="Normal 20 14 3 3" xfId="11151" xr:uid="{9B0667AD-CB98-4B1F-9CCC-4992D768CF56}"/>
    <cellStyle name="Normal 20 14 3 5" xfId="11152" xr:uid="{51BFB9FC-19FC-43A3-96AD-65234D1638C4}"/>
    <cellStyle name="Normal 20 14 4" xfId="11153" xr:uid="{197B6BB6-6292-401C-B3E8-0F6FF187D208}"/>
    <cellStyle name="Normal 20 14 4 3" xfId="11154" xr:uid="{757B7633-2647-48A4-B4CF-86FFC5F16408}"/>
    <cellStyle name="Normal 20 14 4 5" xfId="11155" xr:uid="{7F41C599-346D-4784-A2FA-442727EED8C2}"/>
    <cellStyle name="Normal 20 14 5" xfId="11156" xr:uid="{9BB57FA2-30E1-49D4-BD86-C982FCF8BB82}"/>
    <cellStyle name="Normal 20 14 5 3" xfId="11157" xr:uid="{BC26B0C6-2A5E-46D7-A662-BD21ED34EB9E}"/>
    <cellStyle name="Normal 20 14 5 5" xfId="11158" xr:uid="{31CD27C4-3516-4FA0-B20B-5E63B8FE2850}"/>
    <cellStyle name="Normal 20 14 6" xfId="11159" xr:uid="{2CC897F4-81EA-4983-AF08-E35DCD16F1DE}"/>
    <cellStyle name="Normal 20 14 6 3" xfId="11160" xr:uid="{96571931-5900-40E1-A340-C476360ECF3E}"/>
    <cellStyle name="Normal 20 14 6 5" xfId="11161" xr:uid="{1B0A2FC2-1904-4324-804C-0D7E4F650790}"/>
    <cellStyle name="Normal 20 14 7" xfId="11162" xr:uid="{F3AC2095-BDE9-4711-B2C9-A5FB96F366EE}"/>
    <cellStyle name="Normal 20 14 7 3" xfId="11163" xr:uid="{303A910E-4512-49B7-8C85-3C7ECBF1FFD6}"/>
    <cellStyle name="Normal 20 14 7 5" xfId="11164" xr:uid="{E2895B6E-160E-454B-9EBE-539D5BD253FE}"/>
    <cellStyle name="Normal 20 14 8" xfId="11165" xr:uid="{B2EFDCD7-57DA-4B68-99D0-2F97831999FA}"/>
    <cellStyle name="Normal 20 14 8 3" xfId="11166" xr:uid="{C9F01165-96A7-4271-B745-0A82C9D7DE90}"/>
    <cellStyle name="Normal 20 14 8 5" xfId="11167" xr:uid="{A9C54F4B-D891-475F-8343-63806F78109B}"/>
    <cellStyle name="Normal 20 14 9" xfId="11168" xr:uid="{6C00254D-C389-43AC-9FDE-5DDEC4CF817F}"/>
    <cellStyle name="Normal 20 15 10" xfId="11169" xr:uid="{692B1B12-9AE9-4D5D-8514-D1CD840A4BEB}"/>
    <cellStyle name="Normal 20 15 12" xfId="11170" xr:uid="{3A89A727-7FC7-4928-92C1-71E30E688BBB}"/>
    <cellStyle name="Normal 20 15 2" xfId="11171" xr:uid="{FE69B685-74DB-4EA2-A3AC-A877CD45926F}"/>
    <cellStyle name="Normal 20 15 2 3" xfId="11172" xr:uid="{E2180C58-C5C8-4D8A-9AEA-737975A37CE1}"/>
    <cellStyle name="Normal 20 15 2 5" xfId="11173" xr:uid="{2CCD4207-FA01-4FC5-BC73-13C923BC2DA3}"/>
    <cellStyle name="Normal 20 15 3" xfId="11174" xr:uid="{E22D980F-BAFD-40BB-9C59-C3C59ECAE5E2}"/>
    <cellStyle name="Normal 20 15 3 3" xfId="11175" xr:uid="{5EC64D5A-FCFC-4E80-BF0F-A5181F26C52C}"/>
    <cellStyle name="Normal 20 15 3 5" xfId="11176" xr:uid="{E2633FE4-11B6-4E41-9330-60E2183533FE}"/>
    <cellStyle name="Normal 20 15 4" xfId="11177" xr:uid="{272C782C-6539-4129-A140-D559EB311F28}"/>
    <cellStyle name="Normal 20 15 4 3" xfId="11178" xr:uid="{FF0BE4AB-4A0A-4D0E-A017-FBE25B88AC36}"/>
    <cellStyle name="Normal 20 15 4 5" xfId="11179" xr:uid="{0179C7FE-CB54-46B6-83C6-CD310B664AFA}"/>
    <cellStyle name="Normal 20 15 5" xfId="11180" xr:uid="{2EF8CC99-DD84-4142-9591-547DD860F3ED}"/>
    <cellStyle name="Normal 20 15 5 3" xfId="11181" xr:uid="{8EE2224E-30C3-4AFD-A3B1-243274B86872}"/>
    <cellStyle name="Normal 20 15 5 5" xfId="11182" xr:uid="{0885401C-5CE4-47CA-844D-AB846B2FF2CD}"/>
    <cellStyle name="Normal 20 15 6" xfId="11183" xr:uid="{033600E6-1444-45FD-A264-C031AE1D3643}"/>
    <cellStyle name="Normal 20 15 6 3" xfId="11184" xr:uid="{B1E3D28F-B4EB-48C3-A41D-435661B75EC2}"/>
    <cellStyle name="Normal 20 15 6 5" xfId="11185" xr:uid="{75DF8774-2325-4622-AF72-D17630F03DDA}"/>
    <cellStyle name="Normal 20 15 7" xfId="11186" xr:uid="{70C71A32-1E4B-4172-828C-AD449713D659}"/>
    <cellStyle name="Normal 20 15 7 3" xfId="11187" xr:uid="{14543AFA-CD4D-45E8-8E71-79D1FF46CF5D}"/>
    <cellStyle name="Normal 20 15 7 5" xfId="11188" xr:uid="{59927C5A-1F9E-4AF0-AF67-42AE812A2459}"/>
    <cellStyle name="Normal 20 15 8" xfId="11189" xr:uid="{5205D21C-3CDC-4198-B365-275AEA1AA2AE}"/>
    <cellStyle name="Normal 20 15 8 3" xfId="11190" xr:uid="{BBFEDEAE-A0FE-4F7C-8DB1-BEAF2E648E24}"/>
    <cellStyle name="Normal 20 15 8 5" xfId="11191" xr:uid="{0C75AF0B-6616-49A3-98D4-B6B86A04F338}"/>
    <cellStyle name="Normal 20 15 9" xfId="11192" xr:uid="{68D008AA-617E-4195-8E0F-F1FA5AFB2320}"/>
    <cellStyle name="Normal 20 16 10" xfId="11193" xr:uid="{E4699D77-86A8-4C16-90DD-FAEBFF87EA7D}"/>
    <cellStyle name="Normal 20 16 12" xfId="11194" xr:uid="{633BF968-9368-4B4D-8E1F-B9C5246E9FF7}"/>
    <cellStyle name="Normal 20 16 2" xfId="11195" xr:uid="{A6BF834E-6E48-46DF-9730-740449C6F5A7}"/>
    <cellStyle name="Normal 20 16 2 3" xfId="11196" xr:uid="{883C1394-01EE-49A9-9F40-B5807F532B6B}"/>
    <cellStyle name="Normal 20 16 2 5" xfId="11197" xr:uid="{CDC3FF01-BB1E-498A-A5A2-23D74D9BF90D}"/>
    <cellStyle name="Normal 20 16 3" xfId="11198" xr:uid="{D55D363D-422C-41AA-88FC-57A41D5D5AF8}"/>
    <cellStyle name="Normal 20 16 3 3" xfId="11199" xr:uid="{DEBD8391-1011-4CAA-AF24-20A75A05846A}"/>
    <cellStyle name="Normal 20 16 3 5" xfId="11200" xr:uid="{432B60F7-91F9-4B78-B8F1-02EC3394633C}"/>
    <cellStyle name="Normal 20 16 4" xfId="11201" xr:uid="{0F330306-4DA2-4761-AFEE-E0B4692D134A}"/>
    <cellStyle name="Normal 20 16 4 3" xfId="11202" xr:uid="{1D12EF16-DF57-4E21-8D3A-FD7B3EA7288D}"/>
    <cellStyle name="Normal 20 16 4 5" xfId="11203" xr:uid="{11AF11B2-DA86-401B-8140-60A969567BD7}"/>
    <cellStyle name="Normal 20 16 5" xfId="11204" xr:uid="{EC35A7C6-8B95-4668-81A9-363F44689DAD}"/>
    <cellStyle name="Normal 20 16 5 3" xfId="11205" xr:uid="{35715077-3D85-440F-999D-6C8D0BB2E088}"/>
    <cellStyle name="Normal 20 16 5 5" xfId="11206" xr:uid="{B3AD759B-3D81-4CA2-A978-D3EE68FFA510}"/>
    <cellStyle name="Normal 20 16 6" xfId="11207" xr:uid="{E7AAD4B9-1F4A-43B6-B87F-4FE3B69CD638}"/>
    <cellStyle name="Normal 20 16 6 3" xfId="11208" xr:uid="{FEE51D3C-A9CC-4DE5-B919-07D912DD5A4A}"/>
    <cellStyle name="Normal 20 16 6 5" xfId="11209" xr:uid="{8908726E-4C32-4384-871A-46FE1F5223DD}"/>
    <cellStyle name="Normal 20 16 7" xfId="11210" xr:uid="{E7C2E119-3BD5-4906-AB42-6C7754C4E4FB}"/>
    <cellStyle name="Normal 20 16 7 3" xfId="11211" xr:uid="{DFC131C8-7DF7-455E-93A4-00B34B89DC84}"/>
    <cellStyle name="Normal 20 16 7 5" xfId="11212" xr:uid="{15201A8F-CD6D-4A31-872A-D6FFE995053F}"/>
    <cellStyle name="Normal 20 16 8" xfId="11213" xr:uid="{0AC89D07-85D0-417B-960A-50D159378F32}"/>
    <cellStyle name="Normal 20 16 8 3" xfId="11214" xr:uid="{4E74FE40-F95F-4FAA-9BA4-3AEE81723016}"/>
    <cellStyle name="Normal 20 16 8 5" xfId="11215" xr:uid="{6DE8A88B-921F-423D-A688-76134F7A160C}"/>
    <cellStyle name="Normal 20 16 9" xfId="11216" xr:uid="{D650EB33-AEE3-4B01-A3A8-F994E0345051}"/>
    <cellStyle name="Normal 20 17 10" xfId="11217" xr:uid="{7D8A61CC-C717-4203-AA0C-62E772D0685A}"/>
    <cellStyle name="Normal 20 17 12" xfId="11218" xr:uid="{9E4FF396-F1DE-4FAF-8D0A-1811554C98AD}"/>
    <cellStyle name="Normal 20 17 2" xfId="11219" xr:uid="{A2A0E2F8-3FD2-4803-B0FB-AA6C31A6AE14}"/>
    <cellStyle name="Normal 20 17 2 3" xfId="11220" xr:uid="{37CD5D68-A2D2-4404-A2AB-C6E29CBDFF37}"/>
    <cellStyle name="Normal 20 17 2 5" xfId="11221" xr:uid="{97AFDE97-0538-43B7-9136-FF239208B1C5}"/>
    <cellStyle name="Normal 20 17 3" xfId="11222" xr:uid="{77A421AD-122D-4C06-8F13-FF878AAB73B4}"/>
    <cellStyle name="Normal 20 17 3 3" xfId="11223" xr:uid="{CC6DF1EC-E4E3-4011-9DC1-F9B4DD4AE747}"/>
    <cellStyle name="Normal 20 17 3 5" xfId="11224" xr:uid="{778484FA-0956-46A8-9E5F-10BF1EDA0426}"/>
    <cellStyle name="Normal 20 17 4" xfId="11225" xr:uid="{252B35B2-2258-46AD-9F61-DEE548AA6E34}"/>
    <cellStyle name="Normal 20 17 4 3" xfId="11226" xr:uid="{6303AF84-237B-406F-B296-650F7C5EA01D}"/>
    <cellStyle name="Normal 20 17 4 5" xfId="11227" xr:uid="{CCC0778C-2EDB-47B6-B8A9-D16536F4605E}"/>
    <cellStyle name="Normal 20 17 5" xfId="11228" xr:uid="{B67E8E85-CEF9-48E3-8399-345072A1C7B5}"/>
    <cellStyle name="Normal 20 17 5 3" xfId="11229" xr:uid="{75CE4D30-2236-432B-9E7C-C613A7E9711F}"/>
    <cellStyle name="Normal 20 17 5 5" xfId="11230" xr:uid="{3FB1763A-3FE6-408E-840D-188F4F48CB92}"/>
    <cellStyle name="Normal 20 17 6" xfId="11231" xr:uid="{0A446016-D149-4D6F-99B4-88A1D529DD65}"/>
    <cellStyle name="Normal 20 17 6 3" xfId="11232" xr:uid="{4131149C-E6C3-4BFF-806C-25B8BCE0EA23}"/>
    <cellStyle name="Normal 20 17 6 5" xfId="11233" xr:uid="{4A9016FD-8B07-48E0-9C5E-19F14294503B}"/>
    <cellStyle name="Normal 20 17 7" xfId="11234" xr:uid="{82829FD8-B049-4996-9889-B32F6119BBBA}"/>
    <cellStyle name="Normal 20 17 7 3" xfId="11235" xr:uid="{4ACD8770-E779-4BA9-BDE2-EF892A0A7819}"/>
    <cellStyle name="Normal 20 17 7 5" xfId="11236" xr:uid="{1C259448-0AA0-4FE8-8E77-492DA1157B2E}"/>
    <cellStyle name="Normal 20 17 8" xfId="11237" xr:uid="{2BF9B719-4B44-4FD0-8FE2-BDBB6246D63F}"/>
    <cellStyle name="Normal 20 17 8 3" xfId="11238" xr:uid="{F41B55E2-502D-4FAF-B5A8-771F4E06A01E}"/>
    <cellStyle name="Normal 20 17 8 5" xfId="11239" xr:uid="{4EB456C7-0D11-43D4-B9B0-96575E877EC9}"/>
    <cellStyle name="Normal 20 17 9" xfId="11240" xr:uid="{FFC1687D-1A23-4864-815D-AE94BCF6971B}"/>
    <cellStyle name="Normal 20 18 10" xfId="11241" xr:uid="{ABD9C31D-34E4-40FD-9B9A-9E55A17656F0}"/>
    <cellStyle name="Normal 20 18 12" xfId="11242" xr:uid="{00CAACA4-5B99-47DD-BBA6-36D650C50C19}"/>
    <cellStyle name="Normal 20 18 2" xfId="11243" xr:uid="{05C5D795-F977-48EE-9017-6EE7847798B4}"/>
    <cellStyle name="Normal 20 18 2 3" xfId="11244" xr:uid="{21EE4356-49BB-4414-9E8E-771D038A6406}"/>
    <cellStyle name="Normal 20 18 2 5" xfId="11245" xr:uid="{AA8E69A8-1D82-4250-A53F-BFF53F70BD57}"/>
    <cellStyle name="Normal 20 18 3" xfId="11246" xr:uid="{80381F37-DA27-4014-AF66-D295DDFD1590}"/>
    <cellStyle name="Normal 20 18 3 3" xfId="11247" xr:uid="{6DFA9E76-1AF7-40DD-83CC-67D52715A31E}"/>
    <cellStyle name="Normal 20 18 3 5" xfId="11248" xr:uid="{8104308C-16A7-47A0-9046-85E7640EBCA7}"/>
    <cellStyle name="Normal 20 18 4" xfId="11249" xr:uid="{C5C9FDBA-190C-4D76-89B2-86E787E79ADE}"/>
    <cellStyle name="Normal 20 18 4 3" xfId="11250" xr:uid="{B74B0DF5-5B48-45FE-9ECB-C60306D04BFA}"/>
    <cellStyle name="Normal 20 18 4 5" xfId="11251" xr:uid="{C20E6F64-9727-44DB-BBA0-4B62FA41B756}"/>
    <cellStyle name="Normal 20 18 5" xfId="11252" xr:uid="{307CBA34-BA0D-4CA4-9BD2-CCA263C4C1B2}"/>
    <cellStyle name="Normal 20 18 5 3" xfId="11253" xr:uid="{3441CAAF-73A3-40CE-BA52-61A6000A8E83}"/>
    <cellStyle name="Normal 20 18 5 5" xfId="11254" xr:uid="{5C26EFFF-8CBF-4907-B956-E1716E0F70BE}"/>
    <cellStyle name="Normal 20 18 6" xfId="11255" xr:uid="{71483A39-24D3-4CD9-8EEC-66B5BC12A7F5}"/>
    <cellStyle name="Normal 20 18 6 3" xfId="11256" xr:uid="{CDA972FB-268E-49A9-A329-FECA384ECD8E}"/>
    <cellStyle name="Normal 20 18 6 5" xfId="11257" xr:uid="{6D3794E1-5102-40F4-AA7A-B588425AFFB1}"/>
    <cellStyle name="Normal 20 18 7" xfId="11258" xr:uid="{A294FE50-9ACD-43EE-95DE-04ADEAD837A7}"/>
    <cellStyle name="Normal 20 18 7 3" xfId="11259" xr:uid="{3AD45340-DB55-4B5C-A511-8AA9EFF88A55}"/>
    <cellStyle name="Normal 20 18 7 5" xfId="11260" xr:uid="{5D4F288C-161B-4CC6-9242-14BE13E1444F}"/>
    <cellStyle name="Normal 20 18 8" xfId="11261" xr:uid="{3F493BD9-CB73-45DE-BA42-B20110441BF1}"/>
    <cellStyle name="Normal 20 18 8 3" xfId="11262" xr:uid="{B611CD68-5463-44CA-854C-7A82AE9C55BF}"/>
    <cellStyle name="Normal 20 18 8 5" xfId="11263" xr:uid="{CD712402-10E7-460A-A84B-7E6DE2451CD9}"/>
    <cellStyle name="Normal 20 19" xfId="11264" xr:uid="{7424C6EA-BF3D-4923-AE23-CBEA8280BE07}"/>
    <cellStyle name="Normal 20 19 13" xfId="11265" xr:uid="{CA620CA2-F95E-42C9-A072-63893A6C933F}"/>
    <cellStyle name="Normal 20 19 2 4" xfId="11266" xr:uid="{272732F7-3FE9-4B37-9235-05B53B7EDC1B}"/>
    <cellStyle name="Normal 20 19 3 2" xfId="11267" xr:uid="{FE88DF21-7A02-482A-B92E-43126852AC57}"/>
    <cellStyle name="Normal 20 19 3 6" xfId="11268" xr:uid="{704F85F1-61E3-4640-9D68-893B047BEE2C}"/>
    <cellStyle name="Normal 20 19 4 4" xfId="11269" xr:uid="{9F75AA5C-43CB-40EC-BC4C-8AC5C4569E00}"/>
    <cellStyle name="Normal 20 19 5 2" xfId="11270" xr:uid="{EEB7EA34-3AA8-4D31-9FE4-73B5F63D7101}"/>
    <cellStyle name="Normal 20 19 5 6" xfId="11271" xr:uid="{66A61B84-207F-44D4-9B8A-5EA1F13A59DD}"/>
    <cellStyle name="Normal 20 19 6 4" xfId="11272" xr:uid="{AB93E87C-DB7A-41AA-B2B1-DA390523464E}"/>
    <cellStyle name="Normal 20 19 7 3" xfId="11273" xr:uid="{327BC387-BB08-4E0B-9818-7F16CCDDCFF9}"/>
    <cellStyle name="Normal 20 19 8" xfId="11274" xr:uid="{34D27052-33B9-4CC4-9E24-04281D83570E}"/>
    <cellStyle name="Normal 20 19 8 5" xfId="11275" xr:uid="{8B869904-C7F3-4C9A-A4B3-F1A0C1A01C08}"/>
    <cellStyle name="Normal 20 2 10" xfId="11276" xr:uid="{F50B0E01-27BE-4665-81AB-5380BDC85773}"/>
    <cellStyle name="Normal 20 2 2" xfId="11277" xr:uid="{DF9C3213-A1C3-46C8-AEA0-C2E87A76FC75}"/>
    <cellStyle name="Normal 20 2 2 5" xfId="11278" xr:uid="{85D1AE22-F10B-4470-85D2-D94BD875200A}"/>
    <cellStyle name="Normal 20 2 3 4" xfId="11279" xr:uid="{AB6AEA0F-31C6-4650-9413-2567B56BDE7A}"/>
    <cellStyle name="Normal 20 2 4 2" xfId="11280" xr:uid="{DC43289A-3F06-479F-B706-E876DCF213E9}"/>
    <cellStyle name="Normal 20 2 4 6" xfId="11281" xr:uid="{17DDADEE-C843-458E-89CF-6223E9B0F86A}"/>
    <cellStyle name="Normal 20 2 5 5" xfId="11282" xr:uid="{3A6FDC48-5381-4A09-8764-FD17EF58C2FA}"/>
    <cellStyle name="Normal 20 2 6 3" xfId="11283" xr:uid="{EC0A2A58-FB7C-41B9-BFC9-201979DF0F89}"/>
    <cellStyle name="Normal 20 2 7 2" xfId="11284" xr:uid="{7A7384FA-7177-49FC-A01C-E3A5CE2C4953}"/>
    <cellStyle name="Normal 20 2 7 6" xfId="11285" xr:uid="{E3929383-B5EB-47AF-B64C-BF5D0CE67720}"/>
    <cellStyle name="Normal 20 2 8 4" xfId="11286" xr:uid="{39B84B28-8A0F-4938-BF88-95328092D08D}"/>
    <cellStyle name="Normal 20 20" xfId="11287" xr:uid="{CE497BE0-D96F-4E04-A9C8-4B2591508911}"/>
    <cellStyle name="Normal 20 20 13" xfId="11288" xr:uid="{3E11EA34-96BB-4584-90DA-9F822B7F71E6}"/>
    <cellStyle name="Normal 20 20 2 4" xfId="11289" xr:uid="{C9B72613-4B71-4FF5-A260-47A54804FEF3}"/>
    <cellStyle name="Normal 20 20 3 2" xfId="11290" xr:uid="{208FBAD1-6C4D-479A-AE83-99372B88DD88}"/>
    <cellStyle name="Normal 20 20 3 6" xfId="11291" xr:uid="{C016C121-3DA8-473B-866B-3C41213FEAD9}"/>
    <cellStyle name="Normal 20 20 4 4" xfId="11292" xr:uid="{7F24A7A3-E98B-4C84-AB0A-185B96CE5BA9}"/>
    <cellStyle name="Normal 20 20 4 6" xfId="11293" xr:uid="{8DCAD407-5664-4A65-A1D9-76EE7EC4AEAB}"/>
    <cellStyle name="Normal 20 20 5 4" xfId="11294" xr:uid="{23A7623B-3B4D-433C-B258-69BF8619186A}"/>
    <cellStyle name="Normal 20 20 6 2" xfId="11295" xr:uid="{1F25421F-002F-4125-AE41-49A0F28D8779}"/>
    <cellStyle name="Normal 20 20 6 6" xfId="11296" xr:uid="{E4F42B21-4213-4F37-857E-48A3C67EA4A7}"/>
    <cellStyle name="Normal 20 20 7 4" xfId="11297" xr:uid="{6906EEF3-D801-4AD7-AC6B-EC829A186002}"/>
    <cellStyle name="Normal 20 20 8 2" xfId="11298" xr:uid="{DB143118-1D5C-4984-BFF5-3F63993817E3}"/>
    <cellStyle name="Normal 20 20 8 6" xfId="11299" xr:uid="{9C18A415-F3E5-4E51-8D68-633C2B71FB19}"/>
    <cellStyle name="Normal 20 21 11" xfId="11300" xr:uid="{BA6C1301-BA50-4B24-92E9-2B69223CFC02}"/>
    <cellStyle name="Normal 20 21 2 2" xfId="11301" xr:uid="{1B0923F0-2733-4176-A55F-D36C8B579768}"/>
    <cellStyle name="Normal 20 21 2 4" xfId="11302" xr:uid="{F427CE9C-BE89-4D9C-9734-A303DE873FB5}"/>
    <cellStyle name="Normal 20 21 2 6" xfId="11303" xr:uid="{D28B397F-B82F-4388-9502-65F68267201C}"/>
    <cellStyle name="Normal 20 21 3 2" xfId="11304" xr:uid="{E8FEB8CE-5992-419D-876C-789B95CCED52}"/>
    <cellStyle name="Normal 20 21 3 4" xfId="11305" xr:uid="{903A1BC1-3FA5-480C-A954-3EBA9734BFE8}"/>
    <cellStyle name="Normal 20 21 3 6" xfId="11306" xr:uid="{E3688FE9-6E1A-48B2-887B-9868060ED0C6}"/>
    <cellStyle name="Normal 20 21 4 2" xfId="11307" xr:uid="{6117D1CC-CE06-4D94-8304-845FBFB70B38}"/>
    <cellStyle name="Normal 20 21 4 4" xfId="11308" xr:uid="{61D14373-6400-4988-84A2-914DCADB2A1C}"/>
    <cellStyle name="Normal 20 21 4 6" xfId="11309" xr:uid="{B7A783CB-8E58-44F3-B6ED-5909E262764B}"/>
    <cellStyle name="Normal 20 21 5 2" xfId="11310" xr:uid="{5325F955-70CB-44C6-8010-70C8D8672B54}"/>
    <cellStyle name="Normal 20 21 5 4" xfId="11311" xr:uid="{9F87A9DA-DDFA-4F34-9E5C-3E82EFA1EDC4}"/>
    <cellStyle name="Normal 20 21 5 6" xfId="11312" xr:uid="{02DDE240-39F7-4D7F-9CF1-0C47A8D896A0}"/>
    <cellStyle name="Normal 20 21 6 2" xfId="11313" xr:uid="{574AE612-A3BA-476F-AC16-84D8AE2FD27C}"/>
    <cellStyle name="Normal 20 21 6 4" xfId="11314" xr:uid="{DCBB7036-B404-45AB-B340-DEAE317C9DD0}"/>
    <cellStyle name="Normal 20 21 6 6" xfId="11315" xr:uid="{5731A572-29CB-4F3D-A2E9-C93D9EF7856E}"/>
    <cellStyle name="Normal 20 21 7 2" xfId="11316" xr:uid="{DF0FF784-2181-4186-9B68-EF75DF045F09}"/>
    <cellStyle name="Normal 20 21 7 4" xfId="11317" xr:uid="{CAC1FD92-46B1-4FCC-B20E-E0A4D8E45C3D}"/>
    <cellStyle name="Normal 20 21 7 6" xfId="11318" xr:uid="{CB3FD920-5559-4D87-A1B5-6AC78E587C5B}"/>
    <cellStyle name="Normal 20 21 8 2" xfId="11319" xr:uid="{6B046C4D-1F0F-4BD9-B968-8C02DD18620C}"/>
    <cellStyle name="Normal 20 21 8 4" xfId="11320" xr:uid="{ABFA0501-6086-4FDF-8630-E041005DDFFE}"/>
    <cellStyle name="Normal 20 21 8 6" xfId="11321" xr:uid="{498AB61A-7BD0-4DD9-8C29-AA04ADFF7F7B}"/>
    <cellStyle name="Normal 20 22" xfId="11322" xr:uid="{B538F8C2-8E1B-456B-A7F7-D287C1329379}"/>
    <cellStyle name="Normal 20 22 12" xfId="11323" xr:uid="{EE797696-74F6-441F-A65F-6CA6A313D45D}"/>
    <cellStyle name="Normal 20 22 2 3" xfId="11324" xr:uid="{358A1BAF-0297-4BF6-A25C-D3FE03F59267}"/>
    <cellStyle name="Normal 20 22 3" xfId="11325" xr:uid="{419BCFCE-C038-47FA-B725-15962423D0AB}"/>
    <cellStyle name="Normal 20 22 3 5" xfId="11326" xr:uid="{FBBC0CB7-6CB0-4C2C-A9CC-67C3F3335297}"/>
    <cellStyle name="Normal 20 22 4 3" xfId="11327" xr:uid="{41E661C0-C7D2-4F97-B247-4CFA7DE818C6}"/>
    <cellStyle name="Normal 20 22 5" xfId="11328" xr:uid="{2E2A0F94-7E2F-4670-A0FF-B94F8FC17CFA}"/>
    <cellStyle name="Normal 20 22 5 5" xfId="11329" xr:uid="{544557C8-BD74-4AD4-9441-08F5BFF7F20C}"/>
    <cellStyle name="Normal 20 22 6 3" xfId="11330" xr:uid="{BD96CBA0-A4EA-4AA8-998D-7624D45E4B25}"/>
    <cellStyle name="Normal 20 22 7" xfId="11331" xr:uid="{AE4DA3B1-E8E0-4A7B-BE17-70434E17D283}"/>
    <cellStyle name="Normal 20 22 7 5" xfId="11332" xr:uid="{723232A2-D353-418D-8137-7B666CDE81B8}"/>
    <cellStyle name="Normal 20 22 8 3" xfId="11333" xr:uid="{59828692-D732-4EF5-9461-7988683E7F99}"/>
    <cellStyle name="Normal 20 22 9" xfId="11334" xr:uid="{98ADAC05-A41C-476C-8372-8B0D4C4BE32B}"/>
    <cellStyle name="Normal 20 23 12" xfId="11335" xr:uid="{8F2D6E0F-9EEA-4A46-9085-BB6DD29CB60A}"/>
    <cellStyle name="Normal 20 23 2 3" xfId="11336" xr:uid="{9BE474C0-B1F3-499B-AA04-685A174B7565}"/>
    <cellStyle name="Normal 20 23 3" xfId="11337" xr:uid="{22BD79E5-A24A-4C07-A408-B84C1F5A8E99}"/>
    <cellStyle name="Normal 20 23 3 5" xfId="11338" xr:uid="{C0958BC2-797A-43AC-B650-6CDA80971153}"/>
    <cellStyle name="Normal 20 23 4 3" xfId="11339" xr:uid="{19391E74-FAFD-4A45-AFC9-9B06FF741A6E}"/>
    <cellStyle name="Normal 20 23 5" xfId="11340" xr:uid="{2DC577C5-2AA2-4DBD-AB01-55CCF9BE5749}"/>
    <cellStyle name="Normal 20 23 5 3" xfId="11341" xr:uid="{5EEB51C8-923B-49C3-B21C-DFA7938CA8B1}"/>
    <cellStyle name="Normal 20 23 5 6" xfId="11342" xr:uid="{E54F67C0-786A-48E5-8867-9E0A6B7BA0C6}"/>
    <cellStyle name="Normal 20 23 6 2" xfId="11343" xr:uid="{9E8F2E18-FF00-4700-802C-A26D139DAC5C}"/>
    <cellStyle name="Normal 20 23 6 4" xfId="11344" xr:uid="{B1C17875-BA30-4FCE-9422-524B73ED2EDF}"/>
    <cellStyle name="Normal 20 23 7 2" xfId="11345" xr:uid="{7889EDDE-DD3D-4F79-9ED1-5844714DE591}"/>
    <cellStyle name="Normal 20 23 7 6" xfId="11346" xr:uid="{DF315F59-0996-4E60-AEA7-AF7DE216F5D0}"/>
    <cellStyle name="Normal 20 23 8 4" xfId="11347" xr:uid="{72923B19-DF0F-463C-9929-4A273DC34CC1}"/>
    <cellStyle name="Normal 20 24" xfId="11348" xr:uid="{42EBF94F-8A20-4779-ADC5-2ADF2622D9F9}"/>
    <cellStyle name="Normal 20 24 13" xfId="11349" xr:uid="{649C62C8-C75B-4CAC-A7AE-540C151FFEE0}"/>
    <cellStyle name="Normal 20 24 2 4" xfId="11350" xr:uid="{FB0C49CC-D4B7-48E9-881A-7A7230163DD4}"/>
    <cellStyle name="Normal 20 24 3 2" xfId="11351" xr:uid="{FB9AD4D8-5790-4EDC-B599-7636B8A31D71}"/>
    <cellStyle name="Normal 20 24 3 6" xfId="11352" xr:uid="{494906F4-2CA1-4DD7-9E5B-181D79A7BECD}"/>
    <cellStyle name="Normal 20 24 4 4" xfId="11353" xr:uid="{BBF59CC0-D6A0-4991-A6F9-22488BD2BDD6}"/>
    <cellStyle name="Normal 20 24 5 2" xfId="11354" xr:uid="{D0DF3AD0-AB4C-4F9A-8915-D423F4C200E6}"/>
    <cellStyle name="Normal 20 24 5 6" xfId="11355" xr:uid="{96633944-95B6-4D73-BFBF-1D8A9F50C8AC}"/>
    <cellStyle name="Normal 20 24 6 4" xfId="11356" xr:uid="{0DCCCFF3-27F7-4211-8555-278955CED980}"/>
    <cellStyle name="Normal 20 24 7 2" xfId="11357" xr:uid="{AF751457-A747-4F99-B516-BED4DBCA76F6}"/>
    <cellStyle name="Normal 20 24 7 6" xfId="11358" xr:uid="{C904E318-7DC2-443D-97C1-E62BFF0D1839}"/>
    <cellStyle name="Normal 20 24 8 4" xfId="11359" xr:uid="{E464529F-53D5-496B-BE60-56A2D21BC525}"/>
    <cellStyle name="Normal 20 25" xfId="11360" xr:uid="{5952667A-11E7-416F-B9A2-1993AD6EE354}"/>
    <cellStyle name="Normal 20 25 5" xfId="11361" xr:uid="{E20AC4F1-59E3-41FF-B8D9-5BD798FAB2AB}"/>
    <cellStyle name="Normal 20 26 3" xfId="11362" xr:uid="{92D5CC81-8327-4663-95F5-971385FD1598}"/>
    <cellStyle name="Normal 20 27" xfId="11363" xr:uid="{FD1B098E-F44F-49BF-8B98-6C1E95588963}"/>
    <cellStyle name="Normal 20 27 5" xfId="11364" xr:uid="{07677ED9-6078-45C7-A1B1-02AA5E8F3943}"/>
    <cellStyle name="Normal 20 28 3" xfId="11365" xr:uid="{8F80DADB-34AF-431F-A658-8924B77C8F4C}"/>
    <cellStyle name="Normal 20 29" xfId="11366" xr:uid="{A4715D3D-5E79-4259-8337-D1AF23D1F6DC}"/>
    <cellStyle name="Normal 20 29 5" xfId="11367" xr:uid="{ABCCF1FE-F2A3-4270-B926-AB23B928B8B6}"/>
    <cellStyle name="Normal 20 3 11" xfId="11368" xr:uid="{3BAC183E-0DB7-43F5-B3C9-EBD0C85D0918}"/>
    <cellStyle name="Normal 20 3 2 2" xfId="11369" xr:uid="{30D3ACA5-2CAD-4A0A-8305-997B3F6DBDBA}"/>
    <cellStyle name="Normal 20 3 2 6" xfId="11370" xr:uid="{BDA7AC8F-4045-4042-8112-CF029A500730}"/>
    <cellStyle name="Normal 20 3 3 4" xfId="11371" xr:uid="{3C13C8CD-06F4-4BC1-8816-1E37E3BEA5C0}"/>
    <cellStyle name="Normal 20 3 4 2" xfId="11372" xr:uid="{4051DDCC-48F4-407E-8CF0-246AD5FA3656}"/>
    <cellStyle name="Normal 20 3 4 6" xfId="11373" xr:uid="{08BE135A-2BEA-4E61-B2B7-C72D8415A6D9}"/>
    <cellStyle name="Normal 20 3 5 4" xfId="11374" xr:uid="{EFAD9936-32B3-437A-8A32-A3779C2EFF33}"/>
    <cellStyle name="Normal 20 3 6 2" xfId="11375" xr:uid="{78AEAB55-9A03-45F3-895A-3EF09E2567DF}"/>
    <cellStyle name="Normal 20 3 6 6" xfId="11376" xr:uid="{D516E7F3-DE96-4EDC-9C4D-BFD4902F12A9}"/>
    <cellStyle name="Normal 20 3 7 4" xfId="11377" xr:uid="{CB16190F-9579-41C8-A8ED-5965B4AA9A50}"/>
    <cellStyle name="Normal 20 3 8 2" xfId="11378" xr:uid="{5BC68AE9-CA56-4BD8-A1C0-E95FA9E95536}"/>
    <cellStyle name="Normal 20 3 8 6" xfId="11379" xr:uid="{3FD0548B-6BE3-4F47-852E-2F59C31A89FB}"/>
    <cellStyle name="Normal 20 30 3" xfId="11380" xr:uid="{A81F7315-7233-4F25-BEB3-05728B1EB038}"/>
    <cellStyle name="Normal 20 31" xfId="11381" xr:uid="{E9C377E3-FC20-457B-B8C3-8D7323CEF2D3}"/>
    <cellStyle name="Normal 20 31 5" xfId="11382" xr:uid="{D8EB1C41-C872-4A44-A4CE-4D36FFEA7796}"/>
    <cellStyle name="Normal 20 34" xfId="11383" xr:uid="{3F63B02A-EB4D-44AE-A7BC-982A89958F40}"/>
    <cellStyle name="Normal 20 4 10" xfId="11384" xr:uid="{4A2AD64F-5780-422B-B1FB-8B82FA1CFED6}"/>
    <cellStyle name="Normal 20 4 2" xfId="11385" xr:uid="{B6D34F80-6391-4DF1-A1B2-FD4ADFB54B87}"/>
    <cellStyle name="Normal 20 4 2 5" xfId="11386" xr:uid="{AA7CA434-7252-461E-9C5D-2F6C4019E7D9}"/>
    <cellStyle name="Normal 20 4 3 3" xfId="11387" xr:uid="{D832427F-B87F-4EA1-98B3-EB43B9F38687}"/>
    <cellStyle name="Normal 20 4 4" xfId="11388" xr:uid="{8D8236B0-BCB1-4A99-BB67-E124FBA684BB}"/>
    <cellStyle name="Normal 20 4 4 3" xfId="11389" xr:uid="{7531CD05-9C0D-4120-92FD-A2E52D910A85}"/>
    <cellStyle name="Normal 20 4 5" xfId="11390" xr:uid="{C4A00199-D91B-4A48-B9F9-1B803C821DE3}"/>
    <cellStyle name="Normal 20 4 5 5" xfId="11391" xr:uid="{397D933B-50A8-407B-A3EE-72D11D6FABEC}"/>
    <cellStyle name="Normal 20 4 6 3" xfId="11392" xr:uid="{985A396D-4F02-43AE-AAA2-CB04F9817B76}"/>
    <cellStyle name="Normal 20 4 7" xfId="11393" xr:uid="{3C724017-7FF2-4749-A39F-967A3A7A95DD}"/>
    <cellStyle name="Normal 20 4 7 5" xfId="11394" xr:uid="{3E92B10B-D416-4E84-9DA2-8917A9EE472E}"/>
    <cellStyle name="Normal 20 4 8 3" xfId="11395" xr:uid="{A42E909F-F84B-473B-8230-2727BE619520}"/>
    <cellStyle name="Normal 20 4 9" xfId="11396" xr:uid="{C82DE8DA-9308-4D16-A1A6-0E4AF59DF363}"/>
    <cellStyle name="Normal 20 5 12" xfId="11397" xr:uid="{46254D2D-EA21-4B08-AE25-D4DA23EB258C}"/>
    <cellStyle name="Normal 20 5 2 3" xfId="11398" xr:uid="{AC7992BC-ED3B-4867-BA76-ECC01815E325}"/>
    <cellStyle name="Normal 20 5 3" xfId="11399" xr:uid="{A195A298-5459-425E-8268-6BFE7479455F}"/>
    <cellStyle name="Normal 20 5 3 5" xfId="11400" xr:uid="{0B9BF2F7-900F-4C7C-84BD-A0B49A1ABDDD}"/>
    <cellStyle name="Normal 20 5 4 3" xfId="11401" xr:uid="{E3D45657-EC3E-4376-A70D-8F074B6D96D2}"/>
    <cellStyle name="Normal 20 5 5" xfId="11402" xr:uid="{D3C5BC05-5FBA-456E-A3D7-0867037BB6D1}"/>
    <cellStyle name="Normal 20 5 5 5" xfId="11403" xr:uid="{40D41BAB-5144-4D84-B2EE-FD0AFBCF3A3B}"/>
    <cellStyle name="Normal 20 5 6 3" xfId="11404" xr:uid="{69AE8811-2349-45AF-9175-F1B499A45209}"/>
    <cellStyle name="Normal 20 5 7" xfId="11405" xr:uid="{E2B396A6-D276-49CA-8495-A17CB3DC0892}"/>
    <cellStyle name="Normal 20 5 7 5" xfId="11406" xr:uid="{C5B95557-47B8-403F-8428-A5CB391728FC}"/>
    <cellStyle name="Normal 20 5 8 3" xfId="11407" xr:uid="{C9A070CD-F5E2-4632-8159-0BC382820201}"/>
    <cellStyle name="Normal 20 5 9" xfId="11408" xr:uid="{D76F695F-F53F-463C-B2C3-0A928B9F2D33}"/>
    <cellStyle name="Normal 20 6 12" xfId="11409" xr:uid="{3AB49263-103C-46A8-AB9B-EBB7AC077BA5}"/>
    <cellStyle name="Normal 20 6 2 3" xfId="11410" xr:uid="{7E0DAF7D-7140-46C7-A0FC-7C5FF3588C7C}"/>
    <cellStyle name="Normal 20 6 3 5" xfId="11411" xr:uid="{B2F85EE7-E037-41E5-8FAE-8A26CB3D5767}"/>
    <cellStyle name="Normal 20 6 4 3" xfId="11412" xr:uid="{B279EEA9-9EAF-42FE-82B0-7942AB5D3FAC}"/>
    <cellStyle name="Normal 20 6 5" xfId="11413" xr:uid="{D0E703EC-2D4A-4521-B7F4-0264BEF131BE}"/>
    <cellStyle name="Normal 20 6 5 5" xfId="11414" xr:uid="{E3345737-A89C-4C01-8A22-D874B180908E}"/>
    <cellStyle name="Normal 20 6 6 3" xfId="11415" xr:uid="{BA2A393F-9371-4FE9-A2F7-8E8914A76EDF}"/>
    <cellStyle name="Normal 20 6 7" xfId="11416" xr:uid="{27D34793-27F1-48BD-850F-9FE38C941C22}"/>
    <cellStyle name="Normal 20 6 7 5" xfId="11417" xr:uid="{D0CD9869-2ABC-4DBC-A05D-575F02884701}"/>
    <cellStyle name="Normal 20 6 8 3" xfId="11418" xr:uid="{7E6716C3-735A-4955-8A47-3FB60A7994DF}"/>
    <cellStyle name="Normal 20 6 9" xfId="11419" xr:uid="{D189B9CE-2EEF-4FAC-ADA5-64B2E969E0D8}"/>
    <cellStyle name="Normal 20 7 12" xfId="11420" xr:uid="{9E827D08-B089-48F8-B7F0-81E50A9FBD46}"/>
    <cellStyle name="Normal 20 7 2 3" xfId="11421" xr:uid="{6ACCE90B-6A75-4B7D-A4DA-6F470EB78A40}"/>
    <cellStyle name="Normal 20 7 3" xfId="11422" xr:uid="{3EA6E674-DFE4-4F1B-B260-AAEA35660DC4}"/>
    <cellStyle name="Normal 20 7 3 5" xfId="11423" xr:uid="{E432D07C-C031-409F-B6E2-63EFEB51A897}"/>
    <cellStyle name="Normal 20 7 4 3" xfId="11424" xr:uid="{2F13681D-279C-47B9-8687-EB58C75C509C}"/>
    <cellStyle name="Normal 20 7 5" xfId="11425" xr:uid="{FEDDE927-F7A7-4C0A-A648-CE4797E7EEC5}"/>
    <cellStyle name="Normal 20 7 5 5" xfId="11426" xr:uid="{ACCC7224-20EC-46F0-9B4D-7D756C1F3EF2}"/>
    <cellStyle name="Normal 20 7 6 3" xfId="11427" xr:uid="{01A5E75D-D519-49CE-9380-258B426AE036}"/>
    <cellStyle name="Normal 20 7 7" xfId="11428" xr:uid="{5210C63B-6B11-4993-B65C-45DE8AE1CD4C}"/>
    <cellStyle name="Normal 20 7 7 5" xfId="11429" xr:uid="{443A26ED-49B1-4978-A720-8364D6883AE8}"/>
    <cellStyle name="Normal 20 7 8 3" xfId="11430" xr:uid="{2A26592F-E98F-4DBE-84D3-5EB014C2AD03}"/>
    <cellStyle name="Normal 20 7 9" xfId="11431" xr:uid="{EC3FABE2-CF07-4741-B1EB-8E73E3CF2866}"/>
    <cellStyle name="Normal 20 8 12" xfId="11432" xr:uid="{6D12F9CB-574E-42F5-8E92-062C59170821}"/>
    <cellStyle name="Normal 20 8 2 3" xfId="11433" xr:uid="{9ABB01D1-9BBA-48ED-A1AA-54F4A9070AEE}"/>
    <cellStyle name="Normal 20 8 3" xfId="11434" xr:uid="{E973992B-89A4-4781-A700-D31248B79D57}"/>
    <cellStyle name="Normal 20 8 3 5" xfId="11435" xr:uid="{9752EF0C-32F1-4FC4-A542-2198ED7A82C8}"/>
    <cellStyle name="Normal 20 8 4" xfId="11436" xr:uid="{9A6F52F6-1BDF-43DB-A723-0DF83A64CE2C}"/>
    <cellStyle name="Normal 20 8 4 5" xfId="11437" xr:uid="{3A23BCFC-71DA-40CB-BC83-FBEB04ECF9D2}"/>
    <cellStyle name="Normal 20 8 5 3" xfId="11438" xr:uid="{CFE9506B-CEAB-4055-946A-6D77ADEC33F2}"/>
    <cellStyle name="Normal 20 8 6" xfId="11439" xr:uid="{3C1A1927-6F58-48EC-81C9-B0265F82B6AF}"/>
    <cellStyle name="Normal 20 8 6 5" xfId="11440" xr:uid="{5AB63D34-EE17-440C-AECB-F4A52276A521}"/>
    <cellStyle name="Normal 20 8 7 3" xfId="11441" xr:uid="{7248271D-DE1F-4323-9D14-16E2895969B8}"/>
    <cellStyle name="Normal 20 8 8" xfId="11442" xr:uid="{919DC6AF-93CC-443B-996A-A95D052A88A6}"/>
    <cellStyle name="Normal 20 8 8 5" xfId="11443" xr:uid="{B46CFF84-8E30-4914-AF65-6395DB2A2B32}"/>
    <cellStyle name="Normal 20 9 10" xfId="11444" xr:uid="{C696E62F-F2D2-4B88-AADE-3587F39E2DDB}"/>
    <cellStyle name="Normal 20 9 2" xfId="11445" xr:uid="{A19A1EE2-0631-4D95-99A6-0390CAB89FA5}"/>
    <cellStyle name="Normal 20 9 2 5" xfId="11446" xr:uid="{F3FAC9EE-89AA-4BEB-8073-BB5768026455}"/>
    <cellStyle name="Normal 20 9 3 3" xfId="11447" xr:uid="{93DA8665-A9E3-4738-8008-EC2B4D198FAA}"/>
    <cellStyle name="Normal 20 9 4" xfId="11448" xr:uid="{09938D96-8FAA-4799-B478-296B4595131E}"/>
    <cellStyle name="Normal 20 9 4 5" xfId="11449" xr:uid="{73CBB9B0-E7ED-4248-8B9F-8382498371CB}"/>
    <cellStyle name="Normal 20 9 5 3" xfId="11450" xr:uid="{0471724C-0840-4C74-9CD4-BB9E5CA394F7}"/>
    <cellStyle name="Normal 20 9 6" xfId="11451" xr:uid="{C61437C9-E8AD-4B84-92FE-95FDF5D79B94}"/>
    <cellStyle name="Normal 20 9 6 5" xfId="11452" xr:uid="{B24770E2-ECB0-49E5-AA1A-932A4BBFBEA4}"/>
    <cellStyle name="Normal 20 9 7 3" xfId="11453" xr:uid="{96BA13CA-0C60-48B4-BD98-068E06F76950}"/>
    <cellStyle name="Normal 20 9 8" xfId="11454" xr:uid="{7A409C2C-B516-4017-9529-3819029083EB}"/>
    <cellStyle name="Normal 20 9 8 5" xfId="11455" xr:uid="{CF625A97-5465-41F3-BD09-144D1AFFAEA9}"/>
    <cellStyle name="Normal 21 10" xfId="11456" xr:uid="{7B1B4FE0-0BBC-44A7-A9C4-092E36795BCD}"/>
    <cellStyle name="Normal 21 10 13" xfId="11457" xr:uid="{CD829E61-0CCA-45BA-A949-0F0CA31351AA}"/>
    <cellStyle name="Normal 21 10 2 4" xfId="11458" xr:uid="{8479305F-1008-4FE2-B7E9-E6ACDA399B3F}"/>
    <cellStyle name="Normal 21 10 3 2" xfId="11459" xr:uid="{049FEDAE-2A5E-485E-BB91-A52E11FB6BF1}"/>
    <cellStyle name="Normal 21 10 3 6" xfId="11460" xr:uid="{F173AA3D-5D7D-440E-91AC-0CED31AB83F0}"/>
    <cellStyle name="Normal 21 10 4 4" xfId="11461" xr:uid="{18607156-9C34-4D82-A840-9ADF0615D3E5}"/>
    <cellStyle name="Normal 21 10 5 2" xfId="11462" xr:uid="{26C7D466-8402-4974-94E1-874EF59AF1AB}"/>
    <cellStyle name="Normal 21 10 5 6" xfId="11463" xr:uid="{B84DC64C-0CB0-4939-9A7D-4A211B5250D9}"/>
    <cellStyle name="Normal 21 10 6 4" xfId="11464" xr:uid="{D537B504-630B-44D7-85CC-47101794D9A0}"/>
    <cellStyle name="Normal 21 10 7 2" xfId="11465" xr:uid="{A8B4AA63-723C-4B09-A14A-9AF6294E279C}"/>
    <cellStyle name="Normal 21 10 7 6" xfId="11466" xr:uid="{D524D6CD-5235-48D4-AA4C-410DAE8117E3}"/>
    <cellStyle name="Normal 21 10 8 4" xfId="11467" xr:uid="{53A9EB42-31A1-4267-BBB0-4FCFC3DC6982}"/>
    <cellStyle name="Normal 21 11" xfId="11468" xr:uid="{ACC61141-D860-49FD-8170-299670100E95}"/>
    <cellStyle name="Normal 21 11 13" xfId="11469" xr:uid="{2A9A80A0-5E94-450D-A209-7D15A5F6BB19}"/>
    <cellStyle name="Normal 21 11 2 4" xfId="11470" xr:uid="{1076F9F0-84B3-43B4-B9AD-D8829B7E3E04}"/>
    <cellStyle name="Normal 21 11 3 2" xfId="11471" xr:uid="{700DD7CA-A1A5-444D-A6A1-FE19CEC73DC9}"/>
    <cellStyle name="Normal 21 11 3 6" xfId="11472" xr:uid="{C8546A99-B054-4EAA-A8E0-C338DC919427}"/>
    <cellStyle name="Normal 21 11 4 4" xfId="11473" xr:uid="{A9CEAF04-FAE1-4B5B-A21B-DC1165351898}"/>
    <cellStyle name="Normal 21 11 5" xfId="11474" xr:uid="{F6106DE0-CFAF-4891-BB02-F76CBC9D8D5A}"/>
    <cellStyle name="Normal 21 11 5 5" xfId="11475" xr:uid="{B57038AF-8584-4D21-8701-6FF648C0453A}"/>
    <cellStyle name="Normal 21 11 6 3" xfId="11476" xr:uid="{70658A8D-401C-412B-8643-4440601CF4F4}"/>
    <cellStyle name="Normal 21 11 7" xfId="11477" xr:uid="{8EB11C4C-013D-46A3-A99A-A138B4F9839D}"/>
    <cellStyle name="Normal 21 11 7 5" xfId="11478" xr:uid="{38BBC3A3-CF85-4219-8D84-EA7E0FB8282C}"/>
    <cellStyle name="Normal 21 11 8 3" xfId="11479" xr:uid="{668D528C-5CC1-4032-8EBC-96E1ECD6C95A}"/>
    <cellStyle name="Normal 21 11 9" xfId="11480" xr:uid="{81C10A9E-25A9-477B-962A-561FE5E77D92}"/>
    <cellStyle name="Normal 21 12 12" xfId="11481" xr:uid="{1259C526-586E-4F2E-897E-848FA798A31E}"/>
    <cellStyle name="Normal 21 12 2 3" xfId="11482" xr:uid="{664B40B1-EFCC-4450-81E9-592AB2AF8FE2}"/>
    <cellStyle name="Normal 21 12 3" xfId="11483" xr:uid="{A3203354-850E-4BAE-A62D-627B04BE4F3E}"/>
    <cellStyle name="Normal 21 12 3 3" xfId="11484" xr:uid="{0568DAC4-AAF8-4054-85CA-97787E6A3085}"/>
    <cellStyle name="Normal 21 12 4" xfId="11485" xr:uid="{26753517-CA04-4687-8C51-13F11D3FE8C4}"/>
    <cellStyle name="Normal 21 12 4 5" xfId="11486" xr:uid="{CC41160C-3027-4646-B9CA-8D76637916CB}"/>
    <cellStyle name="Normal 21 12 5 3" xfId="11487" xr:uid="{7CF5B851-CBB3-464A-9F51-991D7B2CC104}"/>
    <cellStyle name="Normal 21 12 6" xfId="11488" xr:uid="{8D710233-F0E6-4993-BC6F-A467E88586E7}"/>
    <cellStyle name="Normal 21 12 6 5" xfId="11489" xr:uid="{7A5C5451-8069-457D-ACAB-25D9DA98C276}"/>
    <cellStyle name="Normal 21 12 7 2" xfId="11490" xr:uid="{C62C4F5E-14DB-4FAD-A7D3-485EED0613D0}"/>
    <cellStyle name="Normal 21 12 7 6" xfId="11491" xr:uid="{EA4D8245-E371-4C21-B2C9-607C657B9866}"/>
    <cellStyle name="Normal 21 12 8 4" xfId="11492" xr:uid="{ECBE75D0-B731-4B3C-8D23-28CF510E9AB7}"/>
    <cellStyle name="Normal 21 13" xfId="11493" xr:uid="{63709772-C4E6-43D5-B990-B9EF5EA2D297}"/>
    <cellStyle name="Normal 21 13 13" xfId="11494" xr:uid="{B9400662-F7BB-4D2A-ADA0-0D7ADADF1A1A}"/>
    <cellStyle name="Normal 21 13 2 4" xfId="11495" xr:uid="{7BE72EB8-EF60-4740-9FB4-3312096F88B9}"/>
    <cellStyle name="Normal 21 13 3 2" xfId="11496" xr:uid="{F5EB0035-8E64-49D6-BF1B-70EE70733505}"/>
    <cellStyle name="Normal 21 13 3 6" xfId="11497" xr:uid="{69B3B5FB-B958-4F10-AF94-0C0969DB9944}"/>
    <cellStyle name="Normal 21 13 4 4" xfId="11498" xr:uid="{7EE0B345-C56B-46E1-B17A-F7CE708B9F6A}"/>
    <cellStyle name="Normal 21 13 5 2" xfId="11499" xr:uid="{EE19353C-3FBF-47A7-9621-C1219C0D924A}"/>
    <cellStyle name="Normal 21 13 5 6" xfId="11500" xr:uid="{F5B6EA74-9EE7-48E8-9F0B-1E4298CE528F}"/>
    <cellStyle name="Normal 21 13 6 4" xfId="11501" xr:uid="{5816F6DF-1EA4-46F3-8FAD-56DA1CDDFFDB}"/>
    <cellStyle name="Normal 21 13 7 2" xfId="11502" xr:uid="{DCF51D80-AC9B-488B-BF9A-20D0C649AA81}"/>
    <cellStyle name="Normal 21 13 7 6" xfId="11503" xr:uid="{D253CD2C-B76A-4DE2-BD16-46B6E9F258E9}"/>
    <cellStyle name="Normal 21 13 8 4" xfId="11504" xr:uid="{3E1EF074-53E1-412F-89D2-10705D90411C}"/>
    <cellStyle name="Normal 21 14" xfId="11505" xr:uid="{4E86A3A2-24C7-46CD-8FD5-CEAAC94DAF4B}"/>
    <cellStyle name="Normal 21 14 13" xfId="11506" xr:uid="{A8C03B6D-348D-40ED-B004-8994AECC859B}"/>
    <cellStyle name="Normal 21 14 2 4" xfId="11507" xr:uid="{75F09890-86EF-4E10-8230-4334EC80ABB5}"/>
    <cellStyle name="Normal 21 14 3 2" xfId="11508" xr:uid="{40520071-D72A-4167-97AB-5BF1796B6790}"/>
    <cellStyle name="Normal 21 14 3 5" xfId="11509" xr:uid="{AB4F2B1E-B266-4FE8-9ABF-F98D760FCD40}"/>
    <cellStyle name="Normal 21 14 4 3" xfId="11510" xr:uid="{F5D3F2EE-44F1-4B27-985A-DB856CEE9717}"/>
    <cellStyle name="Normal 21 14 5" xfId="11511" xr:uid="{C3577CEE-8D54-4DC8-8825-D5F20E705116}"/>
    <cellStyle name="Normal 21 14 5 5" xfId="11512" xr:uid="{1F6F8635-4BDD-4A82-9FB4-4C331C1B9AAA}"/>
    <cellStyle name="Normal 21 14 6 2" xfId="11513" xr:uid="{C5F98416-5A38-4C82-915C-0B004E342C4F}"/>
    <cellStyle name="Normal 21 14 6 4" xfId="11514" xr:uid="{18260999-88D1-4414-91EE-0A6D0464CA10}"/>
    <cellStyle name="Normal 21 14 6 6" xfId="11515" xr:uid="{E4FCA4EE-E2E0-4972-B394-9C0A78CB7E38}"/>
    <cellStyle name="Normal 21 14 7 2" xfId="11516" xr:uid="{DB748528-5A70-408A-A3D1-01E6D8815B21}"/>
    <cellStyle name="Normal 21 14 7 4" xfId="11517" xr:uid="{4C2231CC-E7E2-47E3-85FA-9001D4B4CCE7}"/>
    <cellStyle name="Normal 21 14 7 6" xfId="11518" xr:uid="{6DA11B7A-3A03-4B77-B41B-CF530E2D7C00}"/>
    <cellStyle name="Normal 21 14 8 2" xfId="11519" xr:uid="{6DF04A30-B019-4F6F-913C-6479DD60FFAD}"/>
    <cellStyle name="Normal 21 14 8 4" xfId="11520" xr:uid="{3C11B3F9-0192-451D-AEA8-6285622F6C44}"/>
    <cellStyle name="Normal 21 14 8 6" xfId="11521" xr:uid="{18FBB507-F664-4D53-AA08-5A6412770D5B}"/>
    <cellStyle name="Normal 21 15" xfId="11522" xr:uid="{612CFC80-74DF-4F06-AC2E-013C6E3CC1D9}"/>
    <cellStyle name="Normal 21 15 11" xfId="11523" xr:uid="{3C844AFB-1668-44B1-86F7-E37DFD6CC940}"/>
    <cellStyle name="Normal 21 15 13" xfId="11524" xr:uid="{66D1A081-73F7-4BAB-A782-77D5A9A5DC0C}"/>
    <cellStyle name="Normal 21 15 2 2" xfId="11525" xr:uid="{91B79D67-A2AA-4030-85E1-C1A06F67129C}"/>
    <cellStyle name="Normal 21 15 2 4" xfId="11526" xr:uid="{C870537B-EAC5-4F86-A7A9-D0F363F4CA70}"/>
    <cellStyle name="Normal 21 15 2 6" xfId="11527" xr:uid="{7A82948D-CD4D-41E6-AA1F-63D7EDCEA0CE}"/>
    <cellStyle name="Normal 21 15 3 2" xfId="11528" xr:uid="{662DEB3D-8807-4F3C-8C1B-89F1F82E0A63}"/>
    <cellStyle name="Normal 21 15 3 4" xfId="11529" xr:uid="{71999AE0-1FBF-4C3E-A004-5B2EFC39914B}"/>
    <cellStyle name="Normal 21 15 3 6" xfId="11530" xr:uid="{838AAE56-4766-4C13-B503-2479BB36E6F2}"/>
    <cellStyle name="Normal 21 15 4 2" xfId="11531" xr:uid="{79B03CC3-05EE-4F8B-92EF-C9F940741D10}"/>
    <cellStyle name="Normal 21 15 4 3" xfId="11532" xr:uid="{0FD9D690-1BE7-484B-B5E4-9EFF2B850BC5}"/>
    <cellStyle name="Normal 21 15 4 5" xfId="11533" xr:uid="{3F3E005A-5CA7-41CD-AB1B-4937EFB313F1}"/>
    <cellStyle name="Normal 21 15 5" xfId="11534" xr:uid="{E2DA4188-5058-4F2E-A40A-347C7591768E}"/>
    <cellStyle name="Normal 21 15 5 3" xfId="11535" xr:uid="{ED69FEF6-67A2-415E-A555-0A00A81CFCD3}"/>
    <cellStyle name="Normal 21 15 5 5" xfId="11536" xr:uid="{EF6CC475-7FE0-47BF-AB59-E2CFB2BC5C10}"/>
    <cellStyle name="Normal 21 15 6" xfId="11537" xr:uid="{FB06C6CB-AEF8-4167-95AF-F9881A348B25}"/>
    <cellStyle name="Normal 21 15 6 3" xfId="11538" xr:uid="{85D3AACA-8B57-4501-92FF-3E94920EC527}"/>
    <cellStyle name="Normal 21 15 6 6" xfId="11539" xr:uid="{C61E01F1-41B0-4706-9AD4-ED774EACCE2D}"/>
    <cellStyle name="Normal 21 15 7 3" xfId="11540" xr:uid="{E4DF2A7F-D5E9-4693-9501-84842CE9AD4E}"/>
    <cellStyle name="Normal 21 15 7 6" xfId="11541" xr:uid="{7A063F66-280E-47BD-98BB-11E685D472BE}"/>
    <cellStyle name="Normal 21 15 8 3" xfId="11542" xr:uid="{DA42EB9F-01B6-436E-AFD4-6F7F811D58FE}"/>
    <cellStyle name="Normal 21 15 8 6" xfId="11543" xr:uid="{215CD879-6C1E-404E-9342-1DE17725981E}"/>
    <cellStyle name="Normal 21 16 10" xfId="11544" xr:uid="{0F58A0DD-3046-4FC2-BE9B-0224BD5644EE}"/>
    <cellStyle name="Normal 21 16 13" xfId="11545" xr:uid="{D7A36759-FAA1-4A2E-AB53-7B4B9D42AE5F}"/>
    <cellStyle name="Normal 21 16 2 2" xfId="11546" xr:uid="{A3349774-25DC-401C-AA4F-21FC600D24D4}"/>
    <cellStyle name="Normal 21 16 2 4" xfId="11547" xr:uid="{3D7B8631-2217-4A78-BEAF-3EF500C0821E}"/>
    <cellStyle name="Normal 21 16 2 6" xfId="11548" xr:uid="{3BAFD3D6-1F1D-4072-A247-FA2356F84DED}"/>
    <cellStyle name="Normal 21 16 3 2" xfId="11549" xr:uid="{87712B2F-871A-465D-81D9-CB84F5A9C8C0}"/>
    <cellStyle name="Normal 21 16 3 4" xfId="11550" xr:uid="{E2E44BBE-DA0C-4235-B5EF-3D5D0BB3E727}"/>
    <cellStyle name="Normal 21 16 3 6" xfId="11551" xr:uid="{EF5D4049-10BF-4B47-88C4-098668D6F913}"/>
    <cellStyle name="Normal 21 16 4 2" xfId="11552" xr:uid="{E38DB00B-82DB-4C23-A21C-30CFE273DF60}"/>
    <cellStyle name="Normal 21 16 4 4" xfId="11553" xr:uid="{2E77649A-4F4E-4476-B4DC-EDC0FCAA001C}"/>
    <cellStyle name="Normal 21 16 4 6" xfId="11554" xr:uid="{A57367CC-CCA1-4A17-B10F-3A43FE033728}"/>
    <cellStyle name="Normal 21 16 5 2" xfId="11555" xr:uid="{F29E9913-4440-478B-B1ED-713B6AD3D500}"/>
    <cellStyle name="Normal 21 16 5 4" xfId="11556" xr:uid="{37B9EFA4-4578-4B83-9C83-B7C1C2489C73}"/>
    <cellStyle name="Normal 21 16 5 6" xfId="11557" xr:uid="{4D42842E-F22F-4404-8CAC-9FAAC7ADD0D0}"/>
    <cellStyle name="Normal 21 16 6 2" xfId="11558" xr:uid="{2DAC3877-C86E-499F-81BD-36812D488DE4}"/>
    <cellStyle name="Normal 21 16 6 4" xfId="11559" xr:uid="{C211EDB9-83F0-42F2-ABB1-A0C4DBBB99CA}"/>
    <cellStyle name="Normal 21 16 6 6" xfId="11560" xr:uid="{CBC317E3-C324-4C14-AD22-C129DF0C15D6}"/>
    <cellStyle name="Normal 21 16 7 2" xfId="11561" xr:uid="{1329CA00-1F9C-47FC-A77D-6E4354802F9B}"/>
    <cellStyle name="Normal 21 16 7 4" xfId="11562" xr:uid="{22CA37C9-61D6-4B0B-B870-0291581D9E8F}"/>
    <cellStyle name="Normal 21 16 7 6" xfId="11563" xr:uid="{854241E6-3008-4D13-AFD8-200C5DA7846B}"/>
    <cellStyle name="Normal 21 16 8 2" xfId="11564" xr:uid="{B1EC4D4F-10E8-41EA-851F-A03117577535}"/>
    <cellStyle name="Normal 21 16 8 4" xfId="11565" xr:uid="{A127D75C-7EDA-4D84-BF4D-66271E15FCC6}"/>
    <cellStyle name="Normal 21 16 8 6" xfId="11566" xr:uid="{D5647C2E-7654-4F76-97E5-666D6D515975}"/>
    <cellStyle name="Normal 21 17" xfId="11567" xr:uid="{19A23115-A9CC-43BD-B0A0-C83AAD76DC63}"/>
    <cellStyle name="Normal 21 17 11" xfId="11568" xr:uid="{B25912F1-CFF5-4AAD-B90F-A3AD5E5BDA26}"/>
    <cellStyle name="Normal 21 17 13" xfId="11569" xr:uid="{374FCBFC-27C8-45CD-B8C9-E989BA5F6C7E}"/>
    <cellStyle name="Normal 21 17 2 2" xfId="11570" xr:uid="{7345B1C8-5B32-40BF-A86F-2011172585DA}"/>
    <cellStyle name="Normal 21 17 2 4" xfId="11571" xr:uid="{55DC399D-DE8C-454B-8E29-3401180B4A96}"/>
    <cellStyle name="Normal 21 17 2 6" xfId="11572" xr:uid="{E7937AFC-2CFA-483D-BF50-6045AE9DC4FF}"/>
    <cellStyle name="Normal 21 17 3 2" xfId="11573" xr:uid="{045B2325-6434-4B0E-8AF9-48641F359D01}"/>
    <cellStyle name="Normal 21 17 3 4" xfId="11574" xr:uid="{709B7855-D492-4283-9401-4AFF1F724D20}"/>
    <cellStyle name="Normal 21 17 3 6" xfId="11575" xr:uid="{2DDDFAA2-B824-46C6-9F7F-0160D30FC61C}"/>
    <cellStyle name="Normal 21 17 4 2" xfId="11576" xr:uid="{C54161E2-DE57-4DFB-87CA-F2AE6498DAAD}"/>
    <cellStyle name="Normal 21 17 4 4" xfId="11577" xr:uid="{9EC76158-A513-410B-8134-970C72772CA6}"/>
    <cellStyle name="Normal 21 17 4 6" xfId="11578" xr:uid="{82DBD026-B718-4187-AB19-40E8CC608CEC}"/>
    <cellStyle name="Normal 21 17 5 2" xfId="11579" xr:uid="{4D4B21D0-4B09-4664-B9E0-31EE9A2F238F}"/>
    <cellStyle name="Normal 21 17 5 3" xfId="11580" xr:uid="{18864600-37E3-44E2-B1C2-086F73827E0B}"/>
    <cellStyle name="Normal 21 17 5 5" xfId="11581" xr:uid="{BA062708-0C33-46A3-A83D-5C6BB0F2800E}"/>
    <cellStyle name="Normal 21 17 6" xfId="11582" xr:uid="{6575CB27-882B-4237-B480-21E68666B481}"/>
    <cellStyle name="Normal 21 17 6 3" xfId="11583" xr:uid="{55B3A03A-18A6-4AF2-A309-FDB6C5A145A4}"/>
    <cellStyle name="Normal 21 17 6 5" xfId="11584" xr:uid="{48DB331B-82E9-49E5-A3D3-C49D4D106F53}"/>
    <cellStyle name="Normal 21 17 6 6" xfId="11585" xr:uid="{8626784D-F2D8-4613-A381-115AA890CBB3}"/>
    <cellStyle name="Normal 21 17 7" xfId="11586" xr:uid="{4C136862-5E39-41A1-9F5F-164E0FA6E1C3}"/>
    <cellStyle name="Normal 21 17 7 2" xfId="11587" xr:uid="{73BBF7D9-DF99-443E-BE22-87188CA75CF9}"/>
    <cellStyle name="Normal 21 17 7 3" xfId="11588" xr:uid="{8D4CDC9E-FF8D-4AB0-A767-75B72CEDFF87}"/>
    <cellStyle name="Normal 21 17 7 5" xfId="11589" xr:uid="{5B7FA781-DBB0-4F47-8BB1-725D87DFC92E}"/>
    <cellStyle name="Normal 21 17 8" xfId="11590" xr:uid="{7DAF1894-6A16-4A21-B30B-8795A0EB7214}"/>
    <cellStyle name="Normal 21 17 8 3" xfId="11591" xr:uid="{84AD3E8B-F8CA-4161-AB24-5A4AB0BA001D}"/>
    <cellStyle name="Normal 21 17 8 4" xfId="11592" xr:uid="{992B1CD6-D7D9-4639-9750-DC9AC283C1D7}"/>
    <cellStyle name="Normal 21 17 8 5" xfId="11593" xr:uid="{3B9ABB2D-4C4F-4EC1-A7F1-C10D4C8EAE0F}"/>
    <cellStyle name="Normal 21 17 9" xfId="11594" xr:uid="{0951DB5F-7497-4544-9552-43E3B710AB9F}"/>
    <cellStyle name="Normal 21 18 10" xfId="11595" xr:uid="{80CD53A0-D9C9-4508-9F06-5F70E4CDC9F4}"/>
    <cellStyle name="Normal 21 18 12" xfId="11596" xr:uid="{A4724262-70D3-40B5-9E2A-5A203C56213F}"/>
    <cellStyle name="Normal 21 18 2" xfId="11597" xr:uid="{BAE730C2-5247-4F9E-AB92-E8D0FCD8F7AB}"/>
    <cellStyle name="Normal 21 18 2 3" xfId="11598" xr:uid="{203AD71A-F70C-4D51-BFE0-DAACAE861AFE}"/>
    <cellStyle name="Normal 21 18 2 5" xfId="11599" xr:uid="{03964943-4DFF-45E5-B535-808E091720C0}"/>
    <cellStyle name="Normal 21 18 3" xfId="11600" xr:uid="{91B58994-C07E-4E10-8F0E-94E45E447A5E}"/>
    <cellStyle name="Normal 21 18 3 3" xfId="11601" xr:uid="{5A897109-1648-4DB9-8521-70F367538EDD}"/>
    <cellStyle name="Normal 21 18 3 5" xfId="11602" xr:uid="{9B5EDB06-3BFD-48E5-A7CA-ABA9437745C0}"/>
    <cellStyle name="Normal 21 18 4" xfId="11603" xr:uid="{3DA65A4A-51F2-4BC8-AB9E-2AC0844AD6C5}"/>
    <cellStyle name="Normal 21 18 4 3" xfId="11604" xr:uid="{250D723A-E15D-414B-9F32-D060D6BDC429}"/>
    <cellStyle name="Normal 21 18 4 5" xfId="11605" xr:uid="{64783821-A8E7-4341-BA1F-4EC53246ECBA}"/>
    <cellStyle name="Normal 21 18 5" xfId="11606" xr:uid="{4F76F954-E10D-4EBF-9B8B-80995BB35F69}"/>
    <cellStyle name="Normal 21 18 5 3" xfId="11607" xr:uid="{AF70742E-7047-466C-90D6-98C7FEE470E4}"/>
    <cellStyle name="Normal 21 18 5 5" xfId="11608" xr:uid="{45FCCBFB-CACE-47FB-8177-B91EEE77F7C5}"/>
    <cellStyle name="Normal 21 18 6" xfId="11609" xr:uid="{AFC57BEC-1DF5-4B44-8BA9-435B21CAC5EF}"/>
    <cellStyle name="Normal 21 18 6 3" xfId="11610" xr:uid="{8800BB0F-AD64-411C-9280-32AE96371FDE}"/>
    <cellStyle name="Normal 21 18 6 5" xfId="11611" xr:uid="{9926211B-6FC4-4089-A1BF-B5A39E252716}"/>
    <cellStyle name="Normal 21 18 7" xfId="11612" xr:uid="{A27F4E81-C043-4EB3-AC9A-CD49D795C67B}"/>
    <cellStyle name="Normal 21 18 7 3" xfId="11613" xr:uid="{0328915B-2C5B-4920-94CE-610957649F61}"/>
    <cellStyle name="Normal 21 18 7 5" xfId="11614" xr:uid="{4E78EFA6-4D7E-401D-AD12-39CA92F40AD2}"/>
    <cellStyle name="Normal 21 18 8" xfId="11615" xr:uid="{988A709E-798C-4D8D-8F57-1021C3BE9CEE}"/>
    <cellStyle name="Normal 21 18 8 3" xfId="11616" xr:uid="{5AC743AB-A156-4DE1-A1C4-0482EB593DFD}"/>
    <cellStyle name="Normal 21 18 8 5" xfId="11617" xr:uid="{26B27860-6A59-4DBD-A1EE-9A3F8812B8C0}"/>
    <cellStyle name="Normal 21 18 9" xfId="11618" xr:uid="{8EFC59ED-D94B-474C-B473-FA80D3B83818}"/>
    <cellStyle name="Normal 21 19 10" xfId="11619" xr:uid="{76197BA7-3187-4028-AE75-8F23508E613E}"/>
    <cellStyle name="Normal 21 19 12" xfId="11620" xr:uid="{CA3416E8-3A71-41A6-A583-40C96FF15B24}"/>
    <cellStyle name="Normal 21 19 2" xfId="11621" xr:uid="{4F5BA888-0694-4F90-96B0-570ECAA82198}"/>
    <cellStyle name="Normal 21 19 2 3" xfId="11622" xr:uid="{E5477EDA-EF71-407C-87EF-F306C10D13E7}"/>
    <cellStyle name="Normal 21 19 2 5" xfId="11623" xr:uid="{D75F2675-533B-460F-9995-7458974DE85E}"/>
    <cellStyle name="Normal 21 19 3" xfId="11624" xr:uid="{4B88F9E7-440B-4A33-80BF-DE5D402A0169}"/>
    <cellStyle name="Normal 21 19 3 3" xfId="11625" xr:uid="{F3AA282F-4AE1-4833-91AE-B01CA122E47D}"/>
    <cellStyle name="Normal 21 19 3 5" xfId="11626" xr:uid="{3CBDB782-2304-46A9-84F9-BC028FB9E105}"/>
    <cellStyle name="Normal 21 19 4" xfId="11627" xr:uid="{B1653F44-DF0B-4F0F-8FB1-4EEC8B202C7A}"/>
    <cellStyle name="Normal 21 19 4 3" xfId="11628" xr:uid="{C8B2704A-1E2D-4FA8-8BD5-09207B086BF1}"/>
    <cellStyle name="Normal 21 19 4 4" xfId="11629" xr:uid="{8BF86E53-05D6-41BB-809C-B1723119D2A9}"/>
    <cellStyle name="Normal 21 19 4 6" xfId="11630" xr:uid="{230366ED-95C6-4FDB-ACDB-D865307C4FA4}"/>
    <cellStyle name="Normal 21 19 5 2" xfId="11631" xr:uid="{B715EACE-4533-4CD6-B491-045FFFF235B1}"/>
    <cellStyle name="Normal 21 19 5 4" xfId="11632" xr:uid="{401F5272-697D-4985-BBBE-5534E82E0F27}"/>
    <cellStyle name="Normal 21 19 5 6" xfId="11633" xr:uid="{4F6F0A63-9964-47C8-A10E-1D9469F6B6AF}"/>
    <cellStyle name="Normal 21 19 6" xfId="11634" xr:uid="{1B36B65F-5579-49E5-A68F-CF15439C3F8C}"/>
    <cellStyle name="Normal 21 19 6 3" xfId="11635" xr:uid="{5D14E61E-4CA2-4C3A-8701-3F95C9F7B36F}"/>
    <cellStyle name="Normal 21 19 6 5" xfId="11636" xr:uid="{06A10535-28F6-40D2-A2E4-696CEB4FAE52}"/>
    <cellStyle name="Normal 21 19 7" xfId="11637" xr:uid="{DED2513B-BCB8-4D86-BF05-BDEC5FADED04}"/>
    <cellStyle name="Normal 21 19 7 3" xfId="11638" xr:uid="{6FB1D401-27C3-4F57-9EF4-EBE319D8EA96}"/>
    <cellStyle name="Normal 21 19 7 5" xfId="11639" xr:uid="{CFCE22F5-F4DA-4285-B19D-5212905A0131}"/>
    <cellStyle name="Normal 21 19 8" xfId="11640" xr:uid="{C568EF85-A5A9-4345-9305-6C76C728E805}"/>
    <cellStyle name="Normal 21 19 8 3" xfId="11641" xr:uid="{D5499F38-0A33-4CCE-9836-4CFDB4100D72}"/>
    <cellStyle name="Normal 21 19 8 5" xfId="11642" xr:uid="{55A8031E-1D36-4FF6-9EA2-4EC4E4BCAEC8}"/>
    <cellStyle name="Normal 21 19 9" xfId="11643" xr:uid="{A0BD8763-CA91-450D-986A-D463E431A129}"/>
    <cellStyle name="Normal 21 2 10" xfId="11644" xr:uid="{7D9D4512-331D-434C-ABEE-149972B3424A}"/>
    <cellStyle name="Normal 21 2 12" xfId="11645" xr:uid="{B9FC0590-4F74-4DB8-91BE-1F510D4B2F60}"/>
    <cellStyle name="Normal 21 2 2" xfId="11646" xr:uid="{B9B42EE7-8682-4B17-A09C-6F2E10EF9B63}"/>
    <cellStyle name="Normal 21 2 2 3" xfId="11647" xr:uid="{38C0F075-997B-4DCF-AB18-CD106CBD1444}"/>
    <cellStyle name="Normal 21 2 2 5" xfId="11648" xr:uid="{78A21FB7-148B-445B-BBE3-F94E8951440B}"/>
    <cellStyle name="Normal 21 2 3" xfId="11649" xr:uid="{21346D7D-C19B-4F56-B708-FCDDF1EF54A2}"/>
    <cellStyle name="Normal 21 2 3 3" xfId="11650" xr:uid="{856BE00B-CD7D-40F1-BE15-3ADA81AF0B69}"/>
    <cellStyle name="Normal 21 2 3 5" xfId="11651" xr:uid="{507444FF-F13E-4EBA-BBA9-8CAF1DB3293A}"/>
    <cellStyle name="Normal 21 2 4 3" xfId="11652" xr:uid="{83D7927C-CED7-49BB-B00D-1B66294FEC37}"/>
    <cellStyle name="Normal 21 2 4 5" xfId="11653" xr:uid="{94934882-4FCD-459F-B485-7CBB9B60D95D}"/>
    <cellStyle name="Normal 21 2 5" xfId="11654" xr:uid="{E51624A6-FFDF-4633-94AD-66A0187819D6}"/>
    <cellStyle name="Normal 21 2 5 3" xfId="11655" xr:uid="{B545EF68-5AEB-491E-87BC-F08A90FFB245}"/>
    <cellStyle name="Normal 21 2 5 5" xfId="11656" xr:uid="{0DE5F0E6-DEE9-4B83-9784-4960A858DF29}"/>
    <cellStyle name="Normal 21 2 6 3" xfId="11657" xr:uid="{E197A8E7-E6EB-4782-8F51-4133431B7029}"/>
    <cellStyle name="Normal 21 2 6 5" xfId="11658" xr:uid="{14F73609-4171-4FA7-A0D8-79732D321B08}"/>
    <cellStyle name="Normal 21 2 7" xfId="11659" xr:uid="{B8F103F1-F6A5-4BBC-BCC8-4744A3CF3F52}"/>
    <cellStyle name="Normal 21 2 7 3" xfId="11660" xr:uid="{4D9BD319-EEBC-4EE5-B4E9-C92AEF1D4107}"/>
    <cellStyle name="Normal 21 2 7 5" xfId="11661" xr:uid="{F2E47EE5-A208-47C8-B07A-41780FC240BE}"/>
    <cellStyle name="Normal 21 2 8" xfId="11662" xr:uid="{2D0480FE-861F-47E7-B2BE-C8E2AEBE01EE}"/>
    <cellStyle name="Normal 21 2 8 3" xfId="11663" xr:uid="{EFBCAFB9-CF86-4B3B-9B2C-8BEE7A3499A7}"/>
    <cellStyle name="Normal 21 2 8 5" xfId="11664" xr:uid="{90729B58-7C34-4978-B74B-90100301F0C6}"/>
    <cellStyle name="Normal 21 2 9" xfId="11665" xr:uid="{53D41C4F-5032-4420-99D3-26CA96FAF4C1}"/>
    <cellStyle name="Normal 21 20 10" xfId="11666" xr:uid="{FBB88472-BA66-4DEF-89CD-FB4047157643}"/>
    <cellStyle name="Normal 21 20 12" xfId="11667" xr:uid="{3EEC33A3-2322-491C-BE00-1783E0A13BDE}"/>
    <cellStyle name="Normal 21 20 2" xfId="11668" xr:uid="{954A1052-BE7E-4435-9D63-CF5BD66B491B}"/>
    <cellStyle name="Normal 21 20 2 3" xfId="11669" xr:uid="{E47E403E-EA50-40F2-AE77-8B408258573D}"/>
    <cellStyle name="Normal 21 20 2 5" xfId="11670" xr:uid="{D73404A8-9038-4C8B-A352-5D96E75226D6}"/>
    <cellStyle name="Normal 21 20 3" xfId="11671" xr:uid="{652CC182-F7C3-4638-9911-E72A5F20C6FE}"/>
    <cellStyle name="Normal 21 20 3 3" xfId="11672" xr:uid="{B9DC2E4D-E136-49E3-87B7-8FA10A7C308B}"/>
    <cellStyle name="Normal 21 20 3 5" xfId="11673" xr:uid="{820256D5-E935-4FC6-A220-FD2696DF37EB}"/>
    <cellStyle name="Normal 21 20 4" xfId="11674" xr:uid="{EDB45DB1-2C5C-498A-A7C1-A5C00DAF83C1}"/>
    <cellStyle name="Normal 21 20 4 2" xfId="11675" xr:uid="{D7A0FD34-EE41-4C6F-B12C-13861C3A9B48}"/>
    <cellStyle name="Normal 21 20 4 3" xfId="11676" xr:uid="{DC5CAF6C-F557-4AFC-BD52-6EE2DE37D2AC}"/>
    <cellStyle name="Normal 21 20 4 4" xfId="11677" xr:uid="{6673D26F-8A78-4256-A845-7C8E17448154}"/>
    <cellStyle name="Normal 21 20 4 5" xfId="11678" xr:uid="{B9AEA82F-1A56-49DF-AF4B-607DE9C4C44F}"/>
    <cellStyle name="Normal 21 20 4 6" xfId="11679" xr:uid="{F944A543-14AC-4929-83E3-986ADD5CB11B}"/>
    <cellStyle name="Normal 21 20 5" xfId="11680" xr:uid="{FACCD0C1-B6B3-4A76-AA0D-0DBA958C22C6}"/>
    <cellStyle name="Normal 21 20 5 2" xfId="11681" xr:uid="{D8B32CAC-968C-429B-83A9-3048AD606D0A}"/>
    <cellStyle name="Normal 21 20 5 3" xfId="11682" xr:uid="{C7BD18A5-61B1-478A-8233-65F970344527}"/>
    <cellStyle name="Normal 21 20 5 4" xfId="11683" xr:uid="{0A61F68A-2424-48E2-8DB7-EB8B7DDAA5A2}"/>
    <cellStyle name="Normal 21 20 5 5" xfId="11684" xr:uid="{6FB710F0-925D-4069-AD91-F4DD3DEF67AC}"/>
    <cellStyle name="Normal 21 20 6" xfId="11685" xr:uid="{DEAF2FD8-855D-4111-AA9B-A1CC09EA14E2}"/>
    <cellStyle name="Normal 21 20 6 3" xfId="11686" xr:uid="{6744B140-365E-4241-B419-622A83F8A026}"/>
    <cellStyle name="Normal 21 20 6 5" xfId="11687" xr:uid="{9726B087-229E-4359-8259-651D2E139140}"/>
    <cellStyle name="Normal 21 20 7" xfId="11688" xr:uid="{C9399873-D4E0-428B-B0E8-3A80FC894257}"/>
    <cellStyle name="Normal 21 20 7 3" xfId="11689" xr:uid="{28372FF7-A6D0-4CD3-AF8A-2DF1E795E8C7}"/>
    <cellStyle name="Normal 21 20 7 5" xfId="11690" xr:uid="{51108FA8-8B18-4DE3-BEDE-427183D710B1}"/>
    <cellStyle name="Normal 21 20 8" xfId="11691" xr:uid="{2FCCDD77-8C36-48BB-A6D1-2A6FEBDE5140}"/>
    <cellStyle name="Normal 21 20 8 3" xfId="11692" xr:uid="{07C40426-90DB-4F70-81EB-31950850BADD}"/>
    <cellStyle name="Normal 21 20 8 5" xfId="11693" xr:uid="{B57086A9-DB6E-4D62-B806-D377D72C77BE}"/>
    <cellStyle name="Normal 21 20 9" xfId="11694" xr:uid="{617FA049-8C31-43B3-9686-C42859C9C485}"/>
    <cellStyle name="Normal 21 21 10" xfId="11695" xr:uid="{10C381C2-BA95-4618-8580-E382D70B2620}"/>
    <cellStyle name="Normal 21 21 12" xfId="11696" xr:uid="{0A7A0B1E-C377-40A5-9F38-7CD33CDB24A4}"/>
    <cellStyle name="Normal 21 21 2" xfId="11697" xr:uid="{BDAE30A6-3CD1-4B3F-847A-4D1952051326}"/>
    <cellStyle name="Normal 21 21 2 3" xfId="11698" xr:uid="{3FA462B0-FCAD-4A75-B366-04744C1B0824}"/>
    <cellStyle name="Normal 21 21 2 5" xfId="11699" xr:uid="{70205740-1032-452B-B34B-624CBC7F7B0C}"/>
    <cellStyle name="Normal 21 21 3" xfId="11700" xr:uid="{A04124C6-848D-430D-B633-23E4271B0486}"/>
    <cellStyle name="Normal 21 21 3 5" xfId="11701" xr:uid="{156B2D63-07C3-4D6E-A0A5-11DF504C2DFF}"/>
    <cellStyle name="Normal 21 21 4" xfId="11702" xr:uid="{DF308AC7-29C6-448F-949E-9BE58EA38215}"/>
    <cellStyle name="Normal 21 21 4 3" xfId="11703" xr:uid="{18002707-8208-4D2B-8687-7F549224A4CE}"/>
    <cellStyle name="Normal 21 21 4 5" xfId="11704" xr:uid="{B33E769B-5DE1-4FB0-8D6B-129772FB4EA9}"/>
    <cellStyle name="Normal 21 21 5" xfId="11705" xr:uid="{F90607C0-C4DF-4FFE-BD00-1D79ADCE6C4A}"/>
    <cellStyle name="Normal 21 21 5 5" xfId="11706" xr:uid="{BEC88344-C541-4318-A047-B05A376DCD76}"/>
    <cellStyle name="Normal 21 21 6" xfId="11707" xr:uid="{ED53DF2F-1837-4620-94D2-DE283D510908}"/>
    <cellStyle name="Normal 21 21 6 3" xfId="11708" xr:uid="{F6144428-FE81-410D-BD3E-73A766923B6E}"/>
    <cellStyle name="Normal 21 21 6 5" xfId="11709" xr:uid="{9CD06CAD-6AD4-4813-9D57-FF1EC85DA2B7}"/>
    <cellStyle name="Normal 21 21 7" xfId="11710" xr:uid="{4FBDF958-3D4C-443B-A691-E712C7B4D39B}"/>
    <cellStyle name="Normal 21 21 7 3" xfId="11711" xr:uid="{7C5C0F28-1848-4DE1-A404-0FE120DE34CF}"/>
    <cellStyle name="Normal 21 21 7 5" xfId="11712" xr:uid="{967504C4-4C00-4BC5-90AC-7398FDCD58FD}"/>
    <cellStyle name="Normal 21 21 8" xfId="11713" xr:uid="{277EFF53-BCAA-40BD-96B3-9FC7B38DAB60}"/>
    <cellStyle name="Normal 21 21 8 3" xfId="11714" xr:uid="{868370E1-8FD0-4D5A-A358-2A03663528F9}"/>
    <cellStyle name="Normal 21 21 8 5" xfId="11715" xr:uid="{B1BABC89-036B-4DAF-B7EE-541A35B8E67E}"/>
    <cellStyle name="Normal 21 21 9" xfId="11716" xr:uid="{3046426E-0316-4420-9AB6-8928C7693D87}"/>
    <cellStyle name="Normal 21 22 10" xfId="11717" xr:uid="{D51C76B7-F1FF-4F32-A883-1DC87FC69E11}"/>
    <cellStyle name="Normal 21 22 12" xfId="11718" xr:uid="{4084E7BA-4E1A-45DD-A416-2FE15EF71447}"/>
    <cellStyle name="Normal 21 22 2" xfId="11719" xr:uid="{E7DC567C-5754-4A8C-998C-9C6D96F60C85}"/>
    <cellStyle name="Normal 21 22 2 3" xfId="11720" xr:uid="{D7A18220-F547-4929-889F-59DE9FC261C3}"/>
    <cellStyle name="Normal 21 22 2 5" xfId="11721" xr:uid="{C76F88D8-16DA-4090-980E-A2E34BC48DCD}"/>
    <cellStyle name="Normal 21 22 3" xfId="11722" xr:uid="{728EEB88-E7D3-4460-8828-295980F6D440}"/>
    <cellStyle name="Normal 21 22 3 3" xfId="11723" xr:uid="{E74B7F83-6D50-425A-951D-2A1E829761BD}"/>
    <cellStyle name="Normal 21 22 3 5" xfId="11724" xr:uid="{14FBB422-57D7-49D6-8479-5E7FBE3F1A16}"/>
    <cellStyle name="Normal 21 22 4" xfId="11725" xr:uid="{7023D678-31C7-46C5-B2E1-D50097BAC395}"/>
    <cellStyle name="Normal 21 22 4 3" xfId="11726" xr:uid="{40955736-0396-4AD8-9198-6A6A0CE99237}"/>
    <cellStyle name="Normal 21 22 4 5" xfId="11727" xr:uid="{D0BF1914-AF26-41D4-8FAA-CF1788E137E9}"/>
    <cellStyle name="Normal 21 22 5" xfId="11728" xr:uid="{19965274-2D29-4193-BB64-753A934909F1}"/>
    <cellStyle name="Normal 21 22 5 3" xfId="11729" xr:uid="{E9C7B3B9-B8EC-462F-9C48-913A3089956C}"/>
    <cellStyle name="Normal 21 22 5 5" xfId="11730" xr:uid="{CFD5F34F-9899-4DCD-99EC-4133E5E222E5}"/>
    <cellStyle name="Normal 21 22 5 6" xfId="11731" xr:uid="{33246E24-8637-4C6D-AAE3-D5976A964AF6}"/>
    <cellStyle name="Normal 21 22 6 2" xfId="11732" xr:uid="{54B82B52-CC68-4689-BD42-1F98D972FF56}"/>
    <cellStyle name="Normal 21 22 6 4" xfId="11733" xr:uid="{F2E445C7-3D42-4266-85C5-F18603891D1D}"/>
    <cellStyle name="Normal 21 22 6 6" xfId="11734" xr:uid="{E59F63E4-C2F7-4ED4-B8FD-A8F3ACAB4A04}"/>
    <cellStyle name="Normal 21 22 7 2" xfId="11735" xr:uid="{9BCE6B49-7C50-43AB-BF23-755CE57E0F94}"/>
    <cellStyle name="Normal 21 22 7 4" xfId="11736" xr:uid="{A9536846-8A9B-425C-95D2-59A5677BAA01}"/>
    <cellStyle name="Normal 21 22 7 6" xfId="11737" xr:uid="{804B8A83-B4A1-4B6E-8265-D5AAA00F14FF}"/>
    <cellStyle name="Normal 21 22 8 2" xfId="11738" xr:uid="{7143723F-B2ED-40A8-87A8-EE34A11B0956}"/>
    <cellStyle name="Normal 21 22 8 4" xfId="11739" xr:uid="{3EDE0427-D9E1-4ED1-85BC-33243D0A505A}"/>
    <cellStyle name="Normal 21 22 8 6" xfId="11740" xr:uid="{057BFDD9-8FC7-40D4-BD77-50818BDBCD96}"/>
    <cellStyle name="Normal 21 23" xfId="11741" xr:uid="{85A57E5B-AFC9-42A5-BA50-92F8F8F9BD7C}"/>
    <cellStyle name="Normal 21 23 11" xfId="11742" xr:uid="{3934F56B-2CED-411E-8274-3A09CC9A06D6}"/>
    <cellStyle name="Normal 21 23 13" xfId="11743" xr:uid="{88229CBB-F571-4BE6-B4D0-8AE67E2E24ED}"/>
    <cellStyle name="Normal 21 23 2 2" xfId="11744" xr:uid="{E0B299FB-AC5A-4BD6-8A69-635D57E7AD45}"/>
    <cellStyle name="Normal 21 23 2 4" xfId="11745" xr:uid="{442C19FD-9CF6-4AB0-ABEA-0B47C53D06F1}"/>
    <cellStyle name="Normal 21 23 2 6" xfId="11746" xr:uid="{B7230EB7-0745-4260-94B0-B279CCB98BAB}"/>
    <cellStyle name="Normal 21 23 3 2" xfId="11747" xr:uid="{EB5110BD-FED1-439F-90D8-F9CD47E059F6}"/>
    <cellStyle name="Normal 21 23 3 4" xfId="11748" xr:uid="{5F4FC47E-F657-4444-B98E-508A9A0DC628}"/>
    <cellStyle name="Normal 21 23 3 6" xfId="11749" xr:uid="{E5949BE9-0DB3-4904-951A-6CDE0BF178F9}"/>
    <cellStyle name="Normal 21 23 4 4" xfId="11750" xr:uid="{6F7C528F-7185-4593-A41A-D23F79C09715}"/>
    <cellStyle name="Normal 21 23 4 6" xfId="11751" xr:uid="{C31254F2-E7D5-4E1B-ACED-5266DD2B4C77}"/>
    <cellStyle name="Normal 21 23 5 2" xfId="11752" xr:uid="{6F4E191A-E5C8-42D1-9F6C-DF930FB136C9}"/>
    <cellStyle name="Normal 21 23 5 4" xfId="11753" xr:uid="{DD6CAA8C-AE03-4558-85B5-44A582078369}"/>
    <cellStyle name="Normal 21 23 5 6" xfId="11754" xr:uid="{9320C95A-C177-445A-BC20-D8184B5BC583}"/>
    <cellStyle name="Normal 21 23 6 2" xfId="11755" xr:uid="{509B5E20-70CB-4461-9FD4-BB11B624D471}"/>
    <cellStyle name="Normal 21 23 6 4" xfId="11756" xr:uid="{EBDD363D-0782-4182-92FB-DD41E6420152}"/>
    <cellStyle name="Normal 21 23 6 6" xfId="11757" xr:uid="{4B089E22-EC49-42E7-8079-884A4FDFDF6A}"/>
    <cellStyle name="Normal 21 23 7 2" xfId="11758" xr:uid="{A58271DB-46D9-46BC-B347-064632F37035}"/>
    <cellStyle name="Normal 21 23 7 4" xfId="11759" xr:uid="{23B44540-0A89-4B3B-B72D-A5A0064E4E4D}"/>
    <cellStyle name="Normal 21 23 7 6" xfId="11760" xr:uid="{65574D33-322A-42C3-B2E3-45B97E9760C4}"/>
    <cellStyle name="Normal 21 23 8 2" xfId="11761" xr:uid="{2AF0B3C4-A9C5-47DD-9746-500B5EACF3B3}"/>
    <cellStyle name="Normal 21 23 8 4" xfId="11762" xr:uid="{089339C4-A7DB-4189-9D3C-2A3BBAD9048F}"/>
    <cellStyle name="Normal 21 23 8 6" xfId="11763" xr:uid="{8E8E483A-FD3B-4390-B414-6CD64BEFE737}"/>
    <cellStyle name="Normal 21 24" xfId="11764" xr:uid="{CAE1F4FD-FDF3-4EF1-84FD-F4E3E543024C}"/>
    <cellStyle name="Normal 21 24 11" xfId="11765" xr:uid="{75308BC5-EE0A-497B-BC5B-CD9F69200F94}"/>
    <cellStyle name="Normal 21 24 13" xfId="11766" xr:uid="{46045639-16AC-489A-B062-5BB1BB711474}"/>
    <cellStyle name="Normal 21 24 2 2" xfId="11767" xr:uid="{D15DD28C-7DBF-4D9B-90A0-AAE3CFDCC11D}"/>
    <cellStyle name="Normal 21 24 2 4" xfId="11768" xr:uid="{2906EE8D-F8F7-4671-8141-33EC2F334B4F}"/>
    <cellStyle name="Normal 21 24 2 6" xfId="11769" xr:uid="{448390B8-4280-4370-A4D4-B9FF0DFD8B0D}"/>
    <cellStyle name="Normal 21 24 3 2" xfId="11770" xr:uid="{EC903E1B-CB36-44FE-98F9-81491DD0165D}"/>
    <cellStyle name="Normal 21 24 3 4" xfId="11771" xr:uid="{759C8C73-FAB0-4B8E-959A-A112953803CF}"/>
    <cellStyle name="Normal 21 24 3 6" xfId="11772" xr:uid="{17A4EC5B-1271-4A65-AAB9-8CED5C4EC560}"/>
    <cellStyle name="Normal 21 24 4 2" xfId="11773" xr:uid="{1D51EF36-10E7-47B2-AA7A-D54BB419152C}"/>
    <cellStyle name="Normal 21 24 4 4" xfId="11774" xr:uid="{B8BFEAA7-C5D4-4BF2-BE5B-22FDE1A4043C}"/>
    <cellStyle name="Normal 21 24 4 6" xfId="11775" xr:uid="{2BB7418F-5FA9-4BDC-9B6E-89DAF8707DB0}"/>
    <cellStyle name="Normal 21 24 5 2" xfId="11776" xr:uid="{7FA1A329-0792-4AA0-8007-F3BB8F0BD047}"/>
    <cellStyle name="Normal 21 24 5 4" xfId="11777" xr:uid="{967703B3-46C7-487B-8E84-D6EA96A2A316}"/>
    <cellStyle name="Normal 21 24 5 6" xfId="11778" xr:uid="{D14DD5AF-9AF5-46FB-9048-7544E29DA9F4}"/>
    <cellStyle name="Normal 21 24 6 2" xfId="11779" xr:uid="{58FB6CC5-F39B-4363-A0FE-321B1589BD1B}"/>
    <cellStyle name="Normal 21 24 6 4" xfId="11780" xr:uid="{D3232B89-01F5-46A7-8B4F-229BCB8D585C}"/>
    <cellStyle name="Normal 21 24 6 6" xfId="11781" xr:uid="{99107FAB-6B17-43E2-860A-268A28FB4E3E}"/>
    <cellStyle name="Normal 21 24 7 2" xfId="11782" xr:uid="{4F47D526-8F21-4377-89BB-3B6469F5F7E5}"/>
    <cellStyle name="Normal 21 24 7 4" xfId="11783" xr:uid="{920C2908-4792-42E8-9989-B42B45C503F5}"/>
    <cellStyle name="Normal 21 24 7 6" xfId="11784" xr:uid="{A78D2CA3-B0D5-43C2-B65B-2BF31E53C482}"/>
    <cellStyle name="Normal 21 24 8 2" xfId="11785" xr:uid="{B9807386-8A95-40DD-830A-3BC22BA20BF7}"/>
    <cellStyle name="Normal 21 24 8 4" xfId="11786" xr:uid="{95C9125D-7BB8-4822-8558-6D11BF19FE50}"/>
    <cellStyle name="Normal 21 24 8 6" xfId="11787" xr:uid="{F7C7E167-03A3-414C-99E5-CE622B82DE59}"/>
    <cellStyle name="Normal 21 25" xfId="11788" xr:uid="{39528F39-7ABF-432E-B851-A1199B622F89}"/>
    <cellStyle name="Normal 21 25 3" xfId="11789" xr:uid="{8FBF1A40-6025-4A29-9D2E-5E687D752747}"/>
    <cellStyle name="Normal 21 25 5" xfId="11790" xr:uid="{F5524DE2-841B-4C21-B7E6-E09568165FFC}"/>
    <cellStyle name="Normal 21 26" xfId="11791" xr:uid="{CA57F9B8-A958-42B3-96F8-74B3510FF2A3}"/>
    <cellStyle name="Normal 21 26 3" xfId="11792" xr:uid="{BA73D653-2DA9-4212-B7A0-929314ACD9CC}"/>
    <cellStyle name="Normal 21 26 5" xfId="11793" xr:uid="{1F89667E-7A88-42B8-9879-42C92FD4D3D5}"/>
    <cellStyle name="Normal 21 27" xfId="11794" xr:uid="{EAE3631E-9FA9-48A1-BD0F-8646D1DD0B3D}"/>
    <cellStyle name="Normal 21 27 3" xfId="11795" xr:uid="{83F6DA27-DA9A-443E-862E-02F3EB703AD7}"/>
    <cellStyle name="Normal 21 27 5" xfId="11796" xr:uid="{1EEE549E-2CF5-4612-B440-4091C476C697}"/>
    <cellStyle name="Normal 21 28" xfId="11797" xr:uid="{3A044DFB-6ADC-4BFE-B013-07691465C1CE}"/>
    <cellStyle name="Normal 21 28 5" xfId="11798" xr:uid="{E4D13590-F5F4-488A-9263-617F7785DC4F}"/>
    <cellStyle name="Normal 21 29 3" xfId="11799" xr:uid="{878212BF-9E1A-43DD-8DB1-F952D8877177}"/>
    <cellStyle name="Normal 21 3" xfId="11800" xr:uid="{86AFD175-C7A4-4992-8F93-8A8564D37F8C}"/>
    <cellStyle name="Normal 21 3 13" xfId="11801" xr:uid="{A1ECB2F6-0FBC-44C7-85C5-5E44D76E4546}"/>
    <cellStyle name="Normal 21 3 2 4" xfId="11802" xr:uid="{3AC02D27-EC19-4A25-A5BD-5CFCBE64A6E3}"/>
    <cellStyle name="Normal 21 3 3 2" xfId="11803" xr:uid="{F85BB2ED-9ECC-4B77-ADF8-D3051E8CE08B}"/>
    <cellStyle name="Normal 21 3 3 6" xfId="11804" xr:uid="{378C00B2-0D5A-41AA-A0E2-EA700A755093}"/>
    <cellStyle name="Normal 21 3 4 4" xfId="11805" xr:uid="{8230A47A-AD1F-4E65-AAC8-6E7763A56AEB}"/>
    <cellStyle name="Normal 21 3 5 2" xfId="11806" xr:uid="{6A0F9BA2-774E-48EC-B18B-0EEA8D480D62}"/>
    <cellStyle name="Normal 21 3 5 6" xfId="11807" xr:uid="{118E290F-AFF3-413A-BF29-BD28EB3BC07E}"/>
    <cellStyle name="Normal 21 3 6 4" xfId="11808" xr:uid="{75C088A9-6C9D-46C7-8C79-87BF00D64CE1}"/>
    <cellStyle name="Normal 21 3 7 2" xfId="11809" xr:uid="{AA7AA23F-AEFF-4560-A1CE-EED66EFE6660}"/>
    <cellStyle name="Normal 21 3 7 6" xfId="11810" xr:uid="{21775F90-B51C-4FEB-96D2-8FCFB9E60303}"/>
    <cellStyle name="Normal 21 3 8 4" xfId="11811" xr:uid="{09507772-CA7B-46F9-BDEE-B007C9986FD4}"/>
    <cellStyle name="Normal 21 30" xfId="11812" xr:uid="{6C068FFF-6EC7-4BD4-9AC3-ABB78BC32B16}"/>
    <cellStyle name="Normal 21 30 5" xfId="11813" xr:uid="{2B232BFE-AC97-4E91-8260-D15F6572238E}"/>
    <cellStyle name="Normal 21 31 2" xfId="11814" xr:uid="{AAB0A6EA-026B-4BA6-9536-5A444B5838B4}"/>
    <cellStyle name="Normal 21 31 4" xfId="11815" xr:uid="{04884D93-FEB4-4CD6-BD61-4279DF08CA88}"/>
    <cellStyle name="Normal 21 33" xfId="11816" xr:uid="{5A3EA00B-E4FF-497E-9A77-C8B4DD836FC7}"/>
    <cellStyle name="Normal 21 4" xfId="11817" xr:uid="{0BD7FE70-D17D-4898-A6DE-666628010E47}"/>
    <cellStyle name="Normal 21 4 13" xfId="11818" xr:uid="{5C0E00DA-094A-4D2A-9627-F9E6115F7392}"/>
    <cellStyle name="Normal 21 4 2 4" xfId="11819" xr:uid="{1AC62423-9415-4CAC-BB20-1F0448FFA226}"/>
    <cellStyle name="Normal 21 4 3 2" xfId="11820" xr:uid="{3B94E82F-B7C8-4520-AFE9-A099CDF4DF79}"/>
    <cellStyle name="Normal 21 4 3 6" xfId="11821" xr:uid="{112F5543-427E-4DE9-9B70-B0CFC9205F07}"/>
    <cellStyle name="Normal 21 4 4 4" xfId="11822" xr:uid="{5CB7B2AB-BE56-4D44-9C2F-F896CBE13875}"/>
    <cellStyle name="Normal 21 4 5 2" xfId="11823" xr:uid="{87DC46E2-1693-4081-9DD1-5528D6329878}"/>
    <cellStyle name="Normal 21 4 5 6" xfId="11824" xr:uid="{ED60AA7B-34C1-4287-8EAB-12D3528B7F08}"/>
    <cellStyle name="Normal 21 4 6 4" xfId="11825" xr:uid="{9608791D-1F32-4B45-A376-B8ABD6F2B4B5}"/>
    <cellStyle name="Normal 21 4 7 2" xfId="11826" xr:uid="{1EC88A4C-2458-414B-808B-97DDC4E61735}"/>
    <cellStyle name="Normal 21 4 7 6" xfId="11827" xr:uid="{4355C8D4-C5F5-46B9-8F03-CA9E8868FE04}"/>
    <cellStyle name="Normal 21 4 8 4" xfId="11828" xr:uid="{2921BD42-D4B0-4747-BE4A-5E0EC594D6FF}"/>
    <cellStyle name="Normal 21 4 9" xfId="11829" xr:uid="{14B983C8-D060-4875-AFEC-E9CE84C14B25}"/>
    <cellStyle name="Normal 21 5 12" xfId="11830" xr:uid="{F7FFFBA8-01F8-448E-97E3-6036889FC94A}"/>
    <cellStyle name="Normal 21 5 2 3" xfId="11831" xr:uid="{E8B207D9-6240-40B3-8FAE-A94706CA5811}"/>
    <cellStyle name="Normal 21 5 3" xfId="11832" xr:uid="{908C6050-0785-44AB-99AF-A6336FDA8422}"/>
    <cellStyle name="Normal 21 5 3 5" xfId="11833" xr:uid="{5DC76B8B-7E7F-4283-A66A-965777DCE3DC}"/>
    <cellStyle name="Normal 21 5 4 3" xfId="11834" xr:uid="{AC4398FB-5DFD-4A9F-8372-B6D1F902B8B2}"/>
    <cellStyle name="Normal 21 5 5" xfId="11835" xr:uid="{6049CF8E-BA74-4136-9D9F-2B34A8FC6DB8}"/>
    <cellStyle name="Normal 21 5 5 5" xfId="11836" xr:uid="{40C73A31-A677-4818-B72D-ADE921DCE643}"/>
    <cellStyle name="Normal 21 5 6 3" xfId="11837" xr:uid="{D854DBC3-2F21-48E1-8E87-804E131F5A01}"/>
    <cellStyle name="Normal 21 5 7" xfId="11838" xr:uid="{235F730A-B0E8-4D3B-BBC0-6A30641EC402}"/>
    <cellStyle name="Normal 21 5 7 5" xfId="11839" xr:uid="{AD017721-91B1-469F-8C77-02C2299122AD}"/>
    <cellStyle name="Normal 21 5 8 3" xfId="11840" xr:uid="{A409DDFE-99FD-4D9F-AE4D-1CAFEDF4264B}"/>
    <cellStyle name="Normal 21 5 9" xfId="11841" xr:uid="{7324FA3A-8048-4144-A265-5CCC32703677}"/>
    <cellStyle name="Normal 21 6 12" xfId="11842" xr:uid="{AA6153F7-5C11-4502-9204-3E999AFC798F}"/>
    <cellStyle name="Normal 21 6 2 3" xfId="11843" xr:uid="{F488F9C0-2634-47F7-BAE2-FA2794FE606C}"/>
    <cellStyle name="Normal 21 6 3" xfId="11844" xr:uid="{D9DA9544-F2D4-4D04-8A46-58662FD0BB25}"/>
    <cellStyle name="Normal 21 6 3 5" xfId="11845" xr:uid="{C1CCC9FF-BC90-4ADE-A014-26A806B0F6D9}"/>
    <cellStyle name="Normal 21 6 4 2" xfId="11846" xr:uid="{F4F37565-6E0D-49B2-9B8C-3E9F18036FAA}"/>
    <cellStyle name="Normal 21 6 4 6" xfId="11847" xr:uid="{A156C385-4A8E-42A0-B41F-381633D7B56A}"/>
    <cellStyle name="Normal 21 6 5 4" xfId="11848" xr:uid="{F9A9B81B-34CA-4ED8-8477-579244E9C78F}"/>
    <cellStyle name="Normal 21 6 6 2" xfId="11849" xr:uid="{44A30EC8-B040-4A61-B97B-EF7CB6C627B9}"/>
    <cellStyle name="Normal 21 6 6 6" xfId="11850" xr:uid="{58F30C5F-4724-45FE-A52A-73741D35A55C}"/>
    <cellStyle name="Normal 21 6 7 4" xfId="11851" xr:uid="{C39CC6C1-D278-4054-A35E-60E13F9C5514}"/>
    <cellStyle name="Normal 21 6 8 2" xfId="11852" xr:uid="{FFB2DCFE-D746-4A30-A38F-89AA6EABA892}"/>
    <cellStyle name="Normal 21 6 8 6" xfId="11853" xr:uid="{15B874A6-27D2-4B95-A623-03C3D3725312}"/>
    <cellStyle name="Normal 21 7 11" xfId="11854" xr:uid="{0062BB63-1238-4530-993B-56CF2023FF08}"/>
    <cellStyle name="Normal 21 7 2 2" xfId="11855" xr:uid="{E0E859D0-2407-4E04-9086-B0D28832D059}"/>
    <cellStyle name="Normal 21 7 2 6" xfId="11856" xr:uid="{956D4431-2609-41F1-AA22-EFD3949BB60F}"/>
    <cellStyle name="Normal 21 7 3 4" xfId="11857" xr:uid="{21E45A33-60A4-4E0C-8505-CBCABE07A4F7}"/>
    <cellStyle name="Normal 21 7 4 2" xfId="11858" xr:uid="{77290262-DEA9-498D-91EA-B526DC89355E}"/>
    <cellStyle name="Normal 21 7 4 6" xfId="11859" xr:uid="{8B1074A5-C211-4C73-96A6-C1EADC600654}"/>
    <cellStyle name="Normal 21 7 5 4" xfId="11860" xr:uid="{B97F5B8C-C752-4657-AB5E-4922F3420C3B}"/>
    <cellStyle name="Normal 21 7 6 2" xfId="11861" xr:uid="{28CA4766-F40D-4CA7-B7E2-6AF7D78983FD}"/>
    <cellStyle name="Normal 21 7 6 6" xfId="11862" xr:uid="{3085D65F-19CC-43E9-848A-970CBD39A9F0}"/>
    <cellStyle name="Normal 21 7 7 3" xfId="11863" xr:uid="{799B5607-90A1-4C40-985D-2B9F0CB3ACAC}"/>
    <cellStyle name="Normal 21 7 8" xfId="11864" xr:uid="{701A371F-C897-43F3-B826-A6D682EA7AE7}"/>
    <cellStyle name="Normal 21 7 8 5" xfId="11865" xr:uid="{9E08A404-150A-4D8C-B187-5420EBF4057E}"/>
    <cellStyle name="Normal 21 8 10" xfId="11866" xr:uid="{44BBD4E8-336A-4DE8-B9A8-DDD1A4DEA6B9}"/>
    <cellStyle name="Normal 21 8 12" xfId="11867" xr:uid="{D4308B7C-45C6-4A35-8C5D-D9F6362718D1}"/>
    <cellStyle name="Normal 21 8 2" xfId="11868" xr:uid="{B6E79693-1A4D-4533-9CD8-F3F9EF34D762}"/>
    <cellStyle name="Normal 21 8 2 3" xfId="11869" xr:uid="{71F12082-07F5-42AA-A1FA-6992C2B56AB4}"/>
    <cellStyle name="Normal 21 8 2 5" xfId="11870" xr:uid="{B8FBE27C-D20A-449B-A815-94F261BD30C8}"/>
    <cellStyle name="Normal 21 8 3" xfId="11871" xr:uid="{0E6246AC-6698-4C0A-B5EF-D6F9493B58EE}"/>
    <cellStyle name="Normal 21 8 3 3" xfId="11872" xr:uid="{731E4791-E4E6-4C91-93BE-E1DC2A0A337A}"/>
    <cellStyle name="Normal 21 8 3 5" xfId="11873" xr:uid="{B7141F9A-DADE-4927-B7AE-CD555AC6B923}"/>
    <cellStyle name="Normal 21 8 4" xfId="11874" xr:uid="{258E8994-BB95-42A8-BD16-0D16F75E4DB1}"/>
    <cellStyle name="Normal 21 8 4 3" xfId="11875" xr:uid="{E383A017-7B2A-4DE5-B0B4-AB8C78E013F4}"/>
    <cellStyle name="Normal 21 8 4 5" xfId="11876" xr:uid="{7550C4B0-63E4-4708-9C24-D3576AA21415}"/>
    <cellStyle name="Normal 21 8 5" xfId="11877" xr:uid="{EDA5B251-4662-4EAB-ADDF-5297720D1DD5}"/>
    <cellStyle name="Normal 21 8 5 3" xfId="11878" xr:uid="{C6A4F311-D38E-4E05-AAE5-87EF2F89BB69}"/>
    <cellStyle name="Normal 21 8 5 5" xfId="11879" xr:uid="{2E312E48-45E0-43AA-8219-4318D18C7AA7}"/>
    <cellStyle name="Normal 21 8 6" xfId="11880" xr:uid="{A499CA4F-44F4-44CE-9B18-32171CB60A9D}"/>
    <cellStyle name="Normal 21 8 6 3" xfId="11881" xr:uid="{6C29D22B-BE8E-4734-80CD-D43428951400}"/>
    <cellStyle name="Normal 21 8 6 5" xfId="11882" xr:uid="{C9562D2D-42D8-4F75-B723-0BA22D8E4606}"/>
    <cellStyle name="Normal 21 8 7" xfId="11883" xr:uid="{7C71A355-BE7A-4CF7-AF99-08E2BB2C9CAA}"/>
    <cellStyle name="Normal 21 8 7 3" xfId="11884" xr:uid="{DF039D1F-BE22-4849-A4EC-AE98C1318CAD}"/>
    <cellStyle name="Normal 21 8 7 5" xfId="11885" xr:uid="{16C6F7BD-4A50-4C51-BA6E-E7656F97DE49}"/>
    <cellStyle name="Normal 21 8 8" xfId="11886" xr:uid="{274ED805-9FED-4042-936F-9CFB48B2AA9B}"/>
    <cellStyle name="Normal 21 8 8 3" xfId="11887" xr:uid="{91BEA24D-1488-412F-B3DE-0B084E5D32F9}"/>
    <cellStyle name="Normal 21 8 8 5" xfId="11888" xr:uid="{F9BD47FF-FFC3-4F79-ACA3-80076DB3B727}"/>
    <cellStyle name="Normal 21 8 9" xfId="11889" xr:uid="{DE864336-AF0A-41D0-B41D-E991870A5E3C}"/>
    <cellStyle name="Normal 21 9 10" xfId="11890" xr:uid="{0EC63A8F-A3F2-4CAF-AA88-1447710E8BAA}"/>
    <cellStyle name="Normal 21 9 12" xfId="11891" xr:uid="{105AFAC3-0B78-46AE-941B-012300A9F14D}"/>
    <cellStyle name="Normal 21 9 2" xfId="11892" xr:uid="{5D7EE3A8-5724-4E88-A310-187B2345371C}"/>
    <cellStyle name="Normal 21 9 2 3" xfId="11893" xr:uid="{62CAD9F5-2013-47C8-BD00-242CF2027A9E}"/>
    <cellStyle name="Normal 21 9 2 5" xfId="11894" xr:uid="{641D2DD4-91FA-4CEC-A5EC-B901E47BAE19}"/>
    <cellStyle name="Normal 21 9 3" xfId="11895" xr:uid="{D545CC25-E7BB-4EAB-82A1-85ECBF337350}"/>
    <cellStyle name="Normal 21 9 3 3" xfId="11896" xr:uid="{E57F7DBC-7210-467B-8509-75E6041F9D2B}"/>
    <cellStyle name="Normal 21 9 3 5" xfId="11897" xr:uid="{502D5038-0BC9-4993-92A6-5677362B824E}"/>
    <cellStyle name="Normal 21 9 4 3" xfId="11898" xr:uid="{DB02B1D1-5AC0-4677-A8DA-F18F83D4639D}"/>
    <cellStyle name="Normal 21 9 5" xfId="11899" xr:uid="{B3CE9774-2D76-4AAC-9A61-C27AF9FB65EA}"/>
    <cellStyle name="Normal 21 9 5 5" xfId="11900" xr:uid="{9FC5B7C3-74EA-46FD-B21D-27C487BF2B0B}"/>
    <cellStyle name="Normal 21 9 6 3" xfId="11901" xr:uid="{7874C652-C10F-453A-9F17-BFF7A8B304D8}"/>
    <cellStyle name="Normal 21 9 7" xfId="11902" xr:uid="{BB8D217E-F3AC-4138-80FB-F76569581766}"/>
    <cellStyle name="Normal 21 9 7 5" xfId="11903" xr:uid="{D8A154EF-431C-47C8-A9A2-B15E1D3454B7}"/>
    <cellStyle name="Normal 21 9 8 3" xfId="11904" xr:uid="{2A781773-ABDD-4F5A-A949-5F4C43C10CEB}"/>
    <cellStyle name="Normal 21 9 9" xfId="11905" xr:uid="{A8D20674-A4FC-4417-A93A-868CA1064AFF}"/>
    <cellStyle name="Normal 22 12" xfId="11906" xr:uid="{02589058-12B7-4825-92E8-E555FB628FBA}"/>
    <cellStyle name="Normal 22 16" xfId="11907" xr:uid="{6EE04FD6-27F0-4EEC-8386-EFBE27CB078C}"/>
    <cellStyle name="Normal 22 2" xfId="11908" xr:uid="{CCD72C93-CBF7-40D5-A1F2-1F8A64B1AA6B}"/>
    <cellStyle name="Normal 22 23" xfId="11909" xr:uid="{A4F0C04F-8FD4-4397-8B04-E7632A8DDF1D}"/>
    <cellStyle name="Normal 22 27" xfId="11910" xr:uid="{98F8ACD3-AC89-4338-B4D5-CDB2AC42EC73}"/>
    <cellStyle name="Normal 22 3" xfId="11911" xr:uid="{866E90AD-DB9F-4804-B214-972B175A0D28}"/>
    <cellStyle name="Normal 22 33" xfId="11912" xr:uid="{470685B4-C3CD-4050-BA55-A6889EAA182F}"/>
    <cellStyle name="Normal 22 37" xfId="11913" xr:uid="{376D2789-33C4-4E42-9498-E05245E74B9A}"/>
    <cellStyle name="Normal 22 40" xfId="11914" xr:uid="{151747CA-C226-4579-9B68-9B2706574A1D}"/>
    <cellStyle name="Normal 22 5" xfId="11915" xr:uid="{F7DCBE43-4951-4DE2-8789-77C31AE28BBA}"/>
    <cellStyle name="Normal 22 9" xfId="11916" xr:uid="{74C01700-0C2E-4182-8CF8-B2FE425A99AD}"/>
    <cellStyle name="Normal 23 12" xfId="11917" xr:uid="{E04D9AA6-A329-4240-8ACF-3BD95F4E9E95}"/>
    <cellStyle name="Normal 23 16" xfId="11918" xr:uid="{55089DBA-0142-4AB4-B9A5-F3B71EB57E7E}"/>
    <cellStyle name="Normal 23 2" xfId="11919" xr:uid="{7A4F7DE7-3611-424B-87AA-6E861E63C727}"/>
    <cellStyle name="Normal 23 23" xfId="11920" xr:uid="{8E48D71A-FA59-42D7-BE02-82FDB4BA1306}"/>
    <cellStyle name="Normal 23 27" xfId="11921" xr:uid="{C39801CE-12C8-45E3-A3CE-0458168B3060}"/>
    <cellStyle name="Normal 23 30" xfId="11922" xr:uid="{21CF1906-9FDA-45D9-B219-9AF774D2CBF2}"/>
    <cellStyle name="Normal 23 32" xfId="11923" xr:uid="{C2BD584F-4647-4B2E-B649-A7581A4BD7C9}"/>
    <cellStyle name="Normal 23 34" xfId="11924" xr:uid="{D41D09CC-FFEE-46A5-83EC-6EBCBF4F81E5}"/>
    <cellStyle name="Normal 23 36" xfId="11925" xr:uid="{DCDECCA4-5925-423F-9E48-4BB1D97787F1}"/>
    <cellStyle name="Normal 23 38" xfId="11926" xr:uid="{EBD28BA5-5AFF-4269-BA86-16AA1DC507ED}"/>
    <cellStyle name="Normal 23 4" xfId="11927" xr:uid="{D5C2A403-E5A5-4BD3-BB4E-D003B8EF783C}"/>
    <cellStyle name="Normal 23 41" xfId="11928" xr:uid="{D6F265C4-FE54-4961-AF71-09786AC507B2}"/>
    <cellStyle name="Normal 23 43" xfId="11929" xr:uid="{219299C7-2DF6-400E-B912-27121BACC823}"/>
    <cellStyle name="Normal 23 8" xfId="11930" xr:uid="{390C6DEB-9138-4E93-9E06-ACB6A211AC97}"/>
    <cellStyle name="Normal 24 11" xfId="11931" xr:uid="{468B2BE2-0DEB-4000-81F0-06B82380E06B}"/>
    <cellStyle name="Normal 24 14" xfId="11932" xr:uid="{2ECEE843-D496-480A-9608-0E29E140460B}"/>
    <cellStyle name="Normal 24 18" xfId="11933" xr:uid="{CC3F5BF6-A226-4661-B91C-FED3D6D1F6F2}"/>
    <cellStyle name="Normal 24 21" xfId="11934" xr:uid="{2A79EE6E-E6B3-4F1D-B00E-111C3B6A7AAC}"/>
    <cellStyle name="Normal 24 25" xfId="11935" xr:uid="{584D2B73-093F-412A-81F7-9739F3312D53}"/>
    <cellStyle name="Normal 24 29" xfId="11936" xr:uid="{4B9E55C9-3B60-4981-A514-4BD3E31DC2B2}"/>
    <cellStyle name="Normal 24 32" xfId="11937" xr:uid="{E6954927-6F4F-4FBD-AF86-28DA120A446A}"/>
    <cellStyle name="Normal 24 36" xfId="11938" xr:uid="{A5500729-74C5-4C8F-8E32-98906B46BF39}"/>
    <cellStyle name="Normal 24 4" xfId="11939" xr:uid="{75311D8C-8695-4F55-9D1A-B37911416537}"/>
    <cellStyle name="Normal 24 43" xfId="11940" xr:uid="{D46BDF6C-C7C6-429D-9AB4-6F4F34589E16}"/>
    <cellStyle name="Normal 24 8" xfId="11941" xr:uid="{93FEA9BE-BAAF-4876-B4A9-4D3D9677F813}"/>
    <cellStyle name="Normal 25 11" xfId="11942" xr:uid="{676D7110-8E53-43E9-9C71-78389D8EB717}"/>
    <cellStyle name="Normal 25 15" xfId="11943" xr:uid="{4974BF58-50D7-4F12-BA4E-1D453629E166}"/>
    <cellStyle name="Normal 25 19" xfId="11944" xr:uid="{8C70D1E4-DD31-4D98-B140-93BF9A1FEFF8}"/>
    <cellStyle name="Normal 25 22" xfId="11945" xr:uid="{1A20AF3F-8FA6-40CA-8E6D-362500DCEA3A}"/>
    <cellStyle name="Normal 25 26" xfId="11946" xr:uid="{59C96F4D-7325-460A-9B04-E55BE9DC5AF0}"/>
    <cellStyle name="Normal 25 3" xfId="11947" xr:uid="{838C1AA7-6D2F-4454-B87E-F0AE16DD6F65}"/>
    <cellStyle name="Normal 25 33" xfId="11948" xr:uid="{0B191774-0DEE-42E6-A0CA-6F840494F498}"/>
    <cellStyle name="Normal 25 36" xfId="11949" xr:uid="{B1D59164-B5C5-4C76-8C05-802B693CEEFD}"/>
    <cellStyle name="Normal 25 4" xfId="11950" xr:uid="{7FD8074C-FB35-45CD-BDB8-757434C56DE3}"/>
    <cellStyle name="Normal 25 43" xfId="11951" xr:uid="{75C315E5-01CE-462A-9852-6A78D5CBCE5A}"/>
    <cellStyle name="Normal 25 8" xfId="11952" xr:uid="{A69BC84D-0A9C-4A7D-ADF6-EE80DDF301DF}"/>
    <cellStyle name="Normal 26 10 10" xfId="11953" xr:uid="{BE5F1CB4-880B-4089-9756-96FFB1B2A373}"/>
    <cellStyle name="Normal 26 10 2" xfId="11954" xr:uid="{4AF7E7D0-6C6A-4B06-97C1-DFEFD81A9389}"/>
    <cellStyle name="Normal 26 10 2 5" xfId="11955" xr:uid="{02590C30-BE8E-4539-A61A-11A19844CA98}"/>
    <cellStyle name="Normal 26 10 3 3" xfId="11956" xr:uid="{B7859E60-669E-4A9C-91CC-6159A77C05E6}"/>
    <cellStyle name="Normal 26 10 4" xfId="11957" xr:uid="{81E8ECBF-86DB-40C2-9F3A-B795F79F3C91}"/>
    <cellStyle name="Normal 26 10 4 5" xfId="11958" xr:uid="{8C1EB057-2D6C-4892-9550-D99F1BAF9959}"/>
    <cellStyle name="Normal 26 10 5 3" xfId="11959" xr:uid="{83D6EBBA-8D79-4230-9AEB-468541546901}"/>
    <cellStyle name="Normal 26 10 6" xfId="11960" xr:uid="{1D6118F7-FF62-4E6A-B027-D9929A28E03E}"/>
    <cellStyle name="Normal 26 10 6 5" xfId="11961" xr:uid="{58CB2916-9E2B-4253-B480-CDBA53F8B382}"/>
    <cellStyle name="Normal 26 10 7 3" xfId="11962" xr:uid="{C535672B-E652-4A0E-9348-439AF3FAD810}"/>
    <cellStyle name="Normal 26 10 8" xfId="11963" xr:uid="{8772217E-E86E-458B-9979-10757004E8AB}"/>
    <cellStyle name="Normal 26 10 8 5" xfId="11964" xr:uid="{3EDE7466-FB72-4478-9BFC-60956BD4CB72}"/>
    <cellStyle name="Normal 26 11 10" xfId="11965" xr:uid="{510287DA-4FC9-4FEB-BC62-CAA364CD652D}"/>
    <cellStyle name="Normal 26 11 13" xfId="11966" xr:uid="{65A772E4-AE75-424E-9C80-F5D3F2C43D75}"/>
    <cellStyle name="Normal 26 11 2 4" xfId="11967" xr:uid="{2AF49CE0-587A-457E-B6BD-EC1FED9F7D90}"/>
    <cellStyle name="Normal 26 11 3 2" xfId="11968" xr:uid="{FBD33CC7-837D-4E4E-9330-1B59190CBF68}"/>
    <cellStyle name="Normal 26 11 3 6" xfId="11969" xr:uid="{CD7A739E-E5A7-4D35-87F5-2A02E0BDCE39}"/>
    <cellStyle name="Normal 26 11 4 4" xfId="11970" xr:uid="{DE95405D-EF3E-4638-A062-98FF5B8B2F3F}"/>
    <cellStyle name="Normal 26 11 5 2" xfId="11971" xr:uid="{CD95CA11-BBA4-43FD-A0CB-A52EA711B53A}"/>
    <cellStyle name="Normal 26 11 5 6" xfId="11972" xr:uid="{E87160F3-AAE1-404D-A380-6454DB0E5B3C}"/>
    <cellStyle name="Normal 26 11 6 4" xfId="11973" xr:uid="{62B54A45-5F2E-4010-BA4D-80BE8F9B4692}"/>
    <cellStyle name="Normal 26 11 7 2" xfId="11974" xr:uid="{98C427C1-4E2D-4F3A-911B-171C9FC06729}"/>
    <cellStyle name="Normal 26 11 7 6" xfId="11975" xr:uid="{BA9AFC8B-647F-4A93-A909-C1A0A67EA99C}"/>
    <cellStyle name="Normal 26 11 8 4" xfId="11976" xr:uid="{FB9B1A71-9BDD-4F6B-81A8-F0D4EE57A546}"/>
    <cellStyle name="Normal 26 12" xfId="11977" xr:uid="{9DCF356C-311A-431B-A2ED-CBFF2C18546F}"/>
    <cellStyle name="Normal 26 12 13" xfId="11978" xr:uid="{9DF6691E-E01A-48EE-B267-D82C9EF0CDBE}"/>
    <cellStyle name="Normal 26 12 2 4" xfId="11979" xr:uid="{BB4993A3-7E6D-458C-B185-BBA7B9DA46A0}"/>
    <cellStyle name="Normal 26 12 3 2" xfId="11980" xr:uid="{822AA243-13C8-47AB-AD0C-E444C74A48E8}"/>
    <cellStyle name="Normal 26 12 3 6" xfId="11981" xr:uid="{AD7AFE4C-9CCE-4B35-9BD9-E8F8ED470CFC}"/>
    <cellStyle name="Normal 26 12 4 4" xfId="11982" xr:uid="{AC8C25BD-155F-4E11-8B42-364E52C9364D}"/>
    <cellStyle name="Normal 26 12 5" xfId="11983" xr:uid="{50169770-7870-495E-8C6C-FF0C1AA85AD4}"/>
    <cellStyle name="Normal 26 12 5 5" xfId="11984" xr:uid="{1253CDCE-216D-47F5-8D78-55CC105A1744}"/>
    <cellStyle name="Normal 26 12 6 3" xfId="11985" xr:uid="{81836705-B1D3-4F72-8100-77B196222041}"/>
    <cellStyle name="Normal 26 12 7" xfId="11986" xr:uid="{B6BB3E76-9042-4D82-954E-4E3ED889BADC}"/>
    <cellStyle name="Normal 26 12 7 5" xfId="11987" xr:uid="{4CAC0195-9C22-457E-AEDC-D59E3AD0E303}"/>
    <cellStyle name="Normal 26 12 8 3" xfId="11988" xr:uid="{2588DAEE-875F-4ADD-8FFF-A4CCBD3C6E5B}"/>
    <cellStyle name="Normal 26 12 9" xfId="11989" xr:uid="{DC0D349F-D1D2-4A2C-A6DE-61D3127D8F78}"/>
    <cellStyle name="Normal 26 13 12" xfId="11990" xr:uid="{3BB1F714-A3AF-4B7B-BC99-04FD3DF2BAF7}"/>
    <cellStyle name="Normal 26 13 2 3" xfId="11991" xr:uid="{AA9A5C87-243D-4350-8B94-C10D521A0124}"/>
    <cellStyle name="Normal 26 13 3" xfId="11992" xr:uid="{F878B1CD-33BA-4E80-A6A4-2263078D26A4}"/>
    <cellStyle name="Normal 26 13 3 5" xfId="11993" xr:uid="{EB2FFEC7-A4E1-41C0-B06C-11224B3B71ED}"/>
    <cellStyle name="Normal 26 13 4 3" xfId="11994" xr:uid="{33482CB3-F339-43B7-B204-166DE55E4E0B}"/>
    <cellStyle name="Normal 26 13 5" xfId="11995" xr:uid="{D143D720-4092-44E5-8A31-D8EF9337159E}"/>
    <cellStyle name="Normal 26 13 5 5" xfId="11996" xr:uid="{663E4567-853F-4624-B7C5-DC98087FD607}"/>
    <cellStyle name="Normal 26 13 6 3" xfId="11997" xr:uid="{759E9530-295C-4ACD-AEF0-B5D62AC94968}"/>
    <cellStyle name="Normal 26 13 7" xfId="11998" xr:uid="{9CF16BDD-8576-41AA-8F09-18E50C9D3037}"/>
    <cellStyle name="Normal 26 13 7 5" xfId="11999" xr:uid="{573E1C3D-FECA-4B22-9606-FB2E41E623A5}"/>
    <cellStyle name="Normal 26 13 8 2" xfId="12000" xr:uid="{264EF95D-BDD3-4A64-B5D3-CCF32ADA8863}"/>
    <cellStyle name="Normal 26 13 8 6" xfId="12001" xr:uid="{093378F3-CA41-4258-BA5D-EBA82AD747C6}"/>
    <cellStyle name="Normal 26 14 11" xfId="12002" xr:uid="{135203F7-5FD2-4949-BF4E-454D520BB333}"/>
    <cellStyle name="Normal 26 14 2 2" xfId="12003" xr:uid="{87F4294F-43C0-43E5-AF11-D8567BBECB55}"/>
    <cellStyle name="Normal 26 14 2 6" xfId="12004" xr:uid="{2C07D5EE-FD6C-4944-A54C-FD5DA0C7B1FC}"/>
    <cellStyle name="Normal 26 14 3 4" xfId="12005" xr:uid="{8B10F56D-793D-4AD8-BF48-9F9E3EC81312}"/>
    <cellStyle name="Normal 26 14 4 2" xfId="12006" xr:uid="{E5845F18-8D4F-47FD-853B-5AADB766EC74}"/>
    <cellStyle name="Normal 26 14 4 6" xfId="12007" xr:uid="{D8063F65-0B56-4341-9BB1-0B89F53D5EF5}"/>
    <cellStyle name="Normal 26 14 5 4" xfId="12008" xr:uid="{4B6EA7F1-F3DF-4F8A-9FE0-CBE1F643EA6A}"/>
    <cellStyle name="Normal 26 14 6 2" xfId="12009" xr:uid="{C98144A3-AEC1-4F5B-B206-5AB60E3BF530}"/>
    <cellStyle name="Normal 26 14 6 6" xfId="12010" xr:uid="{649F8D2F-5A8C-4F35-AA7F-19C93193E469}"/>
    <cellStyle name="Normal 26 14 7 4" xfId="12011" xr:uid="{8BA35D53-3E44-440A-A451-398CFADBA25F}"/>
    <cellStyle name="Normal 26 14 8 2" xfId="12012" xr:uid="{AE82AED6-4A5A-4232-8D0F-48B96AA6ACAB}"/>
    <cellStyle name="Normal 26 14 8 6" xfId="12013" xr:uid="{02C83F62-CCFB-4E25-BF86-6805A6C9919F}"/>
    <cellStyle name="Normal 26 15 11" xfId="12014" xr:uid="{57428D9D-A827-4B47-9FBA-40D638024BA9}"/>
    <cellStyle name="Normal 26 15 2 2" xfId="12015" xr:uid="{B2FC6F5F-AC0E-41AD-9859-DDA693A729E7}"/>
    <cellStyle name="Normal 26 15 2 6" xfId="12016" xr:uid="{DD38C7FE-A018-4C87-89A5-8D5FFAE1D4FB}"/>
    <cellStyle name="Normal 26 15 3 3" xfId="12017" xr:uid="{04341189-962A-43E0-9949-4147E25F12D9}"/>
    <cellStyle name="Normal 26 15 4" xfId="12018" xr:uid="{3D8B07E4-326B-4519-8FE0-6361A7447693}"/>
    <cellStyle name="Normal 26 15 4 5" xfId="12019" xr:uid="{177775BA-CF4A-4DD0-B37E-5A5FCE42868A}"/>
    <cellStyle name="Normal 26 15 5 3" xfId="12020" xr:uid="{2161131A-51AF-4B42-B59A-9C82DFA813ED}"/>
    <cellStyle name="Normal 26 15 5 6" xfId="12021" xr:uid="{39CD197F-F292-4967-B562-B63EAA94FA65}"/>
    <cellStyle name="Normal 26 15 6 3" xfId="12022" xr:uid="{67367E21-88BD-4CC4-89B8-550384608CDC}"/>
    <cellStyle name="Normal 26 15 6 5" xfId="12023" xr:uid="{9927A19B-776C-445C-A8A0-80A70267E7C3}"/>
    <cellStyle name="Normal 26 15 7" xfId="12024" xr:uid="{A13A4F17-A111-47AF-B872-2DBD7F0320F8}"/>
    <cellStyle name="Normal 26 15 7 3" xfId="12025" xr:uid="{DE8D03A6-D761-4763-903E-D3C451517BDA}"/>
    <cellStyle name="Normal 26 15 7 5" xfId="12026" xr:uid="{F0DD4074-D897-4CEC-83A3-3326E7FE79A3}"/>
    <cellStyle name="Normal 26 15 8" xfId="12027" xr:uid="{15EF0434-34A2-44AA-8993-8F682237749C}"/>
    <cellStyle name="Normal 26 15 8 3" xfId="12028" xr:uid="{827852C0-5E76-4EA5-89C9-9DAE76E1A961}"/>
    <cellStyle name="Normal 26 15 8 4" xfId="12029" xr:uid="{9E332DEE-8457-48D3-8578-0378328E5B82}"/>
    <cellStyle name="Normal 26 15 8 5" xfId="12030" xr:uid="{2C8132CE-711A-4C43-8B05-00B05A7E68AF}"/>
    <cellStyle name="Normal 26 15 8 6" xfId="12031" xr:uid="{97B3140F-52A7-4C5C-A8F1-0D45271C8FB3}"/>
    <cellStyle name="Normal 26 15 9" xfId="12032" xr:uid="{30BBD7DC-FB09-44DB-8185-6572243D75CE}"/>
    <cellStyle name="Normal 26 16" xfId="12033" xr:uid="{F98039FD-99C6-4176-9672-27F644E8B0A9}"/>
    <cellStyle name="Normal 26 16 11" xfId="12034" xr:uid="{0D77B4FA-AE14-4926-9DA1-E2803A6D36E7}"/>
    <cellStyle name="Normal 26 16 13" xfId="12035" xr:uid="{CB285FE9-F46C-4D07-85FF-B5E1FAC630C4}"/>
    <cellStyle name="Normal 26 16 2 2" xfId="12036" xr:uid="{56FDF144-9536-4214-A8B4-BFB27739B073}"/>
    <cellStyle name="Normal 26 16 2 3" xfId="12037" xr:uid="{54E453D6-A426-4B93-8797-B647AF7E0D82}"/>
    <cellStyle name="Normal 26 16 2 4" xfId="12038" xr:uid="{370F4A23-75C4-46DB-9D01-6E1D94EEDE1A}"/>
    <cellStyle name="Normal 26 16 2 5" xfId="12039" xr:uid="{F0594F69-DF85-4799-A280-CF38B95F0A60}"/>
    <cellStyle name="Normal 26 16 2 6" xfId="12040" xr:uid="{C3C90B5E-9D96-4B13-9E99-F676FB2B2675}"/>
    <cellStyle name="Normal 26 16 3" xfId="12041" xr:uid="{3187FFB7-9E25-4A0C-98B9-5D6E0107499E}"/>
    <cellStyle name="Normal 26 16 3 2" xfId="12042" xr:uid="{12240C4E-67DD-4AD3-BB10-018F4037799A}"/>
    <cellStyle name="Normal 26 16 3 3" xfId="12043" xr:uid="{00C08553-FBCE-485F-9E88-B04576890B5D}"/>
    <cellStyle name="Normal 26 16 3 4" xfId="12044" xr:uid="{A3B8BD43-51E6-44D8-AD66-3D9EC637FA27}"/>
    <cellStyle name="Normal 26 16 3 6" xfId="12045" xr:uid="{E3A0A816-18A7-4A25-B638-6C5F2F8A418A}"/>
    <cellStyle name="Normal 26 16 4 2" xfId="12046" xr:uid="{48C7B208-5BEA-4AD6-8E83-44C2B82E2A5D}"/>
    <cellStyle name="Normal 26 16 4 4" xfId="12047" xr:uid="{E7B08CF0-A01E-4612-80A9-1C55D1EC9687}"/>
    <cellStyle name="Normal 26 16 4 6" xfId="12048" xr:uid="{BB1C54CB-2164-45DD-8E92-1088CA5B3D76}"/>
    <cellStyle name="Normal 26 16 5 2" xfId="12049" xr:uid="{D065089E-3406-4454-8597-67220476D46B}"/>
    <cellStyle name="Normal 26 16 5 4" xfId="12050" xr:uid="{86DC4A80-8ED1-4E6A-9EFD-8AD5AA69F0F9}"/>
    <cellStyle name="Normal 26 16 5 6" xfId="12051" xr:uid="{B9C458EB-9E5D-4B12-AAA4-03D299B33C02}"/>
    <cellStyle name="Normal 26 16 6 4" xfId="12052" xr:uid="{AA7C705E-217B-4CAE-8CA5-9C395B726E52}"/>
    <cellStyle name="Normal 26 16 6 6" xfId="12053" xr:uid="{FD475064-B4A1-48B7-B322-8A67669676BB}"/>
    <cellStyle name="Normal 26 16 7 5" xfId="12054" xr:uid="{9F3CE24E-BDD0-443D-B28C-0D77A3F9B224}"/>
    <cellStyle name="Normal 26 16 8 3" xfId="12055" xr:uid="{65B1C77A-50F0-4847-8F33-9B923BDADA11}"/>
    <cellStyle name="Normal 26 16 9" xfId="12056" xr:uid="{C3E40591-C6E9-47D3-B220-2942A9A3E7F1}"/>
    <cellStyle name="Normal 26 17 10" xfId="12057" xr:uid="{37E835FC-ABCB-4DFB-897A-1BBBF70A991B}"/>
    <cellStyle name="Normal 26 17 12" xfId="12058" xr:uid="{DDBFEA3B-7F6B-4D64-A1EB-058E6FE70A47}"/>
    <cellStyle name="Normal 26 17 2 3" xfId="12059" xr:uid="{63FE84A7-4471-434C-A05E-5D1B721798AA}"/>
    <cellStyle name="Normal 26 17 2 5" xfId="12060" xr:uid="{F708CA67-EEB4-40A1-912F-074CF2CB8A1E}"/>
    <cellStyle name="Normal 26 17 3 4" xfId="12061" xr:uid="{B113A32E-C124-46A3-BAD7-F0FA7D16A3AE}"/>
    <cellStyle name="Normal 26 17 4 2" xfId="12062" xr:uid="{78623D2A-8CE5-4AF7-9F4E-07B372DEE6A3}"/>
    <cellStyle name="Normal 26 17 4 4" xfId="12063" xr:uid="{7CA99E05-0A28-4998-87A9-085F75CE1098}"/>
    <cellStyle name="Normal 26 17 5" xfId="12064" xr:uid="{88A9AECD-C38C-4D59-9790-E6B0F73A6D04}"/>
    <cellStyle name="Normal 26 17 5 4" xfId="12065" xr:uid="{7A1AA791-5149-4F88-9145-D5034F228C21}"/>
    <cellStyle name="Normal 26 17 5 6" xfId="12066" xr:uid="{5AC84698-549A-4219-8F8F-ED2F7B0157F0}"/>
    <cellStyle name="Normal 26 17 6 2" xfId="12067" xr:uid="{D8E955BF-A812-45FA-AB20-0E31CCF48006}"/>
    <cellStyle name="Normal 26 17 6 5" xfId="12068" xr:uid="{7A2E680F-3F32-47D7-80DB-ABE174B81286}"/>
    <cellStyle name="Normal 26 17 7" xfId="12069" xr:uid="{C0E3F24F-07D4-43A5-B917-02F0DE486D96}"/>
    <cellStyle name="Normal 26 17 7 3" xfId="12070" xr:uid="{8D564AFE-60BE-4E50-98DD-557335DB3DF9}"/>
    <cellStyle name="Normal 26 17 7 6" xfId="12071" xr:uid="{39FA8C4F-7809-4328-A378-AFBCA22B0464}"/>
    <cellStyle name="Normal 26 17 8 4" xfId="12072" xr:uid="{FBE3012A-1465-416F-8388-CDCBA6F9A492}"/>
    <cellStyle name="Normal 26 18" xfId="12073" xr:uid="{644E5CE1-C35A-47FA-89E0-4991B41B2035}"/>
    <cellStyle name="Normal 26 18 4" xfId="12074" xr:uid="{2B831952-D95D-43E5-869D-6AC7AE5300A1}"/>
    <cellStyle name="Normal 26 18 6" xfId="12075" xr:uid="{3DA7794A-A62E-4EF0-BB0E-4D79A8BAD602}"/>
    <cellStyle name="Normal 26 19 2" xfId="12076" xr:uid="{4374E7BC-B872-48BE-A2BB-01E7B74A4131}"/>
    <cellStyle name="Normal 26 19 4" xfId="12077" xr:uid="{A24C352E-6E0D-4098-9CA9-E8D60B89BF75}"/>
    <cellStyle name="Normal 26 19 6" xfId="12078" xr:uid="{69E585D6-1B9B-453E-A9E9-01A3CE73A795}"/>
    <cellStyle name="Normal 26 2 10" xfId="12079" xr:uid="{216C802B-6FB7-40BF-A41E-A16576F9B4C3}"/>
    <cellStyle name="Normal 26 2 12" xfId="12080" xr:uid="{74F85549-4FC1-4F74-963B-197703FCAAA2}"/>
    <cellStyle name="Normal 26 2 14" xfId="17286" xr:uid="{38D4FE60-BBAC-417A-9F86-D56A703DC47C}"/>
    <cellStyle name="Normal 26 2 2 2" xfId="867" xr:uid="{2C5181DA-EB51-418F-839A-1052CC7D40C9}"/>
    <cellStyle name="Normal 26 2 2 4" xfId="12081" xr:uid="{DF3C2D2B-A234-41E0-9400-EECD54CC25BD}"/>
    <cellStyle name="Normal 26 2 2 6" xfId="12082" xr:uid="{A4D4E2BE-D49C-458E-84F5-7EFAE1CDEABD}"/>
    <cellStyle name="Normal 26 2 3" xfId="868" xr:uid="{E39EE19A-73FA-484F-A8E6-DE8D554418EC}"/>
    <cellStyle name="Normal 26 2 3 2" xfId="12083" xr:uid="{B13EE501-1505-437F-BF42-5F3B2C412F00}"/>
    <cellStyle name="Normal 26 2 3 3" xfId="12084" xr:uid="{AE26504E-7C62-4BA5-8748-763ABF4E5584}"/>
    <cellStyle name="Normal 26 2 3 4" xfId="12085" xr:uid="{A5D27F64-1CAE-433A-A71F-580B17543010}"/>
    <cellStyle name="Normal 26 2 3 5" xfId="12086" xr:uid="{2944AF10-3FBD-4A2E-8985-830D2F12BD92}"/>
    <cellStyle name="Normal 26 2 3 6" xfId="12087" xr:uid="{73BE7A21-BD04-488C-951E-AB14B15F9787}"/>
    <cellStyle name="Normal 26 2 3 7" xfId="17321" xr:uid="{88E76C3E-9AB2-4797-9D99-C3FBF78164E5}"/>
    <cellStyle name="Normal 26 2 4" xfId="837" xr:uid="{2FC9DCF6-FDF1-4857-B850-786BC67268CB}"/>
    <cellStyle name="Normal 26 2 4 2" xfId="12088" xr:uid="{AD4E2563-90CF-48F6-BA32-00ECC3E26604}"/>
    <cellStyle name="Normal 26 2 4 3" xfId="12089" xr:uid="{68C1BDF1-08BF-4FEB-AA86-5BA74839199C}"/>
    <cellStyle name="Normal 26 2 4 4" xfId="12090" xr:uid="{CFF437F6-87B1-4E79-899D-525AAABC45DD}"/>
    <cellStyle name="Normal 26 2 4 5" xfId="12091" xr:uid="{43C77182-9639-43AC-B324-B8F4E7B1C80D}"/>
    <cellStyle name="Normal 26 2 4 6" xfId="12092" xr:uid="{8484A530-D6B3-413F-B2D1-1C33B51AC4F1}"/>
    <cellStyle name="Normal 26 2 5" xfId="823" xr:uid="{1C23635D-BBD3-4CB7-9C91-BFE3593A06DC}"/>
    <cellStyle name="Normal 26 2 5 2" xfId="12093" xr:uid="{4E5E6396-9FDA-4847-AD2F-3A97382B0E20}"/>
    <cellStyle name="Normal 26 2 5 4" xfId="12094" xr:uid="{4AD3A243-B55A-452D-A3D7-554483C5501F}"/>
    <cellStyle name="Normal 26 2 5 6" xfId="12095" xr:uid="{DF9B549E-EFE4-4871-BDA2-5331616C764C}"/>
    <cellStyle name="Normal 26 2 6 2" xfId="12096" xr:uid="{A8821A81-47ED-4478-B636-A29E75FBF0CB}"/>
    <cellStyle name="Normal 26 2 6 4" xfId="12097" xr:uid="{0296C546-43D7-4185-93F0-42493EEFB80B}"/>
    <cellStyle name="Normal 26 2 6 6" xfId="12098" xr:uid="{7ECE88BD-054E-4D6F-821A-FF94D1EB25AD}"/>
    <cellStyle name="Normal 26 2 7 2" xfId="12099" xr:uid="{53C1B446-D3A8-4A2A-BC26-4C4FDAB5B4E2}"/>
    <cellStyle name="Normal 26 2 7 4" xfId="12100" xr:uid="{0E0D70AD-C51F-4970-B8DD-BE9B9646A38D}"/>
    <cellStyle name="Normal 26 2 8" xfId="12101" xr:uid="{E15458F4-A598-4645-A543-B471694D2AB7}"/>
    <cellStyle name="Normal 26 2 8 5" xfId="12102" xr:uid="{4EA9BC2F-C958-409E-9046-1B8E9320D465}"/>
    <cellStyle name="Normal 26 20 2" xfId="12103" xr:uid="{395F2251-A540-4FB0-9E40-A4D7D7C4183C}"/>
    <cellStyle name="Normal 26 20 6" xfId="12104" xr:uid="{7B2D95B6-5688-44A0-8B74-99A3D56F8949}"/>
    <cellStyle name="Normal 26 21 4" xfId="12105" xr:uid="{7CC4F064-852D-4BBB-957D-0B04BFEF7808}"/>
    <cellStyle name="Normal 26 22" xfId="12106" xr:uid="{78F4891D-4C35-452D-89C3-4CDA7F8286DE}"/>
    <cellStyle name="Normal 26 22 3" xfId="12107" xr:uid="{A2538D3C-EE7B-4001-9715-9D62A84515AF}"/>
    <cellStyle name="Normal 26 22 5" xfId="12108" xr:uid="{7F149669-92DD-4A91-B0CC-B2B64E7EB538}"/>
    <cellStyle name="Normal 26 23" xfId="12109" xr:uid="{847629EA-2A2A-4F71-8650-9F38635AABE3}"/>
    <cellStyle name="Normal 26 23 3" xfId="12110" xr:uid="{041E2219-EF5C-4569-A7C1-54D6E9EA1CAD}"/>
    <cellStyle name="Normal 26 23 5" xfId="12111" xr:uid="{FFDC018D-DEE2-4D57-B5E2-BF58634C900E}"/>
    <cellStyle name="Normal 26 24" xfId="12112" xr:uid="{FAE5343F-2CE7-452A-B344-F9E85849AD5C}"/>
    <cellStyle name="Normal 26 24 3" xfId="12113" xr:uid="{2442C447-A91F-4C3E-97A2-488814DB63FC}"/>
    <cellStyle name="Normal 26 24 5" xfId="12114" xr:uid="{BA4F323F-5DDF-4075-A5C4-29C0FA60165A}"/>
    <cellStyle name="Normal 26 25" xfId="12115" xr:uid="{C0CB20DD-9CB1-4F42-A5FA-B9AA04844B1C}"/>
    <cellStyle name="Normal 26 27" xfId="12116" xr:uid="{FC02CFE2-176A-49C9-AB96-BCD496DFB9C1}"/>
    <cellStyle name="Normal 26 29" xfId="12117" xr:uid="{52284E71-D5D3-452B-BA14-99D1669F5DDF}"/>
    <cellStyle name="Normal 26 3 10" xfId="12118" xr:uid="{ECD3B58E-ADBB-40E0-A061-C42B92100EB5}"/>
    <cellStyle name="Normal 26 3 12" xfId="12119" xr:uid="{4FF1EEA7-765D-4AA0-BEE7-8BB07083A065}"/>
    <cellStyle name="Normal 26 3 14" xfId="17322" xr:uid="{0583630E-397A-4655-A67D-2138C94E58EA}"/>
    <cellStyle name="Normal 26 3 2 2" xfId="12120" xr:uid="{83BDED6B-53D4-410B-892F-642DD4E19FE2}"/>
    <cellStyle name="Normal 26 3 2 4" xfId="12121" xr:uid="{FDA743E7-E2F0-454A-8198-1A24D81D71EB}"/>
    <cellStyle name="Normal 26 3 2 6" xfId="12122" xr:uid="{54DCED53-A7BE-4E09-A331-451ABACD2EB2}"/>
    <cellStyle name="Normal 26 3 3 2" xfId="12123" xr:uid="{1DF2CD9D-AF70-45B3-BF72-74716112FC6F}"/>
    <cellStyle name="Normal 26 3 3 4" xfId="12124" xr:uid="{D5A6FA4A-63D2-49AE-AA3D-36C5D353EC9E}"/>
    <cellStyle name="Normal 26 3 3 6" xfId="12125" xr:uid="{1086D276-13CC-4F3F-AB43-DAAD62D69DE6}"/>
    <cellStyle name="Normal 26 3 4 2" xfId="12126" xr:uid="{D5C4776C-E81A-4126-B1E9-86013B54CB11}"/>
    <cellStyle name="Normal 26 3 4 4" xfId="12127" xr:uid="{6F117BCD-E49C-4DC3-82B4-4E986A5AE380}"/>
    <cellStyle name="Normal 26 3 4 6" xfId="12128" xr:uid="{C737F8FE-4C5A-436D-BA63-1A0E25485220}"/>
    <cellStyle name="Normal 26 3 5 2" xfId="12129" xr:uid="{16C113A5-C629-4D8C-959D-451A15F24EB7}"/>
    <cellStyle name="Normal 26 3 5 5" xfId="12130" xr:uid="{59465911-164C-4107-94BE-41D587766175}"/>
    <cellStyle name="Normal 26 3 6 3" xfId="12131" xr:uid="{BBF22151-98CD-49D7-93A3-CFEF32E4A396}"/>
    <cellStyle name="Normal 26 3 7" xfId="12132" xr:uid="{32606D88-AC6C-4827-A0A9-AD506D98BAD3}"/>
    <cellStyle name="Normal 26 3 7 4" xfId="12133" xr:uid="{4CB09118-94A5-4F5C-86A9-3368D9051AE4}"/>
    <cellStyle name="Normal 26 3 7 6" xfId="12134" xr:uid="{D4F2816E-88F9-4487-91B2-B71B8021354E}"/>
    <cellStyle name="Normal 26 3 8 2" xfId="12135" xr:uid="{6C9757FD-B3A3-4A46-B460-DC7315EBECA2}"/>
    <cellStyle name="Normal 26 3 8 4" xfId="12136" xr:uid="{8FB815AB-542B-4B75-B4EB-2B40FD3726C1}"/>
    <cellStyle name="Normal 26 3 9" xfId="12137" xr:uid="{5F1F6B12-CCF8-42B3-9073-BBA77E698A4D}"/>
    <cellStyle name="Normal 26 4 10" xfId="12138" xr:uid="{1DB8BE57-3D1B-4167-903E-899A1D286ACC}"/>
    <cellStyle name="Normal 26 4 14" xfId="17323" xr:uid="{204F386A-D2EB-49C6-9950-F1A46CD5B77B}"/>
    <cellStyle name="Normal 26 4 2 4" xfId="12139" xr:uid="{1DD2FF26-A850-47BF-A5DA-B90C2AEF6017}"/>
    <cellStyle name="Normal 26 4 3 2" xfId="12140" xr:uid="{631D7E9B-46D8-44F0-A901-DE59AC4970EC}"/>
    <cellStyle name="Normal 26 4 3 6" xfId="12141" xr:uid="{6FDE872E-4E4F-4DC0-BD51-77E83E78C076}"/>
    <cellStyle name="Normal 26 4 4 3" xfId="12142" xr:uid="{44872786-9BB1-4B79-9259-E9FB653EBFA5}"/>
    <cellStyle name="Normal 26 4 5" xfId="12143" xr:uid="{B762AA44-AEE4-4D7C-9606-A098212D6DC3}"/>
    <cellStyle name="Normal 26 4 5 3" xfId="12144" xr:uid="{FF8376E9-F1CE-452A-B508-DAC05596AA91}"/>
    <cellStyle name="Normal 26 4 5 5" xfId="12145" xr:uid="{F6C53D3E-C1E7-4B61-97E3-6C5118144F90}"/>
    <cellStyle name="Normal 26 4 6" xfId="12146" xr:uid="{7C11BB18-9ED3-494B-A5D1-7DA26702A981}"/>
    <cellStyle name="Normal 26 4 6 5" xfId="12147" xr:uid="{D58B464F-C172-4E8B-87B3-EBCE745F5C57}"/>
    <cellStyle name="Normal 26 4 7 3" xfId="12148" xr:uid="{070954ED-C4AF-466C-8AC7-E40180B46726}"/>
    <cellStyle name="Normal 26 4 8" xfId="12149" xr:uid="{016B7DB2-C908-4275-A043-D159F2D01E78}"/>
    <cellStyle name="Normal 26 4 8 5" xfId="12150" xr:uid="{C42BB6C8-1CF0-43D8-874E-2365EC03581F}"/>
    <cellStyle name="Normal 26 5 10" xfId="12151" xr:uid="{C9BBCCC3-7BFF-4032-B54F-902961EAD3AB}"/>
    <cellStyle name="Normal 26 5 12" xfId="12152" xr:uid="{6973D05C-0888-4E25-8BE7-FC226752F6EC}"/>
    <cellStyle name="Normal 26 5 2" xfId="12153" xr:uid="{7FB902E9-09A6-49F8-AC21-5D6B355CCB02}"/>
    <cellStyle name="Normal 26 5 2 3" xfId="12154" xr:uid="{CA3CEB14-F0DD-4AE8-917C-CB466131FF2A}"/>
    <cellStyle name="Normal 26 5 2 5" xfId="12155" xr:uid="{38EF0245-9085-4E82-A03C-7E676F3EE2CB}"/>
    <cellStyle name="Normal 26 5 3" xfId="12156" xr:uid="{DB6EC276-C2F1-4487-B07F-AC61D9D9C9DA}"/>
    <cellStyle name="Normal 26 5 3 3" xfId="12157" xr:uid="{9BA15AFD-79AB-43A0-AB2A-C857671EEAF6}"/>
    <cellStyle name="Normal 26 5 3 6" xfId="12158" xr:uid="{7359DC82-60C1-4C3E-9585-7D6DC21F8BFE}"/>
    <cellStyle name="Normal 26 5 4 2" xfId="12159" xr:uid="{93A76F23-6655-4801-A853-8697000EE908}"/>
    <cellStyle name="Normal 26 5 4 4" xfId="12160" xr:uid="{C2E2E692-B45E-49D0-87C3-45F5C3EA69FA}"/>
    <cellStyle name="Normal 26 5 4 6" xfId="12161" xr:uid="{13B3099D-E673-43ED-B904-4344BE85A290}"/>
    <cellStyle name="Normal 26 5 5 2" xfId="12162" xr:uid="{E527DFA5-BD9F-453A-8448-630FF5AAA3A3}"/>
    <cellStyle name="Normal 26 5 5 5" xfId="12163" xr:uid="{C59E3126-5D9A-43CF-B545-B2D394B01C37}"/>
    <cellStyle name="Normal 26 5 5 6" xfId="12164" xr:uid="{E3884578-996D-4D57-B845-5E633BFD5A11}"/>
    <cellStyle name="Normal 26 5 6" xfId="12165" xr:uid="{23DE3792-EF93-4379-BB6A-FD74BEF1199B}"/>
    <cellStyle name="Normal 26 5 6 2" xfId="12166" xr:uid="{B1D63511-C1D4-4508-B5C0-43B2AF665AD8}"/>
    <cellStyle name="Normal 26 5 6 3" xfId="12167" xr:uid="{EDA9AFB2-B9AA-4ED4-AAB9-F85465FF28C8}"/>
    <cellStyle name="Normal 26 5 6 4" xfId="12168" xr:uid="{CC6FA7BF-8C76-4DD1-9B2A-D6B49A52F814}"/>
    <cellStyle name="Normal 26 5 6 5" xfId="12169" xr:uid="{1D56E63D-D4E1-4575-89D9-90BCEF2E3DA0}"/>
    <cellStyle name="Normal 26 5 7" xfId="12170" xr:uid="{B3F6BA4B-EA2A-484C-8D4B-93C0305C0F44}"/>
    <cellStyle name="Normal 26 5 7 3" xfId="12171" xr:uid="{69D3A1CD-B2FC-4A2C-A235-1D45306B789A}"/>
    <cellStyle name="Normal 26 5 7 5" xfId="12172" xr:uid="{FA95E660-E180-4FAF-A354-B2BFF72F9A2B}"/>
    <cellStyle name="Normal 26 5 8" xfId="12173" xr:uid="{D67E291D-A2B2-41C1-A75C-44984BCE5BF1}"/>
    <cellStyle name="Normal 26 5 8 3" xfId="12174" xr:uid="{4F4AC6E6-8279-4117-9CC5-2A6E1BCB2209}"/>
    <cellStyle name="Normal 26 5 8 5" xfId="12175" xr:uid="{C88418A6-EB24-4B68-8BD4-4CB04C4CF212}"/>
    <cellStyle name="Normal 26 5 8 6" xfId="12176" xr:uid="{2B46079E-A1F7-48F0-AF09-14ED12C405F6}"/>
    <cellStyle name="Normal 26 5 9" xfId="12177" xr:uid="{382F58E0-3F8E-496F-B128-7D3980F38F1F}"/>
    <cellStyle name="Normal 26 6" xfId="799" xr:uid="{BA1F078F-AA3F-433C-A0BB-5213C7482044}"/>
    <cellStyle name="Normal 26 6 11" xfId="12178" xr:uid="{49E12222-175F-463F-93E3-1A40FE4BA387}"/>
    <cellStyle name="Normal 26 6 13" xfId="12179" xr:uid="{6AD1A2F1-C3F2-4A06-AD61-2416E2B6D497}"/>
    <cellStyle name="Normal 26 6 2" xfId="12180" xr:uid="{631D2E78-60E0-4FAA-9928-74D6D97F9ACF}"/>
    <cellStyle name="Normal 26 6 2 3" xfId="12181" xr:uid="{C95825F0-A223-464B-A726-2A6BC77D5002}"/>
    <cellStyle name="Normal 26 6 2 5" xfId="12182" xr:uid="{631B898F-21BE-436A-9997-0E187E42A600}"/>
    <cellStyle name="Normal 26 6 3" xfId="12183" xr:uid="{3D0DFFC3-F4E7-42B5-AB58-D091AD6F62D7}"/>
    <cellStyle name="Normal 26 6 3 3" xfId="12184" xr:uid="{86A4C785-5A4E-40AB-AF59-DE1BD9349B74}"/>
    <cellStyle name="Normal 26 6 3 5" xfId="12185" xr:uid="{E87B2290-D534-476C-BE0A-29061F23F520}"/>
    <cellStyle name="Normal 26 6 4" xfId="12186" xr:uid="{1B8AC228-3361-4D26-816B-6ABD2C5859D9}"/>
    <cellStyle name="Normal 26 6 4 3" xfId="12187" xr:uid="{BF3AB660-D3B0-48D7-8F5C-DAEDB425A684}"/>
    <cellStyle name="Normal 26 6 4 5" xfId="12188" xr:uid="{93CAC556-B53F-43FA-BECA-AB24BE0E3C47}"/>
    <cellStyle name="Normal 26 6 4 6" xfId="12189" xr:uid="{41D0A910-0A46-4869-ABBB-B236282FCA9F}"/>
    <cellStyle name="Normal 26 6 5 2" xfId="12190" xr:uid="{FA94EBC3-265F-4E6D-968D-19633A580C83}"/>
    <cellStyle name="Normal 26 6 5 4" xfId="12191" xr:uid="{DAA1D14E-7250-4970-865F-0A30E3F903F2}"/>
    <cellStyle name="Normal 26 6 5 6" xfId="12192" xr:uid="{9D222B89-F7A4-4869-A112-779923DA05EB}"/>
    <cellStyle name="Normal 26 6 6" xfId="12193" xr:uid="{017BEAD2-AD37-4952-B182-E40C7FF7F19C}"/>
    <cellStyle name="Normal 26 6 6 3" xfId="12194" xr:uid="{1A066BAA-2B3A-4571-97F4-4F2353339327}"/>
    <cellStyle name="Normal 26 6 6 5" xfId="12195" xr:uid="{C2EFE784-D7C3-44F8-B33A-DA38237B8016}"/>
    <cellStyle name="Normal 26 6 7" xfId="12196" xr:uid="{28997A3C-C8BF-4429-9C24-77E647AAE2CA}"/>
    <cellStyle name="Normal 26 6 7 3" xfId="12197" xr:uid="{849BB015-38DF-4A25-919E-F35CD82A9D8D}"/>
    <cellStyle name="Normal 26 6 7 5" xfId="12198" xr:uid="{D9051E51-D6CC-4471-81DB-0ECF5D158C9B}"/>
    <cellStyle name="Normal 26 6 8 3" xfId="12199" xr:uid="{565F21B7-D259-4854-A5EE-7883A978117A}"/>
    <cellStyle name="Normal 26 6 8 5" xfId="12200" xr:uid="{89367CDC-DFF3-4467-896C-544725057B05}"/>
    <cellStyle name="Normal 26 6 9" xfId="12201" xr:uid="{2BF51F21-171D-4101-90AA-842ABBE4EAD8}"/>
    <cellStyle name="Normal 26 7 10" xfId="12202" xr:uid="{EF1AB101-2E3F-43A5-9669-9DB54F5AFDAE}"/>
    <cellStyle name="Normal 26 7 2" xfId="12203" xr:uid="{70FD0809-4686-4654-97CA-EDFC5C6B557A}"/>
    <cellStyle name="Normal 26 7 2 3" xfId="12204" xr:uid="{AB207396-F789-45D1-9A6D-847351DA32D5}"/>
    <cellStyle name="Normal 26 7 2 5" xfId="12205" xr:uid="{5172466E-706C-439F-8E6D-F9DFEFB63C57}"/>
    <cellStyle name="Normal 26 7 3" xfId="12206" xr:uid="{A357ED00-21EE-4742-9802-9A7A5FA2456C}"/>
    <cellStyle name="Normal 26 7 3 3" xfId="12207" xr:uid="{A057C0A9-A4D9-4E70-B315-3F66124E7C2D}"/>
    <cellStyle name="Normal 26 7 3 5" xfId="12208" xr:uid="{463B232B-1D99-4C84-AD19-EF30372E4ECD}"/>
    <cellStyle name="Normal 26 7 4" xfId="12209" xr:uid="{575BB03A-B3CC-4D0B-8463-A2A1835EB168}"/>
    <cellStyle name="Normal 26 7 4 3" xfId="12210" xr:uid="{DF7181DA-CA0E-4F4E-89DC-0BE4618475D8}"/>
    <cellStyle name="Normal 26 7 4 5" xfId="12211" xr:uid="{AE63409E-88A9-456D-8120-6ABE738D86C1}"/>
    <cellStyle name="Normal 26 7 5 3" xfId="12212" xr:uid="{64BC6E09-1977-4AF9-9C51-27CF2C4CD129}"/>
    <cellStyle name="Normal 26 7 5 5" xfId="12213" xr:uid="{A4F5ABD9-1D20-45E2-9D66-0A5C7BCBC2DC}"/>
    <cellStyle name="Normal 26 7 6" xfId="12214" xr:uid="{1DA7D588-A255-4C6F-BAD4-1868C4697F2A}"/>
    <cellStyle name="Normal 26 7 6 5" xfId="12215" xr:uid="{8F40CC05-11E8-4750-8885-904F51486C0B}"/>
    <cellStyle name="Normal 26 7 7 3" xfId="12216" xr:uid="{ED46F875-E3F9-42D2-B0BE-ECFD154B352F}"/>
    <cellStyle name="Normal 26 7 8" xfId="12217" xr:uid="{2CF70824-D8D9-4C97-98F6-2D1F2986DF03}"/>
    <cellStyle name="Normal 26 7 8 5" xfId="12218" xr:uid="{78297A65-12EB-4241-A743-FD664F86EF84}"/>
    <cellStyle name="Normal 26 8 10" xfId="12219" xr:uid="{FAAD69C3-78B7-43A6-BEBC-67FC6BE3AAD0}"/>
    <cellStyle name="Normal 26 8 12" xfId="12220" xr:uid="{8E8286AD-8FAE-48C0-A353-01EAD9B88FEA}"/>
    <cellStyle name="Normal 26 8 2" xfId="12221" xr:uid="{E13FBABE-B170-477C-8814-D3FB83D830FE}"/>
    <cellStyle name="Normal 26 8 2 5" xfId="12222" xr:uid="{01AF76CC-06E7-41D1-8328-B5B25114BAF3}"/>
    <cellStyle name="Normal 26 8 3" xfId="12223" xr:uid="{5943413A-5D8B-42DB-943F-238ECACA4DA7}"/>
    <cellStyle name="Normal 26 8 3 3" xfId="12224" xr:uid="{E2E30F8B-5117-4FA3-A0A3-E3B86B7CD3D2}"/>
    <cellStyle name="Normal 26 8 3 5" xfId="12225" xr:uid="{66F49593-8EF5-41D9-B8F2-72D6851B19AB}"/>
    <cellStyle name="Normal 26 8 4" xfId="12226" xr:uid="{4DCAA61F-2829-47E4-93D1-1C2195759CAD}"/>
    <cellStyle name="Normal 26 8 4 3" xfId="12227" xr:uid="{24C4D4BE-0CAF-477C-AA6A-41800ADBF5C8}"/>
    <cellStyle name="Normal 26 8 4 5" xfId="12228" xr:uid="{1C6A7E55-D918-409D-AB34-E4E77E95AD14}"/>
    <cellStyle name="Normal 26 8 5" xfId="12229" xr:uid="{E48DDCB5-E2A2-48EE-BC18-611CD8474807}"/>
    <cellStyle name="Normal 26 8 5 3" xfId="12230" xr:uid="{37063DF8-98B1-491B-BEBA-394E05DDFE22}"/>
    <cellStyle name="Normal 26 8 6" xfId="12231" xr:uid="{880EF339-6170-4E6F-A61F-71BFA0663040}"/>
    <cellStyle name="Normal 26 8 6 3" xfId="12232" xr:uid="{6639A1A6-A5AD-49A5-8B30-4001D79197B3}"/>
    <cellStyle name="Normal 26 8 6 4" xfId="12233" xr:uid="{A707FFD1-BCDE-41EF-9490-3B7C148475C7}"/>
    <cellStyle name="Normal 26 8 6 6" xfId="12234" xr:uid="{B94C0CE0-7AB0-4BD0-8098-D7C61FC46052}"/>
    <cellStyle name="Normal 26 8 7 4" xfId="12235" xr:uid="{84C578CF-3492-4F67-9FBE-ED17D95836EB}"/>
    <cellStyle name="Normal 26 8 8 2" xfId="12236" xr:uid="{FEFE0B52-4B6F-43F7-9194-E16F060A8D95}"/>
    <cellStyle name="Normal 26 8 8 6" xfId="12237" xr:uid="{D7CA12CF-7149-4254-A54B-F14092090516}"/>
    <cellStyle name="Normal 26 9 11" xfId="12238" xr:uid="{1CFDB3BC-591A-48A4-AEF9-D2A6A8431AE1}"/>
    <cellStyle name="Normal 26 9 2 2" xfId="12239" xr:uid="{19582FF3-4F9A-4C8A-9F8C-C82D13C89A30}"/>
    <cellStyle name="Normal 26 9 2 6" xfId="12240" xr:uid="{0599AF8B-0D7E-4FD1-B1DF-8D6CDF25FAA5}"/>
    <cellStyle name="Normal 26 9 3 2" xfId="12241" xr:uid="{5C3F086D-8C02-47FA-92F1-BD72766ED057}"/>
    <cellStyle name="Normal 26 9 3 4" xfId="12242" xr:uid="{472E6B43-0835-4215-8F4D-D54DA387943F}"/>
    <cellStyle name="Normal 26 9 4" xfId="12243" xr:uid="{F0CB3C42-D58A-4C59-9341-4DED34CEE0F3}"/>
    <cellStyle name="Normal 26 9 4 2" xfId="12244" xr:uid="{81453BC3-E490-44A7-ABA1-78B8F54DABE8}"/>
    <cellStyle name="Normal 26 9 4 4" xfId="12245" xr:uid="{8C5C69B6-1372-4F5D-A759-B115343A0620}"/>
    <cellStyle name="Normal 26 9 4 6" xfId="12246" xr:uid="{B16A8392-6A8B-445C-997A-9980BD7D2ACE}"/>
    <cellStyle name="Normal 26 9 5 2" xfId="12247" xr:uid="{C89EDEB0-32AB-4658-9008-A4A157A3037F}"/>
    <cellStyle name="Normal 26 9 5 4" xfId="12248" xr:uid="{237AD862-3D06-42DD-888C-C424F5428D82}"/>
    <cellStyle name="Normal 26 9 5 6" xfId="12249" xr:uid="{B96E86D6-720C-41A8-B5B4-0B13291FD2D3}"/>
    <cellStyle name="Normal 26 9 6 2" xfId="12250" xr:uid="{F6BE5431-2657-4986-8BB1-E445171F8E73}"/>
    <cellStyle name="Normal 26 9 6 4" xfId="12251" xr:uid="{3087FC95-E3C5-4380-B41F-23ADF16B53AB}"/>
    <cellStyle name="Normal 26 9 6 6" xfId="12252" xr:uid="{B23DAE90-E5ED-4375-9D52-9A3F57F4D82B}"/>
    <cellStyle name="Normal 26 9 7" xfId="12253" xr:uid="{DDC0D14A-F535-4E54-B30D-FC00B5DECFF4}"/>
    <cellStyle name="Normal 26 9 7 3" xfId="12254" xr:uid="{301032EE-D65F-4EFB-8C1E-AD87DCC96DE6}"/>
    <cellStyle name="Normal 26 9 7 5" xfId="12255" xr:uid="{35B1739A-AF2F-4354-83D8-FDEA50D94FEA}"/>
    <cellStyle name="Normal 26 9 7 6" xfId="12256" xr:uid="{B72414D3-FA0C-4AA9-B2C6-6CB8FF47C1F9}"/>
    <cellStyle name="Normal 26 9 8" xfId="12257" xr:uid="{4DC46D3E-EAE6-4286-92BC-8185C1F2DE46}"/>
    <cellStyle name="Normal 26 9 8 2" xfId="12258" xr:uid="{A841DA60-AFB4-459B-B5E9-CEA52326F2A2}"/>
    <cellStyle name="Normal 26 9 8 3" xfId="12259" xr:uid="{13AC25FE-0C80-4C4A-B000-37A13F101291}"/>
    <cellStyle name="Normal 26 9 8 4" xfId="12260" xr:uid="{8F37FE2E-3347-42E5-82D4-799B9028D964}"/>
    <cellStyle name="Normal 26 9 8 6" xfId="12261" xr:uid="{9E54B954-4D68-492A-A93D-4B784AC36A61}"/>
    <cellStyle name="Normal 27" xfId="645" xr:uid="{04DFCB07-8DD4-4AEC-BE34-3FB24579A872}"/>
    <cellStyle name="Normal 27 10" xfId="12262" xr:uid="{1854EC83-36EA-4721-8C55-6465AA75B7EB}"/>
    <cellStyle name="Normal 27 10 11" xfId="12263" xr:uid="{EE236AC0-0A87-465B-8783-CFE07FD1FC81}"/>
    <cellStyle name="Normal 27 10 13" xfId="12264" xr:uid="{AB65FF32-2261-4CFA-ABCD-8F319BB8F91E}"/>
    <cellStyle name="Normal 27 10 2 2" xfId="12265" xr:uid="{5316CA63-947C-4029-81B0-DE4A4069538B}"/>
    <cellStyle name="Normal 27 10 2 4" xfId="12266" xr:uid="{87756604-5871-4568-B756-A3B9DC923570}"/>
    <cellStyle name="Normal 27 10 2 6" xfId="12267" xr:uid="{966662C9-C00E-4D2C-84E4-3859AA79041C}"/>
    <cellStyle name="Normal 27 10 3 2" xfId="12268" xr:uid="{E126763F-DCA3-4BB2-9706-3D4C631B10B4}"/>
    <cellStyle name="Normal 27 10 3 4" xfId="12269" xr:uid="{EAD50A80-CB6F-4D18-BEFB-C74BE3E7EBAE}"/>
    <cellStyle name="Normal 27 10 4" xfId="12270" xr:uid="{AAB998C8-A0B3-4AA1-89D2-65EBB4CB3A6D}"/>
    <cellStyle name="Normal 27 10 4 3" xfId="12271" xr:uid="{0AC70D48-60AA-49E9-9DA2-07F28200A6F3}"/>
    <cellStyle name="Normal 27 10 5" xfId="12272" xr:uid="{4DB42F6A-4BFC-4D08-81F9-0F6A158CF993}"/>
    <cellStyle name="Normal 27 10 5 5" xfId="12273" xr:uid="{9DAD8F5C-37F5-412A-8149-1D26C31C4246}"/>
    <cellStyle name="Normal 27 10 6 3" xfId="12274" xr:uid="{966380FC-5407-4809-9F0C-A201223B4BC1}"/>
    <cellStyle name="Normal 27 10 6 5" xfId="12275" xr:uid="{2DA9C483-377C-44DE-8B55-B5AA65E0CCEF}"/>
    <cellStyle name="Normal 27 10 7" xfId="12276" xr:uid="{1F545699-9823-440A-AE4A-D0F2FD9BB79B}"/>
    <cellStyle name="Normal 27 10 7 2" xfId="12277" xr:uid="{5BC9D547-B3CC-45CB-B191-14CA5C70ABB1}"/>
    <cellStyle name="Normal 27 10 7 3" xfId="12278" xr:uid="{171938D0-94C2-4BCC-9BF9-501BFB41841D}"/>
    <cellStyle name="Normal 27 10 7 4" xfId="12279" xr:uid="{77AA8B2B-A097-46E1-82CA-AFB39DF079D1}"/>
    <cellStyle name="Normal 27 10 7 5" xfId="12280" xr:uid="{3FB97CBD-FF99-421B-B43D-F1AB8F52883D}"/>
    <cellStyle name="Normal 27 10 8" xfId="12281" xr:uid="{CBCCC72D-DEF5-4F9D-9639-CD05C669896B}"/>
    <cellStyle name="Normal 27 10 8 3" xfId="12282" xr:uid="{1063A28B-9EC6-499A-AE40-0D83184D2734}"/>
    <cellStyle name="Normal 27 10 8 4" xfId="12283" xr:uid="{E894716D-DFE9-4DFE-8D7A-8581B1EDBFDF}"/>
    <cellStyle name="Normal 27 10 8 6" xfId="12284" xr:uid="{7516D013-0B86-46AF-838A-D05C506CD5E9}"/>
    <cellStyle name="Normal 27 10 9" xfId="12285" xr:uid="{F8F89DB1-48AA-40FD-A3F1-CF216EED3EA8}"/>
    <cellStyle name="Normal 27 11" xfId="12286" xr:uid="{61F2D547-82E6-4D66-BD76-76B051091D18}"/>
    <cellStyle name="Normal 27 11 10" xfId="12287" xr:uid="{1614B7D5-2879-4CB6-97DC-9625F4F1EC1A}"/>
    <cellStyle name="Normal 27 11 11" xfId="12288" xr:uid="{8C67AA90-011F-489B-A183-9827B9D159E5}"/>
    <cellStyle name="Normal 27 11 12" xfId="12289" xr:uid="{6EE5B3FB-F65E-4577-8987-23473F316823}"/>
    <cellStyle name="Normal 27 11 13" xfId="12290" xr:uid="{962CD130-79C0-4669-9DF8-F27D5D08E4ED}"/>
    <cellStyle name="Normal 27 11 2" xfId="12291" xr:uid="{3E3ABED1-4AED-4872-B549-850547EB84DD}"/>
    <cellStyle name="Normal 27 11 2 2" xfId="12292" xr:uid="{9AD8C913-3F11-4E17-A720-A6A595A524AE}"/>
    <cellStyle name="Normal 27 11 2 4" xfId="12293" xr:uid="{94EE99C8-4BB3-4E04-9B17-BAE343B954F8}"/>
    <cellStyle name="Normal 27 11 2 5" xfId="12294" xr:uid="{99D3F230-2303-4D20-8271-AD2F45D46CE5}"/>
    <cellStyle name="Normal 27 11 2 6" xfId="12295" xr:uid="{115B5864-9730-46B6-99A7-32F1A193EE59}"/>
    <cellStyle name="Normal 27 11 3 2" xfId="12296" xr:uid="{AF0AB38E-CB82-4C83-B64E-0B38EFF0EDC1}"/>
    <cellStyle name="Normal 27 11 3 4" xfId="12297" xr:uid="{7C565AEA-E3ED-41D5-82C4-B4E852F3635A}"/>
    <cellStyle name="Normal 27 11 3 6" xfId="12298" xr:uid="{997B7C93-26FD-4BA5-9F8F-91211AF065DF}"/>
    <cellStyle name="Normal 27 11 4 2" xfId="12299" xr:uid="{AFF854D9-C92F-4C9F-A0CF-3CAF41452C9E}"/>
    <cellStyle name="Normal 27 11 4 4" xfId="12300" xr:uid="{79D7AA0F-5B6B-4204-9282-3AEB12A68B77}"/>
    <cellStyle name="Normal 27 11 4 6" xfId="12301" xr:uid="{9C68E412-7563-4AC5-A5EB-DF089C91B9F0}"/>
    <cellStyle name="Normal 27 11 5 2" xfId="12302" xr:uid="{4B5AF903-63E2-445E-93F9-FE17A5AFC9CF}"/>
    <cellStyle name="Normal 27 11 5 4" xfId="12303" xr:uid="{93F4A1EF-941E-49DB-A1E7-CB4403389885}"/>
    <cellStyle name="Normal 27 11 5 6" xfId="12304" xr:uid="{1EED9C42-61C5-41B6-816C-5B091D357B4D}"/>
    <cellStyle name="Normal 27 11 6 2" xfId="12305" xr:uid="{1906C569-8012-44E4-877C-279972D9C9CC}"/>
    <cellStyle name="Normal 27 11 6 4" xfId="12306" xr:uid="{072906AA-CC22-4326-8B07-6A7E29B2B0B1}"/>
    <cellStyle name="Normal 27 11 6 5" xfId="12307" xr:uid="{38605178-88A7-4E91-B664-697E16D40A2B}"/>
    <cellStyle name="Normal 27 11 6 6" xfId="12308" xr:uid="{7318D124-D99B-4E0E-9901-584DC8CF124D}"/>
    <cellStyle name="Normal 27 11 7 3" xfId="12309" xr:uid="{3C3475A8-97EC-45BE-B602-C63E8FB4CDE8}"/>
    <cellStyle name="Normal 27 11 7 5" xfId="12310" xr:uid="{1DB1AFEE-FE25-48E9-91D5-0D119F73CDA3}"/>
    <cellStyle name="Normal 27 11 8" xfId="12311" xr:uid="{251D142D-6EEF-4229-948D-2C41BCDFAB82}"/>
    <cellStyle name="Normal 27 11 8 3" xfId="12312" xr:uid="{DC98A2DC-B899-4DB5-9268-CE1D83595BF5}"/>
    <cellStyle name="Normal 27 11 8 5" xfId="12313" xr:uid="{0286A0A0-A991-48D3-B535-AEC8F4E7A4AA}"/>
    <cellStyle name="Normal 27 11 9" xfId="12314" xr:uid="{E2B3B5E6-9762-4324-9E4C-EB71B90E8593}"/>
    <cellStyle name="Normal 27 12 10" xfId="12315" xr:uid="{9F06A95D-7E55-4628-8C4B-513AA0136F31}"/>
    <cellStyle name="Normal 27 12 12" xfId="12316" xr:uid="{5416B639-B99B-44AE-AD84-877E3330019B}"/>
    <cellStyle name="Normal 27 12 2" xfId="12317" xr:uid="{261D0BBE-A051-4DA8-B44A-9CEBC4F8F3C1}"/>
    <cellStyle name="Normal 27 12 2 4" xfId="12318" xr:uid="{79691F20-8C72-430A-A79F-83FFFA6F1191}"/>
    <cellStyle name="Normal 27 12 2 5" xfId="12319" xr:uid="{0741DABE-B03F-47A7-A185-FFDBA2691FB1}"/>
    <cellStyle name="Normal 27 12 2 6" xfId="12320" xr:uid="{6E1AFFAF-3636-4A5F-844A-84196C420A2E}"/>
    <cellStyle name="Normal 27 12 3" xfId="12321" xr:uid="{2AC76AD5-AF25-4828-BC3A-3C46F9DF63FB}"/>
    <cellStyle name="Normal 27 12 3 3" xfId="12322" xr:uid="{80B1A565-3A4B-4D29-95B8-9EEE00DF98B7}"/>
    <cellStyle name="Normal 27 12 3 5" xfId="12323" xr:uid="{CE38505A-9541-438E-90AF-FBB1F1941E39}"/>
    <cellStyle name="Normal 27 12 4" xfId="12324" xr:uid="{B68DB1C9-5C2E-4C91-BBF4-5071381C1151}"/>
    <cellStyle name="Normal 27 12 4 3" xfId="12325" xr:uid="{E113C3B9-745D-4655-8A13-2B07E4C9EC53}"/>
    <cellStyle name="Normal 27 12 4 5" xfId="12326" xr:uid="{49325E1A-A6F4-460A-A621-F6DB04A39893}"/>
    <cellStyle name="Normal 27 12 5" xfId="12327" xr:uid="{A7098D82-5B26-4759-A6A0-0EAB4B084B95}"/>
    <cellStyle name="Normal 27 12 5 2" xfId="12328" xr:uid="{3F30899C-4CF0-4218-B9E6-63E7E686EE74}"/>
    <cellStyle name="Normal 27 12 5 3" xfId="12329" xr:uid="{D6A84E8A-B2A7-4665-B4E9-8CBFDBFAB21B}"/>
    <cellStyle name="Normal 27 12 5 5" xfId="12330" xr:uid="{5396A4A6-87CE-4291-B9D0-6FBF6495FF66}"/>
    <cellStyle name="Normal 27 12 5 6" xfId="12331" xr:uid="{5E0A71FF-0B53-4A2B-84C1-B7C0E15CFB7A}"/>
    <cellStyle name="Normal 27 12 6 2" xfId="12332" xr:uid="{0A2D8FC1-D26B-47B2-9679-0D83DB55971C}"/>
    <cellStyle name="Normal 27 12 6 4" xfId="12333" xr:uid="{76F81699-FD3E-435D-B0AC-61E0D8DE60A9}"/>
    <cellStyle name="Normal 27 12 6 6" xfId="12334" xr:uid="{69145467-9824-47C0-9D0C-9A1AC11C0A92}"/>
    <cellStyle name="Normal 27 12 7 2" xfId="12335" xr:uid="{EFDAB65C-67E2-4AD4-8653-E1C01538C8A0}"/>
    <cellStyle name="Normal 27 12 7 4" xfId="12336" xr:uid="{465150F3-EECF-4155-8539-34D3AD10B40B}"/>
    <cellStyle name="Normal 27 12 7 6" xfId="12337" xr:uid="{5C4DA04E-F636-42DE-8E3F-7CCD1DCEEC1F}"/>
    <cellStyle name="Normal 27 12 8 2" xfId="12338" xr:uid="{9DCF7EEE-CF5A-46F5-BDE0-E6ECDD1804AE}"/>
    <cellStyle name="Normal 27 12 8 4" xfId="12339" xr:uid="{37915EF3-47BF-43CA-A4ED-A7FDAE8E814C}"/>
    <cellStyle name="Normal 27 12 8 5" xfId="12340" xr:uid="{0ECAADF5-CA6F-4E9C-ACA3-798D9EFF18AB}"/>
    <cellStyle name="Normal 27 12 9" xfId="12341" xr:uid="{5EF1E7D4-6293-4DEA-87CD-B3230DCA5F78}"/>
    <cellStyle name="Normal 27 13 10" xfId="12342" xr:uid="{76123D5F-BDA1-4810-9AD0-326D70FDCC09}"/>
    <cellStyle name="Normal 27 13 11" xfId="12343" xr:uid="{E5ABA6B2-3006-4589-A95A-FBDF8A05349A}"/>
    <cellStyle name="Normal 27 13 12" xfId="12344" xr:uid="{E75078D3-BF94-463B-BC2D-D2C4599995DD}"/>
    <cellStyle name="Normal 27 13 2" xfId="12345" xr:uid="{464D5DF0-E43E-44E2-8017-A26CC9145573}"/>
    <cellStyle name="Normal 27 13 2 3" xfId="12346" xr:uid="{4F3E6C38-4A8B-45DE-9120-4F5A62192453}"/>
    <cellStyle name="Normal 27 13 3" xfId="12347" xr:uid="{3C6742D1-A6F8-4B28-9563-BD8F3A3B8E23}"/>
    <cellStyle name="Normal 27 13 3 5" xfId="12348" xr:uid="{AD59056C-5A4D-4863-8654-B0E6A9B3B46C}"/>
    <cellStyle name="Normal 27 13 4 3" xfId="12349" xr:uid="{ECB4853B-9512-4A00-94B0-53E1FB8DA8D9}"/>
    <cellStyle name="Normal 27 13 5" xfId="12350" xr:uid="{325306CF-B05F-4595-8A35-5C2DB384A872}"/>
    <cellStyle name="Normal 27 13 5 5" xfId="12351" xr:uid="{0C297C78-499F-4AB1-931B-299BFDDE4137}"/>
    <cellStyle name="Normal 27 13 6" xfId="12352" xr:uid="{B069E000-5E4A-4ECE-8CA4-6C1369E3A7BE}"/>
    <cellStyle name="Normal 27 13 6 3" xfId="12353" xr:uid="{266B3E28-0AAA-461D-B7F4-B0730A91B2C0}"/>
    <cellStyle name="Normal 27 13 6 5" xfId="12354" xr:uid="{7BFD448B-1A24-4790-83B2-9A275B4B8783}"/>
    <cellStyle name="Normal 27 13 7" xfId="12355" xr:uid="{5967C0B9-9668-47A9-97BB-0B7350DF64CB}"/>
    <cellStyle name="Normal 27 13 7 3" xfId="12356" xr:uid="{BB38CF9E-84AA-4EB3-8913-7D3AE986439F}"/>
    <cellStyle name="Normal 27 13 7 5" xfId="12357" xr:uid="{4B33CE76-FD0F-45B5-8C0B-7F90D07179EF}"/>
    <cellStyle name="Normal 27 13 8" xfId="12358" xr:uid="{890A8919-101F-4C79-8450-ED522D6B65A6}"/>
    <cellStyle name="Normal 27 13 8 3" xfId="12359" xr:uid="{FC7CD4EA-A656-4A1C-871E-45EB916FAFDB}"/>
    <cellStyle name="Normal 27 13 8 5" xfId="12360" xr:uid="{0723C7E8-64DB-4AA2-8465-89478646300D}"/>
    <cellStyle name="Normal 27 13 9" xfId="12361" xr:uid="{DA52321D-31DC-4BD3-BB3D-7DCFE30C9C26}"/>
    <cellStyle name="Normal 27 14 10" xfId="12362" xr:uid="{5AA802F3-9337-49D3-9DF2-DD18C1CC1B69}"/>
    <cellStyle name="Normal 27 14 11" xfId="12363" xr:uid="{EBC8F31E-3412-4F6E-8776-87CF6517A788}"/>
    <cellStyle name="Normal 27 14 13" xfId="12364" xr:uid="{D9F5DECD-6C94-4FAF-9CEC-5815E83530B2}"/>
    <cellStyle name="Normal 27 14 2 2" xfId="12365" xr:uid="{92AD64DC-7672-493E-BFF2-D71C730799FF}"/>
    <cellStyle name="Normal 27 14 2 4" xfId="12366" xr:uid="{4D97A553-C662-4724-ABE3-6DCB9664B7A9}"/>
    <cellStyle name="Normal 27 14 2 6" xfId="12367" xr:uid="{B07828B8-7E57-4EBC-BEE9-C7B4D1FBCB2A}"/>
    <cellStyle name="Normal 27 14 3 2" xfId="12368" xr:uid="{1D95160D-51CF-45D3-BDA9-F8F4418FE568}"/>
    <cellStyle name="Normal 27 14 3 4" xfId="12369" xr:uid="{002FA1F4-DABD-4454-A92E-04C50C18F6C9}"/>
    <cellStyle name="Normal 27 14 3 5" xfId="12370" xr:uid="{52B797C3-5DE0-423E-9408-B6014345E83D}"/>
    <cellStyle name="Normal 27 14 3 6" xfId="12371" xr:uid="{25599AE0-1859-4DEB-896D-CAD1C478A63A}"/>
    <cellStyle name="Normal 27 14 4 2" xfId="12372" xr:uid="{078766CB-4927-4AA8-AA97-8B696ED1C671}"/>
    <cellStyle name="Normal 27 14 4 4" xfId="12373" xr:uid="{8C8B85C0-F8C8-444B-B816-C43D5879313C}"/>
    <cellStyle name="Normal 27 14 4 5" xfId="12374" xr:uid="{52B265BA-D179-4245-837D-6280BCCF9972}"/>
    <cellStyle name="Normal 27 14 5" xfId="12375" xr:uid="{37D39E35-6B0C-4595-B566-9BA6D83AB928}"/>
    <cellStyle name="Normal 27 14 5 3" xfId="12376" xr:uid="{1DB074B5-D3BA-4A03-9D5D-63A128532870}"/>
    <cellStyle name="Normal 27 14 5 5" xfId="12377" xr:uid="{9C5DCDE7-0DFB-457D-AD46-EC1855B55988}"/>
    <cellStyle name="Normal 27 14 6 3" xfId="12378" xr:uid="{FE43FD58-5487-4A47-A92F-1296DF4E35BF}"/>
    <cellStyle name="Normal 27 14 6 5" xfId="12379" xr:uid="{04555A1F-A7CB-402E-A06B-A6D7050CED9E}"/>
    <cellStyle name="Normal 27 14 7" xfId="12380" xr:uid="{F11EC110-823C-4E5B-995D-19EA5B766625}"/>
    <cellStyle name="Normal 27 14 7 3" xfId="12381" xr:uid="{646EE44F-D025-43F0-8255-3D5BD570BCC9}"/>
    <cellStyle name="Normal 27 14 7 5" xfId="12382" xr:uid="{5279C0FC-176B-4FEF-81D2-FF7C4F9A4314}"/>
    <cellStyle name="Normal 27 14 7 6" xfId="12383" xr:uid="{7472F379-06D7-48C7-B738-E9B34DA2B75C}"/>
    <cellStyle name="Normal 27 14 8 2" xfId="12384" xr:uid="{D32F724D-4058-4869-8B91-F26A38B032F9}"/>
    <cellStyle name="Normal 27 14 8 4" xfId="12385" xr:uid="{B5B4202C-6BAB-45D6-9366-68328A55543E}"/>
    <cellStyle name="Normal 27 14 8 6" xfId="12386" xr:uid="{4F59E681-35BB-4B23-B009-75C644882CBA}"/>
    <cellStyle name="Normal 27 14 9" xfId="12387" xr:uid="{1396F149-E380-4AED-B22E-5BE5494F439A}"/>
    <cellStyle name="Normal 27 15" xfId="12388" xr:uid="{38CBCD31-2A4D-450D-B004-AF4AD01B4ABA}"/>
    <cellStyle name="Normal 27 15 10" xfId="12389" xr:uid="{5728F50F-5F1D-41D5-BC4E-075656B1B994}"/>
    <cellStyle name="Normal 27 15 11" xfId="12390" xr:uid="{20987314-AC4F-4F0A-A9E6-5C597E7F75FC}"/>
    <cellStyle name="Normal 27 15 12" xfId="12391" xr:uid="{BE3D3596-F492-4900-AAD3-13B5DB388665}"/>
    <cellStyle name="Normal 27 15 13" xfId="12392" xr:uid="{ECE50DE5-60C0-49C9-8686-1DD91474AC4A}"/>
    <cellStyle name="Normal 27 15 2 2" xfId="12393" xr:uid="{00C94045-CEC3-4F9E-ACFB-B2FC18AEB246}"/>
    <cellStyle name="Normal 27 15 2 4" xfId="12394" xr:uid="{F2E7EE9B-F4E7-4017-88AF-299FA38C5C46}"/>
    <cellStyle name="Normal 27 15 2 5" xfId="12395" xr:uid="{A8C3B54A-0A40-42C0-8EAD-51A8097A84EE}"/>
    <cellStyle name="Normal 27 15 3" xfId="12396" xr:uid="{A10C7031-C7DB-40B3-B5D9-F1D8E3E39E89}"/>
    <cellStyle name="Normal 27 15 3 2" xfId="12397" xr:uid="{32AE8848-DFE1-492F-8EE7-2B2F101552AC}"/>
    <cellStyle name="Normal 27 15 3 3" xfId="12398" xr:uid="{AED8F05D-F929-4F61-BA45-3AE163DB7063}"/>
    <cellStyle name="Normal 27 15 3 4" xfId="12399" xr:uid="{27EF6D1B-CF72-46FA-9530-9F20FE786AFD}"/>
    <cellStyle name="Normal 27 15 3 5" xfId="12400" xr:uid="{73B397DE-500E-4755-A976-01A5715A4318}"/>
    <cellStyle name="Normal 27 15 3 6" xfId="12401" xr:uid="{EAA75B44-EF95-4266-BF17-F2E0BC207CB1}"/>
    <cellStyle name="Normal 27 15 4" xfId="12402" xr:uid="{4F9086E7-1270-47B9-A1D2-43F4C3EC0A06}"/>
    <cellStyle name="Normal 27 15 4 2" xfId="12403" xr:uid="{B5F448E8-4FF2-460B-9BBB-69B46A9DEEB7}"/>
    <cellStyle name="Normal 27 15 4 3" xfId="12404" xr:uid="{7D432C4A-018B-4240-8F87-84D38A88240E}"/>
    <cellStyle name="Normal 27 15 4 5" xfId="12405" xr:uid="{E63CEC73-4269-4FAE-8C56-F4DE96450E0F}"/>
    <cellStyle name="Normal 27 15 4 6" xfId="12406" xr:uid="{485DFD8E-5A73-4583-8BBA-2A8C3D87A7AE}"/>
    <cellStyle name="Normal 27 15 5" xfId="12407" xr:uid="{CE75D515-095C-4348-86DE-AFE2AB630276}"/>
    <cellStyle name="Normal 27 15 5 3" xfId="12408" xr:uid="{DA0C4A44-2CF7-456A-9FF4-D6435D5A163D}"/>
    <cellStyle name="Normal 27 15 5 5" xfId="12409" xr:uid="{1B0DBCF9-913A-44D1-A703-5D0D337AE370}"/>
    <cellStyle name="Normal 27 15 5 6" xfId="12410" xr:uid="{02F7BC13-4994-4A78-A6AE-3466552B30E7}"/>
    <cellStyle name="Normal 27 15 6 2" xfId="12411" xr:uid="{8090B4AE-9766-4BB3-950C-74C5B96987E4}"/>
    <cellStyle name="Normal 27 15 6 4" xfId="12412" xr:uid="{EEAB966E-BDCF-4DCD-A941-0F2E295514B6}"/>
    <cellStyle name="Normal 27 15 6 6" xfId="12413" xr:uid="{2665FC0D-5032-4AD2-B273-E6BC299A2E6D}"/>
    <cellStyle name="Normal 27 15 7 2" xfId="12414" xr:uid="{C8EBFC53-B648-4504-82AD-AE4FE56D4F82}"/>
    <cellStyle name="Normal 27 15 7 4" xfId="12415" xr:uid="{0356F451-C8C5-4AFA-B85E-702D8F37E1B9}"/>
    <cellStyle name="Normal 27 15 7 6" xfId="12416" xr:uid="{AF1AE808-E5C2-4361-9019-B281C088AE81}"/>
    <cellStyle name="Normal 27 15 8 2" xfId="12417" xr:uid="{275D1026-F686-499F-81D0-D073769D5A8F}"/>
    <cellStyle name="Normal 27 15 8 4" xfId="12418" xr:uid="{673509DA-F297-40E6-BCBD-2594649220E2}"/>
    <cellStyle name="Normal 27 15 8 6" xfId="12419" xr:uid="{397947C5-0EC9-4203-8945-7F602B9DCFBC}"/>
    <cellStyle name="Normal 27 16" xfId="12420" xr:uid="{207361DC-F229-454B-88F7-04B7CC5DEF29}"/>
    <cellStyle name="Normal 27 16 10" xfId="12421" xr:uid="{DB1CD480-D90F-4462-A96E-D5779CB7F66A}"/>
    <cellStyle name="Normal 27 16 11" xfId="12422" xr:uid="{32D6515A-95EA-4624-B3E7-AEBDF2D28A0E}"/>
    <cellStyle name="Normal 27 16 13" xfId="12423" xr:uid="{F3F1F347-6917-46FE-8DE8-645ECC8676DB}"/>
    <cellStyle name="Normal 27 16 2 2" xfId="12424" xr:uid="{B216DE5A-F5D2-41E0-99DE-9A1E7D2301A8}"/>
    <cellStyle name="Normal 27 16 2 4" xfId="12425" xr:uid="{159AC2C3-1042-4F60-B9E5-857ACFD8930E}"/>
    <cellStyle name="Normal 27 16 2 6" xfId="12426" xr:uid="{C45B9136-DCA9-429A-8F36-BAC58420A7C0}"/>
    <cellStyle name="Normal 27 16 3 2" xfId="12427" xr:uid="{7B7D49B9-786B-4D29-A998-3ACEA15C1582}"/>
    <cellStyle name="Normal 27 16 3 4" xfId="12428" xr:uid="{73CA8513-7A56-4D8A-9D73-9FC319BD764A}"/>
    <cellStyle name="Normal 27 16 3 6" xfId="12429" xr:uid="{89803D9C-8D54-4BA8-894A-8501A67752F8}"/>
    <cellStyle name="Normal 27 16 4 2" xfId="12430" xr:uid="{7B109D40-8416-47CA-9C43-8E0A31DBCFA7}"/>
    <cellStyle name="Normal 27 16 4 4" xfId="12431" xr:uid="{118B1565-8BCF-47BD-A08F-EF84D40779C4}"/>
    <cellStyle name="Normal 27 16 4 6" xfId="12432" xr:uid="{8FD9CED7-294E-48A2-A729-1277BBE6064C}"/>
    <cellStyle name="Normal 27 16 5 2" xfId="12433" xr:uid="{3160687E-AF3E-497F-A60E-4091DE321A0B}"/>
    <cellStyle name="Normal 27 16 5 4" xfId="12434" xr:uid="{6791EA02-6229-4509-B34F-3FF935C84F15}"/>
    <cellStyle name="Normal 27 16 5 6" xfId="12435" xr:uid="{18967BF3-C40C-43E6-AC3C-A4B1BDB0BE32}"/>
    <cellStyle name="Normal 27 16 6 2" xfId="12436" xr:uid="{958F6089-22E8-4212-B8EB-32D7B1B2D5D3}"/>
    <cellStyle name="Normal 27 16 6 4" xfId="12437" xr:uid="{ED6CD436-C87C-474D-B76A-4B744AFF5115}"/>
    <cellStyle name="Normal 27 16 7 2" xfId="12438" xr:uid="{D46BA493-851C-4AA8-9BCC-483B1562F48F}"/>
    <cellStyle name="Normal 27 16 7 4" xfId="12439" xr:uid="{2E87E7EF-9B71-4842-8A95-B6B9986A1BF6}"/>
    <cellStyle name="Normal 27 16 7 6" xfId="12440" xr:uid="{8DE7A1EF-3714-4FBB-8263-991CEC6304B3}"/>
    <cellStyle name="Normal 27 16 8 2" xfId="12441" xr:uid="{13199AD8-7D6F-4CA0-857D-98460C9A4DAB}"/>
    <cellStyle name="Normal 27 16 8 4" xfId="12442" xr:uid="{B6EEF5BE-BE25-42FA-8527-2C10F7032E6A}"/>
    <cellStyle name="Normal 27 16 8 6" xfId="12443" xr:uid="{A27EAD26-0F91-4130-93DC-3EA570C81EB6}"/>
    <cellStyle name="Normal 27 17" xfId="12444" xr:uid="{219C3E82-0FB9-4492-B197-A9BB721091FD}"/>
    <cellStyle name="Normal 27 17 11" xfId="12445" xr:uid="{19CE79D6-E827-430D-B3E6-2F178F55FD8E}"/>
    <cellStyle name="Normal 27 17 13" xfId="12446" xr:uid="{866F1A86-84FF-4D48-B71A-0EDE8C5557E5}"/>
    <cellStyle name="Normal 27 17 2 2" xfId="12447" xr:uid="{EAB15070-1D61-4C32-9AC0-4521B7EFF8EB}"/>
    <cellStyle name="Normal 27 17 2 4" xfId="12448" xr:uid="{CF214EF2-1C06-4B5D-9BCF-CDB8C4D2E7AA}"/>
    <cellStyle name="Normal 27 17 2 6" xfId="12449" xr:uid="{0D755D20-DBED-4CA5-AB4F-7595FFF5B218}"/>
    <cellStyle name="Normal 27 17 3 2" xfId="12450" xr:uid="{0A8A3DF6-155A-4200-A34B-335C3612F3E5}"/>
    <cellStyle name="Normal 27 17 3 4" xfId="12451" xr:uid="{5220D902-25CF-4032-99BB-75859566CF1B}"/>
    <cellStyle name="Normal 27 17 3 6" xfId="12452" xr:uid="{832AC598-B925-4FAC-B05D-B5F15E3C6CBF}"/>
    <cellStyle name="Normal 27 17 4 2" xfId="12453" xr:uid="{F7E65FB3-F078-4560-B6B8-E4B40675CF59}"/>
    <cellStyle name="Normal 27 17 4 4" xfId="12454" xr:uid="{151ED4DF-302F-413D-BAA0-B2230EEACBCF}"/>
    <cellStyle name="Normal 27 17 4 6" xfId="12455" xr:uid="{3462482D-F3D4-4541-8374-28716CD9A5A0}"/>
    <cellStyle name="Normal 27 17 5 2" xfId="12456" xr:uid="{A2681533-F66F-4F24-A450-C0E9147C3E4A}"/>
    <cellStyle name="Normal 27 17 5 4" xfId="12457" xr:uid="{A8B7CE52-DF24-444E-9ACE-E2B20E7ACBD9}"/>
    <cellStyle name="Normal 27 17 5 5" xfId="12458" xr:uid="{0B5A68F3-65B9-4E0D-905E-F10A28D5B367}"/>
    <cellStyle name="Normal 27 17 5 6" xfId="12459" xr:uid="{49F24BD2-6D8B-484B-BBD9-B98EC0CE6FAD}"/>
    <cellStyle name="Normal 27 17 6" xfId="12460" xr:uid="{B2DB5D61-5075-4DA8-B2C9-270CD0E6A06B}"/>
    <cellStyle name="Normal 27 17 6 2" xfId="12461" xr:uid="{2794B851-967B-4301-9841-F0DA8EF9C1F0}"/>
    <cellStyle name="Normal 27 17 6 3" xfId="12462" xr:uid="{98B868C8-504A-4E5B-A89C-F8CD04DF6AAD}"/>
    <cellStyle name="Normal 27 17 6 4" xfId="12463" xr:uid="{51FEB1B9-7103-4E0F-BFBE-C5B0E3374A2C}"/>
    <cellStyle name="Normal 27 17 6 5" xfId="12464" xr:uid="{7AE1AB11-E823-4FB9-9622-C3E815D372C1}"/>
    <cellStyle name="Normal 27 17 7" xfId="12465" xr:uid="{E42336DE-D585-4F5B-B2AC-ABB08AE502BD}"/>
    <cellStyle name="Normal 27 17 7 2" xfId="12466" xr:uid="{5A793E49-63C4-43A4-B63C-4ADA11F1E84D}"/>
    <cellStyle name="Normal 27 17 7 4" xfId="12467" xr:uid="{FA0B8A4A-4B0F-4DB8-8FFA-7A3093C3CC1B}"/>
    <cellStyle name="Normal 27 17 7 6" xfId="12468" xr:uid="{69F17D94-A414-447B-ADCF-E1A3BDE5E290}"/>
    <cellStyle name="Normal 27 17 8 2" xfId="12469" xr:uid="{1EC8A95C-000E-4DD3-8483-D4187B43CF94}"/>
    <cellStyle name="Normal 27 17 8 4" xfId="12470" xr:uid="{2FBF16BC-AA07-4CAC-95A9-EF499A9F05C2}"/>
    <cellStyle name="Normal 27 17 8 6" xfId="12471" xr:uid="{628F3EDC-E715-4DC1-BF15-6B495E3A78EF}"/>
    <cellStyle name="Normal 27 18" xfId="12472" xr:uid="{DBE2CC36-2260-486E-8858-919D992BB7CF}"/>
    <cellStyle name="Normal 27 18 3" xfId="12473" xr:uid="{2B1E747D-DBE7-438F-91F7-1962E2D72A84}"/>
    <cellStyle name="Normal 27 18 4" xfId="12474" xr:uid="{EC621054-670A-4046-9608-69BE8EEB3151}"/>
    <cellStyle name="Normal 27 18 5" xfId="12475" xr:uid="{9D56011D-86F1-49EC-A801-D89EA51BAEE5}"/>
    <cellStyle name="Normal 27 19" xfId="12476" xr:uid="{B3844E01-312F-4D9B-92DB-BC7242099362}"/>
    <cellStyle name="Normal 27 19 2" xfId="12477" xr:uid="{8A1FC1B5-DBC6-43C7-826E-F1059CF610E3}"/>
    <cellStyle name="Normal 27 19 3" xfId="12478" xr:uid="{AFFA63F2-2B7E-41E1-98EB-2770FD74DF24}"/>
    <cellStyle name="Normal 27 19 4" xfId="12479" xr:uid="{7196FC18-DEF2-4C0A-94EA-B85C91F036D1}"/>
    <cellStyle name="Normal 27 19 5" xfId="12480" xr:uid="{234C5F70-5811-4BA2-876A-01A20B84B52A}"/>
    <cellStyle name="Normal 27 19 6" xfId="12481" xr:uid="{1583FB0A-576B-42F5-80DA-76B07EE6A27E}"/>
    <cellStyle name="Normal 27 2" xfId="679" xr:uid="{89362C98-978E-40F2-B0AD-6E1493225ECA}"/>
    <cellStyle name="Normal 27 2 10" xfId="12482" xr:uid="{F1EF9568-8DDD-44D0-B011-B156C5A628CC}"/>
    <cellStyle name="Normal 27 2 11" xfId="12483" xr:uid="{90F76C76-1DDC-4294-8284-585BDFE5F526}"/>
    <cellStyle name="Normal 27 2 13" xfId="12484" xr:uid="{D10E5E22-3FB5-4FCA-BA23-9F309968BE63}"/>
    <cellStyle name="Normal 27 2 14" xfId="17287" xr:uid="{B517AF41-5525-47D8-9E40-5B0B87DEFB2F}"/>
    <cellStyle name="Normal 27 2 2" xfId="742" xr:uid="{6DD93395-F7BB-4C5A-A812-D0062E28037E}"/>
    <cellStyle name="Normal 27 2 2 2" xfId="869" xr:uid="{5DE37313-4F84-41BD-BA32-D703EC44BCC1}"/>
    <cellStyle name="Normal 27 2 2 4" xfId="12485" xr:uid="{8BF35EFF-35ED-47F5-AD83-0C992B456A95}"/>
    <cellStyle name="Normal 27 2 2 6" xfId="12486" xr:uid="{A57C635D-6850-4DF4-ACFE-B819A74DAF67}"/>
    <cellStyle name="Normal 27 2 3" xfId="870" xr:uid="{CBE6CE38-9106-453C-8160-3E725FF726F6}"/>
    <cellStyle name="Normal 27 2 3 3" xfId="12487" xr:uid="{9FB73143-887D-4BD6-8E55-0AAC2738DD67}"/>
    <cellStyle name="Normal 27 2 3 5" xfId="12488" xr:uid="{52144CA0-4FA1-4BE4-A101-39D0C4FEE4D4}"/>
    <cellStyle name="Normal 27 2 3 7" xfId="17324" xr:uid="{AC8E977B-50CF-4D71-A2E9-BB458985BD5A}"/>
    <cellStyle name="Normal 27 2 4" xfId="839" xr:uid="{78BCFECE-96A6-4182-BFF8-3C925C9163EE}"/>
    <cellStyle name="Normal 27 2 4 2" xfId="12489" xr:uid="{834CB199-296E-4D59-BF48-F2A5B303620A}"/>
    <cellStyle name="Normal 27 2 4 4" xfId="12490" xr:uid="{AB4A2FA9-5C79-43A9-BD1B-A5BB5D97C241}"/>
    <cellStyle name="Normal 27 2 4 6" xfId="12491" xr:uid="{625F6821-86FC-4B5F-AFAF-46FE0062A8F3}"/>
    <cellStyle name="Normal 27 2 5 3" xfId="12492" xr:uid="{CED43CD2-6A67-4D54-A20D-E29BC91E029F}"/>
    <cellStyle name="Normal 27 2 6" xfId="12493" xr:uid="{67092C4E-27A1-4183-A9AC-4CC306B7CBCF}"/>
    <cellStyle name="Normal 27 2 6 5" xfId="12494" xr:uid="{6D884BD9-18D1-41AB-A4CD-8118F0AF9DE5}"/>
    <cellStyle name="Normal 27 2 7" xfId="12495" xr:uid="{E72B1D79-EFB1-408A-820A-E758EAB5EBFD}"/>
    <cellStyle name="Normal 27 2 7 5" xfId="12496" xr:uid="{821C286C-BA42-42C3-9EA8-D11D1019E8D6}"/>
    <cellStyle name="Normal 27 2 8" xfId="12497" xr:uid="{4DD22109-F12B-4DBD-94EC-7478BEE216E3}"/>
    <cellStyle name="Normal 27 2 8 5" xfId="12498" xr:uid="{1D400689-56F2-433E-ACEF-10544ED08725}"/>
    <cellStyle name="Normal 27 20 2" xfId="12499" xr:uid="{07F30550-9408-4392-B770-ED16AEE99942}"/>
    <cellStyle name="Normal 27 20 6" xfId="12500" xr:uid="{8C80F3C1-6290-45CC-88FF-CBFCEDAE6C56}"/>
    <cellStyle name="Normal 27 21 4" xfId="12501" xr:uid="{214197A1-5DDE-418A-AD22-09EF161F6F52}"/>
    <cellStyle name="Normal 27 22 2" xfId="12502" xr:uid="{73FA95AE-A805-4F2F-BF14-00955F314057}"/>
    <cellStyle name="Normal 27 22 6" xfId="12503" xr:uid="{D1A5D6D7-0A76-4CFD-844C-4AF4AE6812FE}"/>
    <cellStyle name="Normal 27 23 4" xfId="12504" xr:uid="{7D49AC98-2ECC-424F-90BC-D261FFC38D5A}"/>
    <cellStyle name="Normal 27 24 2" xfId="12505" xr:uid="{6BEFD8FC-83E7-49F5-B9F8-E1C2700F3AD4}"/>
    <cellStyle name="Normal 27 24 4" xfId="12506" xr:uid="{8C2DD56B-CD52-4B60-8926-EACE1B0F11AC}"/>
    <cellStyle name="Normal 27 26" xfId="12507" xr:uid="{B1B1BF51-FD9D-477C-BE05-6E26B61F5253}"/>
    <cellStyle name="Normal 27 3" xfId="721" xr:uid="{22DFFBBF-9D0F-41B0-97DE-CB98E1A8F6D8}"/>
    <cellStyle name="Normal 27 3 11" xfId="12508" xr:uid="{E4258F72-1084-4F08-AED0-046C96621D9F}"/>
    <cellStyle name="Normal 27 3 13" xfId="12509" xr:uid="{6F407909-A525-448B-A81C-774630E9DB20}"/>
    <cellStyle name="Normal 27 3 2" xfId="871" xr:uid="{D56089E9-3308-4E59-ACD5-B3A5B29DDD8A}"/>
    <cellStyle name="Normal 27 3 2 3" xfId="12510" xr:uid="{CE4062AA-5DD9-4B7D-A01F-7FEA3379EBE7}"/>
    <cellStyle name="Normal 27 3 2 5" xfId="12511" xr:uid="{1B3E46D6-6167-4AC4-A197-6333EFA7C8C3}"/>
    <cellStyle name="Normal 27 3 3" xfId="12512" xr:uid="{7AFD12D4-CA78-41F1-A8DE-B6AED1D414DF}"/>
    <cellStyle name="Normal 27 3 3 3" xfId="12513" xr:uid="{C96A31EF-AC27-4A0C-ACE6-550AA4452F2A}"/>
    <cellStyle name="Normal 27 3 4" xfId="12514" xr:uid="{166D34DE-0F42-4848-AF12-997F8D42B53F}"/>
    <cellStyle name="Normal 27 3 4 3" xfId="12515" xr:uid="{05A07059-0D9A-48CD-91E9-95E49A2D6B8B}"/>
    <cellStyle name="Normal 27 3 4 6" xfId="12516" xr:uid="{58D0BD74-5D2E-4370-9D01-480E23D24DC4}"/>
    <cellStyle name="Normal 27 3 5 4" xfId="12517" xr:uid="{ABB0BC61-185D-4591-9433-3079F78B1641}"/>
    <cellStyle name="Normal 27 3 6 2" xfId="12518" xr:uid="{4389ADDC-D622-4A56-8A3F-191D57E5214E}"/>
    <cellStyle name="Normal 27 3 6 6" xfId="12519" xr:uid="{64E4DB94-A9FE-4F6F-B148-70B63B9C39B2}"/>
    <cellStyle name="Normal 27 3 7 4" xfId="12520" xr:uid="{4F0BD953-5748-4633-82A2-96BA56DC6307}"/>
    <cellStyle name="Normal 27 3 7 6" xfId="12521" xr:uid="{03D6D032-0752-452E-A793-0A2420641073}"/>
    <cellStyle name="Normal 27 3 8 4" xfId="12522" xr:uid="{6B026416-3BD5-457C-A0D0-F36F1D07845A}"/>
    <cellStyle name="Normal 27 30" xfId="17278" xr:uid="{3F01558C-4EBD-44C2-9DA2-39A85B6BB929}"/>
    <cellStyle name="Normal 27 4 14" xfId="17325" xr:uid="{898412C8-C94D-4C81-BD42-02A54FA2E775}"/>
    <cellStyle name="Normal 27 4 2 4" xfId="12523" xr:uid="{9E2F86E0-3B8C-48B0-B9EB-25E420B774B8}"/>
    <cellStyle name="Normal 27 4 3 2" xfId="12524" xr:uid="{F0786C52-83C0-4174-8E69-D0D598577C80}"/>
    <cellStyle name="Normal 27 4 3 6" xfId="12525" xr:uid="{ACEDE923-C308-4A20-934B-4A04D3C19B6E}"/>
    <cellStyle name="Normal 27 4 4 4" xfId="12526" xr:uid="{113A4EF6-F7ED-4320-9A3A-C5A7D04551F9}"/>
    <cellStyle name="Normal 27 4 5 2" xfId="12527" xr:uid="{063F7F26-1D04-45E3-BE6D-6D930FEBDF45}"/>
    <cellStyle name="Normal 27 4 5 6" xfId="12528" xr:uid="{C984D35F-7664-4264-B81B-1E907C4775E2}"/>
    <cellStyle name="Normal 27 4 6 4" xfId="12529" xr:uid="{853B17B8-B60F-48FA-82FB-6330305C3748}"/>
    <cellStyle name="Normal 27 4 7 2" xfId="12530" xr:uid="{FDB46265-0BBB-43B1-850A-8FEF75A58685}"/>
    <cellStyle name="Normal 27 4 7 4" xfId="12531" xr:uid="{0F968EAC-2BF0-4A26-8708-8DD3AF55AE3A}"/>
    <cellStyle name="Normal 27 4 8 2" xfId="12532" xr:uid="{6B88D0A6-0299-49D7-AFEE-78903AE39179}"/>
    <cellStyle name="Normal 27 4 8 4" xfId="12533" xr:uid="{193CAB83-ACD7-445A-9FD9-D278285433D0}"/>
    <cellStyle name="Normal 27 5" xfId="838" xr:uid="{EC2F6722-E406-43A6-848C-A37CE9FE619A}"/>
    <cellStyle name="Normal 27 5 13" xfId="12534" xr:uid="{6492A7FA-399F-47D5-9E32-F06642921937}"/>
    <cellStyle name="Normal 27 5 2 4" xfId="12535" xr:uid="{3440408D-622D-4F14-9539-945B5F323AF6}"/>
    <cellStyle name="Normal 27 5 3" xfId="12536" xr:uid="{62E2A871-02E7-44AF-88D4-1029785494E1}"/>
    <cellStyle name="Normal 27 5 3 5" xfId="12537" xr:uid="{531CBE50-F82D-4704-8399-CA83E49A2313}"/>
    <cellStyle name="Normal 27 5 4" xfId="12538" xr:uid="{185F86A6-FF5A-4511-AD5E-A3BB21CED83B}"/>
    <cellStyle name="Normal 27 5 4 5" xfId="12539" xr:uid="{944D00E5-13A3-4CE8-9E50-811518171CD5}"/>
    <cellStyle name="Normal 27 5 5 3" xfId="12540" xr:uid="{A5DC90E4-DBFE-406B-B6C9-99052E03D82D}"/>
    <cellStyle name="Normal 27 5 6" xfId="12541" xr:uid="{D28BEF79-337C-4E02-8431-9E57D2763DDC}"/>
    <cellStyle name="Normal 27 5 6 5" xfId="12542" xr:uid="{703F4205-5267-46F0-915C-731796E9C2F8}"/>
    <cellStyle name="Normal 27 5 7 3" xfId="12543" xr:uid="{634AD619-1A31-4FD8-B09D-DFB24AFBBB9D}"/>
    <cellStyle name="Normal 27 5 7 5" xfId="12544" xr:uid="{F7BC6435-48E2-4989-9CBC-48ECEBE6E690}"/>
    <cellStyle name="Normal 27 5 8" xfId="12545" xr:uid="{09B975BE-8CB7-4842-8D3C-2CC929FA14A0}"/>
    <cellStyle name="Normal 27 5 8 3" xfId="12546" xr:uid="{A8BBC61E-DB5B-46D0-A0F7-D07039CFB07F}"/>
    <cellStyle name="Normal 27 5 8 5" xfId="12547" xr:uid="{6695F570-342B-4001-BCF5-21F693C04E63}"/>
    <cellStyle name="Normal 27 5 9" xfId="12548" xr:uid="{D76A3FA8-D25F-443C-9F96-A37987EAAC18}"/>
    <cellStyle name="Normal 27 6 12" xfId="12549" xr:uid="{A64D6C30-C3A6-44E7-93BC-BA2FB4D22C7D}"/>
    <cellStyle name="Normal 27 6 2" xfId="12550" xr:uid="{6C327703-6167-48A5-8691-15FDA1E66717}"/>
    <cellStyle name="Normal 27 6 2 5" xfId="12551" xr:uid="{8DA05475-F36B-4597-BD2F-48A78AD43E97}"/>
    <cellStyle name="Normal 27 6 3 3" xfId="12552" xr:uid="{197522C9-9B67-45E8-A362-9583FBE02025}"/>
    <cellStyle name="Normal 27 6 4" xfId="12553" xr:uid="{01EB3A06-D551-4DBC-9B39-92A1E369872D}"/>
    <cellStyle name="Normal 27 6 4 5" xfId="12554" xr:uid="{653F50AB-D68D-42DD-B69C-DDE5CDD06413}"/>
    <cellStyle name="Normal 27 6 5 3" xfId="12555" xr:uid="{A47F549C-B73F-4806-8404-CD0EBD5A3AFD}"/>
    <cellStyle name="Normal 27 6 6" xfId="12556" xr:uid="{DF3850EA-7167-4207-B407-02DA12FADD8D}"/>
    <cellStyle name="Normal 27 6 6 5" xfId="12557" xr:uid="{C2175436-5C22-4622-A221-F50B6B7B2979}"/>
    <cellStyle name="Normal 27 6 7 3" xfId="12558" xr:uid="{3B2137ED-CF40-4AEE-BE64-CFEDB70C00A2}"/>
    <cellStyle name="Normal 27 6 8" xfId="12559" xr:uid="{FB84EAFC-0C63-48E5-B039-1B4521A146DD}"/>
    <cellStyle name="Normal 27 6 8 5" xfId="12560" xr:uid="{D64DAD15-50CC-4313-AD19-64C28D2E4134}"/>
    <cellStyle name="Normal 27 7 10" xfId="12561" xr:uid="{2E6694DA-FDEA-4A3E-87C5-43332C6163F3}"/>
    <cellStyle name="Normal 27 7 2" xfId="12562" xr:uid="{425B4649-0EB5-47C9-A66C-B986309A3CEF}"/>
    <cellStyle name="Normal 27 7 2 4" xfId="12563" xr:uid="{BFFA59A7-F2F7-4270-A40D-16A0421F0787}"/>
    <cellStyle name="Normal 27 7 3 2" xfId="12564" xr:uid="{25212F13-75EA-4E26-86AD-132920A38EA4}"/>
    <cellStyle name="Normal 27 7 3 6" xfId="12565" xr:uid="{B8D377CC-63EA-4C94-8033-2706597CC856}"/>
    <cellStyle name="Normal 27 7 4 4" xfId="12566" xr:uid="{7E1A76D8-8594-4103-96C7-A257ABAAB136}"/>
    <cellStyle name="Normal 27 7 5 2" xfId="12567" xr:uid="{10E7ABCD-3106-4469-A1E2-7FC2B634CFE7}"/>
    <cellStyle name="Normal 27 7 5 6" xfId="12568" xr:uid="{9178AA8D-B5BB-4F0E-ACE6-707315281B4B}"/>
    <cellStyle name="Normal 27 7 7 2" xfId="12569" xr:uid="{EC4E9F97-CB3F-4191-9F74-BDF70C28B880}"/>
    <cellStyle name="Normal 27 7 7 6" xfId="12570" xr:uid="{4BE99CFA-2C84-48DD-8483-1EE15A6C61F0}"/>
    <cellStyle name="Normal 27 7 8 4" xfId="12571" xr:uid="{8B72A18F-FCF2-4BFE-9BF9-C5FC15953E60}"/>
    <cellStyle name="Normal 27 8" xfId="12572" xr:uid="{E522CC10-BA37-44A2-8711-F5DDEAB0D181}"/>
    <cellStyle name="Normal 27 8 13" xfId="12573" xr:uid="{1E582FE9-5C0D-48D2-9B64-52A7541058DA}"/>
    <cellStyle name="Normal 27 8 2 4" xfId="12574" xr:uid="{BC2AA6BF-CE7F-4F85-AAD5-2C606BB3A8B8}"/>
    <cellStyle name="Normal 27 8 3 2" xfId="12575" xr:uid="{86433D4A-7D8F-484A-B676-E30870D994D3}"/>
    <cellStyle name="Normal 27 8 3 6" xfId="12576" xr:uid="{3E65D78B-221B-4323-A4E2-E21CFCEE33F1}"/>
    <cellStyle name="Normal 27 8 4 4" xfId="12577" xr:uid="{DAD6D072-C568-479F-8E9E-768B4D6B50C4}"/>
    <cellStyle name="Normal 27 8 5 2" xfId="12578" xr:uid="{BBB7D1E9-901E-4E1C-A1AB-05A51560A7F0}"/>
    <cellStyle name="Normal 27 8 5 6" xfId="12579" xr:uid="{A6935DEE-52F1-4B04-955F-4D4F759A0F84}"/>
    <cellStyle name="Normal 27 8 6 4" xfId="12580" xr:uid="{A92F7464-EBD9-485B-91D4-7040947CBFEE}"/>
    <cellStyle name="Normal 27 8 7 2" xfId="12581" xr:uid="{6CE9FEAF-2A55-4E74-BD35-D4F3B9BDE02A}"/>
    <cellStyle name="Normal 27 8 7 6" xfId="12582" xr:uid="{516E373A-B66C-4D6E-9944-42F6ED97051B}"/>
    <cellStyle name="Normal 27 8 8 4" xfId="12583" xr:uid="{E9D44FA8-DB88-4EC9-859A-BC79635FA4A9}"/>
    <cellStyle name="Normal 27 9" xfId="12584" xr:uid="{FF402B42-43D8-489F-AB4B-C41052000A5C}"/>
    <cellStyle name="Normal 27 9 12" xfId="12585" xr:uid="{C0772979-0ED9-430F-840A-B7981980906B}"/>
    <cellStyle name="Normal 27 9 2 3" xfId="12586" xr:uid="{25A5FCA6-5CED-44F8-9E7E-E25830B8DCFD}"/>
    <cellStyle name="Normal 27 9 3" xfId="12587" xr:uid="{96A1C254-9BD5-406E-989D-B260CC636C37}"/>
    <cellStyle name="Normal 27 9 3 5" xfId="12588" xr:uid="{ED31E590-4A90-43CE-B424-895FBF2B4CB5}"/>
    <cellStyle name="Normal 27 9 4 3" xfId="12589" xr:uid="{E7F4DF9D-EE65-4BBF-8C45-FF26507834B8}"/>
    <cellStyle name="Normal 27 9 5" xfId="12590" xr:uid="{1D9AFC6D-00E8-494F-8E4A-EAED0C0174EA}"/>
    <cellStyle name="Normal 27 9 5 5" xfId="12591" xr:uid="{99E56A27-45DA-4EFF-9951-3DC9DAF3D134}"/>
    <cellStyle name="Normal 27 9 6 3" xfId="12592" xr:uid="{46BED0D0-B28B-4949-B7B4-095ACD89D2BC}"/>
    <cellStyle name="Normal 27 9 7" xfId="12593" xr:uid="{5F4ED2F5-5FD5-4E1E-AC41-FE1BB9AC4C8B}"/>
    <cellStyle name="Normal 27 9 7 5" xfId="12594" xr:uid="{84D40FC2-8BD4-4CD3-9925-6573F6466411}"/>
    <cellStyle name="Normal 27 9 8 3" xfId="12595" xr:uid="{348FD722-0770-4F2A-99D3-6DD6858D7F4D}"/>
    <cellStyle name="Normal 27 9 9" xfId="12596" xr:uid="{01A2C78D-43C2-429F-9D8F-4477E3A000D5}"/>
    <cellStyle name="Normal 28 10 11" xfId="12597" xr:uid="{6DE251BF-AA94-4556-9072-F2B5A1F631AA}"/>
    <cellStyle name="Normal 28 10 2 2" xfId="12598" xr:uid="{720EB920-4128-479E-A47D-DB451A0525A2}"/>
    <cellStyle name="Normal 28 10 2 6" xfId="12599" xr:uid="{5696753E-6C1C-4BCE-8602-BEB4E915655A}"/>
    <cellStyle name="Normal 28 10 3 4" xfId="12600" xr:uid="{54B3B548-0505-47E5-B2DC-22993552E565}"/>
    <cellStyle name="Normal 28 10 4 2" xfId="12601" xr:uid="{493E409C-6166-4236-8655-96427A3D27D7}"/>
    <cellStyle name="Normal 28 10 4 6" xfId="12602" xr:uid="{758CAF9D-6F3D-49BB-A5A0-D5628B4D46F4}"/>
    <cellStyle name="Normal 28 10 5 4" xfId="12603" xr:uid="{3BD85098-BE4A-4466-810B-D13D0A3430CC}"/>
    <cellStyle name="Normal 28 10 6 2" xfId="12604" xr:uid="{47B8B0FC-1624-4031-9F9D-17FDB548DBB2}"/>
    <cellStyle name="Normal 28 10 6 6" xfId="12605" xr:uid="{D01DDF80-AEC1-4D71-B289-A43AAB484DC3}"/>
    <cellStyle name="Normal 28 10 7 4" xfId="12606" xr:uid="{643E0C88-5969-4925-AB22-C41EDFA7BDC6}"/>
    <cellStyle name="Normal 28 10 8 2" xfId="12607" xr:uid="{BE53216A-B556-4B9D-B879-5316BE246E00}"/>
    <cellStyle name="Normal 28 10 8 5" xfId="12608" xr:uid="{6C607205-282E-46E3-A5F1-6E91D66556E2}"/>
    <cellStyle name="Normal 28 10 9" xfId="12609" xr:uid="{4F0EB339-1BF6-4923-A29C-53287633DE01}"/>
    <cellStyle name="Normal 28 11 10" xfId="12610" xr:uid="{B601163F-2B5D-4FCC-8031-6DB68F8E9A30}"/>
    <cellStyle name="Normal 28 11 12" xfId="12611" xr:uid="{4ED5C7A1-79D5-407A-9B57-7ACB6E087D13}"/>
    <cellStyle name="Normal 28 11 2" xfId="12612" xr:uid="{49B7CF72-857E-41E1-8E3C-BE822139DC6E}"/>
    <cellStyle name="Normal 28 11 2 4" xfId="12613" xr:uid="{2A7CA887-0F66-4F3A-A9AB-B1748FD3D549}"/>
    <cellStyle name="Normal 28 11 2 6" xfId="12614" xr:uid="{DCDF020E-E6F8-4DBD-A425-318A1793EF4D}"/>
    <cellStyle name="Normal 28 11 3 2" xfId="12615" xr:uid="{FE735C5E-ACE6-42AA-855F-B64DA09F5BF8}"/>
    <cellStyle name="Normal 28 11 3 4" xfId="12616" xr:uid="{41082681-F2B0-4C27-80B2-4B80D2CC96F7}"/>
    <cellStyle name="Normal 28 11 4 2" xfId="12617" xr:uid="{7BD643ED-FFF4-486B-9A7A-DE05F5D70174}"/>
    <cellStyle name="Normal 28 11 4 4" xfId="12618" xr:uid="{62013149-8F52-44F1-A9C9-805B5FB4F176}"/>
    <cellStyle name="Normal 28 11 4 6" xfId="12619" xr:uid="{F686EA46-36BB-48EC-8FFD-4E318BB3C31E}"/>
    <cellStyle name="Normal 28 11 5 2" xfId="12620" xr:uid="{5F2B080D-3FDC-4219-9D8E-A3F252CD7200}"/>
    <cellStyle name="Normal 28 11 5 4" xfId="12621" xr:uid="{389C1643-AB8D-4D80-BA8A-815815A2C62D}"/>
    <cellStyle name="Normal 28 11 5 6" xfId="12622" xr:uid="{1A307E1A-2AF9-4805-A6E6-94FD6591D3A1}"/>
    <cellStyle name="Normal 28 11 6 2" xfId="12623" xr:uid="{F041BF40-C978-45FF-9657-64584DA6E967}"/>
    <cellStyle name="Normal 28 11 6 4" xfId="12624" xr:uid="{54D6BF2B-7882-4D96-98B1-41D384255E61}"/>
    <cellStyle name="Normal 28 11 6 6" xfId="12625" xr:uid="{F05F33B3-D6EE-4947-BC96-3ED737EC0F04}"/>
    <cellStyle name="Normal 28 11 7 2" xfId="12626" xr:uid="{A6F4F6DF-00D5-42BE-BB98-41DE4E1DA732}"/>
    <cellStyle name="Normal 28 11 7 4" xfId="12627" xr:uid="{22F50ED6-5F29-4FC3-ABA8-91AB061DD39C}"/>
    <cellStyle name="Normal 28 11 7 6" xfId="12628" xr:uid="{5C59F39D-8F68-48EE-8ED1-1BD90FAE2C98}"/>
    <cellStyle name="Normal 28 11 8 2" xfId="12629" xr:uid="{8C005C6C-48C2-4E94-B2AC-AD8FCD9235E7}"/>
    <cellStyle name="Normal 28 11 8 4" xfId="12630" xr:uid="{84623D93-C6F1-4DF9-AE5B-18A82D017082}"/>
    <cellStyle name="Normal 28 11 8 6" xfId="12631" xr:uid="{B84EAEE1-C50A-487A-A039-91D68269CA06}"/>
    <cellStyle name="Normal 28 12" xfId="12632" xr:uid="{747BB62F-D61D-4759-AAA5-5F52827E909B}"/>
    <cellStyle name="Normal 28 12 11" xfId="12633" xr:uid="{83374133-96D2-489E-99CB-080D46140B8E}"/>
    <cellStyle name="Normal 28 12 13" xfId="12634" xr:uid="{10A6D88C-3E2A-41B1-99F1-4E19100F20AD}"/>
    <cellStyle name="Normal 28 12 2 2" xfId="12635" xr:uid="{9615FDFF-8407-4229-AA00-93518FF022C4}"/>
    <cellStyle name="Normal 28 12 2 4" xfId="12636" xr:uid="{96D2A8E1-2662-4C86-BA26-C84E46E5EDFA}"/>
    <cellStyle name="Normal 28 12 2 6" xfId="12637" xr:uid="{7B120F77-0FA3-4005-B094-E1C6836BD7FA}"/>
    <cellStyle name="Normal 28 12 3 2" xfId="12638" xr:uid="{867CEE1C-4749-4428-9597-CB40101242F8}"/>
    <cellStyle name="Normal 28 12 3 4" xfId="12639" xr:uid="{C40DF8B2-FC96-49B4-B0F6-C1096BFE1359}"/>
    <cellStyle name="Normal 28 12 3 6" xfId="12640" xr:uid="{255B3BC7-A131-4660-90FD-54A77D996C1E}"/>
    <cellStyle name="Normal 28 12 4 2" xfId="12641" xr:uid="{A112E6B6-A057-4D03-B035-44557FF90D7F}"/>
    <cellStyle name="Normal 28 12 4 4" xfId="12642" xr:uid="{A88F303C-61A5-4CE2-95F4-67308CBB31A5}"/>
    <cellStyle name="Normal 28 12 4 6" xfId="12643" xr:uid="{3D6586E7-D6EC-4239-AFDA-0EC135B53F7F}"/>
    <cellStyle name="Normal 28 12 5 2" xfId="12644" xr:uid="{88474DC4-B8B1-4277-94DD-DD106CEE0039}"/>
    <cellStyle name="Normal 28 12 5 4" xfId="12645" xr:uid="{45FFCFD7-8499-433F-95F5-18A1A871C007}"/>
    <cellStyle name="Normal 28 12 5 6" xfId="12646" xr:uid="{6A2AB276-9A17-4326-B32A-C3B64A13E1A0}"/>
    <cellStyle name="Normal 28 12 6 2" xfId="12647" xr:uid="{CE848483-C3EF-44FD-903D-430FB001871F}"/>
    <cellStyle name="Normal 28 12 6 4" xfId="12648" xr:uid="{441208F4-C61A-494D-930B-EBB708FABC55}"/>
    <cellStyle name="Normal 28 12 6 6" xfId="12649" xr:uid="{F86B5D7A-F226-4753-B06E-518768AB1DF6}"/>
    <cellStyle name="Normal 28 12 7 2" xfId="12650" xr:uid="{70D22ACC-D100-411E-BAB2-FAE6402E8962}"/>
    <cellStyle name="Normal 28 12 7 4" xfId="12651" xr:uid="{32E934DE-0713-4F4B-9E43-B29BFAF50514}"/>
    <cellStyle name="Normal 28 12 7 6" xfId="12652" xr:uid="{B2FEB0FC-073A-4916-A2E7-DC753F30556C}"/>
    <cellStyle name="Normal 28 12 8 2" xfId="12653" xr:uid="{96E92C67-2952-4D1E-BFFA-D3DD28D90187}"/>
    <cellStyle name="Normal 28 12 8 4" xfId="12654" xr:uid="{4E98D433-D7AB-424B-A2B2-39397C36769D}"/>
    <cellStyle name="Normal 28 12 8 6" xfId="12655" xr:uid="{8AF49578-3D26-4768-ACC4-8D0B6CA05F15}"/>
    <cellStyle name="Normal 28 13" xfId="12656" xr:uid="{B0FB0FBA-A2F2-46C6-B0BC-0259A918A67B}"/>
    <cellStyle name="Normal 28 13 11" xfId="12657" xr:uid="{9E7857C8-7355-408A-8C47-59A9C760544D}"/>
    <cellStyle name="Normal 28 13 13" xfId="12658" xr:uid="{7D2CD692-C716-4A26-AEAF-EC6F30C605BD}"/>
    <cellStyle name="Normal 28 13 2 2" xfId="12659" xr:uid="{7F4EF4BE-ACE3-4093-BA30-2E9BA496BC71}"/>
    <cellStyle name="Normal 28 13 2 5" xfId="12660" xr:uid="{4B5AA55A-75DB-4750-ACAF-7E27E8E90085}"/>
    <cellStyle name="Normal 28 13 3 3" xfId="12661" xr:uid="{3B11D3AB-6DA6-4FAF-92FD-26684F94B254}"/>
    <cellStyle name="Normal 28 13 4" xfId="12662" xr:uid="{19F33DFA-7891-49AF-8F9A-BA83924CB28E}"/>
    <cellStyle name="Normal 28 13 4 5" xfId="12663" xr:uid="{18DB6CC8-B107-446C-899D-99FCB212CA59}"/>
    <cellStyle name="Normal 28 13 5 2" xfId="12664" xr:uid="{D31C06F1-5D6A-4CB3-97AF-86B6D46151DF}"/>
    <cellStyle name="Normal 28 13 5 6" xfId="12665" xr:uid="{7053CCBF-EF1E-4E81-AB89-C2D25A5801D8}"/>
    <cellStyle name="Normal 28 13 6 2" xfId="12666" xr:uid="{A4F50F2E-4863-4A93-AD0A-757CBDEF39A5}"/>
    <cellStyle name="Normal 28 13 6 4" xfId="12667" xr:uid="{9791610F-55D0-464D-A576-3F01B125454F}"/>
    <cellStyle name="Normal 28 13 6 6" xfId="12668" xr:uid="{10DE02E9-9CAA-432E-B2B1-073171669C2E}"/>
    <cellStyle name="Normal 28 13 7 2" xfId="12669" xr:uid="{67FC97BF-5DB9-4F2E-8194-BF2538FE7F3B}"/>
    <cellStyle name="Normal 28 13 7 4" xfId="12670" xr:uid="{8AAE852C-DA8D-4A6E-84E6-7FA6F8E0EED4}"/>
    <cellStyle name="Normal 28 13 7 6" xfId="12671" xr:uid="{BE1E7334-8B45-430C-B1FE-CD5B38433222}"/>
    <cellStyle name="Normal 28 13 8 2" xfId="12672" xr:uid="{DE918D99-ECDA-4B4B-9B5C-9420450B21C7}"/>
    <cellStyle name="Normal 28 13 8 3" xfId="12673" xr:uid="{865A433D-150D-4305-82A2-C7CFD3B188DC}"/>
    <cellStyle name="Normal 28 13 8 5" xfId="12674" xr:uid="{45FBF04C-BFA7-49C3-B639-1200B32846F1}"/>
    <cellStyle name="Normal 28 13 9" xfId="12675" xr:uid="{CDAC252A-C213-4B4F-B2C5-312AEA415EF4}"/>
    <cellStyle name="Normal 28 14 10" xfId="12676" xr:uid="{5AF30636-2CCE-453E-A234-1C41A9604A15}"/>
    <cellStyle name="Normal 28 14 12" xfId="12677" xr:uid="{57FACB24-DC7E-4ED3-B07E-3B349937D49C}"/>
    <cellStyle name="Normal 28 14 2" xfId="12678" xr:uid="{EE458469-7216-4FC3-9E07-92245DEA2B90}"/>
    <cellStyle name="Normal 28 14 2 3" xfId="12679" xr:uid="{560C184B-902F-4F9D-A4CB-CFE88AF2822A}"/>
    <cellStyle name="Normal 28 14 2 5" xfId="12680" xr:uid="{B02E6733-26AB-4CB8-980C-F87D8F3F5F61}"/>
    <cellStyle name="Normal 28 14 3" xfId="12681" xr:uid="{1EA3ACF4-7842-4F14-BBCA-E74C924B61E5}"/>
    <cellStyle name="Normal 28 14 3 3" xfId="12682" xr:uid="{3E390ACF-30AB-4997-B370-E01CFC044F6C}"/>
    <cellStyle name="Normal 28 14 3 5" xfId="12683" xr:uid="{AC64AB12-8BAB-4592-9034-328EF5937498}"/>
    <cellStyle name="Normal 28 14 4" xfId="12684" xr:uid="{C9A93AE3-9EBC-4208-B711-3CAEE5B7D775}"/>
    <cellStyle name="Normal 28 14 4 3" xfId="12685" xr:uid="{58684860-7D18-406E-A573-4C446366628B}"/>
    <cellStyle name="Normal 28 14 4 5" xfId="12686" xr:uid="{74DDEC64-C4A9-466C-8B1F-0CD11F8BF1F5}"/>
    <cellStyle name="Normal 28 14 5" xfId="12687" xr:uid="{7D5B707A-06E1-419A-8076-FD49DE5C570B}"/>
    <cellStyle name="Normal 28 14 5 5" xfId="12688" xr:uid="{B0F77274-2633-4D61-A234-559E4CD4065E}"/>
    <cellStyle name="Normal 28 14 6 3" xfId="12689" xr:uid="{A2C3733B-B63A-4ED6-9F12-E118E4972DE7}"/>
    <cellStyle name="Normal 28 14 7" xfId="12690" xr:uid="{3039B876-F45E-4DA9-94D7-833B53549C45}"/>
    <cellStyle name="Normal 28 14 7 3" xfId="12691" xr:uid="{69A9D2E9-3E53-4D6B-B086-79ECA753B52C}"/>
    <cellStyle name="Normal 28 14 8" xfId="12692" xr:uid="{4B160F21-2257-4E51-852E-B10F6CEB0635}"/>
    <cellStyle name="Normal 28 14 8 4" xfId="12693" xr:uid="{784E2D72-B037-4B6E-826F-C1483F11607C}"/>
    <cellStyle name="Normal 28 14 8 6" xfId="12694" xr:uid="{4BDD20C3-49EE-4158-9A76-96B649D689BE}"/>
    <cellStyle name="Normal 28 15" xfId="12695" xr:uid="{37D2E539-47E4-43B0-B491-7D023F8C7E81}"/>
    <cellStyle name="Normal 28 15 11" xfId="12696" xr:uid="{5D57B27B-3B14-4BD5-AA11-BD91E735C375}"/>
    <cellStyle name="Normal 28 15 13" xfId="12697" xr:uid="{E72D6145-8D8A-4D39-B3DF-8C64768FC735}"/>
    <cellStyle name="Normal 28 15 2" xfId="12698" xr:uid="{B8E7BFA2-7F9A-43AF-9790-458DD4B48060}"/>
    <cellStyle name="Normal 28 15 2 2" xfId="12699" xr:uid="{5CA3D0EA-4044-44A6-B4DA-BBCA87D56BAF}"/>
    <cellStyle name="Normal 28 15 2 4" xfId="12700" xr:uid="{B7348497-E3C4-4CEC-99F9-B7E482D140A5}"/>
    <cellStyle name="Normal 28 15 2 6" xfId="12701" xr:uid="{2A01FFD0-7D68-4527-BD7C-C99DCAD703C2}"/>
    <cellStyle name="Normal 28 15 3" xfId="12702" xr:uid="{D02E7EA4-E348-480A-9D88-A814B8EF4A07}"/>
    <cellStyle name="Normal 28 15 3 3" xfId="12703" xr:uid="{09B4EBB8-168F-4085-85EF-41BC8807D698}"/>
    <cellStyle name="Normal 28 15 3 5" xfId="12704" xr:uid="{3D8C982D-EE7F-4542-BF1E-CE9D04074FF1}"/>
    <cellStyle name="Normal 28 15 4" xfId="12705" xr:uid="{EE3E29FA-40F2-4ECF-94FD-B05E229A66AB}"/>
    <cellStyle name="Normal 28 15 4 3" xfId="12706" xr:uid="{CA79F4A6-FE27-4B86-94C5-FDB56C59F6DB}"/>
    <cellStyle name="Normal 28 15 4 5" xfId="12707" xr:uid="{05DF5C80-AC53-4783-8163-866488CC09D3}"/>
    <cellStyle name="Normal 28 15 5" xfId="12708" xr:uid="{5838D4C5-2466-4DDC-93F8-3DD0B13BD0C0}"/>
    <cellStyle name="Normal 28 15 5 3" xfId="12709" xr:uid="{A2E803F9-AFC1-4C46-A66B-086391282C8B}"/>
    <cellStyle name="Normal 28 15 5 5" xfId="12710" xr:uid="{52AE4B47-2793-4B35-BA37-202FA16AB959}"/>
    <cellStyle name="Normal 28 15 5 6" xfId="12711" xr:uid="{D36A7143-1E2A-4E8F-A9D4-97756908174C}"/>
    <cellStyle name="Normal 28 15 6 2" xfId="12712" xr:uid="{6B7B79D3-9AED-47DB-86DD-342A44F4DB72}"/>
    <cellStyle name="Normal 28 15 6 6" xfId="12713" xr:uid="{A247F37D-46E2-47DC-ACD6-C5D6DB2375F5}"/>
    <cellStyle name="Normal 28 15 7" xfId="12714" xr:uid="{F22F2CBD-0D68-4CA3-AD6A-DABF8EF8CE7B}"/>
    <cellStyle name="Normal 28 15 7 2" xfId="12715" xr:uid="{07457959-3935-44D4-955A-6FE829A0CF55}"/>
    <cellStyle name="Normal 28 15 7 3" xfId="12716" xr:uid="{800EABE5-29C4-49D5-9A3C-F6309D88C749}"/>
    <cellStyle name="Normal 28 15 7 4" xfId="12717" xr:uid="{1CAACAD5-894F-499D-A22C-5E806477B2F4}"/>
    <cellStyle name="Normal 28 15 7 5" xfId="12718" xr:uid="{3FBE6778-DA03-4063-AF89-B5A73F6ADC2D}"/>
    <cellStyle name="Normal 28 15 7 6" xfId="12719" xr:uid="{669B4E9A-50B6-4804-8196-01822797D0E8}"/>
    <cellStyle name="Normal 28 15 8 2" xfId="12720" xr:uid="{F6A716B1-D6EB-40A9-AE53-BAFC613785E5}"/>
    <cellStyle name="Normal 28 15 8 5" xfId="12721" xr:uid="{9FAD81D2-201C-4914-BB92-A7E1EB74789B}"/>
    <cellStyle name="Normal 28 15 9" xfId="12722" xr:uid="{049E8A1E-8841-430B-9415-809AE355D68B}"/>
    <cellStyle name="Normal 28 16 12" xfId="12723" xr:uid="{5AEECBDE-6EC4-47EE-9FC7-1B9BEC450AA9}"/>
    <cellStyle name="Normal 28 16 2" xfId="12724" xr:uid="{8B20038D-3282-4E33-A2BF-0B6CFEB5E185}"/>
    <cellStyle name="Normal 28 16 2 3" xfId="12725" xr:uid="{BEC71D1D-2E4A-46A9-9A4E-D8A25F9EC2A5}"/>
    <cellStyle name="Normal 28 16 2 5" xfId="12726" xr:uid="{74CC4324-7C48-4EDC-8FF4-CCCDB1426003}"/>
    <cellStyle name="Normal 28 16 3" xfId="12727" xr:uid="{5490334F-3C6A-4DCC-A7DF-BD49636FE5B5}"/>
    <cellStyle name="Normal 28 16 3 3" xfId="12728" xr:uid="{5BE35014-75FB-4D8A-BAC2-A93880EA6DD3}"/>
    <cellStyle name="Normal 28 16 3 5" xfId="12729" xr:uid="{01BD30C7-D824-4390-8A5A-7A43CF57A0F1}"/>
    <cellStyle name="Normal 28 16 3 6" xfId="12730" xr:uid="{9654C973-1E9E-41D8-B3B8-8DF5B341D5AF}"/>
    <cellStyle name="Normal 28 16 4" xfId="12731" xr:uid="{E772929F-085F-431A-8923-CB1B379D53C5}"/>
    <cellStyle name="Normal 28 16 4 3" xfId="12732" xr:uid="{7D75BF2A-41EE-41A1-A877-F4E33B11315B}"/>
    <cellStyle name="Normal 28 16 4 4" xfId="12733" xr:uid="{556E4374-D956-4B57-B9F6-015C476EF1A7}"/>
    <cellStyle name="Normal 28 16 4 5" xfId="12734" xr:uid="{EAE1CA97-C307-4706-BDBF-9DDD5BD2D6D1}"/>
    <cellStyle name="Normal 28 16 5" xfId="12735" xr:uid="{442EC0D2-7C0B-4C2B-9796-1F514C3A31A6}"/>
    <cellStyle name="Normal 28 16 5 3" xfId="12736" xr:uid="{FAE23620-845C-4E9A-8084-8328CC44E56E}"/>
    <cellStyle name="Normal 28 16 5 5" xfId="12737" xr:uid="{62CEE9F5-3AEB-42D4-80CA-A51DBA842717}"/>
    <cellStyle name="Normal 28 16 5 6" xfId="12738" xr:uid="{548AA766-5BA9-4987-BE79-B498D1BEC9A8}"/>
    <cellStyle name="Normal 28 16 6 2" xfId="12739" xr:uid="{B49E85D8-AE8A-4F53-8A4B-327D70456951}"/>
    <cellStyle name="Normal 28 16 6 4" xfId="12740" xr:uid="{05D9BD71-EB32-479D-90DA-7CFFBAF54AE4}"/>
    <cellStyle name="Normal 28 16 6 6" xfId="12741" xr:uid="{C35AB1C9-1822-4706-B4FA-BE9C4371CCC1}"/>
    <cellStyle name="Normal 28 16 7 2" xfId="12742" xr:uid="{9EA02623-38EB-410D-AAE8-5B021475D2DE}"/>
    <cellStyle name="Normal 28 16 7 4" xfId="12743" xr:uid="{CA91D229-6E83-4480-807E-1565AF2F174B}"/>
    <cellStyle name="Normal 28 16 7 6" xfId="12744" xr:uid="{CCC217DB-3961-4861-BCB3-03FE13A5983D}"/>
    <cellStyle name="Normal 28 16 8 2" xfId="12745" xr:uid="{34F319AB-2098-4F2B-859F-5E8E76AC1190}"/>
    <cellStyle name="Normal 28 16 8 4" xfId="12746" xr:uid="{5344ABE4-1DF8-44C0-AD2E-0951E49F85B8}"/>
    <cellStyle name="Normal 28 16 8 6" xfId="12747" xr:uid="{0276EC17-9785-47DC-A225-3AD1C49AD6F1}"/>
    <cellStyle name="Normal 28 16 9" xfId="12748" xr:uid="{E4CB3769-51C7-48B6-8018-2C8E677A900F}"/>
    <cellStyle name="Normal 28 17 10" xfId="12749" xr:uid="{36714D8E-E2D4-436F-A5B5-26F8428B6DF6}"/>
    <cellStyle name="Normal 28 17 12" xfId="12750" xr:uid="{25AE5E75-C01B-4081-BBC5-326CABBA5773}"/>
    <cellStyle name="Normal 28 17 2" xfId="12751" xr:uid="{74F0924B-7DD1-4542-ABCF-DA3534596337}"/>
    <cellStyle name="Normal 28 17 2 3" xfId="12752" xr:uid="{529F91BC-8481-4651-A99B-C8FCE44372F5}"/>
    <cellStyle name="Normal 28 17 2 5" xfId="12753" xr:uid="{A6513716-2BC4-47DB-B0DC-9C64DE594A8B}"/>
    <cellStyle name="Normal 28 17 3" xfId="12754" xr:uid="{568C75CF-E874-438D-943D-98FE5C55C9C5}"/>
    <cellStyle name="Normal 28 17 3 3" xfId="12755" xr:uid="{6123825A-A28E-4736-9063-19667ECB587A}"/>
    <cellStyle name="Normal 28 17 3 5" xfId="12756" xr:uid="{4A364B7D-9048-47BE-BD05-F75A32FD1D39}"/>
    <cellStyle name="Normal 28 17 4 3" xfId="12757" xr:uid="{D5EAB037-3CB1-49C3-86D4-3D8F64518621}"/>
    <cellStyle name="Normal 28 17 5" xfId="12758" xr:uid="{116F87B4-30CF-42D5-92CA-3448155C4D1C}"/>
    <cellStyle name="Normal 28 17 5 5" xfId="12759" xr:uid="{6C0390A1-23A1-4A9F-B7C1-0628FEFB14A6}"/>
    <cellStyle name="Normal 28 17 6 3" xfId="12760" xr:uid="{69DF98C7-BC93-43FC-8FDE-BFECC3613343}"/>
    <cellStyle name="Normal 28 17 7" xfId="12761" xr:uid="{AEEFDD3A-D53B-453B-B6AB-17A7E5A6AAA7}"/>
    <cellStyle name="Normal 28 17 7 3" xfId="12762" xr:uid="{FCCB38A1-29CA-4AF7-8A64-472F0587C5FD}"/>
    <cellStyle name="Normal 28 17 7 5" xfId="12763" xr:uid="{07401CB6-7811-40F0-A773-2DB4824D55A2}"/>
    <cellStyle name="Normal 28 17 8" xfId="12764" xr:uid="{3B50669C-620D-4CE0-BDEC-459E1CB8E54A}"/>
    <cellStyle name="Normal 28 17 8 3" xfId="12765" xr:uid="{9329D9C9-C087-4646-B5E5-E891BD3403CC}"/>
    <cellStyle name="Normal 28 17 8 5" xfId="12766" xr:uid="{516B9CC8-158F-4D8D-A8B4-A560DA3383FE}"/>
    <cellStyle name="Normal 28 17 9" xfId="12767" xr:uid="{3D4B17AB-FC5E-4889-A2F3-825B4B18439F}"/>
    <cellStyle name="Normal 28 18 2" xfId="12768" xr:uid="{714B0FF5-4D5A-4413-892D-1E6C65B0E47E}"/>
    <cellStyle name="Normal 28 18 4" xfId="12769" xr:uid="{C825FC11-ED75-4A07-A69A-C9F10235DA94}"/>
    <cellStyle name="Normal 28 18 6" xfId="12770" xr:uid="{D010F5DC-62EF-427C-B504-628FE551264D}"/>
    <cellStyle name="Normal 28 19 2" xfId="12771" xr:uid="{553AB26A-10DD-4F50-B39E-B39221FDBB51}"/>
    <cellStyle name="Normal 28 19 3" xfId="12772" xr:uid="{CD5F1694-C987-4C8B-998E-B340C86AADF1}"/>
    <cellStyle name="Normal 28 19 4" xfId="12773" xr:uid="{D8D01976-1B28-4FA0-8CCE-D2866371490C}"/>
    <cellStyle name="Normal 28 19 5" xfId="12774" xr:uid="{E1A63AC1-DECA-4E4D-AC99-771EDC68B3BC}"/>
    <cellStyle name="Normal 28 19 6" xfId="12775" xr:uid="{2B8DCBF0-E1DA-462B-9A52-5F27030E14D6}"/>
    <cellStyle name="Normal 28 2" xfId="634" xr:uid="{A3B7C323-E764-4D28-9B34-C95AD9E500A3}"/>
    <cellStyle name="Normal 28 2 10" xfId="12776" xr:uid="{2E3494F9-8EC8-49E1-8AD6-0F819C372C59}"/>
    <cellStyle name="Normal 28 2 11" xfId="12777" xr:uid="{ADE66FAC-DF40-4999-8B7A-A35B0262540D}"/>
    <cellStyle name="Normal 28 2 13" xfId="12778" xr:uid="{37325FB8-3F96-4726-A333-16F68596CBC7}"/>
    <cellStyle name="Normal 28 2 2 2" xfId="12779" xr:uid="{783363A3-B310-4B0B-A929-BB0CB1402DE8}"/>
    <cellStyle name="Normal 28 2 2 4" xfId="12780" xr:uid="{6716C802-20E1-464F-AE4D-401B69D469DC}"/>
    <cellStyle name="Normal 28 2 2 6" xfId="12781" xr:uid="{3DD22A51-E6F8-4A2A-BDCE-079F028168C7}"/>
    <cellStyle name="Normal 28 2 3 2" xfId="12782" xr:uid="{B9C6A195-0CEA-4A37-AD0D-9C887EC18F46}"/>
    <cellStyle name="Normal 28 2 3 4" xfId="12783" xr:uid="{003AF9AA-AC32-46F3-B315-65ABEAC71B89}"/>
    <cellStyle name="Normal 28 2 3 6" xfId="12784" xr:uid="{8373D855-B5CF-43F3-8850-EAD0DED65508}"/>
    <cellStyle name="Normal 28 2 4 2" xfId="12785" xr:uid="{7A32CF2D-E6E0-47C3-AFA4-7A75FB5DBF79}"/>
    <cellStyle name="Normal 28 2 4 4" xfId="12786" xr:uid="{D1CB1A1B-2565-4F5D-87C6-C6629C39B3CA}"/>
    <cellStyle name="Normal 28 2 4 6" xfId="12787" xr:uid="{B7CC720B-7F58-46BC-810F-3445B12FA2D8}"/>
    <cellStyle name="Normal 28 2 5 2" xfId="12788" xr:uid="{0DB143E0-257C-4015-A132-16F35579DE1B}"/>
    <cellStyle name="Normal 28 2 5 4" xfId="12789" xr:uid="{1DD9CF42-6204-4EC7-B39B-83E3F937CAE2}"/>
    <cellStyle name="Normal 28 2 5 6" xfId="12790" xr:uid="{1544D924-E588-45B0-810F-793132BA6E62}"/>
    <cellStyle name="Normal 28 2 6 2" xfId="12791" xr:uid="{B23F2467-1FCD-456E-9DA1-90F3116E98DC}"/>
    <cellStyle name="Normal 28 2 6 4" xfId="12792" xr:uid="{FD1B86C9-64AD-41D0-9303-1EC9C77A9736}"/>
    <cellStyle name="Normal 28 2 6 6" xfId="12793" xr:uid="{15948823-B6B0-4DB1-BFDA-7804CC506710}"/>
    <cellStyle name="Normal 28 2 7 2" xfId="12794" xr:uid="{1F56EC1F-3F05-41F6-9C4C-6DC9CFF6868C}"/>
    <cellStyle name="Normal 28 2 7 4" xfId="12795" xr:uid="{F94A437A-0F1A-4E93-A12F-98CD155998A3}"/>
    <cellStyle name="Normal 28 2 7 5" xfId="12796" xr:uid="{1319B12F-28AE-4365-94E5-C2C53531171A}"/>
    <cellStyle name="Normal 28 2 8" xfId="12797" xr:uid="{D02127E6-753B-42C6-B1F1-B99284C778CF}"/>
    <cellStyle name="Normal 28 2 8 3" xfId="12798" xr:uid="{6D2CCBAE-8F5E-4D97-8C4D-B61EA0A1E462}"/>
    <cellStyle name="Normal 28 2 8 5" xfId="12799" xr:uid="{E016821F-4069-4CD2-9492-D4A65FB0ABE2}"/>
    <cellStyle name="Normal 28 2 9" xfId="12800" xr:uid="{BF3FCFD6-37DB-448B-ADE7-CEA2A1112644}"/>
    <cellStyle name="Normal 28 20 4" xfId="12801" xr:uid="{F9A74D27-D932-450B-A813-CACDDAF2B476}"/>
    <cellStyle name="Normal 28 20 6" xfId="12802" xr:uid="{A822563F-8A55-49F1-B04E-30B6421F6331}"/>
    <cellStyle name="Normal 28 21 2" xfId="12803" xr:uid="{5E6B9B77-23AC-42CA-B5D4-C718E522F8F0}"/>
    <cellStyle name="Normal 28 21 4" xfId="12804" xr:uid="{2128CA96-94F1-4F18-95A0-CA45301B3D28}"/>
    <cellStyle name="Normal 28 21 6" xfId="12805" xr:uid="{79DB6A18-2452-47F2-8CBC-93537834E59A}"/>
    <cellStyle name="Normal 28 22 2" xfId="12806" xr:uid="{607FFC0B-9528-48AA-A9E7-783F96084CFD}"/>
    <cellStyle name="Normal 28 22 6" xfId="12807" xr:uid="{DFF4B76A-B333-47DC-A830-229F3947DF24}"/>
    <cellStyle name="Normal 28 23 2" xfId="12808" xr:uid="{2FD5A915-3407-4071-8BF6-D78617E3879F}"/>
    <cellStyle name="Normal 28 23 4" xfId="12809" xr:uid="{1BF66156-BDCF-4159-8FD3-FF4DF5C98917}"/>
    <cellStyle name="Normal 28 23 6" xfId="12810" xr:uid="{3D64A975-E9C9-4346-B86A-0C4DDC34776C}"/>
    <cellStyle name="Normal 28 24 2" xfId="12811" xr:uid="{6121DADC-0F2C-4782-AA08-73B32FABE2F8}"/>
    <cellStyle name="Normal 28 24 4" xfId="12812" xr:uid="{F37C64F3-2E10-4F92-BD96-F1BD32E0F1F1}"/>
    <cellStyle name="Normal 28 26" xfId="12813" xr:uid="{86403062-0B9A-416B-9810-8B5043F4E627}"/>
    <cellStyle name="Normal 28 28" xfId="12814" xr:uid="{B073DE78-FE76-4006-A0D7-5B590BCD8A9E}"/>
    <cellStyle name="Normal 28 3" xfId="682" xr:uid="{AE16EA0E-6A94-4F35-9152-7158EC419BB4}"/>
    <cellStyle name="Normal 28 3 11" xfId="12815" xr:uid="{79CA19B0-5704-4B48-B098-283E7833E39F}"/>
    <cellStyle name="Normal 28 3 13" xfId="12816" xr:uid="{B8D1F8D4-E3D2-4ADA-B0BD-9C9787FD5F6A}"/>
    <cellStyle name="Normal 28 3 2" xfId="743" xr:uid="{97122B60-050C-4FE2-AC0A-5570AEF2733B}"/>
    <cellStyle name="Normal 28 3 2 3" xfId="12817" xr:uid="{1F716BCE-1AF7-4D02-834A-352DFE2BD619}"/>
    <cellStyle name="Normal 28 3 2 7" xfId="17326" xr:uid="{D72768C8-EE7A-4A48-B2D2-91F1D7386443}"/>
    <cellStyle name="Normal 28 3 3 2" xfId="12818" xr:uid="{0C618B65-B6BD-49E3-A378-F1657196EB8E}"/>
    <cellStyle name="Normal 28 3 3 4" xfId="12819" xr:uid="{FD89DE53-F442-4C68-A91A-D3D869E8C9C0}"/>
    <cellStyle name="Normal 28 3 3 6" xfId="12820" xr:uid="{4F7BF6F5-220D-41CF-A422-9B78EDFE0839}"/>
    <cellStyle name="Normal 28 3 4" xfId="841" xr:uid="{3FFB12A6-9FD8-4CE5-AABB-DE91D89052E7}"/>
    <cellStyle name="Normal 28 3 4 3" xfId="12821" xr:uid="{1858AFA4-B2BF-4DB6-85D5-F3646F43984D}"/>
    <cellStyle name="Normal 28 3 4 5" xfId="12822" xr:uid="{8CF0454E-133A-4E56-9BEA-B09D8C72CFA3}"/>
    <cellStyle name="Normal 28 3 5" xfId="826" xr:uid="{82795FE5-EBFB-4479-A792-FF96CA8CCCD4}"/>
    <cellStyle name="Normal 28 3 5 3" xfId="12823" xr:uid="{1F548464-F5FC-4262-A82D-79B725A40D92}"/>
    <cellStyle name="Normal 28 3 5 5" xfId="12824" xr:uid="{CB0C043E-D640-4C76-B69E-B919CB22AA9A}"/>
    <cellStyle name="Normal 28 3 6" xfId="12825" xr:uid="{DF3658BA-8542-4BC2-BAE5-E29FDA9AAE9A}"/>
    <cellStyle name="Normal 28 3 6 3" xfId="12826" xr:uid="{89B2F39F-5ECB-4565-8C12-E7BF05EDBBA2}"/>
    <cellStyle name="Normal 28 3 6 5" xfId="12827" xr:uid="{C992853B-8CB1-4759-9E35-246D89E51251}"/>
    <cellStyle name="Normal 28 3 7" xfId="12828" xr:uid="{701D7A7E-CD4A-4770-8B83-A845186D6909}"/>
    <cellStyle name="Normal 28 3 7 3" xfId="12829" xr:uid="{8814571C-18EE-4C99-8A06-0E6ED3359E5D}"/>
    <cellStyle name="Normal 28 3 7 5" xfId="12830" xr:uid="{8C191160-E566-4425-89CD-E665DBE652C5}"/>
    <cellStyle name="Normal 28 3 8" xfId="12831" xr:uid="{97AF062C-8DFD-4A74-82F8-8DEB5D412FDE}"/>
    <cellStyle name="Normal 28 3 8 3" xfId="12832" xr:uid="{A08A817E-3D17-443F-91EB-2D8074391C29}"/>
    <cellStyle name="Normal 28 3 8 5" xfId="12833" xr:uid="{76052EB0-F76E-472F-B018-6F38A391C4A8}"/>
    <cellStyle name="Normal 28 3 9" xfId="12834" xr:uid="{625A21F0-B67F-4621-8271-0ED54B0F815B}"/>
    <cellStyle name="Normal 28 4" xfId="726" xr:uid="{4542D067-CEBF-4D72-A93E-697F59F5805F}"/>
    <cellStyle name="Normal 28 4 11" xfId="12835" xr:uid="{EBBBF93E-9C09-4001-B137-CF641070E0D1}"/>
    <cellStyle name="Normal 28 4 13" xfId="12836" xr:uid="{F51FDA38-F462-454E-904E-814BFD3797F5}"/>
    <cellStyle name="Normal 28 4 2" xfId="872" xr:uid="{1A952878-5B5B-42D4-8A17-32669D06F671}"/>
    <cellStyle name="Normal 28 4 2 3" xfId="12837" xr:uid="{61294C3C-E5B5-4BF1-BE36-1988BB478267}"/>
    <cellStyle name="Normal 28 4 2 5" xfId="12838" xr:uid="{A266ED32-A33F-46CE-B25D-7E271953EECA}"/>
    <cellStyle name="Normal 28 4 3" xfId="12839" xr:uid="{A046AFEA-E5B2-49D8-AE75-65E83A75EC78}"/>
    <cellStyle name="Normal 28 4 3 2" xfId="12840" xr:uid="{C359CD28-5FF3-420C-B0FA-3B3F5B3204F1}"/>
    <cellStyle name="Normal 28 4 3 4" xfId="12841" xr:uid="{567BFD24-B471-4BB6-98A6-25102D85D093}"/>
    <cellStyle name="Normal 28 4 3 5" xfId="12842" xr:uid="{E2217D90-BC28-4E6A-A2B1-E8DA7F4700BA}"/>
    <cellStyle name="Normal 28 4 4" xfId="12843" xr:uid="{46D4809F-F717-4611-B3B5-AAF774A93668}"/>
    <cellStyle name="Normal 28 4 4 3" xfId="12844" xr:uid="{30E8BEDD-65F0-4E1D-886F-A78B89B6BF6F}"/>
    <cellStyle name="Normal 28 4 4 5" xfId="12845" xr:uid="{46F2EEAB-583A-49F3-AE49-438DC66D0C21}"/>
    <cellStyle name="Normal 28 4 5" xfId="12846" xr:uid="{DE52CAFA-CCEA-4879-B109-119DA87C7AC9}"/>
    <cellStyle name="Normal 28 4 5 3" xfId="12847" xr:uid="{60B49846-FBED-452B-B1D4-0F78D33C1C5C}"/>
    <cellStyle name="Normal 28 4 5 4" xfId="12848" xr:uid="{E3548194-04C8-412C-826F-F2F3695B67A3}"/>
    <cellStyle name="Normal 28 4 6 2" xfId="12849" xr:uid="{7E4B3EB3-D4EE-4DED-8516-C32870B6338C}"/>
    <cellStyle name="Normal 28 4 6 4" xfId="12850" xr:uid="{3D0D72B0-C20A-4433-8D81-5E6DB1222DF0}"/>
    <cellStyle name="Normal 28 4 6 6" xfId="12851" xr:uid="{150DBF39-19D4-432F-A230-E56E3C3A6F38}"/>
    <cellStyle name="Normal 28 4 7 2" xfId="12852" xr:uid="{C25686D1-7721-4AE4-B7DE-9F3ABAE94B73}"/>
    <cellStyle name="Normal 28 4 7 3" xfId="12853" xr:uid="{9852936B-63A1-41F7-B3B8-3AFFD2CE808C}"/>
    <cellStyle name="Normal 28 4 7 4" xfId="12854" xr:uid="{8FB278C5-34A8-4880-B923-3A9D58B89628}"/>
    <cellStyle name="Normal 28 4 7 5" xfId="12855" xr:uid="{AFAF5DDE-0DA5-4B1F-9F1A-FFB75458DD66}"/>
    <cellStyle name="Normal 28 4 7 6" xfId="12856" xr:uid="{C2674C85-ADF7-4E9B-BB8E-7B387AB1CF94}"/>
    <cellStyle name="Normal 28 4 8" xfId="12857" xr:uid="{E5D313C4-321D-4153-AB38-C75FC7F11238}"/>
    <cellStyle name="Normal 28 4 8 2" xfId="12858" xr:uid="{54842EFF-8233-48B0-A9C1-DE633D0F5B56}"/>
    <cellStyle name="Normal 28 4 8 3" xfId="12859" xr:uid="{94208635-4EA2-44C8-8D6E-B4081E2FB6C2}"/>
    <cellStyle name="Normal 28 4 8 4" xfId="12860" xr:uid="{7F286B42-C1CF-45AB-B144-8CB76768BACD}"/>
    <cellStyle name="Normal 28 4 8 5" xfId="12861" xr:uid="{EBC0FCC5-5276-4C62-A0D1-713017E3365D}"/>
    <cellStyle name="Normal 28 4 9" xfId="12862" xr:uid="{4EBA0745-0E3D-4DDF-915B-07459C030F46}"/>
    <cellStyle name="Normal 28 5 10" xfId="12863" xr:uid="{138E5AA9-7109-42FA-98BF-74DD07EEBB23}"/>
    <cellStyle name="Normal 28 5 12" xfId="12864" xr:uid="{9E0D3020-A492-441A-8E5D-154A7CA3F620}"/>
    <cellStyle name="Normal 28 5 14" xfId="17327" xr:uid="{B779E9A5-A68B-49AE-83CD-A7113FEF8067}"/>
    <cellStyle name="Normal 28 5 2" xfId="12865" xr:uid="{182AE2C8-A45C-476E-A4A2-83155C482524}"/>
    <cellStyle name="Normal 28 5 2 3" xfId="12866" xr:uid="{8C55DA1A-D91A-420D-BBDF-852C7BF73F14}"/>
    <cellStyle name="Normal 28 5 2 5" xfId="12867" xr:uid="{FA3348F2-E275-444A-8FDF-A850FD1A7BEC}"/>
    <cellStyle name="Normal 28 5 3" xfId="12868" xr:uid="{5EE0E29A-C532-46DC-B488-53BF6FEC715B}"/>
    <cellStyle name="Normal 28 5 3 3" xfId="12869" xr:uid="{287BBF84-6EAA-4254-83EE-F4CEFBDA24D0}"/>
    <cellStyle name="Normal 28 5 3 5" xfId="12870" xr:uid="{090D13CD-7E29-462E-A149-3FA352388B09}"/>
    <cellStyle name="Normal 28 5 3 6" xfId="12871" xr:uid="{0D84E721-F5AF-40D4-8214-066724A41E2D}"/>
    <cellStyle name="Normal 28 5 4 2" xfId="12872" xr:uid="{F55D8C2E-6FB4-477C-A956-B8197A71DF79}"/>
    <cellStyle name="Normal 28 5 4 4" xfId="12873" xr:uid="{9310746C-FE7C-479C-AEF3-AE0BD5A48C4D}"/>
    <cellStyle name="Normal 28 5 4 6" xfId="12874" xr:uid="{0248E140-A7B6-4638-9271-4644E3A51B8E}"/>
    <cellStyle name="Normal 28 5 5 2" xfId="12875" xr:uid="{C080826D-4BA4-4FB1-BA6E-C54AB4303FD7}"/>
    <cellStyle name="Normal 28 5 5 4" xfId="12876" xr:uid="{F5748FC7-EF86-4C98-B6A0-AB1A4A2E7F31}"/>
    <cellStyle name="Normal 28 5 5 5" xfId="12877" xr:uid="{FFFF64C5-CCEF-496F-8840-AC08B1AA954B}"/>
    <cellStyle name="Normal 28 5 6" xfId="12878" xr:uid="{D7A25261-2C38-4F31-A3AA-8339466B821E}"/>
    <cellStyle name="Normal 28 5 6 3" xfId="12879" xr:uid="{BC815BD0-53D7-45B3-8B5D-2CB2A5A5984C}"/>
    <cellStyle name="Normal 28 5 6 5" xfId="12880" xr:uid="{089D8C9E-8B26-4C53-9C14-F6B304E42C51}"/>
    <cellStyle name="Normal 28 5 7 2" xfId="12881" xr:uid="{C82FB32F-4782-454D-A7BB-92BE3DDE0547}"/>
    <cellStyle name="Normal 28 5 7 4" xfId="12882" xr:uid="{98734BC5-57C1-4D0A-9843-0DB337FD9158}"/>
    <cellStyle name="Normal 28 5 7 6" xfId="12883" xr:uid="{B2D483C1-87EE-4EE5-80CC-FBD2459FA05F}"/>
    <cellStyle name="Normal 28 5 8 2" xfId="12884" xr:uid="{5B0FB163-7391-4839-8051-0D9E98739877}"/>
    <cellStyle name="Normal 28 5 8 4" xfId="12885" xr:uid="{54E97287-6B14-423A-9304-C3CA761FF132}"/>
    <cellStyle name="Normal 28 5 8 6" xfId="12886" xr:uid="{5F6E3DCC-0ADE-4A14-81AD-AFC02DF424EC}"/>
    <cellStyle name="Normal 28 6" xfId="840" xr:uid="{7569A55B-3E63-44BC-91CA-463C9AA9175E}"/>
    <cellStyle name="Normal 28 6 11" xfId="12887" xr:uid="{8BEB21FA-973A-4C3E-A4FF-51A568D736BE}"/>
    <cellStyle name="Normal 28 6 13" xfId="12888" xr:uid="{1623E9DA-7A05-430C-8936-52C906033D27}"/>
    <cellStyle name="Normal 28 6 2 2" xfId="12889" xr:uid="{9815D04D-5052-4992-B5FD-4F49809377EB}"/>
    <cellStyle name="Normal 28 6 2 4" xfId="12890" xr:uid="{65DCD6D0-FF22-474D-B733-2EFE74622F8B}"/>
    <cellStyle name="Normal 28 6 2 6" xfId="12891" xr:uid="{BC6FCD45-C20F-4EC4-B4BE-699086456CFC}"/>
    <cellStyle name="Normal 28 6 3 2" xfId="12892" xr:uid="{6295F8F8-8221-4406-A396-CD88219C9A55}"/>
    <cellStyle name="Normal 28 6 3 4" xfId="12893" xr:uid="{8D1DE5D6-DD36-4E24-908F-51C7C9C33798}"/>
    <cellStyle name="Normal 28 6 3 6" xfId="12894" xr:uid="{04846EF3-D22C-4633-B0AB-BD09DCF53F64}"/>
    <cellStyle name="Normal 28 6 4 4" xfId="12895" xr:uid="{26133519-808E-46BD-97BA-18797145BA9D}"/>
    <cellStyle name="Normal 28 6 4 6" xfId="12896" xr:uid="{DE2B1AA3-D741-4902-85B6-3C248045C86C}"/>
    <cellStyle name="Normal 28 6 5 2" xfId="12897" xr:uid="{90D58D3E-518F-4AB5-87F3-2FB990641845}"/>
    <cellStyle name="Normal 28 6 5 4" xfId="12898" xr:uid="{7A0D323E-3535-4315-84EB-272BA107EEE2}"/>
    <cellStyle name="Normal 28 6 5 6" xfId="12899" xr:uid="{B45437F2-4AB4-4AC3-AFCD-A98BF0DA72D3}"/>
    <cellStyle name="Normal 28 6 6 2" xfId="12900" xr:uid="{C014FEC2-8B1C-4CAE-A93E-A6BD747FF58C}"/>
    <cellStyle name="Normal 28 6 6 4" xfId="12901" xr:uid="{F744F229-5E53-43BB-B270-8306A9A74984}"/>
    <cellStyle name="Normal 28 6 6 6" xfId="12902" xr:uid="{B2D852FD-FD0D-4489-A505-DDE22569ED4E}"/>
    <cellStyle name="Normal 28 6 7 2" xfId="12903" xr:uid="{0B30447A-3F72-4950-8126-7A822F05EAF2}"/>
    <cellStyle name="Normal 28 6 7 4" xfId="12904" xr:uid="{C1F9DBDD-A058-4663-BA58-092FD4AD172B}"/>
    <cellStyle name="Normal 28 6 7 6" xfId="12905" xr:uid="{E4218DF7-569A-4E26-B68A-4602B71B4CA8}"/>
    <cellStyle name="Normal 28 6 8" xfId="12906" xr:uid="{91B6FEA3-CFAC-4E99-BD4A-41842BD69247}"/>
    <cellStyle name="Normal 28 6 8 2" xfId="12907" xr:uid="{8AEFA86C-9BFE-4D69-87C0-960BB7D6EE70}"/>
    <cellStyle name="Normal 28 6 8 3" xfId="12908" xr:uid="{55C929F3-E8A2-4685-8A2A-32DAAAD4C1A5}"/>
    <cellStyle name="Normal 28 6 8 4" xfId="12909" xr:uid="{4F07495A-9B72-4D3E-BCDF-E31AC59D125F}"/>
    <cellStyle name="Normal 28 6 8 5" xfId="12910" xr:uid="{ADBC5ED1-00B6-427E-BBA6-0D9BB80AD150}"/>
    <cellStyle name="Normal 28 6 8 6" xfId="12911" xr:uid="{8CE91DBC-EB66-49B7-AA7F-607C2133F3B9}"/>
    <cellStyle name="Normal 28 6 9" xfId="12912" xr:uid="{B0F08B5E-8D5A-43A9-A13B-5719277DB5FE}"/>
    <cellStyle name="Normal 28 7" xfId="814" xr:uid="{ECFCDFEC-799F-48A4-9795-F198219C4805}"/>
    <cellStyle name="Normal 28 7 10" xfId="12913" xr:uid="{71CD13FA-F147-43B8-9317-B3777174389F}"/>
    <cellStyle name="Normal 28 7 11" xfId="12914" xr:uid="{6CEB9E2F-9542-455E-9597-B902B3E8CFA3}"/>
    <cellStyle name="Normal 28 7 12" xfId="12915" xr:uid="{D368789C-4F92-4643-9846-B39918A4BFB2}"/>
    <cellStyle name="Normal 28 7 2" xfId="12916" xr:uid="{A75AE675-A5EF-4A64-BD56-2466C075D135}"/>
    <cellStyle name="Normal 28 7 2 3" xfId="12917" xr:uid="{29A0918C-D064-466B-8AD1-2668F5C95AFF}"/>
    <cellStyle name="Normal 28 7 2 5" xfId="12918" xr:uid="{D0398163-362F-445E-B094-5B353828934F}"/>
    <cellStyle name="Normal 28 7 3" xfId="12919" xr:uid="{82B56B3D-F5C9-4B3B-B37C-D5D1CC829490}"/>
    <cellStyle name="Normal 28 7 3 3" xfId="12920" xr:uid="{E8633401-DE29-4305-A941-AB89E6C00AD7}"/>
    <cellStyle name="Normal 28 7 3 5" xfId="12921" xr:uid="{A887AE76-629A-4691-872E-0B40E1AA6862}"/>
    <cellStyle name="Normal 28 7 4" xfId="12922" xr:uid="{3F069B7D-14BB-4911-95FC-30513292D6AE}"/>
    <cellStyle name="Normal 28 7 4 3" xfId="12923" xr:uid="{76CBA55E-75C6-4764-B9D6-99363DC289DC}"/>
    <cellStyle name="Normal 28 7 4 5" xfId="12924" xr:uid="{C151E35A-1F4B-4B70-B06A-47338A4DE3A9}"/>
    <cellStyle name="Normal 28 7 5" xfId="12925" xr:uid="{CC5BD3FB-5DDD-493C-9B79-F94B06AEBA85}"/>
    <cellStyle name="Normal 28 7 5 3" xfId="12926" xr:uid="{7B5F672F-C4BB-4799-B24E-79C4E0EA0DE1}"/>
    <cellStyle name="Normal 28 7 5 5" xfId="12927" xr:uid="{21379091-164A-4E8C-BCA0-3B61BCBC1C77}"/>
    <cellStyle name="Normal 28 7 6" xfId="12928" xr:uid="{881C17BF-5662-440D-B047-4E43C35943CC}"/>
    <cellStyle name="Normal 28 7 6 3" xfId="12929" xr:uid="{16219B72-D6C1-4D72-9E45-54BDE72BA8BE}"/>
    <cellStyle name="Normal 28 7 6 5" xfId="12930" xr:uid="{6A494685-A684-4402-9E98-B73A4D5835FC}"/>
    <cellStyle name="Normal 28 7 7" xfId="12931" xr:uid="{FEA9F31A-078F-4642-BC5D-F4A03BB824DF}"/>
    <cellStyle name="Normal 28 7 7 3" xfId="12932" xr:uid="{E2A78F9D-C50D-4484-B4F7-F17CEF3D3D0D}"/>
    <cellStyle name="Normal 28 7 7 5" xfId="12933" xr:uid="{8290517B-977E-4B34-A579-5ACC7A5523D1}"/>
    <cellStyle name="Normal 28 7 8" xfId="12934" xr:uid="{77CD2E71-53EE-4C1D-955A-1F47ACBB6995}"/>
    <cellStyle name="Normal 28 7 8 3" xfId="12935" xr:uid="{AEC5B25A-9B48-48F4-A524-4EDB3FFECC9D}"/>
    <cellStyle name="Normal 28 7 8 5" xfId="12936" xr:uid="{FB105C3A-AEFD-4AC7-BF9B-47F1AE41EAB2}"/>
    <cellStyle name="Normal 28 7 9" xfId="12937" xr:uid="{3DD4ABB5-0847-423C-A68D-0D58FC51587C}"/>
    <cellStyle name="Normal 28 8 10" xfId="12938" xr:uid="{609E3413-9D09-428B-9D66-7BA5E53E0D44}"/>
    <cellStyle name="Normal 28 8 12" xfId="12939" xr:uid="{C439A5F8-455B-40CD-B427-F032D2C55922}"/>
    <cellStyle name="Normal 28 8 2" xfId="12940" xr:uid="{7DEA2E46-7088-4A03-92E7-029AE20950BF}"/>
    <cellStyle name="Normal 28 8 2 3" xfId="12941" xr:uid="{7C01957B-8611-40F4-921A-EE723CEE87F6}"/>
    <cellStyle name="Normal 28 8 2 5" xfId="12942" xr:uid="{1942F675-508B-4C1D-8036-A6DD2694E5D7}"/>
    <cellStyle name="Normal 28 8 3" xfId="12943" xr:uid="{E1783861-D9F6-4324-9D5B-20A9C8EB076E}"/>
    <cellStyle name="Normal 28 8 3 3" xfId="12944" xr:uid="{BED78F9B-715F-4529-97F2-86B0C626FDF4}"/>
    <cellStyle name="Normal 28 8 3 5" xfId="12945" xr:uid="{F1E00423-8344-4861-A19C-7868817D8298}"/>
    <cellStyle name="Normal 28 8 4" xfId="12946" xr:uid="{9B0D3876-7C93-4EE3-9F80-5C97024408FF}"/>
    <cellStyle name="Normal 28 8 4 3" xfId="12947" xr:uid="{91592918-E2C5-4146-964D-6625E343D643}"/>
    <cellStyle name="Normal 28 8 4 5" xfId="12948" xr:uid="{6194E637-254D-4641-A0CA-4D340950DF11}"/>
    <cellStyle name="Normal 28 8 5" xfId="12949" xr:uid="{774D8FCC-B2A9-473B-A4A0-0E5E719CC9F9}"/>
    <cellStyle name="Normal 28 8 5 3" xfId="12950" xr:uid="{CAB93BD6-F1FB-4203-B18D-4B52410A2D76}"/>
    <cellStyle name="Normal 28 8 5 5" xfId="12951" xr:uid="{B7DE7B39-EEF0-4366-97F2-4926DF9F9A7C}"/>
    <cellStyle name="Normal 28 8 6" xfId="12952" xr:uid="{98BD4854-B5E3-4BFB-84DD-98F60D1FFE11}"/>
    <cellStyle name="Normal 28 8 6 3" xfId="12953" xr:uid="{AD48C67A-942B-432D-BA98-57646D1EC10A}"/>
    <cellStyle name="Normal 28 8 6 5" xfId="12954" xr:uid="{30566F94-00F9-4097-80ED-3847C3B4C2D7}"/>
    <cellStyle name="Normal 28 8 7" xfId="12955" xr:uid="{6BA3A85A-5579-4C04-9DAC-7C547A846FB9}"/>
    <cellStyle name="Normal 28 8 7 3" xfId="12956" xr:uid="{02061769-8AC6-4F7C-B9D7-BBD6E5D07BCE}"/>
    <cellStyle name="Normal 28 8 7 5" xfId="12957" xr:uid="{5525C363-6D1E-4D79-BD83-643423468E1E}"/>
    <cellStyle name="Normal 28 8 8" xfId="12958" xr:uid="{992B95DB-90B2-42E2-8202-B0667C4F3BDD}"/>
    <cellStyle name="Normal 28 8 8 3" xfId="12959" xr:uid="{34951A5E-022E-4A44-9308-EB6BFDEDAFEA}"/>
    <cellStyle name="Normal 28 8 8 5" xfId="12960" xr:uid="{7E209833-3965-4280-B878-F1497E17814A}"/>
    <cellStyle name="Normal 28 8 9" xfId="12961" xr:uid="{F9AA8ABD-83CE-4BCB-A6A7-66A97F5546EB}"/>
    <cellStyle name="Normal 28 9 10" xfId="12962" xr:uid="{E11D5AA3-4346-4C21-A5AA-B38EA862B3C4}"/>
    <cellStyle name="Normal 28 9 11" xfId="12963" xr:uid="{0F894662-7D49-4041-8668-9AA0541D5F47}"/>
    <cellStyle name="Normal 28 9 13" xfId="12964" xr:uid="{19D3ECDE-46FF-422D-839C-ED36E16DB9D2}"/>
    <cellStyle name="Normal 28 9 2" xfId="12965" xr:uid="{79D851E0-4A58-4765-9629-BDA69BF6DF18}"/>
    <cellStyle name="Normal 28 9 2 3" xfId="12966" xr:uid="{91BA20F7-6AC8-4B1D-B199-6531DDB51075}"/>
    <cellStyle name="Normal 28 9 2 5" xfId="12967" xr:uid="{C5FE06A3-AA51-40EE-8B26-04A306D0FA04}"/>
    <cellStyle name="Normal 28 9 3" xfId="12968" xr:uid="{B07C3A20-2208-4DD0-B0A4-053937ED5934}"/>
    <cellStyle name="Normal 28 9 3 3" xfId="12969" xr:uid="{AAA611B0-505A-4CE1-9E20-A1B34718F461}"/>
    <cellStyle name="Normal 28 9 3 5" xfId="12970" xr:uid="{D67105B5-DF1F-4516-9D10-3898CDAF7CFF}"/>
    <cellStyle name="Normal 28 9 4" xfId="12971" xr:uid="{ED3A37F6-7F48-43B0-9E29-C0576D897F4B}"/>
    <cellStyle name="Normal 28 9 4 3" xfId="12972" xr:uid="{A4501A0B-F3A1-4D07-9414-CE50F9081E6B}"/>
    <cellStyle name="Normal 28 9 4 4" xfId="12973" xr:uid="{3A5C3CA7-05EA-4838-8DF5-D589F6BFE5E0}"/>
    <cellStyle name="Normal 28 9 4 5" xfId="12974" xr:uid="{DAF031C6-0269-4B51-8813-F14AB8FC277B}"/>
    <cellStyle name="Normal 28 9 5" xfId="12975" xr:uid="{745DBEA6-19C3-4D97-BE4A-AB1BB7645692}"/>
    <cellStyle name="Normal 28 9 5 2" xfId="12976" xr:uid="{FCE6394A-CD06-434B-8E02-3EA75B00F639}"/>
    <cellStyle name="Normal 28 9 5 3" xfId="12977" xr:uid="{76B1074C-8BB7-49D4-986A-A0F4BE915D95}"/>
    <cellStyle name="Normal 28 9 5 4" xfId="12978" xr:uid="{7E08D097-DF89-45BE-BF20-B0973C69B113}"/>
    <cellStyle name="Normal 28 9 5 5" xfId="12979" xr:uid="{A7BC10B3-FB04-4B4B-A250-A986C4B3C18F}"/>
    <cellStyle name="Normal 28 9 5 6" xfId="12980" xr:uid="{86BA4651-613A-4813-89ED-4717BD9D71C8}"/>
    <cellStyle name="Normal 28 9 6" xfId="12981" xr:uid="{7CCA935B-9A63-4175-9FDD-0B364AEB1BDF}"/>
    <cellStyle name="Normal 28 9 6 2" xfId="12982" xr:uid="{1A4670FC-55C9-42C5-A494-0E19C265B980}"/>
    <cellStyle name="Normal 28 9 6 3" xfId="12983" xr:uid="{06985818-2EE4-4273-A724-4E903C0AF717}"/>
    <cellStyle name="Normal 28 9 6 5" xfId="12984" xr:uid="{E16D0028-5387-484E-9340-A3129EC6ED23}"/>
    <cellStyle name="Normal 28 9 6 6" xfId="12985" xr:uid="{920CBC58-7F48-4583-8C47-C2D22ECE4463}"/>
    <cellStyle name="Normal 28 9 7" xfId="12986" xr:uid="{4A13F909-38F3-42F8-BFAC-8807A1678BF0}"/>
    <cellStyle name="Normal 28 9 7 2" xfId="12987" xr:uid="{B1D0F278-D66F-4347-B77A-B89247BC37D0}"/>
    <cellStyle name="Normal 28 9 7 4" xfId="12988" xr:uid="{63F38913-FE8C-4578-83BC-0D971E5050B8}"/>
    <cellStyle name="Normal 28 9 7 6" xfId="12989" xr:uid="{C562D9B6-F9E0-4180-AE03-D9D7DCB63A64}"/>
    <cellStyle name="Normal 28 9 8 2" xfId="12990" xr:uid="{9A7B8BA9-6AD6-4B40-A6C6-73F53A711B2F}"/>
    <cellStyle name="Normal 28 9 8 4" xfId="12991" xr:uid="{179A2EEE-5A40-4283-BB74-BC8588CB3D05}"/>
    <cellStyle name="Normal 28 9 8 6" xfId="12992" xr:uid="{3F9BA5A0-2862-4EC8-A2B8-E57FC492941B}"/>
    <cellStyle name="Normal 29" xfId="666" xr:uid="{A510C2D2-3E95-4694-BF44-7C5BDBC7AA9E}"/>
    <cellStyle name="Normal 29 10" xfId="12993" xr:uid="{7A9B4F73-28E4-4D2E-A16D-C0CF6CE559B3}"/>
    <cellStyle name="Normal 29 11" xfId="12994" xr:uid="{50DE8930-C458-41C2-8039-7C6CD8448F7A}"/>
    <cellStyle name="Normal 29 13" xfId="12995" xr:uid="{0434404F-069D-47E3-A8CB-9A6B0DC84551}"/>
    <cellStyle name="Normal 29 14" xfId="12996" xr:uid="{65584110-CF75-44B7-8A8C-820820107462}"/>
    <cellStyle name="Normal 29 16" xfId="12997" xr:uid="{2B177263-FD81-45EB-ACC2-6FEFE3816D20}"/>
    <cellStyle name="Normal 29 18" xfId="12998" xr:uid="{024EB8F8-52CC-4E9A-A952-5540A3036C47}"/>
    <cellStyle name="Normal 29 2" xfId="683" xr:uid="{93262BCF-8AF0-4FCE-8CFC-ACC9C5E993AA}"/>
    <cellStyle name="Normal 29 2 2 2" xfId="873" xr:uid="{32B1929D-FBAA-456D-A347-04E632109934}"/>
    <cellStyle name="Normal 29 2 3" xfId="874" xr:uid="{DA373EC9-B1D0-4526-BE91-D921F0D3D3D0}"/>
    <cellStyle name="Normal 29 2 4" xfId="842" xr:uid="{3AA3748D-103F-4A66-8505-F13CA51B233B}"/>
    <cellStyle name="Normal 29 2 6" xfId="17289" xr:uid="{F16C44FA-A17B-4EC4-8DE2-83A0D944A30F}"/>
    <cellStyle name="Normal 29 21" xfId="12999" xr:uid="{D84A222F-D273-487B-AF7A-B14BDC15BCCA}"/>
    <cellStyle name="Normal 29 22" xfId="13000" xr:uid="{1682E9EA-B2CA-4AC7-96D9-A1D8B5FA578C}"/>
    <cellStyle name="Normal 29 24" xfId="13001" xr:uid="{F9C3C6AD-F03A-417E-B63C-FEF993EC5025}"/>
    <cellStyle name="Normal 29 26" xfId="13002" xr:uid="{0AFFD047-76CD-4272-8C46-9FB326617F91}"/>
    <cellStyle name="Normal 29 27" xfId="13003" xr:uid="{FF461055-3579-4F96-BF32-38B3A3180582}"/>
    <cellStyle name="Normal 29 28" xfId="13004" xr:uid="{FBFC94E2-D3C6-456C-82E2-B81CA405C89E}"/>
    <cellStyle name="Normal 29 29" xfId="13005" xr:uid="{FDF81C0E-FA11-43C8-8EE6-461D18A17D29}"/>
    <cellStyle name="Normal 29 3" xfId="729" xr:uid="{580B5E2A-8AD5-4EDF-AB06-80E5C51B4CA3}"/>
    <cellStyle name="Normal 29 3 2" xfId="875" xr:uid="{89F1676E-CAAC-4A0E-94F8-2D22499FFC48}"/>
    <cellStyle name="Normal 29 30" xfId="13006" xr:uid="{F3F139ED-5706-4295-AE31-7FF01A736633}"/>
    <cellStyle name="Normal 29 32" xfId="13007" xr:uid="{86C7ED68-2B68-461F-88C7-7D3EB8D509A6}"/>
    <cellStyle name="Normal 29 34" xfId="13008" xr:uid="{6D10563C-091D-4251-9E53-11AA503A11E0}"/>
    <cellStyle name="Normal 29 36" xfId="13009" xr:uid="{F9C7A806-4BF7-45DC-92B1-702A137F209A}"/>
    <cellStyle name="Normal 29 38" xfId="13010" xr:uid="{E4147222-BD87-4FCC-953D-188E86BCC40E}"/>
    <cellStyle name="Normal 29 4" xfId="876" xr:uid="{16F502A5-C531-49B7-942F-2221C7F36003}"/>
    <cellStyle name="Normal 29 40" xfId="13011" xr:uid="{E1D12AA0-5DBE-48F8-99CE-4E3CC9B82FAB}"/>
    <cellStyle name="Normal 29 42" xfId="13012" xr:uid="{9A7CBC8D-2EFB-434A-9469-574C77B051FC}"/>
    <cellStyle name="Normal 29 44" xfId="17288" xr:uid="{9F977B0F-65CB-4CCE-A8F9-C54441474C58}"/>
    <cellStyle name="Normal 29 6" xfId="815" xr:uid="{C1B66731-FCF7-4F7C-9CC1-CA44415F985A}"/>
    <cellStyle name="Normal 29 8" xfId="13013" xr:uid="{9E7542E5-1B91-4C55-8E75-9CE256C9FD1C}"/>
    <cellStyle name="Normal 3" xfId="341" xr:uid="{196CEE2C-C8BA-45B8-8A15-E6BFDDED213A}"/>
    <cellStyle name="Normal 3 11" xfId="13014" xr:uid="{64D1FE94-8FE0-4AB8-A4ED-6DE4D6C86473}"/>
    <cellStyle name="Normal 3 13" xfId="13015" xr:uid="{0050AC30-F771-4F42-BB4A-7C5D430ED2B7}"/>
    <cellStyle name="Normal 3 15" xfId="13016" xr:uid="{8C1435AE-0917-46D8-82A6-5742E8F63DED}"/>
    <cellStyle name="Normal 3 17" xfId="13017" xr:uid="{F930A186-F302-4B09-B4A5-5A87D99BC8CF}"/>
    <cellStyle name="Normal 3 19" xfId="13018" xr:uid="{4A9D70F3-D40C-4D9C-A3E3-BC42106097EE}"/>
    <cellStyle name="Normal 3 2 10" xfId="13019" xr:uid="{8C1F2A7A-0FAC-490A-B72F-BFD3E596AC0E}"/>
    <cellStyle name="Normal 3 2 12" xfId="13020" xr:uid="{40AED5A2-74A6-4DEC-9DC1-6834A6A38BD3}"/>
    <cellStyle name="Normal 3 2 14" xfId="13021" xr:uid="{23120CED-D1D1-40C2-8D26-BCCBC92F77C5}"/>
    <cellStyle name="Normal 3 2 16" xfId="13022" xr:uid="{E088102C-49DC-4B61-977F-202C23A93CCF}"/>
    <cellStyle name="Normal 3 2 18" xfId="13023" xr:uid="{E96BF3F7-82E5-44FC-9A17-8965C7F5C6F8}"/>
    <cellStyle name="Normal 3 2 2" xfId="13024" xr:uid="{A4CBDB1F-4CF6-451F-A4BC-C0B13C479246}"/>
    <cellStyle name="Normal 3 2 21" xfId="13025" xr:uid="{DB9F10ED-B07A-462D-9523-C712EB4B5F42}"/>
    <cellStyle name="Normal 3 2 23" xfId="13026" xr:uid="{6818E145-9500-4455-A025-0D1C90AC088B}"/>
    <cellStyle name="Normal 3 2 25" xfId="13027" xr:uid="{86610422-020F-447C-8055-B48A806C17C1}"/>
    <cellStyle name="Normal 3 2 27" xfId="13028" xr:uid="{1FAB907F-4F82-4966-867F-89F52FC449FC}"/>
    <cellStyle name="Normal 3 2 29" xfId="13029" xr:uid="{34C5C299-41FC-4DA9-842E-2B8B55A91186}"/>
    <cellStyle name="Normal 3 2 30" xfId="13030" xr:uid="{BD015492-EBF3-479D-88CC-9096FF25BC72}"/>
    <cellStyle name="Normal 3 2 32" xfId="13031" xr:uid="{94885000-4DB3-4A2C-BDD6-E9156181932A}"/>
    <cellStyle name="Normal 3 2 34" xfId="13032" xr:uid="{CB3A8C4D-9CAE-4F1E-A4D0-5C6D2ED2C15E}"/>
    <cellStyle name="Normal 3 2 36" xfId="13033" xr:uid="{AE99A5B6-4D9C-41A4-98B6-09116D439DFE}"/>
    <cellStyle name="Normal 3 2 38" xfId="13034" xr:uid="{389DFA9B-67DD-4FFC-A19A-FCA1E9E9BA00}"/>
    <cellStyle name="Normal 3 2 4" xfId="13035" xr:uid="{2EBD0A29-61DF-493D-A409-7042B11195CC}"/>
    <cellStyle name="Normal 3 2 41" xfId="13036" xr:uid="{8D156D79-76ED-4C62-8320-65ECD787A94F}"/>
    <cellStyle name="Normal 3 2 43" xfId="13037" xr:uid="{7C1D2520-C426-4579-9DD3-5AFF04FBF9B7}"/>
    <cellStyle name="Normal 3 2 45" xfId="13038" xr:uid="{EDF8E450-C811-47C3-B108-343D1B160334}"/>
    <cellStyle name="Normal 3 2 5" xfId="13039" xr:uid="{E4D1A532-3654-4EF7-BDAC-320F32EACB7B}"/>
    <cellStyle name="Normal 3 2 7" xfId="13040" xr:uid="{0A6BEACA-6294-4D78-A5E4-ADE9D60206D9}"/>
    <cellStyle name="Normal 3 2 9" xfId="13041" xr:uid="{1A813929-DC4D-448F-9B2A-16EBC104C08C}"/>
    <cellStyle name="Normal 3 21" xfId="13042" xr:uid="{7A811E70-BF61-474B-B392-AF391FD5F582}"/>
    <cellStyle name="Normal 3 23" xfId="13043" xr:uid="{64A6D987-0834-46DD-A181-68553C863FAF}"/>
    <cellStyle name="Normal 3 25" xfId="13044" xr:uid="{3C587A6C-2440-48EF-99FF-589F9D39D4FE}"/>
    <cellStyle name="Normal 3 27" xfId="13045" xr:uid="{69115D93-A20D-4250-A0F1-A03C69A19377}"/>
    <cellStyle name="Normal 3 29" xfId="13046" xr:uid="{ABD98C2A-B033-4DF4-846D-EF665E6F960F}"/>
    <cellStyle name="Normal 3 3 2" xfId="13047" xr:uid="{DD8F8466-216A-4E1F-BF58-66391B082E15}"/>
    <cellStyle name="Normal 3 31" xfId="13048" xr:uid="{98EC2828-A9EF-400A-A205-FB0A9D067F8E}"/>
    <cellStyle name="Normal 3 32" xfId="13049" xr:uid="{7AB2D935-3017-4B66-8EC1-219967C4ADA1}"/>
    <cellStyle name="Normal 3 33" xfId="13050" xr:uid="{D32174BA-6B34-4FE6-9E5B-B3D16158BBD6}"/>
    <cellStyle name="Normal 3 34" xfId="13051" xr:uid="{5BB45F72-DDB8-44FA-92C1-ED4881CE1648}"/>
    <cellStyle name="Normal 3 36" xfId="13052" xr:uid="{E916E3E2-6A12-4431-B8C7-31844043B349}"/>
    <cellStyle name="Normal 3 38" xfId="13053" xr:uid="{1E3A36DD-B89C-4CBB-A686-4D57E31E25A4}"/>
    <cellStyle name="Normal 3 4" xfId="656" xr:uid="{86401479-6CFA-4120-9A69-3C1680B3354C}"/>
    <cellStyle name="Normal 3 40" xfId="13054" xr:uid="{20C251BA-F3B3-42BB-BDDF-BC4F943D88B3}"/>
    <cellStyle name="Normal 3 42" xfId="13055" xr:uid="{8C694DAE-D39B-44C7-9D42-B1E342E3F325}"/>
    <cellStyle name="Normal 3 44" xfId="13056" xr:uid="{CAD1F3CB-8D2E-4180-8D25-E83F88B0829C}"/>
    <cellStyle name="Normal 3 46" xfId="13057" xr:uid="{93AC8EEB-CFD9-491A-9939-CD64E4D736EA}"/>
    <cellStyle name="Normal 3 48" xfId="13058" xr:uid="{9B641063-DE1A-4915-A17B-8F3EE322DFD8}"/>
    <cellStyle name="Normal 3 5" xfId="13059" xr:uid="{E7FF227A-F7E0-42A7-82DA-257ACB698836}"/>
    <cellStyle name="Normal 3 5 3" xfId="13060" xr:uid="{E52F025A-5417-4499-A948-FE9CD5C885B2}"/>
    <cellStyle name="Normal 3 51" xfId="13061" xr:uid="{6C50343F-435F-4CDA-B2C2-894C74F4F9FE}"/>
    <cellStyle name="Normal 3 6 2" xfId="13062" xr:uid="{8AA95D4C-160A-462A-BCC3-422760F6412C}"/>
    <cellStyle name="Normal 3 7 2" xfId="13063" xr:uid="{0473AFC5-C24F-469F-9135-53AE8D16A9B0}"/>
    <cellStyle name="Normal 3 7 2 2 2" xfId="13064" xr:uid="{8BCE5CEE-8FFC-42F4-A949-125EEE05D6A0}"/>
    <cellStyle name="Normal 3 7 2 2 3" xfId="13065" xr:uid="{EEF63673-32DB-4E0A-ADAD-FCE33CD4CB05}"/>
    <cellStyle name="Normal 3 7 2 3 2" xfId="13066" xr:uid="{DC69120E-88FF-4652-9671-F53D74FA7D9A}"/>
    <cellStyle name="Normal 3 7 4" xfId="13067" xr:uid="{FD82476E-2019-4E49-9F32-0F538F964C56}"/>
    <cellStyle name="Normal 3 7 5" xfId="13068" xr:uid="{B5C70EFF-D5B3-4E75-A57C-1A1174F3D3BE}"/>
    <cellStyle name="Normal 3 9" xfId="13069" xr:uid="{018AB6AD-7A58-4C37-A021-B86B26C1DC7F}"/>
    <cellStyle name="Normal 30" xfId="667" xr:uid="{4C0E6368-E5CE-4C1E-90EC-76C35F94C2EB}"/>
    <cellStyle name="Normal 30 10 10" xfId="13070" xr:uid="{A9C09504-BAC9-4A12-9EBB-4EA272D30439}"/>
    <cellStyle name="Normal 30 10 12" xfId="13071" xr:uid="{493D9EA8-9BDF-40DD-9E59-2F2D97131838}"/>
    <cellStyle name="Normal 30 10 2" xfId="13072" xr:uid="{9D7B3A26-079C-494C-87BA-DF5FD6274305}"/>
    <cellStyle name="Normal 30 10 2 3" xfId="13073" xr:uid="{873DE901-2235-4291-BFFE-7697AE1ED94C}"/>
    <cellStyle name="Normal 30 10 2 5" xfId="13074" xr:uid="{5860FB00-F806-450F-A225-53D4F3DE0AD6}"/>
    <cellStyle name="Normal 30 10 3" xfId="13075" xr:uid="{A0EFA78E-CFB3-4731-8F54-43569D348BD9}"/>
    <cellStyle name="Normal 30 10 3 3" xfId="13076" xr:uid="{40EFB094-D41D-40DD-AA30-C072364E5975}"/>
    <cellStyle name="Normal 30 10 3 5" xfId="13077" xr:uid="{02A43007-88F1-4778-BB38-5DB3D530CA82}"/>
    <cellStyle name="Normal 30 10 4" xfId="13078" xr:uid="{D0F63B31-21EC-4E6D-BF9A-790143B532A0}"/>
    <cellStyle name="Normal 30 10 4 3" xfId="13079" xr:uid="{805AFD1E-7668-4A3F-AF6E-B2CE1763397D}"/>
    <cellStyle name="Normal 30 10 4 5" xfId="13080" xr:uid="{CC729EA8-E340-455A-BE31-26DF647FC38B}"/>
    <cellStyle name="Normal 30 10 5" xfId="13081" xr:uid="{A13980E6-EDEF-43BC-8D5B-7201128CBF5F}"/>
    <cellStyle name="Normal 30 10 5 3" xfId="13082" xr:uid="{B21EE29E-72EB-4032-A18F-31D2E0A2C3CD}"/>
    <cellStyle name="Normal 30 10 5 5" xfId="13083" xr:uid="{E79C403C-52DC-4003-A811-5D5F8DCB9704}"/>
    <cellStyle name="Normal 30 10 6" xfId="13084" xr:uid="{99FA2AC3-88D9-4EE3-920E-EBD6227E702B}"/>
    <cellStyle name="Normal 30 10 6 3" xfId="13085" xr:uid="{5EEEE7D8-EBA2-4A32-93C8-05199F76D4C1}"/>
    <cellStyle name="Normal 30 10 6 5" xfId="13086" xr:uid="{FBF17DDE-7C0E-4DEF-80BE-044C7ABFCF9E}"/>
    <cellStyle name="Normal 30 10 7" xfId="13087" xr:uid="{5F63E2D2-C40A-4FB9-80FF-7AC21754C302}"/>
    <cellStyle name="Normal 30 10 7 3" xfId="13088" xr:uid="{3CE8F476-2F2E-4B2A-80F2-B4232EAA114C}"/>
    <cellStyle name="Normal 30 10 7 5" xfId="13089" xr:uid="{92193DEC-898F-4625-9C14-C1584E87B334}"/>
    <cellStyle name="Normal 30 10 8" xfId="13090" xr:uid="{F812A22E-08CF-4B0E-AC10-39166FC74852}"/>
    <cellStyle name="Normal 30 10 8 3" xfId="13091" xr:uid="{6D42DE8B-BA56-4A7E-8A54-74A99318748F}"/>
    <cellStyle name="Normal 30 10 8 5" xfId="13092" xr:uid="{830586D4-FFB6-4928-83AE-E989E009710F}"/>
    <cellStyle name="Normal 30 10 9" xfId="13093" xr:uid="{82BA3A76-1640-4A3D-B774-D38723EF7ADC}"/>
    <cellStyle name="Normal 30 11 10" xfId="13094" xr:uid="{3CFC17E3-3B53-45A0-BFCA-D494A6865AD7}"/>
    <cellStyle name="Normal 30 11 12" xfId="13095" xr:uid="{256DDFE4-F4BD-44EC-8F76-713927DD8E27}"/>
    <cellStyle name="Normal 30 11 2" xfId="13096" xr:uid="{69971C3D-1790-41B6-8B26-471D7DC6F3CB}"/>
    <cellStyle name="Normal 30 11 2 3" xfId="13097" xr:uid="{6398AAE8-F769-4CD5-82DC-49DBFE975A1D}"/>
    <cellStyle name="Normal 30 11 2 5" xfId="13098" xr:uid="{CDB6AD7E-7B24-4DE4-B21C-80D6F97E5907}"/>
    <cellStyle name="Normal 30 11 3" xfId="13099" xr:uid="{D3315AC1-6184-4A5A-B9C0-CC039D12F852}"/>
    <cellStyle name="Normal 30 11 3 3" xfId="13100" xr:uid="{E7850030-6B4F-489C-B310-2F7057E89337}"/>
    <cellStyle name="Normal 30 11 3 5" xfId="13101" xr:uid="{5F07F4D0-FE85-449E-B9DE-4FE3CDA8BE3A}"/>
    <cellStyle name="Normal 30 11 4" xfId="13102" xr:uid="{3B11EBAE-DACE-4ED7-AE46-C4489BB9B351}"/>
    <cellStyle name="Normal 30 11 4 3" xfId="13103" xr:uid="{20C645F7-187E-4D1F-AC28-9E8BBE6C2FBC}"/>
    <cellStyle name="Normal 30 11 4 5" xfId="13104" xr:uid="{CE4B795A-5E9F-47C1-A38F-84F45AB78F26}"/>
    <cellStyle name="Normal 30 11 5" xfId="13105" xr:uid="{FB071261-4533-43B4-A938-84A418E2396C}"/>
    <cellStyle name="Normal 30 11 5 3" xfId="13106" xr:uid="{C8DA4CDC-21B2-4505-AF6B-004979BB7728}"/>
    <cellStyle name="Normal 30 11 5 5" xfId="13107" xr:uid="{549CF169-2D75-48F6-9A71-B97CAE0339E6}"/>
    <cellStyle name="Normal 30 11 6" xfId="13108" xr:uid="{B6B4B913-72E5-473A-837A-F7A1E71E8F9F}"/>
    <cellStyle name="Normal 30 11 6 3" xfId="13109" xr:uid="{57C6F494-27A1-44BC-9F80-D5C98A2A3806}"/>
    <cellStyle name="Normal 30 11 6 5" xfId="13110" xr:uid="{2D513A7C-4B36-44AD-B663-C082FB7540DE}"/>
    <cellStyle name="Normal 30 11 7" xfId="13111" xr:uid="{5048FE2E-EA0C-4467-8FCD-CF780986590D}"/>
    <cellStyle name="Normal 30 11 7 3" xfId="13112" xr:uid="{691FDC7D-1424-4BD3-AE67-B7FC572DF548}"/>
    <cellStyle name="Normal 30 11 7 5" xfId="13113" xr:uid="{9D5E754F-A052-48C1-8E36-DD4CFB9C7ED8}"/>
    <cellStyle name="Normal 30 11 8" xfId="13114" xr:uid="{C192C8D1-DAD3-45E1-90DF-A28902DC1122}"/>
    <cellStyle name="Normal 30 11 8 3" xfId="13115" xr:uid="{BFBB1E5A-74F3-411A-A7CB-2AAB393BABE2}"/>
    <cellStyle name="Normal 30 11 8 5" xfId="13116" xr:uid="{E7F666F6-044C-4BEC-BB97-DA8B96CF837D}"/>
    <cellStyle name="Normal 30 11 9" xfId="13117" xr:uid="{1E8332B2-B4DD-4EDD-8C19-72183AF8B222}"/>
    <cellStyle name="Normal 30 12 2" xfId="13118" xr:uid="{AE3C4E13-79AE-4786-838A-7ABE56EEA621}"/>
    <cellStyle name="Normal 30 12 4" xfId="13119" xr:uid="{F7AD0011-E247-4134-BFA8-0236020DB777}"/>
    <cellStyle name="Normal 30 12 6" xfId="13120" xr:uid="{853F5953-E247-44E6-8C61-8560D3E54095}"/>
    <cellStyle name="Normal 30 13 2" xfId="13121" xr:uid="{F6987010-D15F-4766-9CF2-C6A16A634CF7}"/>
    <cellStyle name="Normal 30 13 4" xfId="13122" xr:uid="{F23FEE19-8341-4B36-BB6C-FB1E60A319CB}"/>
    <cellStyle name="Normal 30 13 6" xfId="13123" xr:uid="{F7043413-CDD7-4A5C-B2F0-1B35DD16B400}"/>
    <cellStyle name="Normal 30 14 2" xfId="13124" xr:uid="{ADCBCFD6-E186-4EC9-B7D4-FE826B47E163}"/>
    <cellStyle name="Normal 30 14 4" xfId="13125" xr:uid="{6BAA0301-7CBE-4F4E-8589-9E48525DB2D5}"/>
    <cellStyle name="Normal 30 14 6" xfId="13126" xr:uid="{3C0EDF59-54B5-4B03-8E05-A0BD80B1C8DF}"/>
    <cellStyle name="Normal 30 15 2" xfId="13127" xr:uid="{FC7C1966-D25A-413E-8093-A646E66AB2C7}"/>
    <cellStyle name="Normal 30 15 4" xfId="13128" xr:uid="{02900A34-FD3B-450F-BEBE-1BDBC3D4033E}"/>
    <cellStyle name="Normal 30 15 6" xfId="13129" xr:uid="{5A67EAD1-505B-4B9C-9575-27C104496B5C}"/>
    <cellStyle name="Normal 30 16 2" xfId="13130" xr:uid="{E4228254-1394-4D60-A2D1-525DC1890355}"/>
    <cellStyle name="Normal 30 16 4" xfId="13131" xr:uid="{B0EDD57C-446B-440B-AEBD-AE4F0182161E}"/>
    <cellStyle name="Normal 30 16 6" xfId="13132" xr:uid="{1B2BCA72-C0E1-44B9-A4CB-480383D2239A}"/>
    <cellStyle name="Normal 30 17 2" xfId="13133" xr:uid="{CAA5DAFC-259F-43C4-B198-7BE689B9BD4C}"/>
    <cellStyle name="Normal 30 17 4" xfId="13134" xr:uid="{CC8C7F4E-E79D-4A6D-A428-81641B9DB815}"/>
    <cellStyle name="Normal 30 17 6" xfId="13135" xr:uid="{3823D75A-3B73-4CEB-AEB7-7127ED6DB4DD}"/>
    <cellStyle name="Normal 30 18 2" xfId="13136" xr:uid="{72A9C14A-1459-4442-AE39-48EA0D0B1B41}"/>
    <cellStyle name="Normal 30 18 6" xfId="13137" xr:uid="{0E2CBA61-AEBE-4A77-98EA-623392D217AD}"/>
    <cellStyle name="Normal 30 2" xfId="685" xr:uid="{6C763113-3B5A-4E4B-BC07-2516E26D002B}"/>
    <cellStyle name="Normal 30 2 11" xfId="13138" xr:uid="{DDCE1611-6055-4512-B01E-DB4E766CB691}"/>
    <cellStyle name="Normal 30 2 13" xfId="13139" xr:uid="{F9BA7B2B-2A0B-4CBF-B459-FDA3D12EFB6E}"/>
    <cellStyle name="Normal 30 2 2" xfId="745" xr:uid="{89058D25-7F68-4A64-8B37-FD10C8EBFA8A}"/>
    <cellStyle name="Normal 30 2 2 3" xfId="13140" xr:uid="{6C3D55CA-2A96-4AC2-BB0F-3D5BE7D07C1B}"/>
    <cellStyle name="Normal 30 2 2 5" xfId="13141" xr:uid="{58EF99FB-5CAE-45E0-9A85-2EC4249A7736}"/>
    <cellStyle name="Normal 30 2 2 7" xfId="17328" xr:uid="{C62019D9-131F-4D25-89F4-F6FEE1929848}"/>
    <cellStyle name="Normal 30 2 3 2" xfId="13142" xr:uid="{EC1AC8EF-80E9-464A-B3D0-4859B04BD27C}"/>
    <cellStyle name="Normal 30 2 3 4" xfId="13143" xr:uid="{F63E4817-C38D-461C-9A67-D764581EE215}"/>
    <cellStyle name="Normal 30 2 3 6" xfId="13144" xr:uid="{17A2D211-1C31-4D6B-A0DF-02D794DBB7E0}"/>
    <cellStyle name="Normal 30 2 4" xfId="843" xr:uid="{D73E7205-1E9D-4150-9C58-2324BB42DE6E}"/>
    <cellStyle name="Normal 30 2 4 3" xfId="13145" xr:uid="{D3AF707A-D1D4-4F6F-A884-D655ABB1580A}"/>
    <cellStyle name="Normal 30 2 4 5" xfId="13146" xr:uid="{6B0F00BB-3CE0-4B5F-8A80-9081E3B11B72}"/>
    <cellStyle name="Normal 30 2 5" xfId="828" xr:uid="{B5A94628-3939-41EB-8CC2-2D86F197EA4B}"/>
    <cellStyle name="Normal 30 2 5 3" xfId="13147" xr:uid="{A542D290-009C-40D3-8018-CE6AF354D06E}"/>
    <cellStyle name="Normal 30 2 5 5" xfId="13148" xr:uid="{D14996E6-BE11-4639-89C4-6444EA86F70C}"/>
    <cellStyle name="Normal 30 2 6" xfId="13149" xr:uid="{216A235F-1B62-4F8E-8BB3-1F04D5B54228}"/>
    <cellStyle name="Normal 30 2 6 3" xfId="13150" xr:uid="{839E8544-3E86-4C65-89E6-629AFDC0EC3D}"/>
    <cellStyle name="Normal 30 2 6 5" xfId="13151" xr:uid="{9D32ED99-156C-4CA0-BC3F-0B5D001ED125}"/>
    <cellStyle name="Normal 30 2 7" xfId="13152" xr:uid="{1FBBAA47-FAA3-4F1E-A53F-CA8D78C2319D}"/>
    <cellStyle name="Normal 30 2 7 3" xfId="13153" xr:uid="{4BEDE182-CE16-4088-9C9D-802A04FA83E2}"/>
    <cellStyle name="Normal 30 2 7 5" xfId="13154" xr:uid="{909E51EA-94D2-4AEE-B732-11BF4EE32015}"/>
    <cellStyle name="Normal 30 2 8" xfId="13155" xr:uid="{D0DE8CD6-E17A-45CB-A425-FDAE43C7390E}"/>
    <cellStyle name="Normal 30 2 8 3" xfId="13156" xr:uid="{0AFF06BA-0833-4959-9983-78600BB6550D}"/>
    <cellStyle name="Normal 30 2 8 5" xfId="13157" xr:uid="{73F389F6-00FD-4C1E-AFB7-C5E430F0111A}"/>
    <cellStyle name="Normal 30 2 9" xfId="13158" xr:uid="{53071B1D-A69B-495B-9688-3577B4A15159}"/>
    <cellStyle name="Normal 30 21" xfId="13159" xr:uid="{90EEDCAA-43C6-4BD0-9E72-BAC8DE6BAF47}"/>
    <cellStyle name="Normal 30 23" xfId="13160" xr:uid="{A2289AEE-78B6-47E3-B1C3-B08799733B94}"/>
    <cellStyle name="Normal 30 3" xfId="730" xr:uid="{E9A5EAC0-3458-496B-AD8E-55E55ACDEF72}"/>
    <cellStyle name="Normal 30 3 11" xfId="13161" xr:uid="{5104CACD-1E92-465B-BC0E-82FD014C7F5E}"/>
    <cellStyle name="Normal 30 3 13" xfId="13162" xr:uid="{02212185-5B5E-4B51-9E47-6B8A44359E05}"/>
    <cellStyle name="Normal 30 3 2" xfId="877" xr:uid="{8483EE47-CFB8-440D-B8B3-6E33280C3AAB}"/>
    <cellStyle name="Normal 30 3 2 3" xfId="13163" xr:uid="{0A581725-2FC6-428E-A746-79B9F31B220C}"/>
    <cellStyle name="Normal 30 3 2 5" xfId="13164" xr:uid="{A59BCE76-34C6-4019-845F-E516BF94E97C}"/>
    <cellStyle name="Normal 30 3 3" xfId="13165" xr:uid="{C6A12CE4-41EA-4136-85AF-716C2E6E4992}"/>
    <cellStyle name="Normal 30 3 3 5" xfId="13166" xr:uid="{15662502-3818-4369-B549-BF6C7501DF99}"/>
    <cellStyle name="Normal 30 3 4 3" xfId="13167" xr:uid="{CB5C4377-3913-4B89-BB39-F74AD46F51F1}"/>
    <cellStyle name="Normal 30 3 5" xfId="13168" xr:uid="{24EB0881-0F99-43FD-BF3A-06442EC2ED81}"/>
    <cellStyle name="Normal 30 3 5 5" xfId="13169" xr:uid="{32CC77E1-1B6C-41AA-AEE0-2085AEF69800}"/>
    <cellStyle name="Normal 30 3 6 3" xfId="13170" xr:uid="{B9B98715-FB8F-4ADD-890E-EFD68065FADB}"/>
    <cellStyle name="Normal 30 3 7" xfId="13171" xr:uid="{F989546B-1E6B-4CEA-963B-8CBD7E57D172}"/>
    <cellStyle name="Normal 30 3 7 5" xfId="13172" xr:uid="{B1EA13D3-DAFE-42E6-8D59-8E5B956F50C6}"/>
    <cellStyle name="Normal 30 3 8 3" xfId="13173" xr:uid="{65B6F727-54C2-4AAD-AA58-2DFA13FD40F4}"/>
    <cellStyle name="Normal 30 3 9" xfId="13174" xr:uid="{AB37B42C-0B6F-4234-B468-62230F579B23}"/>
    <cellStyle name="Normal 30 4 12" xfId="13175" xr:uid="{83A2813C-7A48-47B2-AF23-9DFA191ADC1E}"/>
    <cellStyle name="Normal 30 4 2 2" xfId="13176" xr:uid="{EC5C8C1C-1AB7-44B0-9292-827B2928110B}"/>
    <cellStyle name="Normal 30 4 2 6" xfId="13177" xr:uid="{E1A94642-141B-47C6-8521-675CFA97BFC4}"/>
    <cellStyle name="Normal 30 4 3 4" xfId="13178" xr:uid="{33B6F3A4-0AEA-47F9-8572-6AB914687DE1}"/>
    <cellStyle name="Normal 30 4 4 2" xfId="13179" xr:uid="{8314585A-4E74-4D34-988A-FE52E899851D}"/>
    <cellStyle name="Normal 30 4 4 6" xfId="13180" xr:uid="{0BD35E07-BDF6-4849-AB5A-CBF956879C27}"/>
    <cellStyle name="Normal 30 4 5 3" xfId="13181" xr:uid="{4AF8FDD6-17CC-4D54-907C-52488DE4CC8D}"/>
    <cellStyle name="Normal 30 4 6" xfId="13182" xr:uid="{FC10CBFD-9679-438E-BA1C-9DAB19C6F3DE}"/>
    <cellStyle name="Normal 30 4 6 5" xfId="13183" xr:uid="{73BA0E1B-21BA-4D2C-A9F4-0A50DA6E3DDA}"/>
    <cellStyle name="Normal 30 4 7 3" xfId="13184" xr:uid="{312A7F05-DB5F-453C-9CC7-22824569F02D}"/>
    <cellStyle name="Normal 30 4 8" xfId="13185" xr:uid="{16D2D261-0426-47AF-8649-A5785000E3E6}"/>
    <cellStyle name="Normal 30 4 8 5" xfId="13186" xr:uid="{2A0BB7B9-66DC-41A7-8E1B-A33449B2CCC6}"/>
    <cellStyle name="Normal 30 4 9" xfId="13187" xr:uid="{009D14A6-0854-4802-829E-D558EC0DD14E}"/>
    <cellStyle name="Normal 30 5 10" xfId="13188" xr:uid="{465A0C9A-3AA6-4D45-A0E7-4B2AAFD5FDD3}"/>
    <cellStyle name="Normal 30 5 12" xfId="13189" xr:uid="{0A98E52B-09D2-412B-A3B0-D13FC9258D5C}"/>
    <cellStyle name="Normal 30 5 2" xfId="13190" xr:uid="{C7448237-CB0D-4AC0-A1F2-E27CF24DA81B}"/>
    <cellStyle name="Normal 30 5 2 5" xfId="13191" xr:uid="{2E5ECA16-FF14-48FA-BAF3-A9B35B88FCA8}"/>
    <cellStyle name="Normal 30 5 3 3" xfId="13192" xr:uid="{8ECC5477-228A-4F5A-81EF-6B13D1F51ED6}"/>
    <cellStyle name="Normal 30 5 4" xfId="13193" xr:uid="{788EAA05-C6FD-4DEC-A263-EE3D084F986A}"/>
    <cellStyle name="Normal 30 5 4 5" xfId="13194" xr:uid="{9F89ABEE-E89A-4A50-96D2-A82CE6C5DA3F}"/>
    <cellStyle name="Normal 30 5 5 3" xfId="13195" xr:uid="{021F4DEC-ECF2-46BE-9607-DE1E6B7A48C6}"/>
    <cellStyle name="Normal 30 5 6" xfId="13196" xr:uid="{68B769CC-5F5F-47F7-84EE-9603C85E518F}"/>
    <cellStyle name="Normal 30 5 6 5" xfId="13197" xr:uid="{F5B8D5C2-2679-4490-B4CB-096647D91DC7}"/>
    <cellStyle name="Normal 30 5 7 3" xfId="13198" xr:uid="{1B555270-555E-4CBF-ACD0-CFC4E585D4B9}"/>
    <cellStyle name="Normal 30 5 8" xfId="13199" xr:uid="{DF2FD680-8220-438F-8280-074D1A50EBC8}"/>
    <cellStyle name="Normal 30 5 8 5" xfId="13200" xr:uid="{12AA1586-0EAB-41C4-90D7-D1D5425A67AF}"/>
    <cellStyle name="Normal 30 6 10" xfId="13201" xr:uid="{6FEB8CF3-2540-4498-A7BA-7DC08AFD713D}"/>
    <cellStyle name="Normal 30 6 13" xfId="13202" xr:uid="{8E0316A1-6CFE-4950-B6D2-5EAE4C590016}"/>
    <cellStyle name="Normal 30 6 2 4" xfId="13203" xr:uid="{8B240A02-A30C-42D4-9D4C-783F0C36F9EF}"/>
    <cellStyle name="Normal 30 6 3 2" xfId="13204" xr:uid="{403A0D32-7BF8-4555-B4E9-F3BC671BE9A3}"/>
    <cellStyle name="Normal 30 6 3 6" xfId="13205" xr:uid="{E5BC9665-663A-4ABE-BB14-F7A666FA5F2E}"/>
    <cellStyle name="Normal 30 6 4 4" xfId="13206" xr:uid="{C25A1219-CD97-4538-811D-1F2A33FB017A}"/>
    <cellStyle name="Normal 30 6 5 2" xfId="13207" xr:uid="{E1A2BEA0-0127-4D69-8047-AA63067CBE7C}"/>
    <cellStyle name="Normal 30 6 5 6" xfId="13208" xr:uid="{EFF0B70C-25FD-4A68-AF5A-D437F09EC6A5}"/>
    <cellStyle name="Normal 30 6 6 4" xfId="13209" xr:uid="{E633AAB9-27B5-4C04-8C44-D0674AA82E36}"/>
    <cellStyle name="Normal 30 6 7 2" xfId="13210" xr:uid="{DDAE338E-B208-4A4A-8B7B-D63FD6E45B50}"/>
    <cellStyle name="Normal 30 6 7 6" xfId="13211" xr:uid="{FF492507-22EE-4286-96D9-70F813E59211}"/>
    <cellStyle name="Normal 30 6 8 4" xfId="13212" xr:uid="{B4631AE5-AC62-4515-AE32-0DF26C1CFCDC}"/>
    <cellStyle name="Normal 30 7" xfId="13213" xr:uid="{678737BC-BF6A-43C8-A96C-CAF03EDA8E17}"/>
    <cellStyle name="Normal 30 7 13" xfId="13214" xr:uid="{D71E2424-89E0-442A-9382-7025BB0A8D2F}"/>
    <cellStyle name="Normal 30 7 2 4" xfId="13215" xr:uid="{61626929-55EA-44D7-8FD0-D55B008D2C34}"/>
    <cellStyle name="Normal 30 7 3 2" xfId="13216" xr:uid="{06553FC8-5429-4A8A-BDF8-3322878B49E3}"/>
    <cellStyle name="Normal 30 7 3 6" xfId="13217" xr:uid="{C70AD9F1-3E28-458B-AFE6-D69423289096}"/>
    <cellStyle name="Normal 30 7 4 4" xfId="13218" xr:uid="{58A164F7-76FE-4CCB-B29C-F54F326599E3}"/>
    <cellStyle name="Normal 30 7 5 2" xfId="13219" xr:uid="{4E412B32-BBC9-4318-84F0-0F605BAFB10A}"/>
    <cellStyle name="Normal 30 7 5 6" xfId="13220" xr:uid="{CF3A3075-0291-495A-B9AD-AC4EB92F3190}"/>
    <cellStyle name="Normal 30 7 6 3" xfId="13221" xr:uid="{E35A77A9-B39F-4502-8F7C-3FD2FDEE78AC}"/>
    <cellStyle name="Normal 30 7 7 2" xfId="13222" xr:uid="{18CD8248-71A3-45F6-B3CC-96C0F2771558}"/>
    <cellStyle name="Normal 30 7 8 4" xfId="13223" xr:uid="{5FC40402-C8E0-43F6-86EB-4E519685C5DB}"/>
    <cellStyle name="Normal 30 8 13" xfId="13224" xr:uid="{3BD9AF65-6154-41E3-AC55-51AA8E2C07B8}"/>
    <cellStyle name="Normal 30 8 2 5" xfId="13225" xr:uid="{2F82D319-5FC4-4738-BA55-4E7346CAC2DC}"/>
    <cellStyle name="Normal 30 8 3 3" xfId="13226" xr:uid="{9E34680F-11A4-4E86-ADB0-FE28A7FD590F}"/>
    <cellStyle name="Normal 30 8 4" xfId="13227" xr:uid="{E449BCE7-361B-4831-8E90-19A987E8F3BD}"/>
    <cellStyle name="Normal 30 8 4 5" xfId="13228" xr:uid="{01755CF9-D360-4196-9F35-F9FAC092D54A}"/>
    <cellStyle name="Normal 30 8 5 4" xfId="13229" xr:uid="{51BEB10E-13A5-4C09-85F5-DEF42DE3060D}"/>
    <cellStyle name="Normal 30 8 6 2" xfId="13230" xr:uid="{295E4920-24B5-4407-9FB9-DB4FEA9353CC}"/>
    <cellStyle name="Normal 30 8 6 6" xfId="13231" xr:uid="{E786BAF6-6198-40F9-8BE2-3D8E5C152462}"/>
    <cellStyle name="Normal 30 8 7 4" xfId="13232" xr:uid="{005FA31D-F774-4716-BE66-A5BA709023D7}"/>
    <cellStyle name="Normal 30 8 8 2" xfId="13233" xr:uid="{ADAE1C30-AF1A-4F53-86EF-5B3CF6512328}"/>
    <cellStyle name="Normal 30 8 8 6" xfId="13234" xr:uid="{6933EC4B-59E0-4333-9187-B4E4CD004B5B}"/>
    <cellStyle name="Normal 30 9 11" xfId="13235" xr:uid="{5448E66B-DB19-4DEE-9F97-9924ECE573FF}"/>
    <cellStyle name="Normal 30 9 2 3" xfId="13236" xr:uid="{77D6168E-8E84-45AE-AAF7-CF6275C40097}"/>
    <cellStyle name="Normal 30 9 4" xfId="13237" xr:uid="{906C27A6-6C06-4618-AD79-FB73EB44B134}"/>
    <cellStyle name="Normal 30 9 5 2" xfId="13238" xr:uid="{4B57A4EF-A020-40A4-A5F6-05B5AB81E46C}"/>
    <cellStyle name="Normal 30 9 5 6" xfId="13239" xr:uid="{5F6D6FC7-6ED1-471B-AEC8-E5B45274D032}"/>
    <cellStyle name="Normal 30 9 6 3" xfId="13240" xr:uid="{ACD5132B-6F91-4A41-8FAF-614D939A267C}"/>
    <cellStyle name="Normal 30 9 7" xfId="13241" xr:uid="{F7175031-7624-4193-8FEF-0F546D25448D}"/>
    <cellStyle name="Normal 30 9 7 5" xfId="13242" xr:uid="{CC346DA1-357E-4AAE-8588-0400D569E6F3}"/>
    <cellStyle name="Normal 30 9 8 3" xfId="13243" xr:uid="{100A1F4A-B337-4FE3-9E0F-561EA7D16D39}"/>
    <cellStyle name="Normal 30 9 9" xfId="13244" xr:uid="{89C84BC3-7A41-4EB2-B27B-4A291740244E}"/>
    <cellStyle name="Normal 31 10 12" xfId="13245" xr:uid="{E046C208-9DDC-48DD-A828-AC099326D9C6}"/>
    <cellStyle name="Normal 31 10 2 4" xfId="13246" xr:uid="{F52A53EF-72E7-461D-8970-F2DDD1C72B82}"/>
    <cellStyle name="Normal 31 10 3 4" xfId="13247" xr:uid="{9A118D41-6EE3-4AB4-9ED0-0A3D99216213}"/>
    <cellStyle name="Normal 31 10 4 5" xfId="13248" xr:uid="{F8677774-7001-429D-A70F-6AE4F231B354}"/>
    <cellStyle name="Normal 31 10 5 5" xfId="13249" xr:uid="{4F54B55F-EFFD-4E10-BC0B-1B374BA6EC72}"/>
    <cellStyle name="Normal 31 10 6 6" xfId="13250" xr:uid="{DD85F29B-DD8E-40B9-9B91-D2B264337D57}"/>
    <cellStyle name="Normal 31 10 7 4" xfId="13251" xr:uid="{6250F90A-BDB0-4837-8F92-CA06E6BA866A}"/>
    <cellStyle name="Normal 31 10 8 2" xfId="13252" xr:uid="{37B95A3C-0217-4F63-9A36-FC7EC7DE1602}"/>
    <cellStyle name="Normal 31 10 8 6" xfId="13253" xr:uid="{42287CCC-8E88-402F-B338-6E275A2E0DB0}"/>
    <cellStyle name="Normal 31 11 11" xfId="13254" xr:uid="{D8B269D9-5829-4E97-9C5E-1E2A5F53CCA7}"/>
    <cellStyle name="Normal 31 11 2 2" xfId="13255" xr:uid="{BF1E6F49-6445-401D-B764-C5CC31C0A4DC}"/>
    <cellStyle name="Normal 31 11 2 6" xfId="13256" xr:uid="{A1195F20-1591-48FC-BC6E-C297683E30FE}"/>
    <cellStyle name="Normal 31 11 3 2" xfId="13257" xr:uid="{B668DAA0-0AC9-47F3-9A10-9E5295BE4F9D}"/>
    <cellStyle name="Normal 31 11 3 6" xfId="13258" xr:uid="{F82642FC-B261-4730-8718-7867D1CB140B}"/>
    <cellStyle name="Normal 31 11 4 4" xfId="13259" xr:uid="{CEE4C24C-A3ED-4B75-8FAF-809F9E4CA91C}"/>
    <cellStyle name="Normal 31 11 5" xfId="13260" xr:uid="{8444A931-DF68-4569-98FC-56F2582E5A88}"/>
    <cellStyle name="Normal 31 11 5 5" xfId="13261" xr:uid="{82BB1E19-E6C4-4776-B4B3-39DD837CB3B9}"/>
    <cellStyle name="Normal 31 11 6" xfId="13262" xr:uid="{46455145-9BCB-4CEA-8240-3B786BEE41A8}"/>
    <cellStyle name="Normal 31 11 6 5" xfId="13263" xr:uid="{8304A7F4-C2C0-4C83-9B48-9AD88DAF1EF2}"/>
    <cellStyle name="Normal 31 11 7 3" xfId="13264" xr:uid="{574FC0F1-91E7-4BE7-9266-843F06F1ED7E}"/>
    <cellStyle name="Normal 31 11 8" xfId="13265" xr:uid="{D799ED27-698B-42C2-9236-7D12AEFC7636}"/>
    <cellStyle name="Normal 31 11 8 5" xfId="13266" xr:uid="{7513BE9D-FB5D-45F8-975E-D5512743A59D}"/>
    <cellStyle name="Normal 31 12 2" xfId="13267" xr:uid="{4F59C8D6-D974-4BD1-89CC-57FC7589DCE6}"/>
    <cellStyle name="Normal 31 12 6" xfId="13268" xr:uid="{E53221BB-FCFC-46B1-A137-2FAAA8A4F82C}"/>
    <cellStyle name="Normal 31 13 4" xfId="13269" xr:uid="{B939D91F-8097-4087-B267-B36EDB31AC78}"/>
    <cellStyle name="Normal 31 14 2" xfId="13270" xr:uid="{82F1BC30-B231-4071-BCCF-C6706BEF630D}"/>
    <cellStyle name="Normal 31 14 6" xfId="13271" xr:uid="{7F94AECE-6D2C-4949-9162-F57D812D7ABD}"/>
    <cellStyle name="Normal 31 15 4" xfId="13272" xr:uid="{D85B65F5-8D95-43A6-9136-EB4982308F96}"/>
    <cellStyle name="Normal 31 16 2" xfId="13273" xr:uid="{96B38F36-A90D-4D6D-9CB5-A86C478B9ACC}"/>
    <cellStyle name="Normal 31 16 6" xfId="13274" xr:uid="{2FDFFFDD-032F-4769-9F9C-7CA14390D08D}"/>
    <cellStyle name="Normal 31 17 4" xfId="13275" xr:uid="{41DE9E1C-DCF1-439F-8803-B187E8C50E55}"/>
    <cellStyle name="Normal 31 18 2" xfId="13276" xr:uid="{E8FB678A-9AAA-49E0-AC63-86BE6CE2A4FD}"/>
    <cellStyle name="Normal 31 18 6" xfId="13277" xr:uid="{D3166E0C-8463-4D92-A2AA-484B2A3A936F}"/>
    <cellStyle name="Normal 31 2 11" xfId="13278" xr:uid="{02AE73B5-478B-469E-BEFF-750C44BDA458}"/>
    <cellStyle name="Normal 31 2 14" xfId="17290" xr:uid="{F4417516-B5B6-4AEB-84AA-93D413CB95AB}"/>
    <cellStyle name="Normal 31 2 2 4" xfId="13279" xr:uid="{6BB14F46-31BD-48E7-8007-721540F69F69}"/>
    <cellStyle name="Normal 31 2 3" xfId="878" xr:uid="{7864253D-9D96-40C2-B1F3-68C71BEC6D34}"/>
    <cellStyle name="Normal 31 2 3 5" xfId="13280" xr:uid="{79B51E59-8F0C-41F3-9891-6BB5EE7F2C59}"/>
    <cellStyle name="Normal 31 2 4 2" xfId="13281" xr:uid="{CB5C525F-D19F-4A82-9F34-7DBF2977338F}"/>
    <cellStyle name="Normal 31 2 4 6" xfId="13282" xr:uid="{00656060-8BEC-40F6-A77B-5CD1FA2EE4E8}"/>
    <cellStyle name="Normal 31 2 5 4" xfId="13283" xr:uid="{32CBCFE7-D549-4BB7-B341-E1F250B7A519}"/>
    <cellStyle name="Normal 31 2 6 2" xfId="13284" xr:uid="{4A5153BA-C0E7-4B55-95BE-05568D132FB5}"/>
    <cellStyle name="Normal 31 2 6 6" xfId="13285" xr:uid="{FEA6CC1F-D9E2-425E-BBA4-29BCE9517063}"/>
    <cellStyle name="Normal 31 2 7 4" xfId="13286" xr:uid="{CC58366F-F889-487B-85BE-FE4C63D15363}"/>
    <cellStyle name="Normal 31 2 8 2" xfId="13287" xr:uid="{B7876BED-78B4-488A-BAAC-864875B02B6C}"/>
    <cellStyle name="Normal 31 2 8 6" xfId="13288" xr:uid="{0920A725-E418-43AE-90C0-43220B579DBD}"/>
    <cellStyle name="Normal 31 22" xfId="13289" xr:uid="{22DB9000-8D64-4BA9-8BE0-1E47143A88D6}"/>
    <cellStyle name="Normal 31 3 10" xfId="13290" xr:uid="{A9ABE2EE-C1D8-488B-8A7D-4F781C6CD43B}"/>
    <cellStyle name="Normal 31 3 14" xfId="17329" xr:uid="{9B4920DF-51D2-4530-851A-A83A3D9F834C}"/>
    <cellStyle name="Normal 31 3 2 4" xfId="13291" xr:uid="{02366426-4728-41AC-915E-99905DFCA39F}"/>
    <cellStyle name="Normal 31 3 3 2" xfId="13292" xr:uid="{585B4173-4D34-4172-852E-F798F8F32735}"/>
    <cellStyle name="Normal 31 3 4 4" xfId="13293" xr:uid="{A3518646-0FC8-4FCD-9229-EEBBC0E71B6D}"/>
    <cellStyle name="Normal 31 3 5" xfId="13294" xr:uid="{F7D96EEA-88DD-4C14-9872-6C1E2B75D3F6}"/>
    <cellStyle name="Normal 31 3 5 5" xfId="13295" xr:uid="{F90A4D04-B643-4515-A069-D806528C7485}"/>
    <cellStyle name="Normal 31 3 6 3" xfId="13296" xr:uid="{3C6CF0CF-3025-4719-86BC-149D9499405E}"/>
    <cellStyle name="Normal 31 3 7" xfId="13297" xr:uid="{9D8D5CEA-50A8-4DC7-B14E-2937A8EC2F98}"/>
    <cellStyle name="Normal 31 3 7 5" xfId="13298" xr:uid="{EFF293F0-6193-42BA-9F73-FD73007321A4}"/>
    <cellStyle name="Normal 31 3 8 3" xfId="13299" xr:uid="{CC8BF876-9F47-40DE-B97D-F88F8AFCB706}"/>
    <cellStyle name="Normal 31 3 9" xfId="13300" xr:uid="{64323D84-42E8-47B5-95E1-A566C99B02E7}"/>
    <cellStyle name="Normal 31 4 12" xfId="13301" xr:uid="{1266C477-7E86-4C3B-B67E-60CE32870AB2}"/>
    <cellStyle name="Normal 31 4 2 2" xfId="13302" xr:uid="{7A36E618-5152-4913-B1FB-CFE0DFA66770}"/>
    <cellStyle name="Normal 31 4 2 6" xfId="13303" xr:uid="{3F271C2A-97A4-469A-9405-23F9E1C66784}"/>
    <cellStyle name="Normal 31 4 3 4" xfId="13304" xr:uid="{4637047C-D744-4E74-91E6-461D949BCAC0}"/>
    <cellStyle name="Normal 31 4 4 2" xfId="13305" xr:uid="{E6F3C816-9668-429B-ACAA-0638A7815525}"/>
    <cellStyle name="Normal 31 4 4 6" xfId="13306" xr:uid="{21E048D7-CEE9-4EC1-A915-3F931726E32B}"/>
    <cellStyle name="Normal 31 4 5 4" xfId="13307" xr:uid="{0C87CD0E-A85A-4A71-A165-9898A1712C97}"/>
    <cellStyle name="Normal 31 4 6 2" xfId="13308" xr:uid="{0C2D3AC3-0FFE-4118-98CB-F67B72713F37}"/>
    <cellStyle name="Normal 31 4 6 6" xfId="13309" xr:uid="{D736E61D-4955-491A-8D01-5C8ABD2EBD25}"/>
    <cellStyle name="Normal 31 4 7 4" xfId="13310" xr:uid="{C9BAB781-E426-4C39-B8EC-B137447A54B6}"/>
    <cellStyle name="Normal 31 4 8 2" xfId="13311" xr:uid="{6CED6875-84CA-4C17-834F-51CA8292345D}"/>
    <cellStyle name="Normal 31 4 8 6" xfId="13312" xr:uid="{7839F044-5F2B-485E-94F6-E83A3859A2DE}"/>
    <cellStyle name="Normal 31 5 10" xfId="13313" xr:uid="{061E917A-3B2E-43E7-93D0-D6E8FE59A422}"/>
    <cellStyle name="Normal 31 5 2" xfId="13314" xr:uid="{FB26611A-331B-4534-A901-CF79481BEF37}"/>
    <cellStyle name="Normal 31 5 2 5" xfId="13315" xr:uid="{F67CF1D3-999B-4DB4-BECA-F079F5EE18C2}"/>
    <cellStyle name="Normal 31 5 3 3" xfId="13316" xr:uid="{EAA742D8-A7E5-4C1C-B324-47DE2986165A}"/>
    <cellStyle name="Normal 31 5 4" xfId="13317" xr:uid="{26AF6052-FE13-4D04-B4FB-DE7A5F2EEA47}"/>
    <cellStyle name="Normal 31 5 4 5" xfId="13318" xr:uid="{55C457C9-CA54-4B46-A319-C18D7CC3BA5B}"/>
    <cellStyle name="Normal 31 5 5 3" xfId="13319" xr:uid="{CB9E07D5-2554-45C4-8887-819C8C89FCD1}"/>
    <cellStyle name="Normal 31 5 6" xfId="13320" xr:uid="{3D5923CB-A7D8-4438-92C1-B16D2D3ABDE1}"/>
    <cellStyle name="Normal 31 5 6 5" xfId="13321" xr:uid="{67BF4892-41C4-4EB0-B38E-22D9F35BA91E}"/>
    <cellStyle name="Normal 31 5 7 3" xfId="13322" xr:uid="{202D0797-120D-40CA-95E7-832CC8AE51F4}"/>
    <cellStyle name="Normal 31 5 8" xfId="13323" xr:uid="{EE87D95F-D98C-4004-B5F5-DF1626563442}"/>
    <cellStyle name="Normal 31 5 8 5" xfId="13324" xr:uid="{255CFA91-B678-442E-943F-8F99287C51E2}"/>
    <cellStyle name="Normal 31 6 10" xfId="13325" xr:uid="{DD809A58-D403-4C8C-A4DD-754C3F2009D6}"/>
    <cellStyle name="Normal 31 6 2" xfId="13326" xr:uid="{E1E4511E-70F7-4BF7-9D8C-52B3A0C46C1A}"/>
    <cellStyle name="Normal 31 6 2 5" xfId="13327" xr:uid="{888A3E3F-6873-4E15-B5DA-D5AD8EBCC13F}"/>
    <cellStyle name="Normal 31 6 3 3" xfId="13328" xr:uid="{012465D2-E59C-4970-9F7C-CB460132EC05}"/>
    <cellStyle name="Normal 31 6 4" xfId="13329" xr:uid="{2947888D-B387-4C2A-B0A7-E004BF19D9BB}"/>
    <cellStyle name="Normal 31 6 4 5" xfId="13330" xr:uid="{69D36DF0-8F25-4797-ADA6-6CE62FF8D90F}"/>
    <cellStyle name="Normal 31 6 5 3" xfId="13331" xr:uid="{BD700076-7D01-40B9-B677-D7D31922F790}"/>
    <cellStyle name="Normal 31 6 5 6" xfId="13332" xr:uid="{E30FA1EF-5906-4C39-8669-221A9FA48706}"/>
    <cellStyle name="Normal 31 6 6 4" xfId="13333" xr:uid="{9AFCAA11-595A-4B42-9F46-0A4389E607EA}"/>
    <cellStyle name="Normal 31 6 7 2" xfId="13334" xr:uid="{66707DA3-241A-4ECD-864F-DE873F72EF6B}"/>
    <cellStyle name="Normal 31 6 7 6" xfId="13335" xr:uid="{DB1C7B79-056A-4EFC-B052-10A467A02CA8}"/>
    <cellStyle name="Normal 31 6 8 4" xfId="13336" xr:uid="{CFFBA4FE-DE81-4BA5-A713-78E2C522E335}"/>
    <cellStyle name="Normal 31 7" xfId="13337" xr:uid="{6A04CBD1-D605-4611-A84B-D116414237F5}"/>
    <cellStyle name="Normal 31 7 13" xfId="13338" xr:uid="{E121863F-03CA-4A99-89C8-8134C2EC90AA}"/>
    <cellStyle name="Normal 31 7 2 4" xfId="13339" xr:uid="{B37E59D7-4D38-4A20-8FBB-6E8B4393E900}"/>
    <cellStyle name="Normal 31 7 3 2" xfId="13340" xr:uid="{981BEE5B-9CC2-4893-8274-3B3061C93393}"/>
    <cellStyle name="Normal 31 7 3 5" xfId="13341" xr:uid="{5F35869E-55A9-4118-B156-C778F79E8C46}"/>
    <cellStyle name="Normal 31 7 4" xfId="13342" xr:uid="{C51D1C53-FEA6-47F8-81C6-100928A36D44}"/>
    <cellStyle name="Normal 31 7 4 3" xfId="13343" xr:uid="{DD43383F-0769-46DF-8A92-8483C7B2C0AE}"/>
    <cellStyle name="Normal 31 7 4 6" xfId="13344" xr:uid="{2BC8B9F9-D7D3-47F8-B733-4897AAD1C468}"/>
    <cellStyle name="Normal 31 7 5 4" xfId="13345" xr:uid="{F4CF19F7-B087-47DD-8716-9B9F4C516B1F}"/>
    <cellStyle name="Normal 31 7 6 2" xfId="13346" xr:uid="{843FFA41-8184-4A25-825F-36963D6D0365}"/>
    <cellStyle name="Normal 31 7 6 6" xfId="13347" xr:uid="{17BDD447-879A-4915-B331-4F1EB43ACE72}"/>
    <cellStyle name="Normal 31 7 7 4" xfId="13348" xr:uid="{AED5391F-E04C-4974-8985-40482D7FC414}"/>
    <cellStyle name="Normal 31 7 7 6" xfId="13349" xr:uid="{E6AB4527-7840-4E97-912B-BE3EB1D61037}"/>
    <cellStyle name="Normal 31 7 8" xfId="13350" xr:uid="{30451E92-32B9-4088-A3B9-0E7227167EB3}"/>
    <cellStyle name="Normal 31 7 8 2" xfId="13351" xr:uid="{B86A5494-0948-41E4-892B-A198B5556F5A}"/>
    <cellStyle name="Normal 31 7 8 4" xfId="13352" xr:uid="{FC3CDC83-F916-4144-828E-3AFC6B8CD366}"/>
    <cellStyle name="Normal 31 7 8 6" xfId="13353" xr:uid="{F7163EE6-F066-42FB-98B3-75A151EA3EEE}"/>
    <cellStyle name="Normal 31 8 11" xfId="13354" xr:uid="{50EC23AF-BEFA-4A19-9C28-C13342472D85}"/>
    <cellStyle name="Normal 31 8 2 2" xfId="13355" xr:uid="{90807B2B-DCF5-444F-9370-B3C9211A9023}"/>
    <cellStyle name="Normal 31 8 2 4" xfId="13356" xr:uid="{45EEAADE-4740-43C9-AC3E-A87F07A075A0}"/>
    <cellStyle name="Normal 31 8 2 6" xfId="13357" xr:uid="{6379A071-EC3B-4BB2-9B41-02F868BE2CD2}"/>
    <cellStyle name="Normal 31 8 3 2" xfId="13358" xr:uid="{C78A3601-AB42-44AF-860B-B3E48FE573F5}"/>
    <cellStyle name="Normal 31 8 3 4" xfId="13359" xr:uid="{4BDF1C10-17C0-46C1-931D-B6785C181451}"/>
    <cellStyle name="Normal 31 8 3 6" xfId="13360" xr:uid="{7B46F135-4908-4959-9AC5-C98895DEEF03}"/>
    <cellStyle name="Normal 31 8 4 2" xfId="13361" xr:uid="{4504CD43-61C3-4125-973C-F4E0212FA6F8}"/>
    <cellStyle name="Normal 31 8 4 3" xfId="13362" xr:uid="{090B0E6F-B8A6-49D3-A503-A7F203C08F27}"/>
    <cellStyle name="Normal 31 8 4 5" xfId="13363" xr:uid="{3605B56E-4257-4AD3-9E2C-044FCFBD2005}"/>
    <cellStyle name="Normal 31 8 5" xfId="13364" xr:uid="{3C9EFD60-AFB2-4410-B5A8-F83786FF5D6D}"/>
    <cellStyle name="Normal 31 8 5 5" xfId="13365" xr:uid="{63D844C9-FF0F-4576-839B-FC1EFEE12587}"/>
    <cellStyle name="Normal 31 8 6 3" xfId="13366" xr:uid="{811C4079-1F20-49A8-9BB7-9262639CB1E4}"/>
    <cellStyle name="Normal 31 8 6 5" xfId="13367" xr:uid="{06105379-421D-4279-8C19-1340048B477C}"/>
    <cellStyle name="Normal 31 8 7" xfId="13368" xr:uid="{9164117D-544B-43B9-B72F-6B57BED1910D}"/>
    <cellStyle name="Normal 31 8 7 3" xfId="13369" xr:uid="{BF3E3D03-E971-4E97-9743-BDB5937A7489}"/>
    <cellStyle name="Normal 31 8 7 5" xfId="13370" xr:uid="{AC18FD4D-C8B7-428C-AB4F-FD4E0099056F}"/>
    <cellStyle name="Normal 31 8 8" xfId="13371" xr:uid="{773D7445-188C-41FA-B1D4-E9167DFA40D1}"/>
    <cellStyle name="Normal 31 8 8 3" xfId="13372" xr:uid="{2ACFC40E-7AB1-4A6B-957D-E9D010DD7FDF}"/>
    <cellStyle name="Normal 31 8 8 5" xfId="13373" xr:uid="{ACE1272A-00C2-4D58-9E7C-88E1824055BA}"/>
    <cellStyle name="Normal 31 8 9" xfId="13374" xr:uid="{E0C48722-3C35-406D-9848-F1B7208448C8}"/>
    <cellStyle name="Normal 31 9 10" xfId="13375" xr:uid="{465C4A5E-1078-483B-B200-6D60AF629BAA}"/>
    <cellStyle name="Normal 31 9 12" xfId="13376" xr:uid="{6ED491FF-3AA0-42FE-AE99-76FE1D88DFA6}"/>
    <cellStyle name="Normal 31 9 2" xfId="13377" xr:uid="{952A17B6-3FAC-4071-A49B-B241A782BA16}"/>
    <cellStyle name="Normal 31 9 2 3" xfId="13378" xr:uid="{9A5E9B74-D99A-46B1-964C-3A888C227F5F}"/>
    <cellStyle name="Normal 31 9 2 5" xfId="13379" xr:uid="{09222685-A341-4D7A-9ECE-3B85B07BF20C}"/>
    <cellStyle name="Normal 31 9 3" xfId="13380" xr:uid="{55150E65-CD23-4FA0-B03B-BC46A52FB648}"/>
    <cellStyle name="Normal 31 9 3 3" xfId="13381" xr:uid="{4810480C-EF66-4539-A401-7EAC21DA164E}"/>
    <cellStyle name="Normal 31 9 3 5" xfId="13382" xr:uid="{5622491A-99C8-4003-825E-4634291D4C9A}"/>
    <cellStyle name="Normal 31 9 4" xfId="13383" xr:uid="{0A059324-6B93-4CC4-B898-5079C5637B48}"/>
    <cellStyle name="Normal 31 9 4 3" xfId="13384" xr:uid="{D040E753-86D2-410C-8218-45597709A1FD}"/>
    <cellStyle name="Normal 31 9 4 5" xfId="13385" xr:uid="{25D92B58-20B5-42CC-A374-D7A1DF6043AA}"/>
    <cellStyle name="Normal 31 9 5" xfId="13386" xr:uid="{FD65AC48-BFF9-4C63-8C35-0D810EBF6170}"/>
    <cellStyle name="Normal 31 9 5 3" xfId="13387" xr:uid="{26EBA157-94B1-42EF-8539-AC35578E6930}"/>
    <cellStyle name="Normal 31 9 5 5" xfId="13388" xr:uid="{C0293110-0A0A-4B2B-A528-F66CE0472860}"/>
    <cellStyle name="Normal 31 9 6" xfId="13389" xr:uid="{3DDA29F3-B80D-4457-8D22-61951620C07E}"/>
    <cellStyle name="Normal 31 9 6 3" xfId="13390" xr:uid="{78045203-1B6F-4C7A-B08E-E4451A286F57}"/>
    <cellStyle name="Normal 31 9 6 5" xfId="13391" xr:uid="{0820F807-CE13-4FD2-A50D-47A6DA9E0DDE}"/>
    <cellStyle name="Normal 31 9 7" xfId="13392" xr:uid="{79DB7CB5-EBFF-40AA-B17D-29E1A1F9883C}"/>
    <cellStyle name="Normal 31 9 7 3" xfId="13393" xr:uid="{91B5B572-780F-46B2-B51A-6F0AE0B8258D}"/>
    <cellStyle name="Normal 31 9 7 5" xfId="13394" xr:uid="{6AFA9719-9B75-4F9B-8701-27C66C16A337}"/>
    <cellStyle name="Normal 31 9 8" xfId="13395" xr:uid="{6A223277-C56D-4427-872D-9560426E9D4C}"/>
    <cellStyle name="Normal 31 9 8 3" xfId="13396" xr:uid="{EA0565C1-9550-4522-8664-24DCB840845D}"/>
    <cellStyle name="Normal 31 9 8 5" xfId="13397" xr:uid="{40F974EB-36D8-48C1-AA3F-615EAC416351}"/>
    <cellStyle name="Normal 31 9 8 6" xfId="13398" xr:uid="{9FE578EC-36AE-4BEE-85F7-134BFD167BB4}"/>
    <cellStyle name="Normal 31 9 9" xfId="13399" xr:uid="{762182CA-054D-437A-AE27-310C7ADAB1D3}"/>
    <cellStyle name="Normal 32" xfId="668" xr:uid="{0C58C785-C65C-40D0-A049-6041180F1A82}"/>
    <cellStyle name="Normal 32 10 10" xfId="13400" xr:uid="{616FABB2-B86E-4329-A93B-D8BD78DD27F6}"/>
    <cellStyle name="Normal 32 10 11" xfId="13401" xr:uid="{EC601CC9-E538-4141-9BE1-37AA8B581D03}"/>
    <cellStyle name="Normal 32 10 13" xfId="13402" xr:uid="{17DAA97A-53E8-4A86-86F9-51530F2E708C}"/>
    <cellStyle name="Normal 32 10 2 2" xfId="13403" xr:uid="{D7305C56-4B80-425F-9C37-92EE7B9481BA}"/>
    <cellStyle name="Normal 32 10 2 4" xfId="13404" xr:uid="{C21832B9-1D8D-48D8-AC25-6B2DFDB863FA}"/>
    <cellStyle name="Normal 32 10 2 6" xfId="13405" xr:uid="{1FB6DF45-EE5A-48C6-9103-DD98BDBD0E48}"/>
    <cellStyle name="Normal 32 10 3 2" xfId="13406" xr:uid="{4472E445-C392-432F-9BDA-D354A795522A}"/>
    <cellStyle name="Normal 32 10 3 4" xfId="13407" xr:uid="{8F7EFF5B-BCE3-4B0B-A518-17DE74667085}"/>
    <cellStyle name="Normal 32 10 3 6" xfId="13408" xr:uid="{DB648851-7698-470A-92E3-9283365C8F63}"/>
    <cellStyle name="Normal 32 10 4 2" xfId="13409" xr:uid="{F8D37305-3D11-4040-AEA1-14E15BEDDA58}"/>
    <cellStyle name="Normal 32 10 4 4" xfId="13410" xr:uid="{79B0A944-9EDE-4655-9CD9-92F2FFEAB238}"/>
    <cellStyle name="Normal 32 10 4 6" xfId="13411" xr:uid="{D8626E68-4370-4AEF-8482-EE7BBDB9DB28}"/>
    <cellStyle name="Normal 32 10 5 2" xfId="13412" xr:uid="{731F7041-4137-4C0F-A292-F8C639CA7653}"/>
    <cellStyle name="Normal 32 10 5 4" xfId="13413" xr:uid="{981E5110-8EFF-4AFC-8DBA-8EB2517B9CA5}"/>
    <cellStyle name="Normal 32 10 5 6" xfId="13414" xr:uid="{5A936414-4D20-4308-8214-881850EB876D}"/>
    <cellStyle name="Normal 32 10 6 2" xfId="13415" xr:uid="{23F6F1A0-DF4D-4B4A-98FE-59E8BDD19EB4}"/>
    <cellStyle name="Normal 32 10 6 4" xfId="13416" xr:uid="{FFDF6073-8576-4752-9E6D-D1BF4830AE7F}"/>
    <cellStyle name="Normal 32 10 6 6" xfId="13417" xr:uid="{2A739C6B-F93C-4CCE-A930-07F7D3313375}"/>
    <cellStyle name="Normal 32 10 7 2" xfId="13418" xr:uid="{6C676E66-C64A-40A7-AAC1-779297244D3B}"/>
    <cellStyle name="Normal 32 10 7 4" xfId="13419" xr:uid="{96DDD44E-84BA-4861-9CE2-D099113473AB}"/>
    <cellStyle name="Normal 32 10 7 6" xfId="13420" xr:uid="{A7FB7DD2-B758-4DB3-A41B-4D3C82FFC0FD}"/>
    <cellStyle name="Normal 32 10 8 2" xfId="13421" xr:uid="{A6131406-4F01-42D3-9A3D-B8E157F44951}"/>
    <cellStyle name="Normal 32 10 8 4" xfId="13422" xr:uid="{D01DAFA1-9D35-40C4-8E80-C3DC82910070}"/>
    <cellStyle name="Normal 32 10 8 6" xfId="13423" xr:uid="{D99BE79E-B1CE-4D55-9E74-23F5EEEE3EFD}"/>
    <cellStyle name="Normal 32 11" xfId="13424" xr:uid="{85E75655-D013-4F5E-B2DD-2CB8DD63FA6A}"/>
    <cellStyle name="Normal 32 11 11" xfId="13425" xr:uid="{D1E37594-5584-42DF-A61F-2DF05202B891}"/>
    <cellStyle name="Normal 32 11 13" xfId="13426" xr:uid="{E64B06C7-9A8A-4696-BFAD-C9969D7668AC}"/>
    <cellStyle name="Normal 32 11 2 2" xfId="13427" xr:uid="{B989DCD3-2086-4242-8296-C1C00D0ED803}"/>
    <cellStyle name="Normal 32 11 2 4" xfId="13428" xr:uid="{68C904EF-C198-4607-AFAB-01DA90D86884}"/>
    <cellStyle name="Normal 32 11 3 2" xfId="13429" xr:uid="{D36C5A11-D10F-4924-B8FA-1909C748802D}"/>
    <cellStyle name="Normal 32 11 3 6" xfId="13430" xr:uid="{6220DBFF-759B-4173-91D7-AB1A3BE8B04B}"/>
    <cellStyle name="Normal 32 11 4 4" xfId="13431" xr:uid="{F80B75D5-0DED-43C6-B89E-5542FDAEA000}"/>
    <cellStyle name="Normal 32 11 5 2" xfId="13432" xr:uid="{3737FEF4-0DE0-4021-8F1B-0858B29584D0}"/>
    <cellStyle name="Normal 32 11 5 6" xfId="13433" xr:uid="{5060D303-870A-480F-A970-14DC820431D1}"/>
    <cellStyle name="Normal 32 11 6 2" xfId="13434" xr:uid="{DE3515EA-4C52-4BD7-B14B-37597C1D4AE9}"/>
    <cellStyle name="Normal 32 11 6 4" xfId="13435" xr:uid="{192591E2-41A0-456A-A2B9-2FCCDADF5E1D}"/>
    <cellStyle name="Normal 32 11 6 6" xfId="13436" xr:uid="{E5287ECF-B99B-447D-B6CB-D2AC86AD676F}"/>
    <cellStyle name="Normal 32 11 7 2" xfId="13437" xr:uid="{81905E53-BA04-4E54-8069-96BD4F42E6DA}"/>
    <cellStyle name="Normal 32 11 7 4" xfId="13438" xr:uid="{516A38C7-BAB5-424D-8325-EA82AB744E4B}"/>
    <cellStyle name="Normal 32 11 7 6" xfId="13439" xr:uid="{EED90C12-017E-4D2C-A3B6-FAB4EE90346B}"/>
    <cellStyle name="Normal 32 11 8 2" xfId="13440" xr:uid="{7C410DD7-8130-460A-B395-6C548FFE00A3}"/>
    <cellStyle name="Normal 32 11 8 4" xfId="13441" xr:uid="{F20E0D3E-D172-4DE9-A34F-2CF6A6600DD3}"/>
    <cellStyle name="Normal 32 11 8 6" xfId="13442" xr:uid="{665E0E96-341B-4745-9BB0-BAB8446C8A1D}"/>
    <cellStyle name="Normal 32 12" xfId="13443" xr:uid="{70C1DA80-D62F-409B-9F2A-59169CC79C73}"/>
    <cellStyle name="Normal 32 12 3" xfId="13444" xr:uid="{F03F464C-18D3-4240-8E04-1F0A1D13DB99}"/>
    <cellStyle name="Normal 32 12 5" xfId="13445" xr:uid="{D2A1938A-2868-490E-BD8D-C6640908D0E4}"/>
    <cellStyle name="Normal 32 13" xfId="13446" xr:uid="{1E13219F-4713-4597-8849-F9C86DE02B63}"/>
    <cellStyle name="Normal 32 13 3" xfId="13447" xr:uid="{3B662FC3-DEB3-410E-9F5B-A7AF3FDA81E5}"/>
    <cellStyle name="Normal 32 13 5" xfId="13448" xr:uid="{5AEC9AD1-B7AE-49CE-AD1D-4E51C9173650}"/>
    <cellStyle name="Normal 32 14" xfId="13449" xr:uid="{2774E430-2FC0-410B-8038-6BECBFC13777}"/>
    <cellStyle name="Normal 32 14 3" xfId="13450" xr:uid="{4BCAE0A5-7F4D-46A9-9E7A-E7E010700F22}"/>
    <cellStyle name="Normal 32 14 5" xfId="13451" xr:uid="{B51EA19D-6578-493B-B1F3-0B0458430112}"/>
    <cellStyle name="Normal 32 15" xfId="13452" xr:uid="{4BBAE4BD-A4E6-4E6E-846C-A3FE4DBABF09}"/>
    <cellStyle name="Normal 32 15 3" xfId="13453" xr:uid="{DF91452D-5DD2-4427-994D-092A0CB61071}"/>
    <cellStyle name="Normal 32 15 5" xfId="13454" xr:uid="{FECC3CF3-F275-48A1-A91F-9D4CF4A76ABC}"/>
    <cellStyle name="Normal 32 16" xfId="13455" xr:uid="{58157729-3C4E-411F-83A8-0511558892B4}"/>
    <cellStyle name="Normal 32 16 3" xfId="13456" xr:uid="{0762540F-7922-4FCA-B13A-A65100BF9EC9}"/>
    <cellStyle name="Normal 32 16 5" xfId="13457" xr:uid="{A5019484-0BA6-4BE2-B98E-AE4442EABF97}"/>
    <cellStyle name="Normal 32 17" xfId="13458" xr:uid="{0F7CF171-2966-4966-A43A-5BDDEEEED758}"/>
    <cellStyle name="Normal 32 17 3" xfId="13459" xr:uid="{D8B31AEA-5D67-4AF1-AD82-6E291D5B9362}"/>
    <cellStyle name="Normal 32 17 5" xfId="13460" xr:uid="{12D2F2ED-8561-4491-930D-CB758ACB7C74}"/>
    <cellStyle name="Normal 32 17 6" xfId="13461" xr:uid="{348863A5-D372-45F0-BE8E-B6C0B90FBEA9}"/>
    <cellStyle name="Normal 32 18 2" xfId="13462" xr:uid="{D438AA87-726F-45DD-8F60-7DF2A084B840}"/>
    <cellStyle name="Normal 32 18 6" xfId="13463" xr:uid="{A7FB30C8-02BD-4BC5-A70A-58C09EF50DA3}"/>
    <cellStyle name="Normal 32 2" xfId="635" xr:uid="{66FBE9CC-55D2-48BF-8079-904927272795}"/>
    <cellStyle name="Normal 32 2 11" xfId="13464" xr:uid="{34D39CC7-4066-4B77-B582-4FD51A7BA9F7}"/>
    <cellStyle name="Normal 32 2 13" xfId="13465" xr:uid="{8C1E0F5D-41E9-4634-9528-7D31B22ED3BE}"/>
    <cellStyle name="Normal 32 2 2 4" xfId="13466" xr:uid="{AD249CDA-161C-45FC-AE2B-B5FC5F25D978}"/>
    <cellStyle name="Normal 32 2 3 2" xfId="13467" xr:uid="{4F4AEEEE-48F3-499F-95F6-85FFDD3FEF57}"/>
    <cellStyle name="Normal 32 2 3 6" xfId="13468" xr:uid="{0CFBDD95-E0F9-4ABE-8302-CE9B812EF108}"/>
    <cellStyle name="Normal 32 2 4 4" xfId="13469" xr:uid="{F095DB9B-656A-4853-9C5F-6E5287CDD4E4}"/>
    <cellStyle name="Normal 32 2 5 2" xfId="13470" xr:uid="{B33DDDA0-AB71-4F1D-9CF4-29D182651C83}"/>
    <cellStyle name="Normal 32 2 5 4" xfId="13471" xr:uid="{49DC11F2-2A67-4FD9-B6CA-FCBC875FCC9C}"/>
    <cellStyle name="Normal 32 2 5 6" xfId="13472" xr:uid="{221C2CF7-7A05-41DE-9CE5-4216C97F24D6}"/>
    <cellStyle name="Normal 32 2 6 2" xfId="13473" xr:uid="{6223A60E-1ABB-4282-BA3E-6EF96E83DD84}"/>
    <cellStyle name="Normal 32 2 6 4" xfId="13474" xr:uid="{F524BF36-1649-421B-B1A7-6A9B6EDAC10A}"/>
    <cellStyle name="Normal 32 2 6 6" xfId="13475" xr:uid="{0C78682E-8582-4C8E-BCED-5BF4A6FEDBE9}"/>
    <cellStyle name="Normal 32 2 7 2" xfId="13476" xr:uid="{6AC9FA5F-302F-4BB4-9E13-660622EEE728}"/>
    <cellStyle name="Normal 32 2 7 4" xfId="13477" xr:uid="{B5B64EFE-34A9-4910-89DF-6A3400C5F038}"/>
    <cellStyle name="Normal 32 2 7 6" xfId="13478" xr:uid="{B0A8F31C-5BA7-4611-AE40-32BDED91BAB5}"/>
    <cellStyle name="Normal 32 2 8 2" xfId="13479" xr:uid="{27DA72C0-88D6-4A69-8907-137C2F840D60}"/>
    <cellStyle name="Normal 32 2 8 4" xfId="13480" xr:uid="{248ED9DF-425A-4047-9D63-7486148785C1}"/>
    <cellStyle name="Normal 32 2 8 6" xfId="13481" xr:uid="{E33E0977-6B6D-4D31-8649-265E1C1B7B63}"/>
    <cellStyle name="Normal 32 20" xfId="13482" xr:uid="{835302FC-79E6-4911-9C4B-CE4A67B3535B}"/>
    <cellStyle name="Normal 32 22" xfId="13483" xr:uid="{740CCB94-46B9-43C6-B6D7-64CBF3C1CFB1}"/>
    <cellStyle name="Normal 32 3" xfId="13484" xr:uid="{7A73AFAA-F1A6-4B6B-8828-67A580D146A6}"/>
    <cellStyle name="Normal 32 3 11" xfId="13485" xr:uid="{556480EF-23DD-4FD7-8763-8BDD99DB99F4}"/>
    <cellStyle name="Normal 32 3 13" xfId="13486" xr:uid="{DCDCB7D4-286C-4FBF-A2FF-EF872E29C42C}"/>
    <cellStyle name="Normal 32 3 2 2" xfId="13487" xr:uid="{316001ED-A84F-4413-B612-DC055F53421D}"/>
    <cellStyle name="Normal 32 3 2 4" xfId="13488" xr:uid="{B186071F-A014-499B-B7AD-CE25B40E9298}"/>
    <cellStyle name="Normal 32 3 2 6" xfId="13489" xr:uid="{FEF682A6-DE47-4AD4-9A60-05AE4329EF70}"/>
    <cellStyle name="Normal 32 3 3 2" xfId="13490" xr:uid="{F410C09E-B445-421D-986E-1414208A294A}"/>
    <cellStyle name="Normal 32 3 3 4" xfId="13491" xr:uid="{7D8D9DB9-6BD8-4B64-A00A-E84A222CCE6B}"/>
    <cellStyle name="Normal 32 3 3 6" xfId="13492" xr:uid="{C0F757BD-EF73-41C2-9431-DB0265E1C07D}"/>
    <cellStyle name="Normal 32 3 4 2" xfId="13493" xr:uid="{7D041DE0-AC62-49DD-8BB1-36851C1FF456}"/>
    <cellStyle name="Normal 32 3 4 4" xfId="13494" xr:uid="{E581837D-0CD0-4764-B46A-CAC22F75B1D1}"/>
    <cellStyle name="Normal 32 3 5 2" xfId="13495" xr:uid="{96E148FB-0A06-43A0-86B6-6FCDA5D959D5}"/>
    <cellStyle name="Normal 32 3 5 6" xfId="13496" xr:uid="{D6413F8C-6ED1-4BAC-9FB6-9528A701A09E}"/>
    <cellStyle name="Normal 32 3 6 4" xfId="13497" xr:uid="{47406EA1-18CC-4170-99F3-EDAA6C3902C9}"/>
    <cellStyle name="Normal 32 3 7 2" xfId="13498" xr:uid="{AFF3923F-D5FB-4A43-9D61-F546ED75D644}"/>
    <cellStyle name="Normal 32 3 7 6" xfId="13499" xr:uid="{A7F58F87-30AB-462D-837B-3606D2C329CF}"/>
    <cellStyle name="Normal 32 3 8 2" xfId="13500" xr:uid="{1170223F-576A-4042-A79B-C42930A3C818}"/>
    <cellStyle name="Normal 32 3 8 4" xfId="13501" xr:uid="{1A5AAC6A-3B48-4FE4-82AF-C4D0B488F4EE}"/>
    <cellStyle name="Normal 32 3 8 6" xfId="13502" xr:uid="{79ED6B0F-4732-44CD-A505-0ECC35B6731A}"/>
    <cellStyle name="Normal 32 4" xfId="13503" xr:uid="{09BBA9DD-51D1-464B-B528-91BBB7F33566}"/>
    <cellStyle name="Normal 32 4 11" xfId="13504" xr:uid="{0054D4A1-7BC8-4A7E-9B47-71271098C9B3}"/>
    <cellStyle name="Normal 32 4 13" xfId="13505" xr:uid="{123E8AE0-9033-400C-A33A-B1703342A799}"/>
    <cellStyle name="Normal 32 4 2 2" xfId="13506" xr:uid="{C50929EC-41B6-446D-A2DC-B4A846CEC20E}"/>
    <cellStyle name="Normal 32 4 2 4" xfId="13507" xr:uid="{749B9FBB-7883-4628-9D2A-E1083AE50A6D}"/>
    <cellStyle name="Normal 32 4 2 6" xfId="13508" xr:uid="{9174F57C-C82D-454E-ABD9-97AE54CE75A3}"/>
    <cellStyle name="Normal 32 4 3 2" xfId="13509" xr:uid="{CEB904C3-7324-49EE-B2C2-1B46925130A7}"/>
    <cellStyle name="Normal 32 4 3 4" xfId="13510" xr:uid="{155B353B-480B-4A56-9DA1-DAB9A52A9EB7}"/>
    <cellStyle name="Normal 32 4 3 6" xfId="13511" xr:uid="{8FA739B3-303A-440A-8B72-DD08980A1980}"/>
    <cellStyle name="Normal 32 4 4 2" xfId="13512" xr:uid="{C32CB5A5-8AC7-4AF9-B06F-7E22B460E84C}"/>
    <cellStyle name="Normal 32 4 4 4" xfId="13513" xr:uid="{82AE8DE2-82BA-4BD3-A5A6-7E797A89C9B9}"/>
    <cellStyle name="Normal 32 4 4 6" xfId="13514" xr:uid="{F0F64445-268E-42B3-A1E2-6297D7739819}"/>
    <cellStyle name="Normal 32 4 5 2" xfId="13515" xr:uid="{19488281-E5A7-421E-BD6D-64ED97F752BC}"/>
    <cellStyle name="Normal 32 4 5 4" xfId="13516" xr:uid="{42E162DA-EBB2-42A7-AF6A-DAFCD5155EF1}"/>
    <cellStyle name="Normal 32 4 5 6" xfId="13517" xr:uid="{235EAF60-E161-493E-ACCF-03E556A6DC82}"/>
    <cellStyle name="Normal 32 4 6 2" xfId="13518" xr:uid="{B0EFEFA4-852A-40F9-971B-42C39BE428A3}"/>
    <cellStyle name="Normal 32 4 6 4" xfId="13519" xr:uid="{D9CFC6FB-2AD7-4DA2-ACC0-491EF4F7B661}"/>
    <cellStyle name="Normal 32 4 6 6" xfId="13520" xr:uid="{A2119FD5-0D01-4DF3-BD08-DA91125BD8A7}"/>
    <cellStyle name="Normal 32 4 7 2" xfId="13521" xr:uid="{B5999264-8DC4-4C81-BD1F-CBA82CCE1414}"/>
    <cellStyle name="Normal 32 4 7 4" xfId="13522" xr:uid="{70774D9B-3861-4F70-87CE-A1B02A06D2E9}"/>
    <cellStyle name="Normal 32 4 7 6" xfId="13523" xr:uid="{7017F8C9-2E5B-4FA9-91B4-76D3196A032A}"/>
    <cellStyle name="Normal 32 4 8 4" xfId="13524" xr:uid="{7FE2DD5D-ADD6-49E6-A282-2CA54C77E36C}"/>
    <cellStyle name="Normal 32 5" xfId="13525" xr:uid="{B3DB9B90-21AB-4685-A243-B711DF765184}"/>
    <cellStyle name="Normal 32 5 13" xfId="13526" xr:uid="{5F4092EC-D7A3-418E-84B1-A2DB7B9C3C1C}"/>
    <cellStyle name="Normal 32 5 2 4" xfId="13527" xr:uid="{0141DE5E-9637-4AD6-9B19-39A9B837A663}"/>
    <cellStyle name="Normal 32 5 3 2" xfId="13528" xr:uid="{DD7D3E80-9956-4CF7-9399-2D87EDE42356}"/>
    <cellStyle name="Normal 32 5 3 4" xfId="13529" xr:uid="{E3DF0BA3-1569-45DE-9077-A9994F39F514}"/>
    <cellStyle name="Normal 32 5 3 6" xfId="13530" xr:uid="{99FC8267-3489-4A51-BA65-AF860666082F}"/>
    <cellStyle name="Normal 32 5 4 2" xfId="13531" xr:uid="{1D9F9D4C-68BD-41F0-96D2-C8D95AE98771}"/>
    <cellStyle name="Normal 32 5 4 4" xfId="13532" xr:uid="{FDA5ABA9-51A2-4180-9CFD-6C82647BE478}"/>
    <cellStyle name="Normal 32 5 4 6" xfId="13533" xr:uid="{7F294BBF-BBAA-4B88-858A-7CC7888A9CB5}"/>
    <cellStyle name="Normal 32 5 5 2" xfId="13534" xr:uid="{0397A76E-595A-4978-B6E3-3100D3EDD043}"/>
    <cellStyle name="Normal 32 5 5 4" xfId="13535" xr:uid="{96968C16-7CD4-46B0-8E08-C25DFC908BAC}"/>
    <cellStyle name="Normal 32 5 5 6" xfId="13536" xr:uid="{711FF144-32E9-4D57-B543-45C16D9528C4}"/>
    <cellStyle name="Normal 32 5 6 2" xfId="13537" xr:uid="{A44BF1FD-4ECF-4FEE-AC7A-48BA5A773D18}"/>
    <cellStyle name="Normal 32 5 6 4" xfId="13538" xr:uid="{7066C8C0-E95C-4D4D-A414-B0696A93966D}"/>
    <cellStyle name="Normal 32 5 6 6" xfId="13539" xr:uid="{FBDEBE04-979B-4388-AF40-51D256134DA6}"/>
    <cellStyle name="Normal 32 5 7 2" xfId="13540" xr:uid="{5963A053-3319-42B8-B847-1E930A3190B0}"/>
    <cellStyle name="Normal 32 5 7 4" xfId="13541" xr:uid="{F85DC863-47FD-4B63-90DB-0FE29D99D764}"/>
    <cellStyle name="Normal 32 5 7 6" xfId="13542" xr:uid="{9ADD59CC-1832-4252-97F2-3A704FE39231}"/>
    <cellStyle name="Normal 32 5 8 2" xfId="13543" xr:uid="{E7C5E34B-E39F-494A-A414-825E855EE98B}"/>
    <cellStyle name="Normal 32 5 8 4" xfId="13544" xr:uid="{897DF64E-AB68-4A76-8861-FD01D3445CBF}"/>
    <cellStyle name="Normal 32 5 8 6" xfId="13545" xr:uid="{6098984D-4C87-48C8-B772-25745CB04F6C}"/>
    <cellStyle name="Normal 32 6" xfId="13546" xr:uid="{A47D70D7-9941-445E-9F52-021658DAF5EF}"/>
    <cellStyle name="Normal 32 6 11" xfId="13547" xr:uid="{591F48D1-27CA-4FBD-9530-3D0AB04CA763}"/>
    <cellStyle name="Normal 32 6 13" xfId="13548" xr:uid="{9E2C68F4-BA13-487F-8488-3A7A80947BBA}"/>
    <cellStyle name="Normal 32 6 2 2" xfId="13549" xr:uid="{32138C8E-7092-4A13-BF4D-6CC459CD1E7F}"/>
    <cellStyle name="Normal 32 6 2 4" xfId="13550" xr:uid="{8AA4911A-750F-4E0A-831C-B1A44371D7D9}"/>
    <cellStyle name="Normal 32 6 2 6" xfId="13551" xr:uid="{B31E4B74-5A27-4433-94A5-84668958C775}"/>
    <cellStyle name="Normal 32 6 3 2" xfId="13552" xr:uid="{4C1DA927-FD89-488A-8415-A2DB019F3A70}"/>
    <cellStyle name="Normal 32 6 3 6" xfId="13553" xr:uid="{2346A91A-5FC3-4AD2-BEF6-53C28A729760}"/>
    <cellStyle name="Normal 32 6 4 3" xfId="13554" xr:uid="{2AF83970-10E8-4E17-9C5A-F11EC47A2B44}"/>
    <cellStyle name="Normal 32 6 4 5" xfId="13555" xr:uid="{FEA9574C-9485-4551-BCE1-AF7E7DD2E91C}"/>
    <cellStyle name="Normal 32 6 5" xfId="13556" xr:uid="{1CC8A88B-EF8F-4220-8D16-BD3190200626}"/>
    <cellStyle name="Normal 32 6 5 3" xfId="13557" xr:uid="{69227B52-CDA3-4448-A66C-3BE40C4E34F3}"/>
    <cellStyle name="Normal 32 6 5 5" xfId="13558" xr:uid="{7E55796D-A4E2-40BC-A5B8-65F2962E834E}"/>
    <cellStyle name="Normal 32 6 6" xfId="13559" xr:uid="{7ACC20F3-671D-483A-B62E-34CCA15E5EE4}"/>
    <cellStyle name="Normal 32 6 6 3" xfId="13560" xr:uid="{EDECFAF3-3F66-4FD1-875B-72BC89E1811F}"/>
    <cellStyle name="Normal 32 6 6 5" xfId="13561" xr:uid="{94B4FE8F-549B-4369-A493-49360DBD5C33}"/>
    <cellStyle name="Normal 32 6 7" xfId="13562" xr:uid="{1E663BBB-E070-4190-A6A4-79F4956365A6}"/>
    <cellStyle name="Normal 32 6 7 3" xfId="13563" xr:uid="{D2200A65-BB2B-4C9D-8745-3DCF76E8ECF4}"/>
    <cellStyle name="Normal 32 6 7 5" xfId="13564" xr:uid="{E7433563-25F6-40B8-931C-DECC8CB98DF8}"/>
    <cellStyle name="Normal 32 6 8" xfId="13565" xr:uid="{E572C1CB-0892-4FA1-95B5-5B69A86FCF90}"/>
    <cellStyle name="Normal 32 6 8 3" xfId="13566" xr:uid="{5B25EF17-B073-4908-A5CB-BA6969A4A73B}"/>
    <cellStyle name="Normal 32 6 8 5" xfId="13567" xr:uid="{6C806267-DD2B-4B53-BD89-85DA45FC4441}"/>
    <cellStyle name="Normal 32 6 8 6" xfId="13568" xr:uid="{51C403F8-6A77-4676-9EA7-77D290EFD746}"/>
    <cellStyle name="Normal 32 7" xfId="13569" xr:uid="{97A2D5F7-60C6-442F-A3F9-17A22A78E994}"/>
    <cellStyle name="Normal 32 7 11" xfId="13570" xr:uid="{21CF15A5-C88D-4875-BF1D-E55BA1CDAB1E}"/>
    <cellStyle name="Normal 32 7 13" xfId="13571" xr:uid="{6357F4FB-D33F-41F7-A05E-0D5633E49608}"/>
    <cellStyle name="Normal 32 7 2 2" xfId="13572" xr:uid="{969A9A78-6BBF-4458-939F-1F37E21FAB9C}"/>
    <cellStyle name="Normal 32 7 2 4" xfId="13573" xr:uid="{B32997C5-F3B9-4706-A37C-08E31FDEC8F7}"/>
    <cellStyle name="Normal 32 7 2 6" xfId="13574" xr:uid="{47A1D8F6-D9C5-4A26-93AA-02EA426667D5}"/>
    <cellStyle name="Normal 32 7 3 2" xfId="13575" xr:uid="{A8155F62-B149-4F28-9B0E-9AF17555D5B4}"/>
    <cellStyle name="Normal 32 7 3 4" xfId="13576" xr:uid="{19F376F1-2A9C-48E1-A77D-82BF5521A677}"/>
    <cellStyle name="Normal 32 7 3 6" xfId="13577" xr:uid="{5847C705-D6C1-4D3E-ABD2-D46A63FDE41D}"/>
    <cellStyle name="Normal 32 7 4 2" xfId="13578" xr:uid="{ED1CD266-A5B4-461F-9A90-8ACB4B2B8827}"/>
    <cellStyle name="Normal 32 7 4 4" xfId="13579" xr:uid="{51ADF36A-D0DE-4FCF-AAA6-0298B9A4C061}"/>
    <cellStyle name="Normal 32 7 4 6" xfId="13580" xr:uid="{74E9C19F-C5CA-4611-8D6D-9444DF3E9A76}"/>
    <cellStyle name="Normal 32 7 5 2" xfId="13581" xr:uid="{FCBC7A44-4E2A-432C-907F-22D3024150CF}"/>
    <cellStyle name="Normal 32 7 5 4" xfId="13582" xr:uid="{E24BA11E-FED6-4DD6-A95E-3BD8AC3F6A17}"/>
    <cellStyle name="Normal 32 7 5 6" xfId="13583" xr:uid="{C35F565D-62FE-4B4F-994F-320E79E41DBF}"/>
    <cellStyle name="Normal 32 7 6 2" xfId="13584" xr:uid="{BA941F71-6AA4-45E1-8668-B39EA6AAF92A}"/>
    <cellStyle name="Normal 32 7 6 4" xfId="13585" xr:uid="{0A12DD69-E4F2-4FED-ACB5-F8BDE881DFFB}"/>
    <cellStyle name="Normal 32 7 6 6" xfId="13586" xr:uid="{027AF051-A2F6-4FEC-B966-85C8CE5C3ACC}"/>
    <cellStyle name="Normal 32 7 7 2" xfId="13587" xr:uid="{31084306-5BAD-4611-9C29-32CA5C9A8042}"/>
    <cellStyle name="Normal 32 7 7 4" xfId="13588" xr:uid="{E61E9DC6-D0FD-4649-99E1-EB5A32D06B55}"/>
    <cellStyle name="Normal 32 7 7 6" xfId="13589" xr:uid="{AA83CB1D-7066-4AF8-8E96-4466A89C82D9}"/>
    <cellStyle name="Normal 32 7 8 2" xfId="13590" xr:uid="{938E3428-91CF-48AC-AAB7-D6E234373E7E}"/>
    <cellStyle name="Normal 32 7 8 4" xfId="13591" xr:uid="{1DCF4DEA-37CA-4940-9C51-16CA1AA6AEF9}"/>
    <cellStyle name="Normal 32 7 8 6" xfId="13592" xr:uid="{334ED34C-62C7-48CE-B55B-A0A8338BAC5A}"/>
    <cellStyle name="Normal 32 8" xfId="13593" xr:uid="{3C163C76-F3CE-4FC9-954D-DE20B6259B4B}"/>
    <cellStyle name="Normal 32 8 12" xfId="13594" xr:uid="{8A7C6146-B5A8-4940-B4B8-9D9BDD402F38}"/>
    <cellStyle name="Normal 32 8 2" xfId="13595" xr:uid="{E51DD0EC-19A3-4444-B061-645A1767E6A4}"/>
    <cellStyle name="Normal 32 8 2 3" xfId="13596" xr:uid="{1DFF5D35-183B-4C98-98F4-3BBD0EB3D036}"/>
    <cellStyle name="Normal 32 8 2 5" xfId="13597" xr:uid="{D0373934-6E2B-4FEF-AF55-B2C8D3BF4D08}"/>
    <cellStyle name="Normal 32 8 3" xfId="13598" xr:uid="{3147894F-68B1-4428-A031-F46EFD1C65FA}"/>
    <cellStyle name="Normal 32 8 3 3" xfId="13599" xr:uid="{212DD24F-640F-48BE-B9C6-A536C163B08E}"/>
    <cellStyle name="Normal 32 8 3 5" xfId="13600" xr:uid="{C6CA6D0C-6F41-4782-8CCA-ADC5F796B977}"/>
    <cellStyle name="Normal 32 8 4" xfId="13601" xr:uid="{B1080DD9-CD8F-4BD2-A5E7-18CA1EFEBEFA}"/>
    <cellStyle name="Normal 32 8 4 3" xfId="13602" xr:uid="{7BAF2C2A-1010-41B0-9E74-98E36E374209}"/>
    <cellStyle name="Normal 32 8 4 5" xfId="13603" xr:uid="{39511723-9B29-4CAA-9BF7-AC17F9A88D96}"/>
    <cellStyle name="Normal 32 8 5" xfId="13604" xr:uid="{8A0027DC-836A-41AF-8CA8-5BEE8B9FB575}"/>
    <cellStyle name="Normal 32 8 5 3" xfId="13605" xr:uid="{0DECE500-BDAB-4442-BCFC-E1EB6E91C38A}"/>
    <cellStyle name="Normal 32 8 5 5" xfId="13606" xr:uid="{BEA802AE-4B8D-4703-97F7-6E14440FEDDA}"/>
    <cellStyle name="Normal 32 8 6" xfId="13607" xr:uid="{1F8CA02E-1A1A-4904-A2AE-39B097A05E4C}"/>
    <cellStyle name="Normal 32 8 6 3" xfId="13608" xr:uid="{DF0B0A73-340C-4FE4-85C6-CC2D0EFE1ED9}"/>
    <cellStyle name="Normal 32 8 6 5" xfId="13609" xr:uid="{ACB6F2C6-011A-49A7-B28B-9A9EF8689099}"/>
    <cellStyle name="Normal 32 8 7" xfId="13610" xr:uid="{86F550AD-1982-4612-AEFA-5DE564F97F31}"/>
    <cellStyle name="Normal 32 8 7 3" xfId="13611" xr:uid="{444B92AA-8CCB-49FC-AAB6-AF60523DED80}"/>
    <cellStyle name="Normal 32 8 7 5" xfId="13612" xr:uid="{D7743F91-3453-468D-BE0D-6B79D276271E}"/>
    <cellStyle name="Normal 32 8 8" xfId="13613" xr:uid="{873AF416-E380-4AA2-8E66-D6C079952CA2}"/>
    <cellStyle name="Normal 32 8 8 3" xfId="13614" xr:uid="{9FD4A312-5B79-4561-A8CD-65984E976F90}"/>
    <cellStyle name="Normal 32 8 8 5" xfId="13615" xr:uid="{C1CE8A24-FB20-42EC-99B5-C22EA3B9F7C7}"/>
    <cellStyle name="Normal 32 8 9" xfId="13616" xr:uid="{4FFC77D4-D6C5-4A15-B306-D8DA1E9304A7}"/>
    <cellStyle name="Normal 32 9 10" xfId="13617" xr:uid="{9CCC8E7A-79FE-4E3D-8CC7-E3D4CE373C7F}"/>
    <cellStyle name="Normal 32 9 12" xfId="13618" xr:uid="{BE88C5E4-5CA1-41BC-A0D4-6CA04A4A2022}"/>
    <cellStyle name="Normal 32 9 2" xfId="13619" xr:uid="{DFF568B4-7D03-408B-A428-4229A2FB231D}"/>
    <cellStyle name="Normal 32 9 2 3" xfId="13620" xr:uid="{173895B5-2F9E-4656-A744-B6E6BE1121B5}"/>
    <cellStyle name="Normal 32 9 2 5" xfId="13621" xr:uid="{503166D0-4FFF-4924-9299-EA01F0EC762F}"/>
    <cellStyle name="Normal 32 9 3" xfId="13622" xr:uid="{906CE6AF-3508-45F5-AE93-962AA1521320}"/>
    <cellStyle name="Normal 32 9 3 5" xfId="13623" xr:uid="{7225FAF3-BEEA-4651-B378-5C59C16B7FA9}"/>
    <cellStyle name="Normal 32 9 4" xfId="13624" xr:uid="{C3EAB856-EC40-4B37-9492-80191A8D627F}"/>
    <cellStyle name="Normal 32 9 4 3" xfId="13625" xr:uid="{CBE7D8C0-66D3-4A31-B7BE-2850B54A7ACE}"/>
    <cellStyle name="Normal 32 9 4 6" xfId="13626" xr:uid="{5C14A6D6-FB31-416B-B866-10382E2FC173}"/>
    <cellStyle name="Normal 32 9 5" xfId="13627" xr:uid="{733B4AC9-05C7-45F0-86C0-6B332E239573}"/>
    <cellStyle name="Normal 32 9 5 3" xfId="13628" xr:uid="{2779FEB9-7A06-4150-AD03-9E3A1A27A5CD}"/>
    <cellStyle name="Normal 32 9 5 5" xfId="13629" xr:uid="{441734C7-0FBC-44BF-B9C5-3C90D3DAD42D}"/>
    <cellStyle name="Normal 32 9 6" xfId="13630" xr:uid="{B7E76313-5BDC-44EE-9880-B0CEE63D0C75}"/>
    <cellStyle name="Normal 32 9 6 3" xfId="13631" xr:uid="{0EB483AD-F7BB-4219-BA52-C04F5051E9D1}"/>
    <cellStyle name="Normal 32 9 6 5" xfId="13632" xr:uid="{2C304E90-8348-4A13-AD42-2957AA7C1C57}"/>
    <cellStyle name="Normal 32 9 7" xfId="13633" xr:uid="{B9F83CAC-3B8B-47BD-AE6E-3D75A0A86AEF}"/>
    <cellStyle name="Normal 32 9 7 2" xfId="13634" xr:uid="{B82E7C2E-56F1-4543-A9C3-8C440866F6D0}"/>
    <cellStyle name="Normal 32 9 7 5" xfId="13635" xr:uid="{F48E2B78-888C-4267-81B1-346BAD6FC3CB}"/>
    <cellStyle name="Normal 32 9 8" xfId="13636" xr:uid="{FEE234D5-58BA-45A8-AD1C-1439803E117D}"/>
    <cellStyle name="Normal 32 9 8 2" xfId="13637" xr:uid="{39A85D2F-3B99-4085-9EED-6E27EA5183C5}"/>
    <cellStyle name="Normal 32 9 8 4" xfId="13638" xr:uid="{4AA94C01-74F3-4540-BE51-1625E472D63B}"/>
    <cellStyle name="Normal 32 9 8 6" xfId="13639" xr:uid="{AB0B7695-7397-449A-A7F4-6C82B3BA11D7}"/>
    <cellStyle name="Normal 33" xfId="687" xr:uid="{7E22F1D3-3722-477E-8185-22FBD882B756}"/>
    <cellStyle name="Normal 33 10 10" xfId="13640" xr:uid="{FA768941-0723-4B5A-A347-10ECF0B599CD}"/>
    <cellStyle name="Normal 33 10 2" xfId="13641" xr:uid="{043614E6-365A-417D-98AC-6FAEE90E4D56}"/>
    <cellStyle name="Normal 33 10 2 5" xfId="13642" xr:uid="{55F6C98B-0A2E-4341-AB69-03583C99ACE1}"/>
    <cellStyle name="Normal 33 10 3 2" xfId="13643" xr:uid="{E994C96C-8B17-4B76-8761-18D3E630B73A}"/>
    <cellStyle name="Normal 33 10 3 5" xfId="13644" xr:uid="{45526491-EE8B-4847-8339-96DD6DD3180F}"/>
    <cellStyle name="Normal 33 10 3 6" xfId="13645" xr:uid="{3EC6EB80-215C-41EC-B41F-46402E61EA6D}"/>
    <cellStyle name="Normal 33 10 4 2" xfId="13646" xr:uid="{646A1414-D4C3-4F8B-AA38-B1F12BA04114}"/>
    <cellStyle name="Normal 33 10 4 4" xfId="13647" xr:uid="{4F0B7DFD-F14C-4A97-8BF3-ACF23270862D}"/>
    <cellStyle name="Normal 33 10 4 6" xfId="13648" xr:uid="{22B70129-34CE-46B0-95E5-1D8BA5541AF9}"/>
    <cellStyle name="Normal 33 10 5" xfId="13649" xr:uid="{85D60E3B-2CDB-4604-B8B0-A43A95D8D013}"/>
    <cellStyle name="Normal 33 10 5 2" xfId="13650" xr:uid="{6C19B56E-E0E2-4F4D-8476-8DB9BDAC0480}"/>
    <cellStyle name="Normal 33 10 5 3" xfId="13651" xr:uid="{98732AAE-CB0B-45D0-968B-AEC2EF578F89}"/>
    <cellStyle name="Normal 33 10 5 4" xfId="13652" xr:uid="{40FAFB63-C4FB-4640-B5AF-281457680738}"/>
    <cellStyle name="Normal 33 10 5 5" xfId="13653" xr:uid="{CC37A83B-835D-4584-A4FB-00AD2F27CDFF}"/>
    <cellStyle name="Normal 33 10 5 6" xfId="13654" xr:uid="{C2749902-A8BC-47B1-8D5B-6ACA0F3EFE25}"/>
    <cellStyle name="Normal 33 10 6 2" xfId="13655" xr:uid="{01FC747E-2A12-41CF-B3AF-7934EA19EF41}"/>
    <cellStyle name="Normal 33 10 6 4" xfId="13656" xr:uid="{CB9FA62C-823B-461A-B15B-4A6E332BA22B}"/>
    <cellStyle name="Normal 33 10 6 5" xfId="13657" xr:uid="{31BDABD2-A0DF-4CB7-BB82-DB9451496BD9}"/>
    <cellStyle name="Normal 33 10 7" xfId="13658" xr:uid="{0AA4D105-0A82-4601-903E-CF42493B08BF}"/>
    <cellStyle name="Normal 33 10 7 2" xfId="13659" xr:uid="{44E4FB0B-AF5E-476C-8FDE-2A9728F1B85D}"/>
    <cellStyle name="Normal 33 10 7 3" xfId="13660" xr:uid="{D0252ADC-5840-49C6-A67D-56E9984C2439}"/>
    <cellStyle name="Normal 33 10 7 4" xfId="13661" xr:uid="{073C19CE-4B18-4BCD-86FB-DEBF2A1E18B6}"/>
    <cellStyle name="Normal 33 10 7 6" xfId="13662" xr:uid="{E66F5C2A-AA0A-4F65-B8BE-705113175F94}"/>
    <cellStyle name="Normal 33 10 8 2" xfId="13663" xr:uid="{7F7F59EB-0DEF-4DB0-A7C4-D698B59F680A}"/>
    <cellStyle name="Normal 33 10 8 4" xfId="13664" xr:uid="{A78C43ED-609A-4EB0-8248-AA15ECF0C827}"/>
    <cellStyle name="Normal 33 10 8 6" xfId="13665" xr:uid="{E7A500E3-59D1-475D-8879-2FF24B9BF60B}"/>
    <cellStyle name="Normal 33 11" xfId="13666" xr:uid="{3601306F-9F0F-4185-8E0E-43754676BCCF}"/>
    <cellStyle name="Normal 33 11 13" xfId="13667" xr:uid="{AB67A80B-BFBD-4E11-B24F-BA3AD824AABD}"/>
    <cellStyle name="Normal 33 11 2 2" xfId="13668" xr:uid="{0065CF03-E29B-45A4-8095-91513BF5399B}"/>
    <cellStyle name="Normal 33 11 2 4" xfId="13669" xr:uid="{C2C78792-093B-459F-876A-B31424DE63EE}"/>
    <cellStyle name="Normal 33 11 3 2" xfId="13670" xr:uid="{C4BCD65E-CBDE-4D8D-987A-6171621F27AB}"/>
    <cellStyle name="Normal 33 11 3 6" xfId="13671" xr:uid="{AD75C0EB-EC56-4FBF-82E9-A306E2BB1827}"/>
    <cellStyle name="Normal 33 11 4 4" xfId="13672" xr:uid="{A8BACE67-E95D-48BB-A6A7-CBB3DBB19054}"/>
    <cellStyle name="Normal 33 11 5 2" xfId="13673" xr:uid="{1F69B119-4B86-4CF1-8F0E-D0260D0A8475}"/>
    <cellStyle name="Normal 33 11 5 6" xfId="13674" xr:uid="{E857EEC5-097C-446B-97E9-FE7C49AFF97D}"/>
    <cellStyle name="Normal 33 11 6 4" xfId="13675" xr:uid="{5F049904-775F-48A3-B4BD-2C4C24C2EACD}"/>
    <cellStyle name="Normal 33 11 7 2" xfId="13676" xr:uid="{D28F9B65-421F-4259-9F4C-D8557079D81C}"/>
    <cellStyle name="Normal 33 11 7 6" xfId="13677" xr:uid="{0B89E581-4463-4280-BF98-2D38E96908F1}"/>
    <cellStyle name="Normal 33 11 8 4" xfId="13678" xr:uid="{F2687F65-CF28-49E2-87B5-7DF827E28F65}"/>
    <cellStyle name="Normal 33 12" xfId="13679" xr:uid="{737B8B40-B569-4E68-9397-760555306C08}"/>
    <cellStyle name="Normal 33 12 5" xfId="13680" xr:uid="{64233214-8106-475F-98AF-2A41468017D8}"/>
    <cellStyle name="Normal 33 13 3" xfId="13681" xr:uid="{55288BB7-2CC7-4A52-A172-2F85359F78E9}"/>
    <cellStyle name="Normal 33 14" xfId="13682" xr:uid="{62F5D1D5-5927-4451-A22D-E04D00F6EA3B}"/>
    <cellStyle name="Normal 33 14 5" xfId="13683" xr:uid="{755798FF-447B-49F6-BF85-4110D03DA6AE}"/>
    <cellStyle name="Normal 33 15 3" xfId="13684" xr:uid="{E52D38A2-15CC-49B2-BFA4-7574B2D4C1FD}"/>
    <cellStyle name="Normal 33 16" xfId="13685" xr:uid="{19EF506C-5D29-4D1D-ADF9-71CD0051957C}"/>
    <cellStyle name="Normal 33 16 5" xfId="13686" xr:uid="{0B0A0B8C-3C36-4FC4-9873-E0C812C51FE2}"/>
    <cellStyle name="Normal 33 17 3" xfId="13687" xr:uid="{FEC2B63C-7849-4280-8E29-5825F495FA28}"/>
    <cellStyle name="Normal 33 18" xfId="13688" xr:uid="{12CAB27F-6904-4B98-A5D9-64E56FD04B30}"/>
    <cellStyle name="Normal 33 18 4" xfId="13689" xr:uid="{318E681C-8471-4BFA-88ED-F782D089F9B1}"/>
    <cellStyle name="Normal 33 2" xfId="879" xr:uid="{E5EAADD3-3AAB-4D1A-BF9D-C4C7690DDB8B}"/>
    <cellStyle name="Normal 33 2 12" xfId="13690" xr:uid="{6F0C7175-502A-4F46-9397-69AE9494A94C}"/>
    <cellStyle name="Normal 33 2 2" xfId="13691" xr:uid="{B22C31F7-8CC5-4CA9-8497-FE4023F6271D}"/>
    <cellStyle name="Normal 33 2 2 3" xfId="13692" xr:uid="{F06BD985-6725-4867-A869-51E84C91E746}"/>
    <cellStyle name="Normal 33 2 2 5" xfId="13693" xr:uid="{BD6D1F8A-D10B-44DC-B6FD-424F6E472548}"/>
    <cellStyle name="Normal 33 2 3" xfId="13694" xr:uid="{17646B6D-C5D8-477D-AAE0-8C29498C20C9}"/>
    <cellStyle name="Normal 33 2 3 3" xfId="13695" xr:uid="{92844052-BA60-4523-9662-141DC380E952}"/>
    <cellStyle name="Normal 33 2 3 5" xfId="13696" xr:uid="{E914F089-DEE7-44CD-92D4-7AA53FC7B5F4}"/>
    <cellStyle name="Normal 33 2 4" xfId="13697" xr:uid="{13D43AA0-DDC3-4A66-B4FC-644533BD2BAF}"/>
    <cellStyle name="Normal 33 2 4 3" xfId="13698" xr:uid="{C786A89A-5494-4D10-AA0E-7BCF377C45A3}"/>
    <cellStyle name="Normal 33 2 4 5" xfId="13699" xr:uid="{A3520CBB-820B-4CE9-B50E-D489460B247C}"/>
    <cellStyle name="Normal 33 2 5" xfId="13700" xr:uid="{CD14B000-BD85-478E-A314-6A878DAF2D4E}"/>
    <cellStyle name="Normal 33 2 5 3" xfId="13701" xr:uid="{CF0C3D3D-D57A-4A7A-8BB4-E009010C3341}"/>
    <cellStyle name="Normal 33 2 5 5" xfId="13702" xr:uid="{B1B8E5CA-5DE0-42CD-A688-57D5D0264CEC}"/>
    <cellStyle name="Normal 33 2 6" xfId="13703" xr:uid="{62324547-6509-4D8F-A713-C8D7FA6E6691}"/>
    <cellStyle name="Normal 33 2 6 3" xfId="13704" xr:uid="{467FF955-F1AB-4B0F-8ACC-E5A1D0B28303}"/>
    <cellStyle name="Normal 33 2 6 5" xfId="13705" xr:uid="{5429139B-F0A7-4DF0-B5E8-8E744177BD39}"/>
    <cellStyle name="Normal 33 2 7" xfId="13706" xr:uid="{BE11E732-631D-4566-9BD0-E88DB541255B}"/>
    <cellStyle name="Normal 33 2 7 5" xfId="13707" xr:uid="{B036D85F-E7B3-4146-9544-F6D2C8BEFE9F}"/>
    <cellStyle name="Normal 33 2 8" xfId="13708" xr:uid="{C549EDF3-3BD7-4D47-BA36-951A77755A57}"/>
    <cellStyle name="Normal 33 2 8 3" xfId="13709" xr:uid="{C86DF62E-F5E7-42B1-9F77-71A00A215D9D}"/>
    <cellStyle name="Normal 33 2 8 5" xfId="13710" xr:uid="{20ABC520-268F-4D72-BA9B-9F192F7ACE07}"/>
    <cellStyle name="Normal 33 2 9" xfId="13711" xr:uid="{D8C51627-27F5-49E1-9119-CA4EDA673158}"/>
    <cellStyle name="Normal 33 21" xfId="13712" xr:uid="{B446AC69-6382-4431-A23D-3A4E6CC95EFD}"/>
    <cellStyle name="Normal 33 23" xfId="13713" xr:uid="{BC68DAD3-C7C2-4D7F-B28A-68ED41ECBAD4}"/>
    <cellStyle name="Normal 33 3" xfId="13714" xr:uid="{89592AC7-822A-4190-94B1-EF71BBF7ADFB}"/>
    <cellStyle name="Normal 33 3 11" xfId="13715" xr:uid="{679901F8-9E58-4EF5-96F8-F0411DD97B5D}"/>
    <cellStyle name="Normal 33 3 13" xfId="13716" xr:uid="{A4ADBF57-9B76-4BF7-BCCE-879F7D7B905B}"/>
    <cellStyle name="Normal 33 3 2 2" xfId="13717" xr:uid="{E7EA56C1-0A92-4EF1-8679-BA0D150088E0}"/>
    <cellStyle name="Normal 33 3 2 4" xfId="13718" xr:uid="{DF767CA6-DC3F-4D49-A133-659D55279E2C}"/>
    <cellStyle name="Normal 33 3 2 6" xfId="13719" xr:uid="{9F84C282-7A07-4156-A7D1-F00CBBC2A550}"/>
    <cellStyle name="Normal 33 3 3 4" xfId="13720" xr:uid="{783FD0BD-1787-4062-AA0A-DF8710168C6C}"/>
    <cellStyle name="Normal 33 3 4 2" xfId="13721" xr:uid="{4BAFC9B9-1B35-4481-BE3F-461852A04D22}"/>
    <cellStyle name="Normal 33 3 4 6" xfId="13722" xr:uid="{43D61FB2-865B-4EDB-98CF-16E58A7F2A28}"/>
    <cellStyle name="Normal 33 3 5 2" xfId="13723" xr:uid="{F74424FB-23DC-4E0B-8AFE-B82E6629264A}"/>
    <cellStyle name="Normal 33 3 5 4" xfId="13724" xr:uid="{8D759577-B5A3-4A72-8D9F-AB0A2CF5DC89}"/>
    <cellStyle name="Normal 33 3 6 2" xfId="13725" xr:uid="{564F8442-15E6-4EC6-B441-506BC1600B7C}"/>
    <cellStyle name="Normal 33 3 6 6" xfId="13726" xr:uid="{1CCD7846-E504-495D-89FD-95D937ACD2CA}"/>
    <cellStyle name="Normal 33 3 7 4" xfId="13727" xr:uid="{52B74D1E-3388-490F-95A6-154F310B2D21}"/>
    <cellStyle name="Normal 33 3 8 2" xfId="13728" xr:uid="{56972527-D649-4793-B882-B8D97CBEEABA}"/>
    <cellStyle name="Normal 33 3 8 6" xfId="13729" xr:uid="{21DCC693-1626-44B0-B777-E6F43330ED0F}"/>
    <cellStyle name="Normal 33 4 11" xfId="13730" xr:uid="{1A5DEC4B-5247-4023-B31A-8AB090DD6F87}"/>
    <cellStyle name="Normal 33 4 2 2" xfId="13731" xr:uid="{E5BFE7E0-1BD0-4D85-A4D7-8F9901888F61}"/>
    <cellStyle name="Normal 33 4 2 6" xfId="13732" xr:uid="{8111BE15-0762-4FAC-A57C-E50927A01292}"/>
    <cellStyle name="Normal 33 4 3 4" xfId="13733" xr:uid="{C8EB9301-2E62-4D51-9C7A-274D8B60A260}"/>
    <cellStyle name="Normal 33 4 4 2" xfId="13734" xr:uid="{19EEB5DF-0B8F-45BA-A1C0-D95E14DE088A}"/>
    <cellStyle name="Normal 33 4 4 6" xfId="13735" xr:uid="{61743137-F1B5-42D8-92BB-CFEF705D59F0}"/>
    <cellStyle name="Normal 33 4 5 4" xfId="13736" xr:uid="{4183A28A-3CE0-4110-852C-5F44052CE4F1}"/>
    <cellStyle name="Normal 33 4 6 2" xfId="13737" xr:uid="{527D0E11-2F44-43CA-966D-1F47B99446C5}"/>
    <cellStyle name="Normal 33 4 6 6" xfId="13738" xr:uid="{B55EEF0D-5EAB-469E-9537-37B188624A2D}"/>
    <cellStyle name="Normal 33 4 7 4" xfId="13739" xr:uid="{DBC284B6-41E9-4E8D-B8DE-E7C6F12C76DB}"/>
    <cellStyle name="Normal 33 4 8 2" xfId="13740" xr:uid="{AAA10F0F-A50F-4FE6-B6F4-0C63488FEA23}"/>
    <cellStyle name="Normal 33 4 8 6" xfId="13741" xr:uid="{F20148E2-F075-41E7-BCB9-14C9A2079C56}"/>
    <cellStyle name="Normal 33 5 11" xfId="13742" xr:uid="{BB82743B-5D78-43A8-BE9B-B010ADA0FB9A}"/>
    <cellStyle name="Normal 33 5 2 2" xfId="13743" xr:uid="{7907BF6C-C9F2-4E68-A6F9-9DC5671399D9}"/>
    <cellStyle name="Normal 33 5 2 5" xfId="13744" xr:uid="{432E0D76-EF6A-4F25-862C-DA99C3F2CBB3}"/>
    <cellStyle name="Normal 33 5 3 3" xfId="13745" xr:uid="{824FB0A3-C01D-409F-98E4-82B0D449301D}"/>
    <cellStyle name="Normal 33 5 4" xfId="13746" xr:uid="{E04A4633-FC9F-41A2-9FBE-08A8A2AA1ED6}"/>
    <cellStyle name="Normal 33 5 4 3" xfId="13747" xr:uid="{804850FB-BE9A-43D0-A2B2-315EFE6D1096}"/>
    <cellStyle name="Normal 33 5 4 5" xfId="13748" xr:uid="{6B28A06A-7452-4DDF-A959-8A2AB79AB623}"/>
    <cellStyle name="Normal 33 5 5" xfId="13749" xr:uid="{E35ECB95-3A37-4430-B59C-284E4DFDC188}"/>
    <cellStyle name="Normal 33 5 5 3" xfId="13750" xr:uid="{1C4AB695-7424-47C9-9020-65F7F4BA2F4F}"/>
    <cellStyle name="Normal 33 5 5 5" xfId="13751" xr:uid="{C6DC969D-FBC6-42CA-8538-7C57A73AFB3F}"/>
    <cellStyle name="Normal 33 5 6" xfId="13752" xr:uid="{E49CA568-FA17-49B5-89FB-E98B97C3A3E6}"/>
    <cellStyle name="Normal 33 5 6 3" xfId="13753" xr:uid="{7C2B5FD4-DBE5-46D0-99CC-ED6F09F2BE88}"/>
    <cellStyle name="Normal 33 5 6 5" xfId="13754" xr:uid="{CC70B6D4-10A5-4087-AC17-A031D4245149}"/>
    <cellStyle name="Normal 33 5 7" xfId="13755" xr:uid="{206BD734-54A2-43C9-AA36-34FC00986E9D}"/>
    <cellStyle name="Normal 33 5 7 3" xfId="13756" xr:uid="{7E92C22A-CA06-45E9-B36C-90C175380EA5}"/>
    <cellStyle name="Normal 33 5 7 5" xfId="13757" xr:uid="{79B621C9-38F3-4F5E-8A06-583B23816BAB}"/>
    <cellStyle name="Normal 33 5 8" xfId="13758" xr:uid="{F17ABA9F-4FFA-4B3B-ABF8-ECED91D4C886}"/>
    <cellStyle name="Normal 33 5 8 3" xfId="13759" xr:uid="{B1F845C4-A154-49B8-8ECF-E85D6480BF1C}"/>
    <cellStyle name="Normal 33 5 8 5" xfId="13760" xr:uid="{9E0C0D3E-CDFE-4860-9359-F2CE45406F4C}"/>
    <cellStyle name="Normal 33 5 9" xfId="13761" xr:uid="{B0C5195D-C9DD-423F-9D30-B957B8A688BD}"/>
    <cellStyle name="Normal 33 6 10" xfId="13762" xr:uid="{B5666741-0625-4DF7-8620-7122157E2914}"/>
    <cellStyle name="Normal 33 6 12" xfId="13763" xr:uid="{14660E5D-2113-4725-A310-F64E792212C8}"/>
    <cellStyle name="Normal 33 6 2" xfId="13764" xr:uid="{B224364C-84EB-4FE3-A9FB-364D569678E9}"/>
    <cellStyle name="Normal 33 6 2 3" xfId="13765" xr:uid="{0AB718F3-6FE7-4B9E-82BE-31D1EB4CAE71}"/>
    <cellStyle name="Normal 33 6 2 5" xfId="13766" xr:uid="{963CE3CD-8F40-4C43-B237-BADB466470DF}"/>
    <cellStyle name="Normal 33 6 3" xfId="13767" xr:uid="{E3ABA4DA-324C-4C4C-90C0-8A61979AB42D}"/>
    <cellStyle name="Normal 33 6 3 3" xfId="13768" xr:uid="{F7AA6864-32D6-4B18-830F-02332CE7F429}"/>
    <cellStyle name="Normal 33 6 3 5" xfId="13769" xr:uid="{CA7E4114-F8AB-42D7-9E30-6C60B93862FF}"/>
    <cellStyle name="Normal 33 6 4" xfId="13770" xr:uid="{1B6F9AC6-89BD-4F08-955E-F44B0601C0D1}"/>
    <cellStyle name="Normal 33 6 4 4" xfId="13771" xr:uid="{5EE46F16-0D71-402E-84E5-54BF289DF97F}"/>
    <cellStyle name="Normal 33 6 4 6" xfId="13772" xr:uid="{12B115BB-9FD8-4413-9893-584E9B54DE6D}"/>
    <cellStyle name="Normal 33 6 5 2" xfId="13773" xr:uid="{F8583B84-C98B-4EE8-8137-8C8E87D6A76D}"/>
    <cellStyle name="Normal 33 6 5 4" xfId="13774" xr:uid="{DFE43DBC-6927-46F6-8711-AC7A37EC0CE2}"/>
    <cellStyle name="Normal 33 6 6" xfId="13775" xr:uid="{B995546E-69C7-4691-BEE3-9C1E525BADF3}"/>
    <cellStyle name="Normal 33 6 6 5" xfId="13776" xr:uid="{E997EFB0-2378-4650-93D0-4B4994A595F8}"/>
    <cellStyle name="Normal 33 6 7 3" xfId="13777" xr:uid="{9F7B49AD-D498-4B91-ACDA-E1DC5088B164}"/>
    <cellStyle name="Normal 33 6 8" xfId="13778" xr:uid="{05333FC2-C65F-4A41-A079-E7DC64620746}"/>
    <cellStyle name="Normal 33 6 8 5" xfId="13779" xr:uid="{6D9C6C87-ACB5-47D4-97AE-3FDC9D4B022A}"/>
    <cellStyle name="Normal 33 7" xfId="13780" xr:uid="{4707070C-AD3D-41CB-9AC0-2F63A53D2C31}"/>
    <cellStyle name="Normal 33 7 13" xfId="13781" xr:uid="{4E2C0EC2-81D7-4F1C-865A-C262006A7CCA}"/>
    <cellStyle name="Normal 33 7 2 4" xfId="13782" xr:uid="{599329AB-6469-4187-9410-291A465D0FEB}"/>
    <cellStyle name="Normal 33 7 3 2" xfId="13783" xr:uid="{BE41C01F-ACD5-4165-AA7C-4EC109C268E5}"/>
    <cellStyle name="Normal 33 7 3 6" xfId="13784" xr:uid="{ACA30BE7-8A9B-45A6-8A9A-37AB4A7CCCDD}"/>
    <cellStyle name="Normal 33 7 4 4" xfId="13785" xr:uid="{993F34E8-243F-4D1A-B3A4-C1BC90968A5C}"/>
    <cellStyle name="Normal 33 7 5" xfId="13786" xr:uid="{C94B8F9F-12DC-49E8-B7AC-204413C710F1}"/>
    <cellStyle name="Normal 33 7 5 5" xfId="13787" xr:uid="{3FDF3F89-C747-4926-A3B4-3AD481E10440}"/>
    <cellStyle name="Normal 33 7 6 3" xfId="13788" xr:uid="{655B1AF8-FDF2-49EF-8528-F0A1D3AB1668}"/>
    <cellStyle name="Normal 33 7 7" xfId="13789" xr:uid="{D86C2B06-C7A1-410F-B382-4111EE7D5464}"/>
    <cellStyle name="Normal 33 7 7 5" xfId="13790" xr:uid="{5221D653-7F3D-4B9C-B73C-093003F7120C}"/>
    <cellStyle name="Normal 33 7 8 2" xfId="13791" xr:uid="{210B8FE7-C711-466A-9C8B-DC9EE2963D85}"/>
    <cellStyle name="Normal 33 7 8 6" xfId="13792" xr:uid="{65A84CB6-2B96-4BAF-9AC1-468B08FC00DB}"/>
    <cellStyle name="Normal 33 8 12" xfId="13793" xr:uid="{3CC267AA-6583-4100-B028-4DE3E396D6CD}"/>
    <cellStyle name="Normal 33 8 2 3" xfId="13794" xr:uid="{31AF6AB9-B2CA-498C-8F03-CB2389EDBE25}"/>
    <cellStyle name="Normal 33 8 3" xfId="13795" xr:uid="{374A92DF-84A4-4A7F-B6E2-C6F50507FBAE}"/>
    <cellStyle name="Normal 33 8 3 5" xfId="13796" xr:uid="{B3F3D677-10A2-424B-8D8C-63EC5D4F569F}"/>
    <cellStyle name="Normal 33 8 4 2" xfId="13797" xr:uid="{E005FB63-8E1D-402C-978D-BB49711B6481}"/>
    <cellStyle name="Normal 33 8 4 6" xfId="13798" xr:uid="{4308AEEF-91F7-441A-A481-83F8750D2F39}"/>
    <cellStyle name="Normal 33 8 5 3" xfId="13799" xr:uid="{8AE3F08E-174D-4A6A-A958-79E6B5DFB7B9}"/>
    <cellStyle name="Normal 33 8 6" xfId="13800" xr:uid="{737430C3-3C25-44EC-83D2-10961F6E7AF3}"/>
    <cellStyle name="Normal 33 8 6 4" xfId="13801" xr:uid="{F9E3CDB5-0227-4B6F-B5E5-F2FBF0DDBA6E}"/>
    <cellStyle name="Normal 33 8 6 6" xfId="13802" xr:uid="{57EA0422-D59D-4D6E-BBBA-9FD0D9F09364}"/>
    <cellStyle name="Normal 33 8 7 2" xfId="13803" xr:uid="{C0160C07-1708-4CE9-B2EC-24332373B965}"/>
    <cellStyle name="Normal 33 8 7 4" xfId="13804" xr:uid="{FB1A34DE-A5AD-41D0-8B7A-0681D1133251}"/>
    <cellStyle name="Normal 33 8 7 6" xfId="13805" xr:uid="{64ECD911-2900-4709-9B88-1D896FEF12B7}"/>
    <cellStyle name="Normal 33 8 8 2" xfId="13806" xr:uid="{00B1A59B-E02C-42CD-A807-1808FA6FE36B}"/>
    <cellStyle name="Normal 33 8 8 4" xfId="13807" xr:uid="{5208E4B0-A06D-4279-B054-D71548D25048}"/>
    <cellStyle name="Normal 33 8 8 6" xfId="13808" xr:uid="{1B2F3879-716F-4D00-AAAB-D81FD426F162}"/>
    <cellStyle name="Normal 33 9" xfId="13809" xr:uid="{2BC68C73-6AEA-4170-B11C-EFC6C53D1947}"/>
    <cellStyle name="Normal 33 9 11" xfId="13810" xr:uid="{3BFB7B6A-1F12-4A06-A5B8-253862E4513A}"/>
    <cellStyle name="Normal 33 9 13" xfId="13811" xr:uid="{FCCA87AC-1897-4981-8BA6-3F99129FF588}"/>
    <cellStyle name="Normal 33 9 2 2" xfId="13812" xr:uid="{1FAC9B92-7567-43D5-B1AE-45D85C8B1DA7}"/>
    <cellStyle name="Normal 33 9 2 4" xfId="13813" xr:uid="{166228DA-EC01-4D9B-B325-68ADF965AFA7}"/>
    <cellStyle name="Normal 33 9 2 6" xfId="13814" xr:uid="{BDED0826-3916-4BCC-A610-56E931BC61D2}"/>
    <cellStyle name="Normal 33 9 3 2" xfId="13815" xr:uid="{ABA9B77D-D74A-4AFB-A469-1E37930486F3}"/>
    <cellStyle name="Normal 33 9 3 4" xfId="13816" xr:uid="{3700DA88-0E58-45E0-8642-06B0305DB7BD}"/>
    <cellStyle name="Normal 33 9 3 6" xfId="13817" xr:uid="{D18E84DE-D5FF-4CBA-A46B-6F32600A1E66}"/>
    <cellStyle name="Normal 33 9 4 2" xfId="13818" xr:uid="{F2FAFD75-9A4A-427D-A408-DF3D2F0F1539}"/>
    <cellStyle name="Normal 33 9 4 4" xfId="13819" xr:uid="{14F2C7F0-F8A9-4CBC-8110-00757D1DC391}"/>
    <cellStyle name="Normal 33 9 4 6" xfId="13820" xr:uid="{FB4AABF9-F6FE-4A44-8C48-40B59CEF0004}"/>
    <cellStyle name="Normal 33 9 5 2" xfId="13821" xr:uid="{B213456A-F723-4E1E-972D-9E159612C18A}"/>
    <cellStyle name="Normal 33 9 5 4" xfId="13822" xr:uid="{E9DEC95F-95EF-4348-85E8-F5D3EDD2B0A6}"/>
    <cellStyle name="Normal 33 9 5 6" xfId="13823" xr:uid="{15D55A45-123B-499E-AB4B-4010FC1F3926}"/>
    <cellStyle name="Normal 33 9 6 2" xfId="13824" xr:uid="{CC438AD8-B2E6-4965-B39B-337779A53CEC}"/>
    <cellStyle name="Normal 33 9 6 4" xfId="13825" xr:uid="{AB852EFF-4D4A-4D66-89E5-E3BE87AB3769}"/>
    <cellStyle name="Normal 33 9 6 6" xfId="13826" xr:uid="{B3DEF8CE-885E-41EB-9405-DAA8F91819C7}"/>
    <cellStyle name="Normal 33 9 7 2" xfId="13827" xr:uid="{1F77EB87-C3C1-4110-AE3E-EE1E250F68EE}"/>
    <cellStyle name="Normal 33 9 7 4" xfId="13828" xr:uid="{86825964-5AD2-421C-9AE1-B00E1F969064}"/>
    <cellStyle name="Normal 33 9 7 6" xfId="13829" xr:uid="{18879770-4D00-465C-A2CA-C34C1945E658}"/>
    <cellStyle name="Normal 33 9 8 2" xfId="13830" xr:uid="{90C348FF-F9F5-4E24-A1EF-6FCD73EBA646}"/>
    <cellStyle name="Normal 33 9 8 4" xfId="13831" xr:uid="{D65E42B8-EE36-4C26-A08E-95D63EFC2F38}"/>
    <cellStyle name="Normal 33 9 8 6" xfId="13832" xr:uid="{B2D484FC-4826-4425-B4F7-3819CF944C1A}"/>
    <cellStyle name="Normal 34" xfId="692" xr:uid="{988619D4-E3DB-426D-9EE3-BBEEA85A465E}"/>
    <cellStyle name="Normal 34 10 12" xfId="13833" xr:uid="{9B1E16D9-1DC3-4157-989D-087D8968A364}"/>
    <cellStyle name="Normal 34 10 2" xfId="13834" xr:uid="{77CE952B-CAE4-4EDE-AB7B-EC33BED853E7}"/>
    <cellStyle name="Normal 34 10 2 3" xfId="13835" xr:uid="{316275EB-F6A6-4C3D-B6FA-E97952A39C30}"/>
    <cellStyle name="Normal 34 10 2 5" xfId="13836" xr:uid="{55C22B4E-E38E-475B-BE7C-E85CD99E15B3}"/>
    <cellStyle name="Normal 34 10 3" xfId="13837" xr:uid="{BC469FC3-BE0F-43C3-B640-8F9B3908F982}"/>
    <cellStyle name="Normal 34 10 3 3" xfId="13838" xr:uid="{0B4C7D6B-2C80-4AD7-A6A2-C931C577AA89}"/>
    <cellStyle name="Normal 34 10 3 5" xfId="13839" xr:uid="{182AFEEC-0E03-41EF-8198-A1F2C5760587}"/>
    <cellStyle name="Normal 34 10 4" xfId="13840" xr:uid="{1A43F6A1-32C5-4B55-B181-D0CFDB95067F}"/>
    <cellStyle name="Normal 34 10 4 3" xfId="13841" xr:uid="{4F4E2825-535D-499A-A04F-13AFDFA90F7C}"/>
    <cellStyle name="Normal 34 10 4 5" xfId="13842" xr:uid="{83553F79-38C8-4DA0-9E84-4B59FC9681BB}"/>
    <cellStyle name="Normal 34 10 5" xfId="13843" xr:uid="{847C38DE-25F6-42EB-A84A-40C07FE4D826}"/>
    <cellStyle name="Normal 34 10 5 3" xfId="13844" xr:uid="{F4BFED13-444E-4BC5-9AE8-1029A601C370}"/>
    <cellStyle name="Normal 34 10 5 5" xfId="13845" xr:uid="{D6198C40-6C3D-4E2E-BBA7-912C1428EA93}"/>
    <cellStyle name="Normal 34 10 6" xfId="13846" xr:uid="{A94D27F6-8633-4481-9A11-F1A15FB2698C}"/>
    <cellStyle name="Normal 34 10 6 3" xfId="13847" xr:uid="{EFA6D97D-69EB-45D7-A36B-85D1182F8437}"/>
    <cellStyle name="Normal 34 10 6 5" xfId="13848" xr:uid="{63577767-060A-4E21-B829-93FEACF2ECD8}"/>
    <cellStyle name="Normal 34 10 7" xfId="13849" xr:uid="{A23E401B-A443-4051-AD22-1862120E6529}"/>
    <cellStyle name="Normal 34 10 7 3" xfId="13850" xr:uid="{DD475B7D-0373-4FA7-8B20-29DC769D6BFE}"/>
    <cellStyle name="Normal 34 10 7 5" xfId="13851" xr:uid="{7880A42D-9CA1-40A7-AE60-147A1B4377E0}"/>
    <cellStyle name="Normal 34 10 8" xfId="13852" xr:uid="{4A93D925-4418-427E-986B-383D96F9DFBF}"/>
    <cellStyle name="Normal 34 10 8 3" xfId="13853" xr:uid="{903E9390-29F7-48BC-A18B-B018F6FF9E78}"/>
    <cellStyle name="Normal 34 10 8 5" xfId="13854" xr:uid="{A5C1CF27-626E-4EF9-A8C6-933EB485BCDE}"/>
    <cellStyle name="Normal 34 10 9" xfId="13855" xr:uid="{9F3EF9A0-7421-497D-8F64-3ECD7FA641A4}"/>
    <cellStyle name="Normal 34 11 10" xfId="13856" xr:uid="{835C9C62-DEEE-499D-9390-7F72E9219092}"/>
    <cellStyle name="Normal 34 11 12" xfId="13857" xr:uid="{09ECDB52-2377-422C-8DBD-81DA2554D706}"/>
    <cellStyle name="Normal 34 11 2" xfId="13858" xr:uid="{009F3B99-FAA2-4C22-B647-553751D9FE4C}"/>
    <cellStyle name="Normal 34 11 2 3" xfId="13859" xr:uid="{57707925-0047-4929-9E32-830A3A566AC2}"/>
    <cellStyle name="Normal 34 11 2 5" xfId="13860" xr:uid="{9B1517DB-59AB-47A2-A5FB-5767032B338A}"/>
    <cellStyle name="Normal 34 11 3" xfId="13861" xr:uid="{B7B498BE-23F8-4E54-84C7-9162572C2BBF}"/>
    <cellStyle name="Normal 34 11 3 3" xfId="13862" xr:uid="{388F86CE-DB26-4838-9FA1-4A4BA5CBE15D}"/>
    <cellStyle name="Normal 34 11 3 5" xfId="13863" xr:uid="{9E53554E-47C0-4E8C-BF05-760FC532C9EB}"/>
    <cellStyle name="Normal 34 11 4" xfId="13864" xr:uid="{8EAE5CEE-55BE-4D1F-9A45-80F6BD732DDA}"/>
    <cellStyle name="Normal 34 11 4 3" xfId="13865" xr:uid="{E83F82E3-615F-4E01-9D00-9239EF2382BC}"/>
    <cellStyle name="Normal 34 11 4 5" xfId="13866" xr:uid="{028C4617-430E-465D-AAC4-1B66652E3219}"/>
    <cellStyle name="Normal 34 11 5" xfId="13867" xr:uid="{19C2479E-90E9-42E4-935D-27BCFBD7F050}"/>
    <cellStyle name="Normal 34 11 5 3" xfId="13868" xr:uid="{6FAD26ED-5D3C-4412-9833-6D16AB0C3639}"/>
    <cellStyle name="Normal 34 11 5 5" xfId="13869" xr:uid="{4EFCC8F8-913A-43A1-BDF6-6771CBF97483}"/>
    <cellStyle name="Normal 34 11 6" xfId="13870" xr:uid="{C28A166C-E628-43CA-9A0D-0D44F8540DB9}"/>
    <cellStyle name="Normal 34 11 6 3" xfId="13871" xr:uid="{40C2E2FE-4D92-42A5-A9E8-D96389677F9E}"/>
    <cellStyle name="Normal 34 11 6 5" xfId="13872" xr:uid="{461CD5B6-79C4-43A3-A0E5-E1F08A2D45FF}"/>
    <cellStyle name="Normal 34 11 7" xfId="13873" xr:uid="{0DB77735-0FAF-4547-BEB7-7F9DD0585122}"/>
    <cellStyle name="Normal 34 11 7 3" xfId="13874" xr:uid="{F2423F2E-90EA-40E4-A72D-B0E22EC495B3}"/>
    <cellStyle name="Normal 34 11 7 5" xfId="13875" xr:uid="{E64387DF-A5DB-4DC7-9D87-B29E811348EC}"/>
    <cellStyle name="Normal 34 11 8" xfId="13876" xr:uid="{B7933F79-167E-4C35-9B8C-948025B69A62}"/>
    <cellStyle name="Normal 34 11 8 3" xfId="13877" xr:uid="{DF50E9E2-E299-4FA4-8A18-BFBF04C7E71A}"/>
    <cellStyle name="Normal 34 11 8 5" xfId="13878" xr:uid="{F1B9C267-8C49-4F0C-B161-05DE5F48B59E}"/>
    <cellStyle name="Normal 34 11 9" xfId="13879" xr:uid="{35D1F16C-62DA-46BB-A17E-5440A3CF6C0A}"/>
    <cellStyle name="Normal 34 12 2" xfId="13880" xr:uid="{6A5D1008-6319-4AE8-8128-7FDD8F506867}"/>
    <cellStyle name="Normal 34 12 4" xfId="13881" xr:uid="{DF9D5967-8177-4630-B20C-C324243870B1}"/>
    <cellStyle name="Normal 34 12 6" xfId="13882" xr:uid="{53CCAFA4-2EDB-4A88-92CF-B201FB372D34}"/>
    <cellStyle name="Normal 34 13 2" xfId="13883" xr:uid="{D1FFD707-FE11-4F2C-AE47-98932BAA5606}"/>
    <cellStyle name="Normal 34 13 4" xfId="13884" xr:uid="{EE68B190-C168-43DE-A040-E557F67FDDE0}"/>
    <cellStyle name="Normal 34 13 6" xfId="13885" xr:uid="{4A00483A-B91F-49DC-AD9D-66B7ADB45990}"/>
    <cellStyle name="Normal 34 14 2" xfId="13886" xr:uid="{00B241B1-6825-448D-BFFC-6BAD208293FC}"/>
    <cellStyle name="Normal 34 14 4" xfId="13887" xr:uid="{A199FB65-89F1-4750-8408-044880DC58D4}"/>
    <cellStyle name="Normal 34 14 6" xfId="13888" xr:uid="{7B4B1D01-8E6F-4108-8A53-2C89A7D0CF96}"/>
    <cellStyle name="Normal 34 15 2" xfId="13889" xr:uid="{3BD75BD2-6F29-49B9-9C60-93A5FEBCF89E}"/>
    <cellStyle name="Normal 34 15 4" xfId="13890" xr:uid="{A29BD330-DF14-4326-B511-2203F5364073}"/>
    <cellStyle name="Normal 34 15 6" xfId="13891" xr:uid="{97E47D2B-C179-4D63-839B-1AF7329EB113}"/>
    <cellStyle name="Normal 34 16 2" xfId="13892" xr:uid="{A8C322B8-4E96-4DB4-B335-DF2C344B0F9B}"/>
    <cellStyle name="Normal 34 16 4" xfId="13893" xr:uid="{9E72B848-486D-4429-82C6-BE12AF35A45B}"/>
    <cellStyle name="Normal 34 16 6" xfId="13894" xr:uid="{8B415F7E-23F4-4549-BC53-B1FF4820E926}"/>
    <cellStyle name="Normal 34 17 2" xfId="13895" xr:uid="{17790FBB-9217-4877-A711-BCAD462890A7}"/>
    <cellStyle name="Normal 34 17 4" xfId="13896" xr:uid="{2898EC1D-1E68-4CD0-9DF7-394E5F6A682B}"/>
    <cellStyle name="Normal 34 17 6" xfId="13897" xr:uid="{30747FFE-C767-4F99-843F-C932EBC246F3}"/>
    <cellStyle name="Normal 34 18 2" xfId="13898" xr:uid="{E3F5AE61-D6B9-442E-ADE5-E47096CFBC34}"/>
    <cellStyle name="Normal 34 18 6" xfId="13899" xr:uid="{BF2C1CB1-6518-4821-8B64-D71B5E5D0B2B}"/>
    <cellStyle name="Normal 34 2" xfId="13900" xr:uid="{101E9A3A-DC37-40F8-8BB3-552C2E2F23C5}"/>
    <cellStyle name="Normal 34 2 11" xfId="13901" xr:uid="{31A420F8-D543-450F-91A7-C6CDC2C29B91}"/>
    <cellStyle name="Normal 34 2 13" xfId="13902" xr:uid="{7859C043-C23E-4DF9-B5CC-160371AE7B98}"/>
    <cellStyle name="Normal 34 2 2 2" xfId="13903" xr:uid="{CD68628E-E827-49C7-89BB-91900C67DDE1}"/>
    <cellStyle name="Normal 34 2 2 4" xfId="13904" xr:uid="{5769A895-F822-463A-B7B4-F12E601ABD58}"/>
    <cellStyle name="Normal 34 2 2 6" xfId="13905" xr:uid="{2D85DF1F-D88D-4C64-B33C-E3F684E98EFD}"/>
    <cellStyle name="Normal 34 2 3 2" xfId="13906" xr:uid="{BBA92188-3981-4F10-8655-AF5F80883AD1}"/>
    <cellStyle name="Normal 34 2 3 4" xfId="13907" xr:uid="{63F8E595-621A-40BA-8522-D2DED9698A83}"/>
    <cellStyle name="Normal 34 2 3 6" xfId="13908" xr:uid="{0249B400-5A6F-44D0-B347-4F4B6ECB5C6A}"/>
    <cellStyle name="Normal 34 2 4 2" xfId="13909" xr:uid="{3CF216EE-0439-4DDF-ADDC-0BB0F61ABAAF}"/>
    <cellStyle name="Normal 34 2 4 4" xfId="13910" xr:uid="{A26B32F1-4B45-4D38-8D93-3A0730E4541B}"/>
    <cellStyle name="Normal 34 2 4 6" xfId="13911" xr:uid="{8155A14D-F6D5-4A04-9665-30026ED4CE8F}"/>
    <cellStyle name="Normal 34 2 5 2" xfId="13912" xr:uid="{9C4B4A70-474B-4640-A471-584ABC720FEB}"/>
    <cellStyle name="Normal 34 2 5 4" xfId="13913" xr:uid="{71219186-137D-4299-B54F-87035520CDDA}"/>
    <cellStyle name="Normal 34 2 5 6" xfId="13914" xr:uid="{204C1F11-1324-4414-9918-9BBF52D0165C}"/>
    <cellStyle name="Normal 34 2 6 2" xfId="13915" xr:uid="{2DD98641-60B7-4996-B610-487DAA4F52C4}"/>
    <cellStyle name="Normal 34 2 6 4" xfId="13916" xr:uid="{733808D5-8713-450E-999F-4AD67C58069C}"/>
    <cellStyle name="Normal 34 2 6 6" xfId="13917" xr:uid="{84DF1882-F740-4BA6-A39D-60B7C97CDFE8}"/>
    <cellStyle name="Normal 34 2 7 2" xfId="13918" xr:uid="{8F09F0ED-2326-4059-A443-CBEFADFA0F29}"/>
    <cellStyle name="Normal 34 2 7 4" xfId="13919" xr:uid="{6D7BB759-E1DF-41EC-BFA4-D2DA1D12DC48}"/>
    <cellStyle name="Normal 34 2 7 6" xfId="13920" xr:uid="{92FED9F3-9E05-419B-A64F-FF38CD9FFBBA}"/>
    <cellStyle name="Normal 34 2 8 2" xfId="13921" xr:uid="{58DBE3E7-F16E-43D7-8337-126ECE56B6F4}"/>
    <cellStyle name="Normal 34 2 8 4" xfId="13922" xr:uid="{1B51BEB8-33A2-4451-B2C8-E87ACA174E8D}"/>
    <cellStyle name="Normal 34 2 8 6" xfId="13923" xr:uid="{C846E513-85FD-4CF6-9829-C02AC9894B7F}"/>
    <cellStyle name="Normal 34 20" xfId="13924" xr:uid="{F571AEB0-6A1F-4CCA-A975-AF57B9895A26}"/>
    <cellStyle name="Normal 34 22" xfId="13925" xr:uid="{EA735F56-F15F-4E17-AFA6-F7433691F24E}"/>
    <cellStyle name="Normal 34 3" xfId="13926" xr:uid="{061E187A-2611-458A-9E72-6C2480920142}"/>
    <cellStyle name="Normal 34 3 11" xfId="13927" xr:uid="{9655513F-643D-47B1-A453-21FEA10A26A8}"/>
    <cellStyle name="Normal 34 3 13" xfId="13928" xr:uid="{80A6CB68-1719-44DF-99A7-726E3F32699D}"/>
    <cellStyle name="Normal 34 3 2 2" xfId="13929" xr:uid="{4F55B366-4098-4336-A7CD-8F9CE3D13FCF}"/>
    <cellStyle name="Normal 34 3 2 4" xfId="13930" xr:uid="{08FB1E49-B683-4522-9C91-8C7261841F78}"/>
    <cellStyle name="Normal 34 3 2 6" xfId="13931" xr:uid="{26994884-A58D-49C0-B790-BE85DDEFEB85}"/>
    <cellStyle name="Normal 34 3 3 2" xfId="13932" xr:uid="{7B5C1BEF-BDFA-4AE3-AD1D-DCCD478F99BF}"/>
    <cellStyle name="Normal 34 3 3 4" xfId="13933" xr:uid="{1565C786-57C0-4176-871B-5F45882DC01F}"/>
    <cellStyle name="Normal 34 3 3 6" xfId="13934" xr:uid="{4823EFAC-4EF7-4891-AD50-4B8DD0F42C76}"/>
    <cellStyle name="Normal 34 3 4 2" xfId="13935" xr:uid="{1E71BCFC-6E2C-4C67-9AB8-B30609DE79C1}"/>
    <cellStyle name="Normal 34 3 4 4" xfId="13936" xr:uid="{EE39F327-5F6A-40EB-8505-DAEDAB8AE61D}"/>
    <cellStyle name="Normal 34 3 4 6" xfId="13937" xr:uid="{47230576-0F8D-41A7-AF52-A2867E860677}"/>
    <cellStyle name="Normal 34 3 5 2" xfId="13938" xr:uid="{5855FF0F-9467-4D8A-9986-C97F699DD57A}"/>
    <cellStyle name="Normal 34 3 5 4" xfId="13939" xr:uid="{BA7C45F1-585F-4016-B663-20BBB5D07C48}"/>
    <cellStyle name="Normal 34 3 5 6" xfId="13940" xr:uid="{7FDF1BEC-A9DC-4530-8F5C-E29F87ECF3F6}"/>
    <cellStyle name="Normal 34 3 6 2" xfId="13941" xr:uid="{C0C76D44-28CA-4C91-A932-C18756E0AA90}"/>
    <cellStyle name="Normal 34 3 6 4" xfId="13942" xr:uid="{AAEE365E-53C8-4CF7-99AC-4DEF10FEE468}"/>
    <cellStyle name="Normal 34 3 6 6" xfId="13943" xr:uid="{3DF8F85C-273B-41F7-9124-99D0856C7067}"/>
    <cellStyle name="Normal 34 3 7 2" xfId="13944" xr:uid="{8C390936-9865-44ED-BD0A-B8BD30457C29}"/>
    <cellStyle name="Normal 34 3 7 4" xfId="13945" xr:uid="{7EF51723-5C47-4C70-AD35-2E336CD4DB67}"/>
    <cellStyle name="Normal 34 3 7 6" xfId="13946" xr:uid="{E4096525-F7FA-4351-B97E-B32C12B0607D}"/>
    <cellStyle name="Normal 34 3 8 2" xfId="13947" xr:uid="{81F50C82-34EA-47CD-AF69-255C9E9784BB}"/>
    <cellStyle name="Normal 34 3 8 4" xfId="13948" xr:uid="{1602A831-BCF5-4862-BF21-DA48D8FDD30F}"/>
    <cellStyle name="Normal 34 3 8 6" xfId="13949" xr:uid="{AAF0F336-322F-43A4-B03E-99C24CE44032}"/>
    <cellStyle name="Normal 34 4" xfId="13950" xr:uid="{F3D762E8-6FAF-44F5-B19F-8BEC9BE5DF5C}"/>
    <cellStyle name="Normal 34 4 11" xfId="13951" xr:uid="{FFE07D09-D54F-4AEA-9AAD-91681B124149}"/>
    <cellStyle name="Normal 34 4 13" xfId="13952" xr:uid="{A1FB9CE1-2325-4578-8A01-3ED719AFD067}"/>
    <cellStyle name="Normal 34 4 2 2" xfId="13953" xr:uid="{485597E8-B959-4A98-814C-1D76D051A132}"/>
    <cellStyle name="Normal 34 4 2 4" xfId="13954" xr:uid="{404560D0-A9FA-48AB-AC5E-0CF13FD42654}"/>
    <cellStyle name="Normal 34 4 2 6" xfId="13955" xr:uid="{C0AF88E7-62AB-46BD-A6BF-788B92AE4E90}"/>
    <cellStyle name="Normal 34 4 3 2" xfId="13956" xr:uid="{0E28B14C-061F-434F-BD22-CC66AA38F772}"/>
    <cellStyle name="Normal 34 4 3 4" xfId="13957" xr:uid="{55AC1279-199C-4F54-95D4-45EE1D93AE76}"/>
    <cellStyle name="Normal 34 4 3 6" xfId="13958" xr:uid="{1E5F60D0-1DB2-4944-BC07-73AC2342D996}"/>
    <cellStyle name="Normal 34 4 4 2" xfId="13959" xr:uid="{578A42F9-35C4-4A23-AC6D-112F0B90262D}"/>
    <cellStyle name="Normal 34 4 4 4" xfId="13960" xr:uid="{5D61719A-35C3-4AD6-B1D3-1997CC38A23A}"/>
    <cellStyle name="Normal 34 4 4 6" xfId="13961" xr:uid="{355FEB2B-DAE4-4B75-9395-9ECA2E48DDE3}"/>
    <cellStyle name="Normal 34 4 5 2" xfId="13962" xr:uid="{798D6C68-B90F-45F8-886B-ECAECD5169F6}"/>
    <cellStyle name="Normal 34 4 5 4" xfId="13963" xr:uid="{C9F5D88E-33B4-4259-89E2-1A1489C99864}"/>
    <cellStyle name="Normal 34 4 5 6" xfId="13964" xr:uid="{2FF66A06-A253-4F85-B6FD-7BD111F19823}"/>
    <cellStyle name="Normal 34 4 6 4" xfId="13965" xr:uid="{17DF8EF6-FD91-46D2-94C3-37ED19D6B0C2}"/>
    <cellStyle name="Normal 34 4 6 6" xfId="13966" xr:uid="{2250A5E2-BC44-49D9-AC5C-061BCC9E7F71}"/>
    <cellStyle name="Normal 34 4 7 2" xfId="13967" xr:uid="{567A0E8B-F8ED-49AA-83CD-D1B6EB3A29F7}"/>
    <cellStyle name="Normal 34 4 7 4" xfId="13968" xr:uid="{DC770FF3-6DC6-4FD7-8014-7726EBFFFDAA}"/>
    <cellStyle name="Normal 34 4 7 6" xfId="13969" xr:uid="{3B35D802-D4FD-4503-9F71-FDC2643CEC22}"/>
    <cellStyle name="Normal 34 4 8 2" xfId="13970" xr:uid="{2C3DF4EB-B3EC-40EB-A69B-92F5BD4B6B0A}"/>
    <cellStyle name="Normal 34 4 8 4" xfId="13971" xr:uid="{B7FA9A7F-BFDB-496F-B3C4-E8D2164936E9}"/>
    <cellStyle name="Normal 34 4 8 6" xfId="13972" xr:uid="{091344F8-FDC3-4D94-8DF1-2AEDC8BC9109}"/>
    <cellStyle name="Normal 34 5" xfId="13973" xr:uid="{CC98C9A6-70D3-4AC8-8AA8-400E8E5B881E}"/>
    <cellStyle name="Normal 34 5 11" xfId="13974" xr:uid="{B1742280-AEEC-4B7E-8F67-F6A94CB72AD7}"/>
    <cellStyle name="Normal 34 5 13" xfId="13975" xr:uid="{1D77AD3F-9C3B-4171-9223-F5184C71DB08}"/>
    <cellStyle name="Normal 34 5 2 2" xfId="13976" xr:uid="{3A08DF9F-B12A-4F9F-9BD6-68C6952DC122}"/>
    <cellStyle name="Normal 34 5 2 4" xfId="13977" xr:uid="{A9109E89-9DDE-4909-8CC7-2BFFFB80C1FC}"/>
    <cellStyle name="Normal 34 5 2 6" xfId="13978" xr:uid="{33D1B03F-583C-4107-BB24-53379E5074DD}"/>
    <cellStyle name="Normal 34 5 3 2" xfId="13979" xr:uid="{6B4DF625-08F7-4C48-B952-9C2B0524E252}"/>
    <cellStyle name="Normal 34 5 3 4" xfId="13980" xr:uid="{D88F8E47-9FFE-4390-BA20-2AA9A8B97F4B}"/>
    <cellStyle name="Normal 34 5 3 6" xfId="13981" xr:uid="{5E1F6DE3-1783-4405-BD00-CDA57F4A588B}"/>
    <cellStyle name="Normal 34 5 4 2" xfId="13982" xr:uid="{06548502-6644-4116-A1F4-0A49D5D1F51A}"/>
    <cellStyle name="Normal 34 5 4 4" xfId="13983" xr:uid="{F235C0DF-58CD-48E7-975B-EA5549C000A1}"/>
    <cellStyle name="Normal 34 5 4 6" xfId="13984" xr:uid="{6739D9CD-733D-486D-8733-4E81F5399DE3}"/>
    <cellStyle name="Normal 34 5 5 2" xfId="13985" xr:uid="{B6A453D6-013A-4BBE-A4B4-D86A5A811FFA}"/>
    <cellStyle name="Normal 34 5 5 4" xfId="13986" xr:uid="{43C022F9-3BF6-4C67-82D4-07FF826942CA}"/>
    <cellStyle name="Normal 34 5 5 6" xfId="13987" xr:uid="{41C7129D-2C30-417A-82D2-BE6E4711101A}"/>
    <cellStyle name="Normal 34 5 6 2" xfId="13988" xr:uid="{ECBA9EEF-4C1D-41B0-9E48-1FBD58C0E8A7}"/>
    <cellStyle name="Normal 34 5 6 4" xfId="13989" xr:uid="{3839D697-C1FB-4745-84DA-2C37EB509EB5}"/>
    <cellStyle name="Normal 34 5 6 6" xfId="13990" xr:uid="{8B430E5F-D347-4720-AAEC-E312057D7B6A}"/>
    <cellStyle name="Normal 34 5 7 2" xfId="13991" xr:uid="{CB89B343-DE0C-4FA5-BDDC-6234633CEB46}"/>
    <cellStyle name="Normal 34 5 7 4" xfId="13992" xr:uid="{13827AFB-E703-48DB-954C-00D8664D6E02}"/>
    <cellStyle name="Normal 34 5 7 6" xfId="13993" xr:uid="{6CEB91A4-327B-4EC5-B4A5-9DABBFB596B8}"/>
    <cellStyle name="Normal 34 5 8 2" xfId="13994" xr:uid="{7079C4D0-A4DC-4BAA-A1B4-DFBBE4364346}"/>
    <cellStyle name="Normal 34 5 8 4" xfId="13995" xr:uid="{DA7C5247-A34A-439A-AE45-3D4F6B8305E2}"/>
    <cellStyle name="Normal 34 5 8 6" xfId="13996" xr:uid="{1EAB129E-2960-4BC9-ACDC-386160979015}"/>
    <cellStyle name="Normal 34 6" xfId="13997" xr:uid="{2C30A874-40E0-48A4-8BDE-73EBB47D796C}"/>
    <cellStyle name="Normal 34 6 11" xfId="13998" xr:uid="{88EF572B-D357-4109-B21D-66532A4A825E}"/>
    <cellStyle name="Normal 34 6 13" xfId="13999" xr:uid="{69FF933F-8D10-4EA6-99C7-EA08FCAA2233}"/>
    <cellStyle name="Normal 34 6 2 2" xfId="14000" xr:uid="{A811B63F-0C49-4333-9631-C58870117D38}"/>
    <cellStyle name="Normal 34 6 2 4" xfId="14001" xr:uid="{D84A6F9B-D870-4448-99BC-C4F6320A309C}"/>
    <cellStyle name="Normal 34 6 2 6" xfId="14002" xr:uid="{32B72A50-E683-4DE6-AF19-B3C41B351B96}"/>
    <cellStyle name="Normal 34 6 3 2" xfId="14003" xr:uid="{50FB2093-EA1E-426C-94CA-53C27C39DE00}"/>
    <cellStyle name="Normal 34 6 3 4" xfId="14004" xr:uid="{9AB9A598-6773-49BF-BD2B-281AA9A29303}"/>
    <cellStyle name="Normal 34 6 3 6" xfId="14005" xr:uid="{D56FAEBC-89C9-47F4-BE7B-8F16E3580E47}"/>
    <cellStyle name="Normal 34 6 4 2" xfId="14006" xr:uid="{F042EAC9-6667-449C-8EA3-4BA1E2DF3FFF}"/>
    <cellStyle name="Normal 34 6 4 4" xfId="14007" xr:uid="{3B7FA4B1-2766-45C7-8BE5-6224C6FDD704}"/>
    <cellStyle name="Normal 34 6 4 6" xfId="14008" xr:uid="{BFDA2B39-9163-4CF6-92BB-D996B15A9429}"/>
    <cellStyle name="Normal 34 6 5 2" xfId="14009" xr:uid="{9A7C5151-76F0-426C-8EAC-408BD05A11B9}"/>
    <cellStyle name="Normal 34 6 5 4" xfId="14010" xr:uid="{75CED896-15AE-4B59-8FA9-474CC29D0942}"/>
    <cellStyle name="Normal 34 6 5 6" xfId="14011" xr:uid="{E6FCB91E-FF21-470D-9F07-33F168362D04}"/>
    <cellStyle name="Normal 34 6 6 2" xfId="14012" xr:uid="{9F1ADA27-5D45-4C0A-A1AA-8044CC5DFCA2}"/>
    <cellStyle name="Normal 34 6 6 4" xfId="14013" xr:uid="{C70FA223-FE4F-42D3-AEF1-554E9B0A3D92}"/>
    <cellStyle name="Normal 34 6 6 6" xfId="14014" xr:uid="{B56B367D-4945-4ACD-B0E1-610E6B8FC009}"/>
    <cellStyle name="Normal 34 6 7 2" xfId="14015" xr:uid="{E500FCE3-9697-45CE-A000-878653A3B271}"/>
    <cellStyle name="Normal 34 6 7 4" xfId="14016" xr:uid="{E43A8C1A-D4F0-41C8-BBF2-27963AB66080}"/>
    <cellStyle name="Normal 34 6 7 6" xfId="14017" xr:uid="{0BBC405E-C020-4B7B-AB1B-1893F2202C84}"/>
    <cellStyle name="Normal 34 6 8 2" xfId="14018" xr:uid="{A5A2F6D3-92B9-4269-8646-32FEEA312C04}"/>
    <cellStyle name="Normal 34 6 8 4" xfId="14019" xr:uid="{BBF01DF0-5119-4E94-AF59-32F0F4D77D49}"/>
    <cellStyle name="Normal 34 6 8 6" xfId="14020" xr:uid="{03030854-C33D-4679-A506-7FC377A87D0A}"/>
    <cellStyle name="Normal 34 7" xfId="14021" xr:uid="{5974C6A4-DF26-4346-A8A5-BE9C0FA767BE}"/>
    <cellStyle name="Normal 34 7 11" xfId="14022" xr:uid="{50B0F593-3A27-4F20-AC42-51F2FB96B0C6}"/>
    <cellStyle name="Normal 34 7 13" xfId="14023" xr:uid="{704C25CF-A271-4AA6-AA0A-F83FA236DC50}"/>
    <cellStyle name="Normal 34 7 2 2" xfId="14024" xr:uid="{36B96E43-38B7-47D1-9F10-45E0467F6796}"/>
    <cellStyle name="Normal 34 7 2 6" xfId="14025" xr:uid="{2DD40B6E-4F90-4F96-BEEF-ED1540D2F50C}"/>
    <cellStyle name="Normal 34 7 3 2" xfId="14026" xr:uid="{44E728FD-948C-4A87-B197-D9A73557A448}"/>
    <cellStyle name="Normal 34 7 3 4" xfId="14027" xr:uid="{3CB61752-1EBB-4169-BF57-98A5E6CE6999}"/>
    <cellStyle name="Normal 34 7 3 6" xfId="14028" xr:uid="{16F61995-A09E-4DC1-8192-46B2B020D27C}"/>
    <cellStyle name="Normal 34 7 4 2" xfId="14029" xr:uid="{C42B6ECE-5896-4CE4-9824-9288E27B643C}"/>
    <cellStyle name="Normal 34 7 4 4" xfId="14030" xr:uid="{FD8B0567-40E1-4046-9C5B-467C8591F835}"/>
    <cellStyle name="Normal 34 7 4 6" xfId="14031" xr:uid="{1B0BDC39-9523-4503-8CC4-85B5DAA53677}"/>
    <cellStyle name="Normal 34 7 5 2" xfId="14032" xr:uid="{CED1B1CE-AAA8-4801-8DEA-A3A20114C564}"/>
    <cellStyle name="Normal 34 7 5 4" xfId="14033" xr:uid="{85EFA96E-7BAD-480F-937A-36505832712F}"/>
    <cellStyle name="Normal 34 7 5 6" xfId="14034" xr:uid="{04314E3C-7CCD-4531-95CB-13F316F2BFEA}"/>
    <cellStyle name="Normal 34 7 6 2" xfId="14035" xr:uid="{92C716B8-2E08-4203-A617-46327227DA44}"/>
    <cellStyle name="Normal 34 7 6 4" xfId="14036" xr:uid="{2463BA0B-BDA3-46E1-B635-D4AED339D824}"/>
    <cellStyle name="Normal 34 7 6 6" xfId="14037" xr:uid="{DFCE4228-234C-40E8-96F3-7EB72B5B6DD8}"/>
    <cellStyle name="Normal 34 7 7 2" xfId="14038" xr:uid="{D53DE3BA-B629-4FD4-8983-6659B33DDBCB}"/>
    <cellStyle name="Normal 34 7 7 4" xfId="14039" xr:uid="{9FCBB9A3-8961-449C-BA5B-13EB56652FC8}"/>
    <cellStyle name="Normal 34 7 7 6" xfId="14040" xr:uid="{C88021DE-A2BF-444C-BA71-87C01179B442}"/>
    <cellStyle name="Normal 34 7 8 2" xfId="14041" xr:uid="{A5265B6F-6570-4BDF-8C55-7836FFCDC73C}"/>
    <cellStyle name="Normal 34 7 8 4" xfId="14042" xr:uid="{27230378-03D4-4D5D-A8E3-C8DAD8697BE3}"/>
    <cellStyle name="Normal 34 7 8 6" xfId="14043" xr:uid="{B85F613A-7813-4AE1-8612-116B07CA5BBB}"/>
    <cellStyle name="Normal 34 8" xfId="14044" xr:uid="{F78A2845-E2D6-4A8B-84C8-254134604355}"/>
    <cellStyle name="Normal 34 8 11" xfId="14045" xr:uid="{EB6B6258-F29F-43C7-9DE6-1EEDE39490A4}"/>
    <cellStyle name="Normal 34 8 2" xfId="14046" xr:uid="{54A815F7-CE97-4698-AAC0-80819D6F3946}"/>
    <cellStyle name="Normal 34 8 2 3" xfId="14047" xr:uid="{F6FBC6BD-F29A-405B-B9CB-3659451063C2}"/>
    <cellStyle name="Normal 34 8 2 5" xfId="14048" xr:uid="{EEFDE5E2-260F-4A1B-A0B7-D82F546831ED}"/>
    <cellStyle name="Normal 34 8 3" xfId="14049" xr:uid="{6632F0B7-92D2-490A-8758-8A9654EB14A8}"/>
    <cellStyle name="Normal 34 8 3 3" xfId="14050" xr:uid="{0BCDA2EF-7487-41D5-A970-490F2B9DFEDE}"/>
    <cellStyle name="Normal 34 8 3 5" xfId="14051" xr:uid="{A04517F7-B5B4-4192-8B3E-E03A53EC64EF}"/>
    <cellStyle name="Normal 34 8 4" xfId="14052" xr:uid="{B151922B-2DA0-4513-B155-C23B7D5D8D66}"/>
    <cellStyle name="Normal 34 8 4 3" xfId="14053" xr:uid="{34C51BF2-1AC6-4677-ADC5-11FA1FCF338B}"/>
    <cellStyle name="Normal 34 8 4 5" xfId="14054" xr:uid="{04C73231-74B9-4320-9C46-274C42B05546}"/>
    <cellStyle name="Normal 34 8 5" xfId="14055" xr:uid="{1C898C59-09E8-4997-882F-9D2D15870FA3}"/>
    <cellStyle name="Normal 34 8 5 3" xfId="14056" xr:uid="{0C031619-CAF7-4ADE-9F92-79554CAD6548}"/>
    <cellStyle name="Normal 34 8 5 5" xfId="14057" xr:uid="{A0732FA4-F326-4D03-AFD0-39A71CF4B4A1}"/>
    <cellStyle name="Normal 34 8 6" xfId="14058" xr:uid="{456CECF1-98B7-4ADF-885E-44C308AA920F}"/>
    <cellStyle name="Normal 34 8 6 3" xfId="14059" xr:uid="{89A424E7-6FF3-4B4F-A512-C2E2E0109ADA}"/>
    <cellStyle name="Normal 34 8 6 5" xfId="14060" xr:uid="{7CB6C535-A12A-4646-9200-1F2A003C1071}"/>
    <cellStyle name="Normal 34 8 7" xfId="14061" xr:uid="{12C93D09-7841-4726-932A-8108D501AD39}"/>
    <cellStyle name="Normal 34 8 7 3" xfId="14062" xr:uid="{E3C2FD2E-F6F3-4ED9-9AB6-758173331B42}"/>
    <cellStyle name="Normal 34 8 7 5" xfId="14063" xr:uid="{0BE670E8-90BF-49D8-A5CB-12962F0DA0E8}"/>
    <cellStyle name="Normal 34 8 8" xfId="14064" xr:uid="{3C03A66F-8908-4724-B721-BCF3A7532A6E}"/>
    <cellStyle name="Normal 34 8 8 3" xfId="14065" xr:uid="{7A72ECC0-F20C-4EE3-94ED-DF1AB523034E}"/>
    <cellStyle name="Normal 34 8 8 5" xfId="14066" xr:uid="{D191662F-71E0-47CB-B063-57A7F25D3798}"/>
    <cellStyle name="Normal 34 8 9" xfId="14067" xr:uid="{465C2D9C-4DB6-4072-BCA2-3B5EBAB49C00}"/>
    <cellStyle name="Normal 34 9 10" xfId="14068" xr:uid="{8213317C-F7B9-42F0-AFD6-D5CBFAB64414}"/>
    <cellStyle name="Normal 34 9 12" xfId="14069" xr:uid="{7D7235E7-9992-4EB3-A84B-F4244FD1F485}"/>
    <cellStyle name="Normal 34 9 2" xfId="14070" xr:uid="{B17029DD-80B9-4C28-ADDD-AE7E32A59FF1}"/>
    <cellStyle name="Normal 34 9 2 3" xfId="14071" xr:uid="{51B5C7C8-C9AA-4ECD-8902-1236334428A6}"/>
    <cellStyle name="Normal 34 9 2 5" xfId="14072" xr:uid="{B508B7F7-FA3F-49A1-84BD-85270EDF38EC}"/>
    <cellStyle name="Normal 34 9 3" xfId="14073" xr:uid="{77CB2D81-BA78-431A-BD07-1EEB89C1F3BB}"/>
    <cellStyle name="Normal 34 9 3 3" xfId="14074" xr:uid="{60044EDC-F873-4106-A9B8-B88C4E8085EA}"/>
    <cellStyle name="Normal 34 9 3 5" xfId="14075" xr:uid="{F7C9AF35-B329-42E2-8B78-14237317BC85}"/>
    <cellStyle name="Normal 34 9 4" xfId="14076" xr:uid="{C40ECD3E-B9DB-435D-8011-4C10D48E4858}"/>
    <cellStyle name="Normal 34 9 4 3" xfId="14077" xr:uid="{BB5D595B-6A90-4E1F-90BC-2CABBA508274}"/>
    <cellStyle name="Normal 34 9 4 5" xfId="14078" xr:uid="{F1833BCA-B02B-493B-8974-59266302D73B}"/>
    <cellStyle name="Normal 34 9 5" xfId="14079" xr:uid="{DA04923B-CC06-4E74-9B5D-52B0A08013AE}"/>
    <cellStyle name="Normal 34 9 5 3" xfId="14080" xr:uid="{E0B99577-1BFA-4516-8E4D-0CB9FFBE75B9}"/>
    <cellStyle name="Normal 34 9 5 5" xfId="14081" xr:uid="{2A260852-ED06-460D-9DDD-C6FF447EED97}"/>
    <cellStyle name="Normal 34 9 6" xfId="14082" xr:uid="{2CBDCDDB-48F8-4330-8AE9-F60E4B3E4681}"/>
    <cellStyle name="Normal 34 9 6 3" xfId="14083" xr:uid="{88969235-51D3-466C-B642-F898638FBD48}"/>
    <cellStyle name="Normal 34 9 6 5" xfId="14084" xr:uid="{12F63E9A-10F2-415C-92A0-D92F01CD228F}"/>
    <cellStyle name="Normal 34 9 7" xfId="14085" xr:uid="{0EA9C578-828E-42A8-B80B-7942D770713E}"/>
    <cellStyle name="Normal 34 9 7 3" xfId="14086" xr:uid="{9639E021-4BB7-45E4-89B3-AC6380A35190}"/>
    <cellStyle name="Normal 34 9 7 5" xfId="14087" xr:uid="{FAD28A4E-8660-4757-90C7-B0E64E1A3645}"/>
    <cellStyle name="Normal 34 9 8" xfId="14088" xr:uid="{2741E44B-9A6E-4A6A-B542-F507337433A8}"/>
    <cellStyle name="Normal 34 9 8 3" xfId="14089" xr:uid="{8BFA29BF-737C-45D1-8455-8023B0913F47}"/>
    <cellStyle name="Normal 34 9 8 5" xfId="14090" xr:uid="{EE147691-3EC4-4E67-9730-C2FC76F85829}"/>
    <cellStyle name="Normal 34 9 9" xfId="14091" xr:uid="{1BB0E152-8DC9-4C3F-A2E7-8350D0E9A455}"/>
    <cellStyle name="Normal 35 10" xfId="14092" xr:uid="{09C6ED02-AAF2-4F8B-9F15-F92320634964}"/>
    <cellStyle name="Normal 35 12" xfId="14093" xr:uid="{3B076106-DD83-4156-96DA-1A1FAD5288A4}"/>
    <cellStyle name="Normal 35 14" xfId="14094" xr:uid="{C4242C3F-3460-40DF-AAF0-2A75A2F6F105}"/>
    <cellStyle name="Normal 35 16" xfId="14095" xr:uid="{6821CFE6-4C8D-47D3-BD1D-F4C06317D9DA}"/>
    <cellStyle name="Normal 35 18" xfId="14096" xr:uid="{8E247302-20D8-4C58-A1A5-0EBCCBE544CA}"/>
    <cellStyle name="Normal 35 2" xfId="14097" xr:uid="{0ADF0A3F-6752-4AF9-BE22-5D592894D88E}"/>
    <cellStyle name="Normal 35 21" xfId="14098" xr:uid="{E61B6B50-172D-4C48-826C-F5C8FC5B70F5}"/>
    <cellStyle name="Normal 35 23" xfId="14099" xr:uid="{749B8607-5AF1-4B4B-8960-726E31BA6049}"/>
    <cellStyle name="Normal 35 25" xfId="14100" xr:uid="{983790B4-B1A3-4726-BFAF-787F76540B50}"/>
    <cellStyle name="Normal 35 27" xfId="14101" xr:uid="{7943BF3E-5FCB-44C3-92C6-158348F793BF}"/>
    <cellStyle name="Normal 35 29" xfId="14102" xr:uid="{3ACE57D1-D3D7-473E-9EB8-087D5A3A49B5}"/>
    <cellStyle name="Normal 35 30" xfId="14103" xr:uid="{DF62FA60-087F-4586-B819-6D6B2C30D71B}"/>
    <cellStyle name="Normal 35 32" xfId="14104" xr:uid="{99DE8FA5-E54F-47AA-85D0-FB4A85F35017}"/>
    <cellStyle name="Normal 35 34" xfId="14105" xr:uid="{D1389BAF-1B21-4348-ABA0-0B7184DE596D}"/>
    <cellStyle name="Normal 35 36" xfId="14106" xr:uid="{383E7925-92AA-4A99-9798-866E35AED55D}"/>
    <cellStyle name="Normal 35 4" xfId="14107" xr:uid="{4B042E53-CF85-4DCC-A8DF-0A80D79F4FE1}"/>
    <cellStyle name="Normal 35 41" xfId="14108" xr:uid="{3D23E57C-3825-4BC3-882A-198818E78557}"/>
    <cellStyle name="Normal 35 43" xfId="14109" xr:uid="{C45F29B6-487D-4EB1-9A7C-726487AF4DD1}"/>
    <cellStyle name="Normal 35 6" xfId="14110" xr:uid="{7DB42BA3-15AF-4399-9C08-218BCB36261E}"/>
    <cellStyle name="Normal 35 8" xfId="14111" xr:uid="{3739596E-387F-4CA1-B812-015420895CCE}"/>
    <cellStyle name="Normal 36" xfId="880" xr:uid="{99F5DEE5-E0FE-40C2-B166-BB8E4DD998FC}"/>
    <cellStyle name="Normal 38" xfId="829" xr:uid="{8C085AE4-CBA5-4FFF-8098-8E3B331145E5}"/>
    <cellStyle name="Normal 39" xfId="753" xr:uid="{B01C9463-E4C3-4325-90A5-11E32EA33FEF}"/>
    <cellStyle name="Normal 39 11" xfId="14112" xr:uid="{5E862037-7F35-4578-B706-59B9392E17B8}"/>
    <cellStyle name="Normal 39 13" xfId="14113" xr:uid="{B081E2D4-45FD-4877-B774-9C0F65E15EB9}"/>
    <cellStyle name="Normal 39 2 2" xfId="14114" xr:uid="{AC55DF93-B857-442E-A060-9F2DF57D4E83}"/>
    <cellStyle name="Normal 39 2 4" xfId="14115" xr:uid="{A1B21A41-DC16-4663-8140-E66F6A9E6CD1}"/>
    <cellStyle name="Normal 39 3 2" xfId="14116" xr:uid="{A1D81488-7AA9-4995-99F7-04E4E4C67D1A}"/>
    <cellStyle name="Normal 39 3 4" xfId="14117" xr:uid="{75D0B528-8485-4414-AB0D-8BF826A1BC04}"/>
    <cellStyle name="Normal 39 3 6" xfId="14118" xr:uid="{C77AB665-A51E-4CEB-BC1B-F1F5F12C7D33}"/>
    <cellStyle name="Normal 39 4 2" xfId="14119" xr:uid="{750632D0-151A-42AB-93F4-7A639C78CA36}"/>
    <cellStyle name="Normal 39 4 4" xfId="14120" xr:uid="{53E52C43-3AFC-4160-A2F9-80EBE4193802}"/>
    <cellStyle name="Normal 39 4 6" xfId="14121" xr:uid="{65D5C5BE-7AF7-4D81-862B-170ED55A1C2D}"/>
    <cellStyle name="Normal 39 5 2" xfId="14122" xr:uid="{BE77F203-ACA9-4C2C-A39F-EF2FB2D88FB6}"/>
    <cellStyle name="Normal 39 5 4" xfId="14123" xr:uid="{37336251-1BE8-4B69-9467-FF144F1DA66F}"/>
    <cellStyle name="Normal 39 5 6" xfId="14124" xr:uid="{AE42A1C2-CA61-408F-A3F6-986B11EB63F0}"/>
    <cellStyle name="Normal 39 6 2" xfId="14125" xr:uid="{335095BB-5977-4EF6-B89E-1FB2573AA7D7}"/>
    <cellStyle name="Normal 39 6 4" xfId="14126" xr:uid="{FD69AC78-1ECE-4462-BCE1-3B03A33E1268}"/>
    <cellStyle name="Normal 39 6 6" xfId="14127" xr:uid="{4E2B0EDC-EDD6-4FAE-95CF-4D96A071E55A}"/>
    <cellStyle name="Normal 39 7 2" xfId="14128" xr:uid="{D00E57C7-8A12-4D66-B7CC-EC0698D3C146}"/>
    <cellStyle name="Normal 39 7 4" xfId="14129" xr:uid="{9B66954A-A224-4AF8-B896-411A45CA2AD4}"/>
    <cellStyle name="Normal 39 7 6" xfId="14130" xr:uid="{FFCE5FFF-F5D9-42CB-9DD0-B4658AC88FBE}"/>
    <cellStyle name="Normal 39 8 2" xfId="14131" xr:uid="{946C7FCA-2A54-437E-A79E-EC580B1A8A03}"/>
    <cellStyle name="Normal 39 8 4" xfId="14132" xr:uid="{36DD8EA8-749E-45D0-8DD0-998330D5CD5F}"/>
    <cellStyle name="Normal 39 8 6" xfId="14133" xr:uid="{7ABFFA9D-3D96-42B1-A462-DCFB3EA7B278}"/>
    <cellStyle name="Normal 4" xfId="342" xr:uid="{049AE80F-E677-42F6-AB1D-1E0D7AB1A673}"/>
    <cellStyle name="Normal 4 11" xfId="14134" xr:uid="{4F6E1334-6B60-4A63-9987-A85CA0E6AEB3}"/>
    <cellStyle name="Normal 4 13" xfId="14135" xr:uid="{3150D66C-B899-490B-80E1-A9915778F870}"/>
    <cellStyle name="Normal 4 15" xfId="14136" xr:uid="{BF662DD8-D76E-4528-BF38-F02AAE93B269}"/>
    <cellStyle name="Normal 4 17" xfId="14137" xr:uid="{520D3B83-85E6-4718-B9EC-EC305BBF6BC5}"/>
    <cellStyle name="Normal 4 19" xfId="14138" xr:uid="{4E2F411F-B739-40D5-BFC2-7CEB2275D7FA}"/>
    <cellStyle name="Normal 4 2 2" xfId="14139" xr:uid="{F81ADADF-D15B-4966-B84A-2B4DE7C298A2}"/>
    <cellStyle name="Normal 4 2 2 2 2" xfId="14140" xr:uid="{A22E6A6B-5CB8-41A1-8DF7-4D76EF19EF36}"/>
    <cellStyle name="Normal 4 2 3" xfId="14141" xr:uid="{E5E47D80-A585-4246-A7F2-EB62D51356B2}"/>
    <cellStyle name="Normal 4 21" xfId="14142" xr:uid="{669A915C-D9FA-4913-A89E-F99B85174501}"/>
    <cellStyle name="Normal 4 23" xfId="14143" xr:uid="{250085C6-142A-4746-AFF1-98F7BDA8EAF5}"/>
    <cellStyle name="Normal 4 25" xfId="14144" xr:uid="{51F8CEDC-D207-4DE0-931B-64EF3D5FD055}"/>
    <cellStyle name="Normal 4 27" xfId="14145" xr:uid="{AA468172-4321-40B8-B26D-98A81A56A80C}"/>
    <cellStyle name="Normal 4 3" xfId="387" xr:uid="{9192C030-F711-4D10-917C-67045882DC71}"/>
    <cellStyle name="Normal 4 4" xfId="14146" xr:uid="{3F36FA9C-CBF3-49D4-9318-727A4BBB9EEE}"/>
    <cellStyle name="Normal 4 5" xfId="14147" xr:uid="{0773708B-288A-450A-B153-73A211587B8A}"/>
    <cellStyle name="Normal 4 5 3" xfId="14148" xr:uid="{0717F161-FBED-4477-9821-CAB5369E8E03}"/>
    <cellStyle name="Normal 4 6 2" xfId="14149" xr:uid="{00D1735A-698D-42CA-A3CD-1AA64EE4A438}"/>
    <cellStyle name="Normal 4 8" xfId="14150" xr:uid="{B47E6DE4-E697-4445-AFFD-60C400567426}"/>
    <cellStyle name="Normal 4_Base de correção ER Escelsa" xfId="14151" xr:uid="{49A1E74D-9FFD-4CB5-B489-C68E0E2ED01A}"/>
    <cellStyle name="Normal 44 3 2" xfId="14152" xr:uid="{C970D5DC-9B7C-4F81-9171-4D8E044F874E}"/>
    <cellStyle name="Normal 44 3 4" xfId="14153" xr:uid="{CCFFB423-3168-43B4-8BDB-C5263F65C960}"/>
    <cellStyle name="Normal 44 3 6" xfId="14154" xr:uid="{0341E32D-3FA8-43E2-9FC7-ECFBEB87D30F}"/>
    <cellStyle name="Normal 45 2" xfId="14155" xr:uid="{47EACF50-3337-4F7A-A6BA-8D3F940A4930}"/>
    <cellStyle name="Normal 45 2 2 2" xfId="14156" xr:uid="{EF9218F4-D6F8-4034-9460-6599739A92BB}"/>
    <cellStyle name="Normal 45 2 2 4" xfId="14157" xr:uid="{3CC72B82-BF04-4381-8A16-055613F9A1B6}"/>
    <cellStyle name="Normal 45 2 2 6" xfId="14158" xr:uid="{482C7BAC-D0D4-4582-9251-EA7C2E1AECA5}"/>
    <cellStyle name="Normal 45 3" xfId="14159" xr:uid="{FD54B11C-B71C-41D6-93DA-4A1CC426E02B}"/>
    <cellStyle name="Normal 45 5" xfId="14160" xr:uid="{04B82693-22B9-4EF4-BF75-6AE59A467E6A}"/>
    <cellStyle name="Normal 45 7" xfId="14161" xr:uid="{A214953D-6E0A-462C-AEA0-AA1FEF9CACAA}"/>
    <cellStyle name="Normal 46" xfId="14162" xr:uid="{744B4FC5-5196-4984-A5AA-FAE6FBD7CC2E}"/>
    <cellStyle name="Normal 47" xfId="14163" xr:uid="{3E183562-855B-4F5A-9ED6-8B6F548B20D3}"/>
    <cellStyle name="Normal 48" xfId="14164" xr:uid="{19E51D95-66E5-439E-B4B8-10F296F53883}"/>
    <cellStyle name="Normal 49" xfId="14165" xr:uid="{C7199111-AF6E-4A40-B555-806619DA0FDA}"/>
    <cellStyle name="Normal 5" xfId="5" xr:uid="{00000000-0005-0000-0000-000002000000}"/>
    <cellStyle name="Normal 5 2 2" xfId="881" xr:uid="{7297E0B2-A0C7-48EC-974C-5A0105114CF2}"/>
    <cellStyle name="Normal 5 3 2" xfId="14166" xr:uid="{34B45739-A469-4548-A348-861B9005D3BC}"/>
    <cellStyle name="Normal 5 5" xfId="14167" xr:uid="{439DBCBA-8F0D-47B2-B06B-59FE6D40C72D}"/>
    <cellStyle name="Normal 5 7" xfId="14168" xr:uid="{A8FFB8D2-C86F-41D4-86DD-1F70AE64C3C4}"/>
    <cellStyle name="Normal 50 2" xfId="14169" xr:uid="{A5279292-1CA3-45B8-B82E-AB19DEB01BA3}"/>
    <cellStyle name="Normal 51 2" xfId="14170" xr:uid="{5E7CE6F2-9E22-4219-BE67-909951CC33A3}"/>
    <cellStyle name="Normal 52 2" xfId="14171" xr:uid="{3CB89DEF-9A18-4034-A8D6-3F1C5A70BFC6}"/>
    <cellStyle name="Normal 53 2" xfId="14172" xr:uid="{B8119604-8A4A-4D57-B9E2-CAB28D122741}"/>
    <cellStyle name="Normal 54 2" xfId="14173" xr:uid="{03C9D832-CA62-4886-84B0-D82A5E62202C}"/>
    <cellStyle name="Normal 55 2" xfId="14174" xr:uid="{7B99217F-EAC6-46F6-B7B4-79E302E3B628}"/>
    <cellStyle name="Normal 56 2" xfId="14175" xr:uid="{44ABF0F2-A68E-46FE-B58A-A0D29E593D39}"/>
    <cellStyle name="Normal 57 2" xfId="14176" xr:uid="{37BA2EA5-EDB7-450C-8302-DAD7B33579C9}"/>
    <cellStyle name="Normal 58 2" xfId="14177" xr:uid="{04ADFB60-8B38-4E1D-974C-A6BD77356D8B}"/>
    <cellStyle name="Normal 59 2" xfId="14178" xr:uid="{083786D3-4B5D-42F2-B3BF-9BF22B205D6F}"/>
    <cellStyle name="Normal 6 2" xfId="388" xr:uid="{73E8C6C8-E5C8-4B51-8869-C3309103FEB4}"/>
    <cellStyle name="Normal 6 3 2" xfId="14179" xr:uid="{697E2B24-ED6B-48B1-8D0F-DFABE4ECC64B}"/>
    <cellStyle name="Normal 6 4" xfId="14180" xr:uid="{BCF60C61-FDA8-4FD6-9BF6-34ED588ADED3}"/>
    <cellStyle name="Normal 60" xfId="14181" xr:uid="{8C4F9036-BAEF-4CCA-AE0E-E556264B57EB}"/>
    <cellStyle name="Normal 61" xfId="14182" xr:uid="{5F44F3CF-72D5-47E8-808F-57E604786EF4}"/>
    <cellStyle name="Normal 61 3" xfId="14183" xr:uid="{30CFDD31-5FC4-4C3C-A1D4-86AC79F06DA1}"/>
    <cellStyle name="Normal 61 5" xfId="14184" xr:uid="{6A0BA05E-8738-4524-B2A3-90233FF6EDC6}"/>
    <cellStyle name="Normal 61 7" xfId="14185" xr:uid="{ECBFA5D6-039E-475E-8519-1F8F3D08435D}"/>
    <cellStyle name="Normal 63" xfId="14186" xr:uid="{A6C39F73-5916-40C2-B560-DF3CE7B3EBDC}"/>
    <cellStyle name="Normal 65" xfId="14187" xr:uid="{1D2FEF3B-D00A-4C64-A08D-0B48C63D3D01}"/>
    <cellStyle name="Normal 67" xfId="14188" xr:uid="{BB6FE97E-C2D2-4CD9-A6B7-74CAA92C0D09}"/>
    <cellStyle name="Normal 69" xfId="14189" xr:uid="{A5CCCFDA-9BD6-421E-9F20-B11CE921F607}"/>
    <cellStyle name="Normal 7 10" xfId="14190" xr:uid="{FC0CA5A8-6EB0-44F6-8136-248BE7B4E5D8}"/>
    <cellStyle name="Normal 7 12" xfId="14191" xr:uid="{713E5BFB-10FA-4954-AB55-91C418A9B978}"/>
    <cellStyle name="Normal 7 13" xfId="14192" xr:uid="{FEA6BF8B-99CF-4410-A78C-C98AD54E4D0B}"/>
    <cellStyle name="Normal 7 14" xfId="14193" xr:uid="{8E49FA8B-4BDB-4DDB-BD13-DD71F8FC1421}"/>
    <cellStyle name="Normal 7 15" xfId="14194" xr:uid="{D1FAC004-6C7D-4F26-B149-D9AD6A49E2B9}"/>
    <cellStyle name="Normal 7 16" xfId="14195" xr:uid="{1A42A0BB-0069-499A-B192-71D37DB8B7A9}"/>
    <cellStyle name="Normal 7 17" xfId="14196" xr:uid="{B846E774-6196-4BF4-B328-2BC12137619A}"/>
    <cellStyle name="Normal 7 19" xfId="14197" xr:uid="{1FC4E2A5-A524-41A4-ADC5-B4F8271CA960}"/>
    <cellStyle name="Normal 7 2 2" xfId="882" xr:uid="{8183B18D-7137-4300-BE3D-B819686D9AE4}"/>
    <cellStyle name="Normal 7 21" xfId="14198" xr:uid="{C9DC1132-F0B3-4239-AF52-EA63EBFEE772}"/>
    <cellStyle name="Normal 7 22" xfId="14199" xr:uid="{62A7A87C-3097-4CDF-9342-0E17C85B927E}"/>
    <cellStyle name="Normal 7 23" xfId="14200" xr:uid="{F370FC0E-B1DB-431E-806C-926155D526B6}"/>
    <cellStyle name="Normal 7 25" xfId="14201" xr:uid="{E5CE92D5-9E22-4B8F-B3F2-6490472ADE0F}"/>
    <cellStyle name="Normal 7 27" xfId="14202" xr:uid="{D2733826-D9F8-4FBB-9E9E-36E8F05E8EEB}"/>
    <cellStyle name="Normal 7 29" xfId="14203" xr:uid="{DBF723DB-D56E-4CAC-8497-25B724650B07}"/>
    <cellStyle name="Normal 7 3 2" xfId="737" xr:uid="{249FC3B2-000A-412F-8A90-8546045D3949}"/>
    <cellStyle name="Normal 7 3 2 2" xfId="883" xr:uid="{07A443FB-DBB7-4BEC-A12A-191D1A5C122A}"/>
    <cellStyle name="Normal 7 3 3" xfId="884" xr:uid="{95E4A332-FEAE-4D68-937C-04BE3364BECC}"/>
    <cellStyle name="Normal 7 3 4" xfId="844" xr:uid="{C0EEBCEB-E2C4-4526-A829-34FE14C5AFCF}"/>
    <cellStyle name="Normal 7 3 6" xfId="17291" xr:uid="{A5997212-6A37-4A1B-9933-FF6B4018463C}"/>
    <cellStyle name="Normal 7 31" xfId="14204" xr:uid="{8C3D6ADA-B641-445D-B1EF-A35934DFC7A3}"/>
    <cellStyle name="Normal 7 33" xfId="14205" xr:uid="{A9387BE8-B50C-49E8-A43A-2413B7F73516}"/>
    <cellStyle name="Normal 7 35" xfId="14206" xr:uid="{213DA399-34C4-4D0E-9EFE-047EAD161D93}"/>
    <cellStyle name="Normal 7 37" xfId="14207" xr:uid="{3CAA779B-7E1D-4C74-919B-5DC3C168F527}"/>
    <cellStyle name="Normal 7 39" xfId="14208" xr:uid="{BE329389-880F-493D-A76E-95426345F21C}"/>
    <cellStyle name="Normal 7 4 2" xfId="885" xr:uid="{C0D3FBE0-EB30-4580-9ED5-BE6A216988CE}"/>
    <cellStyle name="Normal 7 41" xfId="14209" xr:uid="{48E6066D-2BF7-43CA-9200-4A201C53F630}"/>
    <cellStyle name="Normal 7 43" xfId="14210" xr:uid="{74753206-521B-4C96-BEB0-589814E20519}"/>
    <cellStyle name="Normal 7 45" xfId="14211" xr:uid="{9A8537A8-0E27-4129-BA76-E10FFB8E1761}"/>
    <cellStyle name="Normal 7 47" xfId="14212" xr:uid="{B0708632-EC5C-439F-A794-5D56D46423B7}"/>
    <cellStyle name="Normal 7 49" xfId="14213" xr:uid="{9FD6D916-B435-4C7D-A2CA-2E2EB59ED61E}"/>
    <cellStyle name="Normal 7 5 2" xfId="17330" xr:uid="{D7F1EEB7-4345-4EEC-94A3-B7A74E29915C}"/>
    <cellStyle name="Normal 7 51" xfId="14214" xr:uid="{6DD4D01F-4A46-4DB2-9F24-B4099940DF72}"/>
    <cellStyle name="Normal 7 53" xfId="14215" xr:uid="{6DCFF372-E2CF-462F-A4B3-07160AAAC5CE}"/>
    <cellStyle name="Normal 7 55" xfId="14216" xr:uid="{D5FB706A-A581-4886-A7AE-4E2F322EF80B}"/>
    <cellStyle name="Normal 7 57" xfId="14217" xr:uid="{5C0DA7BA-EB4A-4D5B-B444-ACA318DEE17A}"/>
    <cellStyle name="Normal 7 59" xfId="17343" xr:uid="{05FB22EE-B52E-4856-A506-26B43A543821}"/>
    <cellStyle name="Normal 7 6 2" xfId="17331" xr:uid="{0A6026BD-2F79-476B-AFE2-0B5C346F3EB9}"/>
    <cellStyle name="Normal 7 8" xfId="783" xr:uid="{E8D9CD22-5D7B-4E0D-9B3B-673C9A68C839}"/>
    <cellStyle name="Normal 70" xfId="14218" xr:uid="{08694EC9-B8AF-44B2-BF55-F8901CC147B5}"/>
    <cellStyle name="Normal 72" xfId="14219" xr:uid="{7486DCCE-B1B9-474D-A758-6FB43C28F324}"/>
    <cellStyle name="Normal 74" xfId="14220" xr:uid="{3A9859DC-B632-41E4-8139-CE9890C63CDC}"/>
    <cellStyle name="Normal 76" xfId="14221" xr:uid="{7D593996-EB3B-480E-891E-C9069F3FCCB0}"/>
    <cellStyle name="Normal 78" xfId="14222" xr:uid="{964A0C9A-9A40-47AC-A356-AAA41889CD1F}"/>
    <cellStyle name="Normal 8 10 11" xfId="14223" xr:uid="{12B4F6AF-D398-49B3-835B-03ABF05FE900}"/>
    <cellStyle name="Normal 8 10 2" xfId="14224" xr:uid="{5A917C48-7A79-4685-8DFC-9FDC680213B8}"/>
    <cellStyle name="Normal 8 10 2 3" xfId="14225" xr:uid="{6FCA0732-6D54-422C-8C82-2C6941239D3A}"/>
    <cellStyle name="Normal 8 10 2 6" xfId="14226" xr:uid="{C39B283E-03E6-4A71-B3AB-768F97FB5F74}"/>
    <cellStyle name="Normal 8 10 3 2" xfId="14227" xr:uid="{EDAACE70-2BE8-4853-9F45-677B556CCB7C}"/>
    <cellStyle name="Normal 8 10 3 4" xfId="14228" xr:uid="{388844FC-0B52-44F8-8A19-EB95619CBD28}"/>
    <cellStyle name="Normal 8 10 3 6" xfId="14229" xr:uid="{02119766-FE48-4055-AC93-CC54E63B3A85}"/>
    <cellStyle name="Normal 8 10 4 2" xfId="14230" xr:uid="{5A03FB5A-DED8-420D-A36D-81102D5F8ED5}"/>
    <cellStyle name="Normal 8 10 4 5" xfId="14231" xr:uid="{751E5D75-9069-49C5-A681-7DDA707F1F21}"/>
    <cellStyle name="Normal 8 10 5" xfId="14232" xr:uid="{D7850950-99E7-4044-93ED-B666EFD427BB}"/>
    <cellStyle name="Normal 8 10 5 3" xfId="14233" xr:uid="{32D4D250-B3FD-4612-A5B7-34A6718C785B}"/>
    <cellStyle name="Normal 8 10 5 5" xfId="14234" xr:uid="{6396DC42-F1A6-46AF-B770-91F7F5AEA2AF}"/>
    <cellStyle name="Normal 8 10 6" xfId="14235" xr:uid="{A78955D1-6AE3-4CE2-91CD-14DEBBA15E88}"/>
    <cellStyle name="Normal 8 10 6 3" xfId="14236" xr:uid="{5EFE94B6-8423-45AC-A6D7-11C9C601AB74}"/>
    <cellStyle name="Normal 8 10 6 5" xfId="14237" xr:uid="{A626C743-5235-40C7-8B67-04E63761F89B}"/>
    <cellStyle name="Normal 8 10 7" xfId="14238" xr:uid="{C2F816FF-2480-42E5-B2F4-EF984A7DE5A2}"/>
    <cellStyle name="Normal 8 10 7 2" xfId="14239" xr:uid="{566433DD-A6E8-4891-B1BD-55988537C041}"/>
    <cellStyle name="Normal 8 10 7 3" xfId="14240" xr:uid="{7356A43C-595C-4DA9-8C9C-4E25301B2220}"/>
    <cellStyle name="Normal 8 10 7 4" xfId="14241" xr:uid="{AB45F384-C336-46BB-A468-C82013A5C6AE}"/>
    <cellStyle name="Normal 8 10 7 5" xfId="14242" xr:uid="{62034D0A-10CB-49A4-A2F4-9F6ED291AF1A}"/>
    <cellStyle name="Normal 8 10 7 6" xfId="14243" xr:uid="{156E83DF-72F2-42B8-B1F0-2A7CA0464F36}"/>
    <cellStyle name="Normal 8 10 8" xfId="14244" xr:uid="{1E9C066B-EC00-48CD-97CE-5296A022AFC4}"/>
    <cellStyle name="Normal 8 10 8 2" xfId="14245" xr:uid="{83DE7A82-F0FD-49E6-9CFF-2012A6895FBE}"/>
    <cellStyle name="Normal 8 10 8 3" xfId="14246" xr:uid="{C52FFF75-0F9E-41F9-9B3F-3EB8E92DC8B8}"/>
    <cellStyle name="Normal 8 10 8 4" xfId="14247" xr:uid="{0ABD81EE-7E37-46F5-9087-FC1D1EAE6773}"/>
    <cellStyle name="Normal 8 10 8 5" xfId="14248" xr:uid="{14E2F9B7-5559-4AD0-9B9F-05122A22F109}"/>
    <cellStyle name="Normal 8 10 8 6" xfId="14249" xr:uid="{03DD7878-1C37-45CF-BDE1-900C0654811F}"/>
    <cellStyle name="Normal 8 11" xfId="14250" xr:uid="{9072754F-C89F-49AE-99F6-D9C7428ABA1F}"/>
    <cellStyle name="Normal 8 11 11" xfId="14251" xr:uid="{AB0D0C1E-19FB-437E-92ED-E29166BB9730}"/>
    <cellStyle name="Normal 8 11 13" xfId="14252" xr:uid="{336AA388-FE28-4E64-A09C-ED8BC2858D59}"/>
    <cellStyle name="Normal 8 11 2 2" xfId="14253" xr:uid="{18C1016D-68C5-4E92-B58C-FCC01364DD46}"/>
    <cellStyle name="Normal 8 11 2 3" xfId="14254" xr:uid="{AD2F197A-08F6-444E-9F93-450ECDD30DEF}"/>
    <cellStyle name="Normal 8 11 2 4" xfId="14255" xr:uid="{EB68E072-4F65-4E60-8C7B-1F1AD5ED677D}"/>
    <cellStyle name="Normal 8 11 2 6" xfId="14256" xr:uid="{C7360B10-C8D8-4C75-B26F-D100B10F8011}"/>
    <cellStyle name="Normal 8 11 3 2" xfId="14257" xr:uid="{1298DA01-2632-44D3-A8BF-54C6BD23A849}"/>
    <cellStyle name="Normal 8 11 3 4" xfId="14258" xr:uid="{295EB82C-9B2F-4263-9D2F-02EACF1AC46B}"/>
    <cellStyle name="Normal 8 11 3 6" xfId="14259" xr:uid="{E03370D8-323B-42F1-840C-693EEE7F3B24}"/>
    <cellStyle name="Normal 8 11 4 2" xfId="14260" xr:uid="{F46F4960-AD8D-4D7C-AAE9-7D8EFADC9934}"/>
    <cellStyle name="Normal 8 11 4 4" xfId="14261" xr:uid="{AD15162B-8B6F-43CF-BCCE-77D25EE7B352}"/>
    <cellStyle name="Normal 8 11 4 6" xfId="14262" xr:uid="{F2352927-CE0B-4D04-AC5F-98D1DE944E2D}"/>
    <cellStyle name="Normal 8 11 5 2" xfId="14263" xr:uid="{EEC625BA-BF4E-409D-9FF9-DB2BE7B51B38}"/>
    <cellStyle name="Normal 8 11 5 4" xfId="14264" xr:uid="{17A52563-35D0-4C05-9BF5-79AB3435D2DA}"/>
    <cellStyle name="Normal 8 11 5 6" xfId="14265" xr:uid="{77D27042-FBB8-4E37-88B2-38E469D0DF12}"/>
    <cellStyle name="Normal 8 11 6 2" xfId="14266" xr:uid="{E3638537-F346-4331-B7C1-73BA77478706}"/>
    <cellStyle name="Normal 8 11 6 4" xfId="14267" xr:uid="{80AE03B1-9128-458C-BC97-63564886CAD2}"/>
    <cellStyle name="Normal 8 11 6 6" xfId="14268" xr:uid="{2918CFA1-2156-4D5B-AC62-CA13CD16EF60}"/>
    <cellStyle name="Normal 8 11 7 2" xfId="14269" xr:uid="{B3F466D6-1A5E-4BC6-9F58-C0C19AB98A0C}"/>
    <cellStyle name="Normal 8 11 7 4" xfId="14270" xr:uid="{EA7A0E04-8513-4EDF-821E-3B2BFA3FB775}"/>
    <cellStyle name="Normal 8 11 7 6" xfId="14271" xr:uid="{CFAB87C3-7ACA-40EC-BD7A-1D2CCCE6C276}"/>
    <cellStyle name="Normal 8 11 8 2" xfId="14272" xr:uid="{955F878D-AC10-4440-9932-6AE7FD35B5D4}"/>
    <cellStyle name="Normal 8 11 8 4" xfId="14273" xr:uid="{AC5C7F2C-0CD4-4742-B33B-007D4BF6281B}"/>
    <cellStyle name="Normal 8 11 8 6" xfId="14274" xr:uid="{2CABC058-DA29-4CFB-A261-BFE47C9FB584}"/>
    <cellStyle name="Normal 8 12" xfId="14275" xr:uid="{39B4E67D-4CEF-4C0F-BB32-1BDE053C6E90}"/>
    <cellStyle name="Normal 8 12 11" xfId="14276" xr:uid="{B353DE79-607C-4F7E-B317-5E8ABCACFDF4}"/>
    <cellStyle name="Normal 8 12 13" xfId="14277" xr:uid="{6A7133EF-7A7F-4CAC-901E-8180E2891FE8}"/>
    <cellStyle name="Normal 8 12 2 2" xfId="14278" xr:uid="{D58FE351-EEE3-4233-8122-5FBAC160CA24}"/>
    <cellStyle name="Normal 8 12 2 4" xfId="14279" xr:uid="{A138794F-8465-4C83-96B6-DF73747A87F8}"/>
    <cellStyle name="Normal 8 12 2 6" xfId="14280" xr:uid="{17E25578-C61A-4614-ADE5-603E99347A9E}"/>
    <cellStyle name="Normal 8 12 3 2" xfId="14281" xr:uid="{0D452571-45D0-4FCD-8CD9-24CDABE54153}"/>
    <cellStyle name="Normal 8 12 3 4" xfId="14282" xr:uid="{EFB923D4-6719-40BC-AD46-DDC36A0AE270}"/>
    <cellStyle name="Normal 8 12 3 6" xfId="14283" xr:uid="{96447E54-AD0C-4B31-A765-598C82E1B9BA}"/>
    <cellStyle name="Normal 8 12 4 2" xfId="14284" xr:uid="{E92BC544-48BD-4AAC-8843-171BA17E2126}"/>
    <cellStyle name="Normal 8 12 4 4" xfId="14285" xr:uid="{01F9E48A-6CEB-465A-AE29-EABAB09A1B13}"/>
    <cellStyle name="Normal 8 12 4 6" xfId="14286" xr:uid="{3B1EC8B1-F99A-4496-B352-4BB8430138FF}"/>
    <cellStyle name="Normal 8 12 5 2" xfId="14287" xr:uid="{7BEBE3B3-B634-4E77-9675-2555028DAC44}"/>
    <cellStyle name="Normal 8 12 5 4" xfId="14288" xr:uid="{02BE5065-5B2F-42B6-823E-5917B510B0B2}"/>
    <cellStyle name="Normal 8 12 5 6" xfId="14289" xr:uid="{13019B02-F696-4488-B3C4-0384D0F1ADD7}"/>
    <cellStyle name="Normal 8 12 6 2" xfId="14290" xr:uid="{B6527EE1-CF38-403A-9BB8-C506B8919BFD}"/>
    <cellStyle name="Normal 8 12 6 4" xfId="14291" xr:uid="{7332C1A0-6829-4976-B3C9-1192E54E55F4}"/>
    <cellStyle name="Normal 8 12 6 6" xfId="14292" xr:uid="{35F32A28-5073-44A0-96F3-A2A7BD47679F}"/>
    <cellStyle name="Normal 8 12 7 2" xfId="14293" xr:uid="{DC13EE11-B094-4CD9-9A19-C3378E3F13FD}"/>
    <cellStyle name="Normal 8 12 7 4" xfId="14294" xr:uid="{488875C7-7F55-4BFA-AB43-C7181E6592B5}"/>
    <cellStyle name="Normal 8 12 7 6" xfId="14295" xr:uid="{7D6EEFC5-3A9A-4605-BE69-8D54394C81CE}"/>
    <cellStyle name="Normal 8 12 8 2" xfId="14296" xr:uid="{7CCED53F-DEBE-49EB-A103-42CAB943D5C7}"/>
    <cellStyle name="Normal 8 12 8 4" xfId="14297" xr:uid="{98837C60-8CBB-4B4F-8799-23167ADC31E9}"/>
    <cellStyle name="Normal 8 12 8 5" xfId="14298" xr:uid="{E39D7060-74EF-4CB6-9DEC-D584677A2ED7}"/>
    <cellStyle name="Normal 8 12 9" xfId="14299" xr:uid="{29326AFE-7125-4B3B-94EB-25A535AA425F}"/>
    <cellStyle name="Normal 8 13" xfId="14300" xr:uid="{8ECDA0AC-DBB8-422C-B4F4-D1B4260A9F13}"/>
    <cellStyle name="Normal 8 13 11" xfId="14301" xr:uid="{D7E2F202-8712-4F75-B788-CD1E1B443E61}"/>
    <cellStyle name="Normal 8 13 13" xfId="14302" xr:uid="{90D0F190-8031-412A-9F88-EE9DB7E05AB4}"/>
    <cellStyle name="Normal 8 13 2 2" xfId="14303" xr:uid="{4040C54B-3B9C-4FBA-91FC-2F38EBA6CA32}"/>
    <cellStyle name="Normal 8 13 2 5" xfId="14304" xr:uid="{20EA00EF-3017-4AEE-B38C-D1EF5BA04DC1}"/>
    <cellStyle name="Normal 8 13 3" xfId="14305" xr:uid="{98DC6AAA-17A6-4EBB-A803-E99D7DB95DC7}"/>
    <cellStyle name="Normal 8 13 3 3" xfId="14306" xr:uid="{2944E18E-A561-47CC-B455-CFA0BBE8561F}"/>
    <cellStyle name="Normal 8 13 3 5" xfId="14307" xr:uid="{E97214EB-8223-4142-8C9F-7BCE717CDFB0}"/>
    <cellStyle name="Normal 8 13 4" xfId="14308" xr:uid="{AC3EA753-8843-4B18-984E-F965BFBC786B}"/>
    <cellStyle name="Normal 8 13 4 3" xfId="14309" xr:uid="{E47DFC57-182A-4C8E-8208-79AA54C3EAF2}"/>
    <cellStyle name="Normal 8 13 4 5" xfId="14310" xr:uid="{BC7EF6D1-A929-459A-923A-4049C01B498A}"/>
    <cellStyle name="Normal 8 13 5" xfId="14311" xr:uid="{EEB5FE97-DCC1-44EB-A0FC-0F15B7DBCFB9}"/>
    <cellStyle name="Normal 8 13 5 3" xfId="14312" xr:uid="{45A160FD-10B8-4CAC-BA3E-0F87880AF0A4}"/>
    <cellStyle name="Normal 8 13 5 5" xfId="14313" xr:uid="{ED90B66D-886B-479E-BDC4-51D80B2B3D8F}"/>
    <cellStyle name="Normal 8 13 6" xfId="14314" xr:uid="{B69781F0-91A7-4750-87A3-882D3C1E794C}"/>
    <cellStyle name="Normal 8 13 6 3" xfId="14315" xr:uid="{A06B8E79-0AF2-4243-AFE0-0C5B18B3EA6D}"/>
    <cellStyle name="Normal 8 13 6 5" xfId="14316" xr:uid="{3A94A02D-17A4-461E-B275-36D9D9C93E73}"/>
    <cellStyle name="Normal 8 13 7" xfId="14317" xr:uid="{761A03AE-4DBC-48CB-9A08-6AE9DED53A34}"/>
    <cellStyle name="Normal 8 13 7 3" xfId="14318" xr:uid="{61DB275D-571A-454C-AEE5-3D287C64B9FC}"/>
    <cellStyle name="Normal 8 13 7 5" xfId="14319" xr:uid="{F3277F4C-B771-4DCD-BBA8-749C20EF09D5}"/>
    <cellStyle name="Normal 8 13 8" xfId="14320" xr:uid="{241E1493-A6C7-4834-A049-4AAA8092F6FA}"/>
    <cellStyle name="Normal 8 13 8 4" xfId="14321" xr:uid="{B80A812B-9EB9-4CCA-AAAF-D11500BAE679}"/>
    <cellStyle name="Normal 8 13 9" xfId="14322" xr:uid="{DBAAA72E-B540-4FB4-B9A5-C7A03D29FA50}"/>
    <cellStyle name="Normal 8 14 11" xfId="14323" xr:uid="{A103C584-99FB-459A-9CE1-2141DC177FA9}"/>
    <cellStyle name="Normal 8 14 2" xfId="14324" xr:uid="{238C2EC7-2F57-49F3-89D3-62DE453E80FD}"/>
    <cellStyle name="Normal 8 14 2 3" xfId="14325" xr:uid="{7DE915D9-135A-4766-AC6B-DEE127A8CEFC}"/>
    <cellStyle name="Normal 8 14 2 4" xfId="14326" xr:uid="{5952C613-3115-4890-B19E-4E3FE8A5AD91}"/>
    <cellStyle name="Normal 8 14 2 6" xfId="14327" xr:uid="{2DE04322-C1E0-4036-8CD1-74783B1D4AD4}"/>
    <cellStyle name="Normal 8 14 3" xfId="14328" xr:uid="{AABDCA41-B985-4231-9E55-7EF293B069EB}"/>
    <cellStyle name="Normal 8 14 3 3" xfId="14329" xr:uid="{8EE5FC48-F74D-4319-8EEE-219837F6AB49}"/>
    <cellStyle name="Normal 8 14 3 5" xfId="14330" xr:uid="{E668CE2F-3030-4E90-91EA-165C9CEB27A6}"/>
    <cellStyle name="Normal 8 14 4" xfId="14331" xr:uid="{979FB1C7-6246-4D4D-854E-ABCC48A587BD}"/>
    <cellStyle name="Normal 8 14 4 3" xfId="14332" xr:uid="{2AB33CF8-5A01-43D3-B400-46E15D516F8C}"/>
    <cellStyle name="Normal 8 14 4 5" xfId="14333" xr:uid="{80DD7586-3292-43CE-A5A6-C8C417A86447}"/>
    <cellStyle name="Normal 8 14 4 6" xfId="14334" xr:uid="{FB99DB46-A8DA-4E61-ACB8-F94785CFF7CB}"/>
    <cellStyle name="Normal 8 14 5 3" xfId="14335" xr:uid="{99F494B9-AAE6-4447-9F30-7867FCA25F9D}"/>
    <cellStyle name="Normal 8 14 5 5" xfId="14336" xr:uid="{ECBE3889-9F11-4328-8C52-5D0A0927FAE2}"/>
    <cellStyle name="Normal 8 14 6" xfId="14337" xr:uid="{77E26B99-B7EE-46CA-A0B7-3BF3B541475F}"/>
    <cellStyle name="Normal 8 14 6 3" xfId="14338" xr:uid="{1384F27A-93A4-4CC3-B885-E27947718833}"/>
    <cellStyle name="Normal 8 14 6 5" xfId="14339" xr:uid="{C7EDACFA-71AF-4D7B-ABE0-FC975DBCD7BF}"/>
    <cellStyle name="Normal 8 14 6 6" xfId="14340" xr:uid="{C2599674-949D-4279-9CE6-F6B2E679D86E}"/>
    <cellStyle name="Normal 8 14 7" xfId="14341" xr:uid="{D8A020BD-C385-4A19-9867-20F809854688}"/>
    <cellStyle name="Normal 8 14 7 2" xfId="14342" xr:uid="{EBCF69E5-CE00-44E8-BF76-FA0013C6D61A}"/>
    <cellStyle name="Normal 8 14 7 4" xfId="14343" xr:uid="{CD25E417-5217-46BE-9400-D1F3FB009709}"/>
    <cellStyle name="Normal 8 14 7 6" xfId="14344" xr:uid="{59C676B2-11C0-429E-AF84-FA08C8B4EFEE}"/>
    <cellStyle name="Normal 8 14 8 2" xfId="14345" xr:uid="{F5DB84CE-8826-4FDD-BB6A-92764A112F8D}"/>
    <cellStyle name="Normal 8 14 8 4" xfId="14346" xr:uid="{9C45F264-7174-4212-BD59-81DBF3FC5CC7}"/>
    <cellStyle name="Normal 8 14 8 6" xfId="14347" xr:uid="{FE238496-0516-45AE-B3B2-FAFE72CDEAD7}"/>
    <cellStyle name="Normal 8 15" xfId="14348" xr:uid="{184A3AA3-BAFE-46AB-B29D-7EB5456A1476}"/>
    <cellStyle name="Normal 8 15 11" xfId="14349" xr:uid="{381E16A3-5E00-4DEE-9300-F52DAF458802}"/>
    <cellStyle name="Normal 8 15 13" xfId="14350" xr:uid="{0E7144A3-14C4-40E5-9951-313412ED225C}"/>
    <cellStyle name="Normal 8 15 2 2" xfId="14351" xr:uid="{2DD383E1-1D8F-4FB1-9909-37A6B5D4C0ED}"/>
    <cellStyle name="Normal 8 15 2 4" xfId="14352" xr:uid="{3B2567B0-0972-4018-99B3-3F37F68C5AD4}"/>
    <cellStyle name="Normal 8 15 2 6" xfId="14353" xr:uid="{393EA4EF-F095-4526-9A73-7EE762A790F5}"/>
    <cellStyle name="Normal 8 15 3 2" xfId="14354" xr:uid="{232E4A0D-DAD4-4B1B-9E9C-80F7415E95B5}"/>
    <cellStyle name="Normal 8 15 3 4" xfId="14355" xr:uid="{9D9C6B44-AC92-4AE4-BE5D-9F4C5754AF63}"/>
    <cellStyle name="Normal 8 15 3 6" xfId="14356" xr:uid="{0B5D83D0-CD8B-456E-9186-64EFFEF00A31}"/>
    <cellStyle name="Normal 8 15 4 2" xfId="14357" xr:uid="{FF643DC0-EACE-431D-A7C6-5161D162ADB4}"/>
    <cellStyle name="Normal 8 15 4 4" xfId="14358" xr:uid="{0580D14F-97FF-40DA-8F6C-7059A32E8A35}"/>
    <cellStyle name="Normal 8 15 4 6" xfId="14359" xr:uid="{D3C27CFF-9A37-440B-82BA-DB107F2D734C}"/>
    <cellStyle name="Normal 8 15 5 2" xfId="14360" xr:uid="{63365119-B037-44E3-80D3-54CD8B05818F}"/>
    <cellStyle name="Normal 8 15 5 4" xfId="14361" xr:uid="{C2F9F078-E8A1-47AD-BC12-C48CC3A2540F}"/>
    <cellStyle name="Normal 8 15 5 6" xfId="14362" xr:uid="{D2752463-FC5D-427C-BF60-8754D4CFAEA6}"/>
    <cellStyle name="Normal 8 15 6 2" xfId="14363" xr:uid="{8B488A20-0F48-441E-B478-2C49B0B91385}"/>
    <cellStyle name="Normal 8 15 6 4" xfId="14364" xr:uid="{A26BF84E-47F1-435F-B2F4-89E7EE133E80}"/>
    <cellStyle name="Normal 8 15 6 6" xfId="14365" xr:uid="{E7773881-7349-49F1-96FD-B43AACEA1D57}"/>
    <cellStyle name="Normal 8 15 7 2" xfId="14366" xr:uid="{9C314B57-F55D-40AF-B429-D6A3FD74373E}"/>
    <cellStyle name="Normal 8 15 7 4" xfId="14367" xr:uid="{6AF770A6-576C-4652-8995-8BE4604BF211}"/>
    <cellStyle name="Normal 8 15 7 6" xfId="14368" xr:uid="{9FDBF79D-B743-458B-9D9E-44B1604B5476}"/>
    <cellStyle name="Normal 8 15 8 2" xfId="14369" xr:uid="{FBCF7F4A-9BC2-43E2-A9F0-91F7D6E5AF2C}"/>
    <cellStyle name="Normal 8 15 8 4" xfId="14370" xr:uid="{975135FE-4AA0-486A-8559-39C5288D60F5}"/>
    <cellStyle name="Normal 8 15 8 6" xfId="14371" xr:uid="{715694FD-2F2A-4B84-9291-1652E1403C71}"/>
    <cellStyle name="Normal 8 16" xfId="14372" xr:uid="{17E73F9F-B462-4C6A-9127-1FD7D2FB3204}"/>
    <cellStyle name="Normal 8 16 11" xfId="14373" xr:uid="{C9287636-9D6E-4322-BB95-47315402D2F6}"/>
    <cellStyle name="Normal 8 16 13" xfId="14374" xr:uid="{8B6F78E6-11F8-423C-BCA9-6398816842BE}"/>
    <cellStyle name="Normal 8 16 2 2" xfId="14375" xr:uid="{3B8CFB90-1E17-4702-B7D1-9FFCAF6D39C9}"/>
    <cellStyle name="Normal 8 16 2 4" xfId="14376" xr:uid="{382F4754-807B-42D2-9210-B3945AB20CCE}"/>
    <cellStyle name="Normal 8 16 2 6" xfId="14377" xr:uid="{E0F56D58-0F1B-4720-9E0D-64470F9F532C}"/>
    <cellStyle name="Normal 8 16 3 2" xfId="14378" xr:uid="{AE514878-5009-4EAE-BFDA-23DAC45A1CEF}"/>
    <cellStyle name="Normal 8 16 3 4" xfId="14379" xr:uid="{0CA20CB1-A8FB-4E36-B69A-CB37F49044FB}"/>
    <cellStyle name="Normal 8 16 3 6" xfId="14380" xr:uid="{58551037-7E93-4CD8-B2F7-BFB0518E49BE}"/>
    <cellStyle name="Normal 8 16 4 2" xfId="14381" xr:uid="{D1D1FCF5-83E7-42BA-8B34-AEF3F7936636}"/>
    <cellStyle name="Normal 8 16 4 4" xfId="14382" xr:uid="{A0B3D0D0-CA84-412E-B60F-9A49203F02FB}"/>
    <cellStyle name="Normal 8 16 4 6" xfId="14383" xr:uid="{0E7051AC-7CE9-44B8-A070-0BD7BA46412B}"/>
    <cellStyle name="Normal 8 16 5 2" xfId="14384" xr:uid="{374DD8FA-97CD-4661-B22B-D7751457AB63}"/>
    <cellStyle name="Normal 8 16 5 5" xfId="14385" xr:uid="{2E4EBA05-5D8D-476F-B955-0F3956C32D46}"/>
    <cellStyle name="Normal 8 16 6" xfId="14386" xr:uid="{E6D276E7-6696-4F01-93C4-802228C74117}"/>
    <cellStyle name="Normal 8 16 6 4" xfId="14387" xr:uid="{1B9C5452-6774-4290-AEF3-E831A5588223}"/>
    <cellStyle name="Normal 8 16 6 6" xfId="14388" xr:uid="{1348B5C7-BD4E-49BA-862C-0389B87791B8}"/>
    <cellStyle name="Normal 8 16 7 2" xfId="14389" xr:uid="{05ED2A46-CE88-47CB-8E95-586FF1B20CC1}"/>
    <cellStyle name="Normal 8 16 7 3" xfId="14390" xr:uid="{EE61B509-C7C6-48EC-B56C-661C5247DBC4}"/>
    <cellStyle name="Normal 8 16 7 4" xfId="14391" xr:uid="{FFFB7E55-C788-4C15-A625-F5A0559198BF}"/>
    <cellStyle name="Normal 8 16 7 5" xfId="14392" xr:uid="{A0200B87-95AE-41E0-876E-4D3F08945F8A}"/>
    <cellStyle name="Normal 8 16 7 6" xfId="14393" xr:uid="{2662B648-8041-4F80-908C-C35EEF8397C3}"/>
    <cellStyle name="Normal 8 16 8" xfId="14394" xr:uid="{2FF582D5-5614-45A0-98E9-E4728A3EE46E}"/>
    <cellStyle name="Normal 8 16 8 2" xfId="14395" xr:uid="{363DA625-417F-4B8D-AE0C-3874D4A3CF83}"/>
    <cellStyle name="Normal 8 16 8 3" xfId="14396" xr:uid="{896DA98D-8651-4AE6-9300-C38591D0BE5A}"/>
    <cellStyle name="Normal 8 16 8 4" xfId="14397" xr:uid="{031584FD-AB0C-433D-BDD4-54D0176C10E9}"/>
    <cellStyle name="Normal 8 16 8 5" xfId="14398" xr:uid="{6874748D-88F1-477C-A548-EF9E9039E233}"/>
    <cellStyle name="Normal 8 16 8 6" xfId="14399" xr:uid="{64553BF8-64F4-48C7-B334-C2E1851BF3B8}"/>
    <cellStyle name="Normal 8 16 9" xfId="14400" xr:uid="{8DBEFF4B-19CD-45D8-B71D-2E8A530CF7E4}"/>
    <cellStyle name="Normal 8 17 10" xfId="14401" xr:uid="{93EF8433-F7B0-4334-BDD8-983E594452B2}"/>
    <cellStyle name="Normal 8 17 12" xfId="14402" xr:uid="{FFBBEF83-2BEC-4ED0-BF86-23CB80DC9E51}"/>
    <cellStyle name="Normal 8 17 2" xfId="14403" xr:uid="{23F048D3-C79F-4AAF-8C8D-29D9A91E85ED}"/>
    <cellStyle name="Normal 8 17 2 3" xfId="14404" xr:uid="{75D7CD0B-6336-496E-803A-1605C2982010}"/>
    <cellStyle name="Normal 8 17 2 4" xfId="14405" xr:uid="{91000459-DCC3-498D-A5FB-7BA86C51305E}"/>
    <cellStyle name="Normal 8 17 2 6" xfId="14406" xr:uid="{8B09E8AF-0B13-4668-A32D-C1B52F7CE3A5}"/>
    <cellStyle name="Normal 8 17 3 2" xfId="14407" xr:uid="{D9BB81F2-EF98-4F8D-ADB2-1140B4D7D7FA}"/>
    <cellStyle name="Normal 8 17 3 4" xfId="14408" xr:uid="{6EACEFAF-187F-483D-A2A5-6C8295A0C50F}"/>
    <cellStyle name="Normal 8 17 3 6" xfId="14409" xr:uid="{F1906A2A-DCB2-400C-9389-1F296D43B3B2}"/>
    <cellStyle name="Normal 8 17 4 3" xfId="14410" xr:uid="{18198382-0242-4B0A-86BA-C7EEABFE0CF8}"/>
    <cellStyle name="Normal 8 17 4 4" xfId="14411" xr:uid="{93725AE2-D187-4292-B3CA-134A2E758C38}"/>
    <cellStyle name="Normal 8 17 4 6" xfId="14412" xr:uid="{C5B5899C-48E4-4A89-B18B-764261A197E6}"/>
    <cellStyle name="Normal 8 17 5 2" xfId="14413" xr:uid="{D101A10D-C02F-4ACA-B73E-72D5BF453569}"/>
    <cellStyle name="Normal 8 17 5 4" xfId="14414" xr:uid="{7ECE701A-49F1-4F09-9FB4-CCD88E44A5E6}"/>
    <cellStyle name="Normal 8 17 6" xfId="14415" xr:uid="{670E4A55-B224-40F0-8825-8CA050046DCC}"/>
    <cellStyle name="Normal 8 17 6 4" xfId="14416" xr:uid="{DE8A0DAD-0782-4AEF-A5B8-98B5A93A9060}"/>
    <cellStyle name="Normal 8 17 6 5" xfId="14417" xr:uid="{1C87BE02-B568-446C-BFA5-E40534481922}"/>
    <cellStyle name="Normal 8 17 7" xfId="14418" xr:uid="{69413142-930C-4A2B-86FB-CCCE616562CC}"/>
    <cellStyle name="Normal 8 17 7 3" xfId="14419" xr:uid="{8C3BAFFC-AA52-4860-ADB9-1355BEA74D02}"/>
    <cellStyle name="Normal 8 17 7 5" xfId="14420" xr:uid="{2728BE2A-0FDA-44C0-9ADD-4FAF5BEE38B9}"/>
    <cellStyle name="Normal 8 17 8" xfId="14421" xr:uid="{F9432717-B7FA-4B89-84F7-1F316C2A508D}"/>
    <cellStyle name="Normal 8 17 8 3" xfId="14422" xr:uid="{033F00AF-8020-4EDB-B7EB-70DA1E74CF91}"/>
    <cellStyle name="Normal 8 17 8 5" xfId="14423" xr:uid="{D1DE4806-761A-4AE0-A26E-01EEF7E9A815}"/>
    <cellStyle name="Normal 8 17 9" xfId="14424" xr:uid="{1A8F9553-BE30-4CEE-AAF4-EF23AA18159A}"/>
    <cellStyle name="Normal 8 18 10" xfId="14425" xr:uid="{A1B86B0D-0F6F-477D-A3A6-214E5CFE9D8F}"/>
    <cellStyle name="Normal 8 18 12" xfId="14426" xr:uid="{42ED9F57-4140-457C-A0CB-D729BDF142E6}"/>
    <cellStyle name="Normal 8 18 2 2" xfId="14427" xr:uid="{8C60D788-78DC-4B3E-BE73-90C8C0E6E5F8}"/>
    <cellStyle name="Normal 8 18 2 6" xfId="14428" xr:uid="{761D3299-B01C-4298-A894-47771654DBDE}"/>
    <cellStyle name="Normal 8 18 3 4" xfId="14429" xr:uid="{D5054FFC-3DA6-4A1C-B32D-A0B43964D9EB}"/>
    <cellStyle name="Normal 8 18 4 2" xfId="14430" xr:uid="{2F70A3BC-4AD6-477F-B9A6-1AEA600D1456}"/>
    <cellStyle name="Normal 8 18 4 6" xfId="14431" xr:uid="{76D8A9BC-406F-462F-94EE-9CB5C7AD307D}"/>
    <cellStyle name="Normal 8 18 5 3" xfId="14432" xr:uid="{6FA091BF-9159-476C-BCB5-B4CFA4294B9F}"/>
    <cellStyle name="Normal 8 18 5 5" xfId="14433" xr:uid="{436C40C1-7E76-4DA2-A25C-DE9C31567EF0}"/>
    <cellStyle name="Normal 8 18 6 2" xfId="14434" xr:uid="{BB7780A8-A0AC-4B17-9F33-3C56EB7A57AA}"/>
    <cellStyle name="Normal 8 18 6 5" xfId="14435" xr:uid="{C1297C56-E95D-4D77-BF83-D125DE5A01BE}"/>
    <cellStyle name="Normal 8 18 7 3" xfId="14436" xr:uid="{2328E958-C68A-4CA7-B350-E297246B5ECA}"/>
    <cellStyle name="Normal 8 18 8" xfId="14437" xr:uid="{4E87EB63-ED22-435F-BC73-CD0563F97CFA}"/>
    <cellStyle name="Normal 8 18 8 4" xfId="14438" xr:uid="{6FC8C376-F80A-4099-A38F-371246CAE952}"/>
    <cellStyle name="Normal 8 19" xfId="14439" xr:uid="{738D1E33-7071-4E33-A9C2-3ED31DE92CA6}"/>
    <cellStyle name="Normal 8 19 11" xfId="14440" xr:uid="{258E7411-E80C-4181-841F-08930B8FF278}"/>
    <cellStyle name="Normal 8 19 13" xfId="14441" xr:uid="{D48FB088-8795-45A1-949B-DC7DB846AA82}"/>
    <cellStyle name="Normal 8 19 2 3" xfId="14442" xr:uid="{E388A08C-7A2B-4222-90D6-FB499A755486}"/>
    <cellStyle name="Normal 8 19 2 6" xfId="14443" xr:uid="{C6E4D748-4795-463A-81F9-B94EB985D279}"/>
    <cellStyle name="Normal 8 19 3 3" xfId="14444" xr:uid="{6036B8A0-78A6-4851-AE8B-5AFF4665F68B}"/>
    <cellStyle name="Normal 8 19 4" xfId="14445" xr:uid="{CAF1B004-F6E6-4625-99B6-5B54F5C55785}"/>
    <cellStyle name="Normal 8 19 4 3" xfId="14446" xr:uid="{20CF0865-51BB-4C8F-9EF6-068BF146E531}"/>
    <cellStyle name="Normal 8 19 4 5" xfId="14447" xr:uid="{25F3D190-1897-4AC1-A2B2-1859299F96CE}"/>
    <cellStyle name="Normal 8 19 4 6" xfId="14448" xr:uid="{7FB90F9F-35D3-4D0F-9C6C-73D9AB55D1DA}"/>
    <cellStyle name="Normal 8 19 5" xfId="14449" xr:uid="{F959ED6A-B59B-4B15-B0D4-44F761E0FE56}"/>
    <cellStyle name="Normal 8 19 5 2" xfId="14450" xr:uid="{48506C32-0A28-4EF2-9937-D98BEBB7EC7F}"/>
    <cellStyle name="Normal 8 19 5 3" xfId="14451" xr:uid="{5318961F-E0C2-437B-99DD-BFFDE7F0C628}"/>
    <cellStyle name="Normal 8 19 5 4" xfId="14452" xr:uid="{6AEED292-79DD-430B-82B3-C8ECE4DE667B}"/>
    <cellStyle name="Normal 8 19 5 5" xfId="14453" xr:uid="{4B8027E1-8BFE-4D00-A7ED-87CB37443C4D}"/>
    <cellStyle name="Normal 8 19 5 6" xfId="14454" xr:uid="{CE47E89F-BFBA-4955-96EA-DF515F4A62CA}"/>
    <cellStyle name="Normal 8 19 6 2" xfId="14455" xr:uid="{2BD81EC2-D750-4FD7-B6B0-B096E9154B97}"/>
    <cellStyle name="Normal 8 19 6 3" xfId="14456" xr:uid="{CB3444C3-AA19-4E83-810E-6B3BDE5B208A}"/>
    <cellStyle name="Normal 8 19 6 5" xfId="14457" xr:uid="{15E4F180-CB30-4C5C-8E5C-ACE4A065CE34}"/>
    <cellStyle name="Normal 8 19 7" xfId="14458" xr:uid="{3CEC01D2-6E67-4CEE-B07E-0777AA7185E0}"/>
    <cellStyle name="Normal 8 19 7 3" xfId="14459" xr:uid="{5535FE9B-B73A-4662-A8D1-08F06E80050E}"/>
    <cellStyle name="Normal 8 19 7 5" xfId="14460" xr:uid="{EADCC752-E903-413A-885C-B4E87150BA13}"/>
    <cellStyle name="Normal 8 19 8" xfId="14461" xr:uid="{7C1663DA-FD62-4012-B644-CCC7FC8FF1E0}"/>
    <cellStyle name="Normal 8 19 8 3" xfId="14462" xr:uid="{E16C3957-492D-4A37-946B-5D21A592BE54}"/>
    <cellStyle name="Normal 8 19 8 5" xfId="14463" xr:uid="{5A442FBA-BDFD-4721-837A-5B0397361ACC}"/>
    <cellStyle name="Normal 8 19 8 6" xfId="14464" xr:uid="{AD52E342-FA8B-4E86-87FE-3562E1D0072B}"/>
    <cellStyle name="Normal 8 19 9" xfId="14465" xr:uid="{4CA3CBA6-F754-415D-B774-58CA69B7F81D}"/>
    <cellStyle name="Normal 8 2 10" xfId="14466" xr:uid="{6E8FE49B-8831-4890-B21B-5D3F82F63864}"/>
    <cellStyle name="Normal 8 2 11" xfId="14467" xr:uid="{2F4CB4C0-FCA0-4841-9D66-B3939A2531D0}"/>
    <cellStyle name="Normal 8 2 12" xfId="14468" xr:uid="{26253624-2090-40AC-AF75-D2D748C96AB6}"/>
    <cellStyle name="Normal 8 2 13" xfId="14469" xr:uid="{C3BE4B53-E7B7-40C2-A7A1-B7E9C01E9D0B}"/>
    <cellStyle name="Normal 8 2 14" xfId="14470" xr:uid="{749C0288-566E-43F2-A79F-B5A9CB838B58}"/>
    <cellStyle name="Normal 8 2 2" xfId="14471" xr:uid="{1AAADC17-52FF-4449-9BB6-AF0AA3A2169F}"/>
    <cellStyle name="Normal 8 2 2 2" xfId="14472" xr:uid="{B0064B4E-5B1C-4F6D-B6D8-A10DA0E0BC8B}"/>
    <cellStyle name="Normal 8 2 2 3" xfId="14473" xr:uid="{CB7DD3E5-BE72-446E-B7AB-DC0E51CA40ED}"/>
    <cellStyle name="Normal 8 2 2 4" xfId="14474" xr:uid="{6EE39688-4E00-46FF-9B5B-528DEDB7E4D0}"/>
    <cellStyle name="Normal 8 2 2 6" xfId="14475" xr:uid="{C3E27927-A6B6-4FF3-A9A4-D355AD6B6743}"/>
    <cellStyle name="Normal 8 2 3" xfId="14476" xr:uid="{FD8AF0CC-48BA-4FF4-9977-13EB8729FB94}"/>
    <cellStyle name="Normal 8 2 3 2" xfId="14477" xr:uid="{158641F9-D156-44B8-80F2-03BDF363895F}"/>
    <cellStyle name="Normal 8 2 3 3" xfId="14478" xr:uid="{5626DBB7-88D3-402E-9F7B-0E160A8E1473}"/>
    <cellStyle name="Normal 8 2 3 5" xfId="14479" xr:uid="{59515FE8-B167-4166-946F-511AFF471FAF}"/>
    <cellStyle name="Normal 8 2 4" xfId="14480" xr:uid="{CE2CB97D-A6AD-4EEF-A0BB-968DBA295DE2}"/>
    <cellStyle name="Normal 8 2 4 3" xfId="14481" xr:uid="{C02EE653-8F31-4C90-8D5A-19D5B5C7D538}"/>
    <cellStyle name="Normal 8 2 4 5" xfId="14482" xr:uid="{3CB81EA7-D3ED-4AAE-B97D-6B1924499BC0}"/>
    <cellStyle name="Normal 8 2 5" xfId="14483" xr:uid="{3A55654F-1D5B-42C5-ADA6-97AB519EC607}"/>
    <cellStyle name="Normal 8 2 5 3" xfId="14484" xr:uid="{89E48DE7-503E-4F01-BFDD-D5FD4E204BEB}"/>
    <cellStyle name="Normal 8 2 5 4" xfId="14485" xr:uid="{1196A98D-0A3F-424F-A896-5F2534DF9085}"/>
    <cellStyle name="Normal 8 2 5 5" xfId="14486" xr:uid="{49AACDA0-9910-425A-83BE-5EA89DD12F65}"/>
    <cellStyle name="Normal 8 2 6" xfId="14487" xr:uid="{34F9D248-FE3F-4518-829C-8CA9E5663467}"/>
    <cellStyle name="Normal 8 2 6 3" xfId="14488" xr:uid="{A16185E1-D435-45E4-B7C3-9817AAFBD38C}"/>
    <cellStyle name="Normal 8 2 6 5" xfId="14489" xr:uid="{1FDF63D5-2F79-43A6-BFB4-60265E836559}"/>
    <cellStyle name="Normal 8 2 7" xfId="14490" xr:uid="{BA31E2C8-FF8A-4377-8C53-B5F9B8735798}"/>
    <cellStyle name="Normal 8 2 7 3" xfId="14491" xr:uid="{C07B8DCD-5A36-417D-8821-6E013DBF1F01}"/>
    <cellStyle name="Normal 8 2 7 5" xfId="14492" xr:uid="{537CE332-2C41-49B7-863F-6F2BD70747C0}"/>
    <cellStyle name="Normal 8 2 8" xfId="14493" xr:uid="{5F8BEBF2-7B09-4A1C-AD59-416193DB26A7}"/>
    <cellStyle name="Normal 8 2 8 3" xfId="14494" xr:uid="{58D58B79-F1F9-4D10-B8FA-F05932D20DD4}"/>
    <cellStyle name="Normal 8 2 8 5" xfId="14495" xr:uid="{8CECA349-0EA7-49E4-ADA4-0EB6B351E562}"/>
    <cellStyle name="Normal 8 2 9" xfId="14496" xr:uid="{A8E2A2ED-BFE6-412F-98FA-C8694944A0F7}"/>
    <cellStyle name="Normal 8 20 10" xfId="14497" xr:uid="{04562998-D5C7-4EC7-BC4B-4DE71FC0ABF9}"/>
    <cellStyle name="Normal 8 20 12" xfId="14498" xr:uid="{604EEAFF-A0FE-46E8-9F46-D5B9BA145D11}"/>
    <cellStyle name="Normal 8 20 2" xfId="14499" xr:uid="{9B7445A9-AE0C-4F2A-8F57-690481AACBCA}"/>
    <cellStyle name="Normal 8 20 2 3" xfId="14500" xr:uid="{A7F41707-E06E-4274-8601-C5134715BC48}"/>
    <cellStyle name="Normal 8 20 2 5" xfId="14501" xr:uid="{78700F42-A9A3-45C3-B342-D483BF15BF18}"/>
    <cellStyle name="Normal 8 20 3" xfId="14502" xr:uid="{E184C70A-C3B3-469F-824A-79198D318A62}"/>
    <cellStyle name="Normal 8 20 3 3" xfId="14503" xr:uid="{BDE51720-0536-4F04-B740-ADA7BACB747D}"/>
    <cellStyle name="Normal 8 20 3 5" xfId="14504" xr:uid="{287E92BC-8C8C-4CC3-8438-05098968DA74}"/>
    <cellStyle name="Normal 8 20 4 3" xfId="14505" xr:uid="{26F53FBA-22AB-4CEF-B93B-B3C7A4DCB679}"/>
    <cellStyle name="Normal 8 20 4 5" xfId="14506" xr:uid="{629179B9-8B36-471A-868C-6EC245BF8EFD}"/>
    <cellStyle name="Normal 8 20 5" xfId="14507" xr:uid="{EFA14BCB-1D14-41C5-81D8-1A410CEB8E39}"/>
    <cellStyle name="Normal 8 20 5 3" xfId="14508" xr:uid="{D56453D6-AC0F-4932-A0FC-6F4B79D7C3DD}"/>
    <cellStyle name="Normal 8 20 5 5" xfId="14509" xr:uid="{8AE55897-2135-417D-8CEB-7AC3B7AE1DE1}"/>
    <cellStyle name="Normal 8 20 6" xfId="14510" xr:uid="{AAA59992-8503-4339-AD9C-A9A1D7BFF607}"/>
    <cellStyle name="Normal 8 20 6 3" xfId="14511" xr:uid="{4C5CCF15-197A-4E35-8B72-3273CF790D18}"/>
    <cellStyle name="Normal 8 20 6 5" xfId="14512" xr:uid="{B798723F-E775-42A4-A3C1-49C5C25CB869}"/>
    <cellStyle name="Normal 8 20 7" xfId="14513" xr:uid="{019D4989-A193-4962-9C17-A60D20E6AAC6}"/>
    <cellStyle name="Normal 8 20 7 3" xfId="14514" xr:uid="{C438B659-0F65-4A8F-9B16-7011EECFA4FD}"/>
    <cellStyle name="Normal 8 20 7 5" xfId="14515" xr:uid="{0E9E4F43-EF01-4E39-97C3-7BB38D193FB8}"/>
    <cellStyle name="Normal 8 20 8" xfId="14516" xr:uid="{D08209F0-823A-4FDC-8796-37B401F38297}"/>
    <cellStyle name="Normal 8 20 8 3" xfId="14517" xr:uid="{A638AC2D-1E20-4FD6-84C9-E1BD0A7A49DD}"/>
    <cellStyle name="Normal 8 20 8 5" xfId="14518" xr:uid="{A95F8F59-1BA8-42B1-BAD4-0261C25C81B1}"/>
    <cellStyle name="Normal 8 20 9" xfId="14519" xr:uid="{4389CEBC-4E43-4CAC-8675-F6AAD3D0332E}"/>
    <cellStyle name="Normal 8 21 10" xfId="14520" xr:uid="{183F3808-8E81-44E2-853C-2DD560977A07}"/>
    <cellStyle name="Normal 8 21 12" xfId="14521" xr:uid="{6DFE1208-5813-496D-B573-C0BE22F2BE06}"/>
    <cellStyle name="Normal 8 21 2" xfId="14522" xr:uid="{07C8FBA9-5AB6-46B2-9024-08D6BA2DD597}"/>
    <cellStyle name="Normal 8 21 2 3" xfId="14523" xr:uid="{66E6969E-A4CE-4B1E-930D-12CF56C347FD}"/>
    <cellStyle name="Normal 8 21 2 5" xfId="14524" xr:uid="{703DDC30-890C-4BCD-AE21-A85FDAD367CC}"/>
    <cellStyle name="Normal 8 21 3" xfId="14525" xr:uid="{5A1A0333-E183-4B86-B352-B807B501F215}"/>
    <cellStyle name="Normal 8 21 3 3" xfId="14526" xr:uid="{B2ADE032-61CE-493A-A95C-8C085A483D27}"/>
    <cellStyle name="Normal 8 21 3 5" xfId="14527" xr:uid="{2C9DC188-71A9-4BF5-B242-6D6265E60F21}"/>
    <cellStyle name="Normal 8 21 4" xfId="14528" xr:uid="{99B91E63-D1B5-4E3E-BADE-99494D529F53}"/>
    <cellStyle name="Normal 8 21 4 3" xfId="14529" xr:uid="{7DAC79B9-5454-4950-9C02-41E27185FFC0}"/>
    <cellStyle name="Normal 8 21 4 5" xfId="14530" xr:uid="{25AA26AE-F9FB-4D36-857C-5A9D9CFDA240}"/>
    <cellStyle name="Normal 8 21 5" xfId="14531" xr:uid="{AAA46AC7-4F1D-4D27-9875-EEC52375D710}"/>
    <cellStyle name="Normal 8 21 5 3" xfId="14532" xr:uid="{0ACEF45E-1AF0-49F0-8398-CA5635BC0157}"/>
    <cellStyle name="Normal 8 21 5 4" xfId="14533" xr:uid="{0C893878-4C4F-493A-A2B8-8579306A9DB3}"/>
    <cellStyle name="Normal 8 21 5 6" xfId="14534" xr:uid="{3CCEA505-FD49-4E0F-BAC8-249FC3A9855B}"/>
    <cellStyle name="Normal 8 21 6" xfId="14535" xr:uid="{7C090530-E528-4F21-B6F2-AE71D80A95E1}"/>
    <cellStyle name="Normal 8 21 6 3" xfId="14536" xr:uid="{26A006BD-372C-4C47-A9A2-9CD8C441A84F}"/>
    <cellStyle name="Normal 8 21 6 5" xfId="14537" xr:uid="{98556673-6582-4ECC-9A6A-95C84EE1ABDC}"/>
    <cellStyle name="Normal 8 21 7" xfId="14538" xr:uid="{BD682666-B7FC-4B26-AFAE-2080FDA21063}"/>
    <cellStyle name="Normal 8 21 7 3" xfId="14539" xr:uid="{EC4FC1A3-5F02-47D7-8C47-FA4CEF4B6531}"/>
    <cellStyle name="Normal 8 21 7 5" xfId="14540" xr:uid="{36D668AD-DC10-4727-96D0-4003F85526D8}"/>
    <cellStyle name="Normal 8 21 8" xfId="14541" xr:uid="{7DDFE676-578C-463A-9286-03AC80A08DCF}"/>
    <cellStyle name="Normal 8 21 8 3" xfId="14542" xr:uid="{3D3FE48A-738E-447F-82F7-DCA04E4EF8F0}"/>
    <cellStyle name="Normal 8 21 8 5" xfId="14543" xr:uid="{23DBF27F-E30E-464B-912F-7FF63683708E}"/>
    <cellStyle name="Normal 8 21 8 6" xfId="14544" xr:uid="{3B2C194C-769A-4FDA-A6B8-B78A33A0F600}"/>
    <cellStyle name="Normal 8 22" xfId="14545" xr:uid="{A85C30B2-8EB6-4343-81EB-E97EC9F67731}"/>
    <cellStyle name="Normal 8 22 11" xfId="14546" xr:uid="{4B0801EA-3477-4E62-BB1B-C64A4A62BD3D}"/>
    <cellStyle name="Normal 8 22 12" xfId="14547" xr:uid="{555E6EE4-55C8-4B45-BFAB-173F1F9E3920}"/>
    <cellStyle name="Normal 8 22 13" xfId="14548" xr:uid="{D4FBA379-9B1C-4571-883F-BA28968B375E}"/>
    <cellStyle name="Normal 8 22 2" xfId="14549" xr:uid="{27672909-3C03-4B2F-8C7A-715DC2F11B32}"/>
    <cellStyle name="Normal 8 22 2 2" xfId="14550" xr:uid="{1C3642A9-2B1E-46FE-A7E8-B2E6CC82C58B}"/>
    <cellStyle name="Normal 8 22 2 3" xfId="14551" xr:uid="{FA00A968-F032-4A99-8157-30098D578EE9}"/>
    <cellStyle name="Normal 8 22 2 4" xfId="14552" xr:uid="{6CAB4221-04C7-456C-80FD-55FF0EB910B6}"/>
    <cellStyle name="Normal 8 22 2 5" xfId="14553" xr:uid="{A8EB48DE-80D1-41F7-A2EA-954DB88FC277}"/>
    <cellStyle name="Normal 8 22 3" xfId="14554" xr:uid="{C27606E7-C2E3-4564-B020-30586F7715A8}"/>
    <cellStyle name="Normal 8 22 3 2" xfId="14555" xr:uid="{00BF40EF-1B9A-4654-8A18-2CC3E9D9A50C}"/>
    <cellStyle name="Normal 8 22 3 3" xfId="14556" xr:uid="{AE95D179-F9CB-456B-BE8C-D35A26FD20F7}"/>
    <cellStyle name="Normal 8 22 3 4" xfId="14557" xr:uid="{CCF6D5AA-5389-4BA7-B82B-D96406D0773C}"/>
    <cellStyle name="Normal 8 22 3 6" xfId="14558" xr:uid="{BE6F7821-4A7C-4C69-93C4-F2F5348F1448}"/>
    <cellStyle name="Normal 8 22 4 2" xfId="14559" xr:uid="{869FF049-9087-4EF6-9F4E-6E1DEDB4DFAC}"/>
    <cellStyle name="Normal 8 22 4 4" xfId="14560" xr:uid="{6D7AFD79-C016-43EA-BB25-8C2924D9B6D5}"/>
    <cellStyle name="Normal 8 22 4 6" xfId="14561" xr:uid="{F7F9EB1F-D4F8-491A-A665-4B7238603107}"/>
    <cellStyle name="Normal 8 22 5 2" xfId="14562" xr:uid="{EB1D280E-AFA6-4BB2-B2DE-E208069BAC7C}"/>
    <cellStyle name="Normal 8 22 5 4" xfId="14563" xr:uid="{687C176F-90B7-4920-9F10-59C533313CB7}"/>
    <cellStyle name="Normal 8 22 5 6" xfId="14564" xr:uid="{FDC98D98-1428-433C-8BA2-A3943E361748}"/>
    <cellStyle name="Normal 8 22 6 2" xfId="14565" xr:uid="{E56E3DAE-FA37-431D-889E-D045E8E238AF}"/>
    <cellStyle name="Normal 8 22 6 4" xfId="14566" xr:uid="{87A88F69-4607-46F8-853B-DDA55DD04951}"/>
    <cellStyle name="Normal 8 22 6 6" xfId="14567" xr:uid="{D6D70C4A-6430-4B6A-B6A6-3EEE75AB1ED3}"/>
    <cellStyle name="Normal 8 22 7 2" xfId="14568" xr:uid="{CACC3EF0-2661-400D-AC4C-19790E0835B3}"/>
    <cellStyle name="Normal 8 22 7 4" xfId="14569" xr:uid="{48EB1BC2-961B-4CF7-939E-16F1B7D81EFE}"/>
    <cellStyle name="Normal 8 22 7 6" xfId="14570" xr:uid="{295CDA06-1D3E-4C01-A978-15133BD682BF}"/>
    <cellStyle name="Normal 8 22 8 2" xfId="14571" xr:uid="{F829E629-1281-4B46-8409-422943EF9F42}"/>
    <cellStyle name="Normal 8 22 8 4" xfId="14572" xr:uid="{3A454F8E-798D-4FB9-B15F-F83822399D16}"/>
    <cellStyle name="Normal 8 22 8 6" xfId="14573" xr:uid="{D1F4239D-DBBE-4417-93EB-D16841548BEA}"/>
    <cellStyle name="Normal 8 23" xfId="14574" xr:uid="{192E3293-ADEE-4F88-A279-057B9737BF98}"/>
    <cellStyle name="Normal 8 23 11" xfId="14575" xr:uid="{71548FA4-26ED-4609-B22C-D2DF9ABA7517}"/>
    <cellStyle name="Normal 8 23 13" xfId="14576" xr:uid="{6B2EBA3A-FE73-4733-8DBF-5E3CC7D131E9}"/>
    <cellStyle name="Normal 8 23 2 2" xfId="14577" xr:uid="{A77D369F-2DFA-4A43-98FB-91640E0B1D4C}"/>
    <cellStyle name="Normal 8 23 2 4" xfId="14578" xr:uid="{007D7158-7076-4EC4-900C-C54BCAD867AC}"/>
    <cellStyle name="Normal 8 23 2 6" xfId="14579" xr:uid="{83376AB0-C0E4-47BC-BE6F-25D61FDAC705}"/>
    <cellStyle name="Normal 8 23 3 2" xfId="14580" xr:uid="{285B5F74-C496-4D8A-A2FA-D501658AE698}"/>
    <cellStyle name="Normal 8 23 3 4" xfId="14581" xr:uid="{22B705C8-51E7-4484-90CB-9F030EB0C7E4}"/>
    <cellStyle name="Normal 8 23 3 6" xfId="14582" xr:uid="{D5B0C44A-E2A0-4B61-97A1-FE16291CF40B}"/>
    <cellStyle name="Normal 8 23 4 2" xfId="14583" xr:uid="{17316A46-A85C-4665-8E67-13AD47667F03}"/>
    <cellStyle name="Normal 8 23 4 4" xfId="14584" xr:uid="{B52A515D-015E-4952-BA65-C26B01BB13F0}"/>
    <cellStyle name="Normal 8 23 4 6" xfId="14585" xr:uid="{2C230A20-6183-458F-B291-1C5D868AD8D8}"/>
    <cellStyle name="Normal 8 23 5 2" xfId="14586" xr:uid="{269D25A7-35A6-452C-AFFC-05800209E6FE}"/>
    <cellStyle name="Normal 8 23 5 4" xfId="14587" xr:uid="{D53D9E14-618F-4602-9880-C5929CC071EC}"/>
    <cellStyle name="Normal 8 23 5 6" xfId="14588" xr:uid="{92EC3313-26B7-49DC-B709-D843BC64F0FD}"/>
    <cellStyle name="Normal 8 23 6 2" xfId="14589" xr:uid="{E9431C21-62BE-4C93-91B3-3FE326BD499F}"/>
    <cellStyle name="Normal 8 23 6 4" xfId="14590" xr:uid="{B2317111-70E4-49E3-B053-051772B2DA49}"/>
    <cellStyle name="Normal 8 23 6 6" xfId="14591" xr:uid="{080E5BD1-F49B-4827-A29F-1B4872C6FCBB}"/>
    <cellStyle name="Normal 8 23 7 2" xfId="14592" xr:uid="{9BCE965B-F6A4-429E-9CB8-893D0A5B5A49}"/>
    <cellStyle name="Normal 8 23 7 4" xfId="14593" xr:uid="{A90500B0-0BE8-4EBA-B45D-374C6A876953}"/>
    <cellStyle name="Normal 8 23 7 6" xfId="14594" xr:uid="{56AE5887-EEED-4151-8B45-5B81927ADB03}"/>
    <cellStyle name="Normal 8 23 8 2" xfId="14595" xr:uid="{68004F63-290A-4803-AEC5-27D2BD31596A}"/>
    <cellStyle name="Normal 8 23 8 4" xfId="14596" xr:uid="{DB0F0B99-193A-425C-9A13-94B2C525B65B}"/>
    <cellStyle name="Normal 8 23 8 6" xfId="14597" xr:uid="{34121F42-84DF-44F0-AD39-BA0839B9808F}"/>
    <cellStyle name="Normal 8 24" xfId="14598" xr:uid="{5AAF9360-6085-4AEA-B310-52EA65DC1CE1}"/>
    <cellStyle name="Normal 8 24 11" xfId="14599" xr:uid="{86671C84-6179-4C91-B22C-9F71F57F61DE}"/>
    <cellStyle name="Normal 8 24 13" xfId="14600" xr:uid="{11A6C99C-14D9-41EE-B0F5-61B039F67B3D}"/>
    <cellStyle name="Normal 8 24 2" xfId="14601" xr:uid="{BC38E8B5-EB88-43AE-A52E-264F1C78CFE3}"/>
    <cellStyle name="Normal 8 24 2 3" xfId="14602" xr:uid="{45103144-FB95-48F3-9951-CEA351FEF49E}"/>
    <cellStyle name="Normal 8 24 3" xfId="14603" xr:uid="{0B8805C5-0E0B-499A-A633-2EAF17F3F683}"/>
    <cellStyle name="Normal 8 24 3 3" xfId="14604" xr:uid="{9910BEB1-10C9-41A1-AA5B-7A882A782354}"/>
    <cellStyle name="Normal 8 24 3 4" xfId="14605" xr:uid="{7E797F99-579F-445D-94A6-1A468BBF49B6}"/>
    <cellStyle name="Normal 8 24 3 5" xfId="14606" xr:uid="{A7A39D03-63E7-42D7-904B-D573851D9921}"/>
    <cellStyle name="Normal 8 24 3 6" xfId="14607" xr:uid="{35BF9EC4-D98D-462D-9C1E-F38BA924B46F}"/>
    <cellStyle name="Normal 8 24 4" xfId="14608" xr:uid="{9478BAFD-C4A1-4369-B228-FE5E892A21D9}"/>
    <cellStyle name="Normal 8 24 4 2" xfId="14609" xr:uid="{43661BDF-34FB-484A-A3DD-91AAECAC2D74}"/>
    <cellStyle name="Normal 8 24 4 3" xfId="14610" xr:uid="{F03544EE-A6CA-4DCD-B2EA-6243CCEA0252}"/>
    <cellStyle name="Normal 8 24 4 4" xfId="14611" xr:uid="{CACD81B1-64F0-4185-B105-1BFE7650FC3C}"/>
    <cellStyle name="Normal 8 24 4 6" xfId="14612" xr:uid="{8C8DC49D-5275-4AE2-85DB-35514C3241B2}"/>
    <cellStyle name="Normal 8 24 5" xfId="14613" xr:uid="{7AE66C0C-EE91-40BC-B440-53D81A252005}"/>
    <cellStyle name="Normal 8 24 5 2" xfId="14614" xr:uid="{C3AA3A9F-077D-49DF-A04A-64F14C6FFE6F}"/>
    <cellStyle name="Normal 8 24 5 4" xfId="14615" xr:uid="{A7665960-529E-4554-9216-BBCABBBA7EF9}"/>
    <cellStyle name="Normal 8 24 5 6" xfId="14616" xr:uid="{ACB09728-2940-41D7-9409-F42824DF93C6}"/>
    <cellStyle name="Normal 8 24 6 2" xfId="14617" xr:uid="{A373AD5F-5EA5-4F79-A53B-9934C9445FC3}"/>
    <cellStyle name="Normal 8 24 6 4" xfId="14618" xr:uid="{DE7E0AAD-3725-477A-8CFA-1CBAED54006D}"/>
    <cellStyle name="Normal 8 24 6 6" xfId="14619" xr:uid="{972DCD36-A69D-4EC5-9EDE-C479254E5492}"/>
    <cellStyle name="Normal 8 24 7 2" xfId="14620" xr:uid="{6717C59D-A0C5-4204-9A11-2152053985B8}"/>
    <cellStyle name="Normal 8 24 7 4" xfId="14621" xr:uid="{BE5CE7AA-12A2-4EB6-87C5-C3BA3EC5F451}"/>
    <cellStyle name="Normal 8 24 7 6" xfId="14622" xr:uid="{08F6411F-FA73-45EB-8302-4732F8EEA791}"/>
    <cellStyle name="Normal 8 24 8 2" xfId="14623" xr:uid="{74320A64-E3F4-4C04-AD2A-0BB99BD2F735}"/>
    <cellStyle name="Normal 8 24 8 4" xfId="14624" xr:uid="{B5AF78C0-A61D-433F-8045-064BDE746F8C}"/>
    <cellStyle name="Normal 8 24 8 6" xfId="14625" xr:uid="{33C6D6C8-249E-492D-8475-0BAC6D15DD28}"/>
    <cellStyle name="Normal 8 25" xfId="14626" xr:uid="{6A199F22-A399-482B-8431-58A7D5AF4B49}"/>
    <cellStyle name="Normal 8 25 11" xfId="14627" xr:uid="{3155C97D-376F-4F90-BC01-A91C2DEE3B89}"/>
    <cellStyle name="Normal 8 25 13" xfId="14628" xr:uid="{D48A8B19-4B36-46F8-8129-1C838CDE7072}"/>
    <cellStyle name="Normal 8 25 2 2" xfId="14629" xr:uid="{F718CBD7-25AA-4941-AD58-BDA7B6F41D8D}"/>
    <cellStyle name="Normal 8 25 2 4" xfId="14630" xr:uid="{B71F688C-8EFE-420B-BC6A-B6590FB74C42}"/>
    <cellStyle name="Normal 8 25 2 6" xfId="14631" xr:uid="{CB815C5A-1287-48FF-A3ED-F1C7E7342540}"/>
    <cellStyle name="Normal 8 25 3 2" xfId="14632" xr:uid="{41082609-6CF5-4F18-9994-71032209B8F4}"/>
    <cellStyle name="Normal 8 25 3 4" xfId="14633" xr:uid="{C5A8F446-49BC-49C1-BDBC-456F046274A3}"/>
    <cellStyle name="Normal 8 25 3 6" xfId="14634" xr:uid="{B7F168C0-1E5C-4F2B-8CFA-339C71A2906D}"/>
    <cellStyle name="Normal 8 25 4 2" xfId="14635" xr:uid="{6DB98C24-E3EE-42A6-8D0A-7BB518454DE7}"/>
    <cellStyle name="Normal 8 25 4 4" xfId="14636" xr:uid="{FDD61F31-DBE4-4C3A-8CB0-8E2A9118CB7A}"/>
    <cellStyle name="Normal 8 25 4 6" xfId="14637" xr:uid="{0D13110B-629A-4FE7-8A05-F9580C23943A}"/>
    <cellStyle name="Normal 8 25 5 2" xfId="14638" xr:uid="{74E8BED9-FAB6-4C73-866A-E7B03410F5CC}"/>
    <cellStyle name="Normal 8 25 5 4" xfId="14639" xr:uid="{001F3E2E-36DD-44CE-90D6-68E665BCE110}"/>
    <cellStyle name="Normal 8 25 5 6" xfId="14640" xr:uid="{5F5EA134-78D8-45F8-910C-C0EE0E10197A}"/>
    <cellStyle name="Normal 8 25 6 2" xfId="14641" xr:uid="{23C6FDE5-085B-4A06-A87E-7711FB36018E}"/>
    <cellStyle name="Normal 8 25 6 4" xfId="14642" xr:uid="{A4E7DCDE-58F6-4903-B2A9-B7ED7D84350B}"/>
    <cellStyle name="Normal 8 25 6 6" xfId="14643" xr:uid="{F75AAB0F-1EF1-46D7-9F9E-07AE1AE034A0}"/>
    <cellStyle name="Normal 8 25 7 2" xfId="14644" xr:uid="{561A8CD3-6B15-4B5C-9E73-C6F4DE922D9E}"/>
    <cellStyle name="Normal 8 25 7 4" xfId="14645" xr:uid="{D7C399C6-A431-472F-8DF2-8FB9082AA7D0}"/>
    <cellStyle name="Normal 8 25 7 6" xfId="14646" xr:uid="{A93911A1-3391-413C-AE84-9B2498D73EF9}"/>
    <cellStyle name="Normal 8 25 8 2" xfId="14647" xr:uid="{9B9729AF-A25A-4786-A704-24BCD6B52110}"/>
    <cellStyle name="Normal 8 25 8 4" xfId="14648" xr:uid="{B7D1E43E-35DB-4B7D-9248-8F38DA5A5B39}"/>
    <cellStyle name="Normal 8 25 8 6" xfId="14649" xr:uid="{D942E98C-3490-40D8-91FB-33860CE2E209}"/>
    <cellStyle name="Normal 8 26" xfId="14650" xr:uid="{94E242E9-861B-4ED5-839A-791FAA86631C}"/>
    <cellStyle name="Normal 8 26 11" xfId="14651" xr:uid="{61846890-0701-438D-81A4-036E838F4B4F}"/>
    <cellStyle name="Normal 8 26 13" xfId="14652" xr:uid="{055D53E5-9AA5-4194-B761-FF1A35E1294E}"/>
    <cellStyle name="Normal 8 26 2 2" xfId="14653" xr:uid="{E3D7ABA5-8652-440D-8212-CC21BCAD93DB}"/>
    <cellStyle name="Normal 8 26 2 4" xfId="14654" xr:uid="{ACF365AC-2A5C-4803-B55A-58224CB84061}"/>
    <cellStyle name="Normal 8 26 2 6" xfId="14655" xr:uid="{840845A7-290D-44EF-A89B-BFED43E73E74}"/>
    <cellStyle name="Normal 8 26 3 2" xfId="14656" xr:uid="{746C8A95-984B-4ACB-8B7C-E54D6536105D}"/>
    <cellStyle name="Normal 8 26 3 4" xfId="14657" xr:uid="{8645FA70-BA48-47C6-A5CD-A1E06DF90F2F}"/>
    <cellStyle name="Normal 8 26 3 6" xfId="14658" xr:uid="{60C29F70-9E33-4A9B-989F-D38F87404FA1}"/>
    <cellStyle name="Normal 8 26 4 2" xfId="14659" xr:uid="{511E747E-997C-42C6-99B5-450FFE17210E}"/>
    <cellStyle name="Normal 8 26 4 4" xfId="14660" xr:uid="{B9079B43-439D-4917-8F90-399AEDF22E12}"/>
    <cellStyle name="Normal 8 26 4 6" xfId="14661" xr:uid="{655414DE-3C07-4B06-9A77-7FB1BEDCEF59}"/>
    <cellStyle name="Normal 8 26 5" xfId="14662" xr:uid="{FC69B829-C8AC-432D-B8D1-778A15862306}"/>
    <cellStyle name="Normal 8 26 5 3" xfId="14663" xr:uid="{546FB311-6756-4394-B4A3-BAD3928BBF5C}"/>
    <cellStyle name="Normal 8 26 5 5" xfId="14664" xr:uid="{1C19E422-6BB8-425F-B3D8-EC8F54661103}"/>
    <cellStyle name="Normal 8 26 6" xfId="14665" xr:uid="{347375EB-4AB7-45B7-B2E5-F48433A64741}"/>
    <cellStyle name="Normal 8 26 6 3" xfId="14666" xr:uid="{5F000F70-EFE0-4AB9-8560-DC4DD0B5DC08}"/>
    <cellStyle name="Normal 8 26 6 5" xfId="14667" xr:uid="{01A1F2F3-FB43-4A72-A76E-DC7BA1AFC408}"/>
    <cellStyle name="Normal 8 26 7" xfId="14668" xr:uid="{2200444D-1E0D-4893-9BED-4460EE2A0C4B}"/>
    <cellStyle name="Normal 8 26 7 3" xfId="14669" xr:uid="{F034DEB3-8EAA-4BC7-8B56-3361E360E4C9}"/>
    <cellStyle name="Normal 8 26 7 5" xfId="14670" xr:uid="{F8E7C907-1593-4EE3-91DE-1B869080FD07}"/>
    <cellStyle name="Normal 8 26 8" xfId="14671" xr:uid="{87F96F08-E434-405F-9B6A-2366318C6EC2}"/>
    <cellStyle name="Normal 8 26 8 3" xfId="14672" xr:uid="{DF3C6E3A-1F93-4E3F-A81D-FA6B14AB0365}"/>
    <cellStyle name="Normal 8 26 8 5" xfId="14673" xr:uid="{67060FC5-7833-47AF-909F-AF5342A526C2}"/>
    <cellStyle name="Normal 8 26 9" xfId="14674" xr:uid="{F37FA87B-C689-4467-B305-A1FCCA27738F}"/>
    <cellStyle name="Normal 8 27 10" xfId="14675" xr:uid="{194FD056-FE32-492D-AADF-E9BD6A61D838}"/>
    <cellStyle name="Normal 8 27 12" xfId="14676" xr:uid="{0B1194FE-24B1-4624-A680-0698C18E4661}"/>
    <cellStyle name="Normal 8 27 2" xfId="14677" xr:uid="{41A5312D-396D-4F7A-A3B2-2731B5EC8606}"/>
    <cellStyle name="Normal 8 27 2 3" xfId="14678" xr:uid="{3D974CDE-48BA-4467-B3BB-A56AA088F770}"/>
    <cellStyle name="Normal 8 27 2 5" xfId="14679" xr:uid="{F808AE43-3223-460D-AB27-C49857B54EAF}"/>
    <cellStyle name="Normal 8 27 3" xfId="14680" xr:uid="{23E744A4-6AF2-41BE-97A6-B2115DF73072}"/>
    <cellStyle name="Normal 8 27 3 3" xfId="14681" xr:uid="{E0C25A8B-9CD1-4061-B701-C18D456E717E}"/>
    <cellStyle name="Normal 8 27 3 5" xfId="14682" xr:uid="{94C42992-6C68-4AE3-A62C-28879ECFA05B}"/>
    <cellStyle name="Normal 8 27 4" xfId="14683" xr:uid="{A66BC985-48BB-4C39-B88A-D111CE16E1DE}"/>
    <cellStyle name="Normal 8 27 4 3" xfId="14684" xr:uid="{F6703645-AD31-4233-94FA-0E1D6C8B354D}"/>
    <cellStyle name="Normal 8 27 4 5" xfId="14685" xr:uid="{93896BF9-B9B4-4DAB-83E6-B7ED302E22E7}"/>
    <cellStyle name="Normal 8 27 5" xfId="14686" xr:uid="{E7B3D7A4-4209-4CC5-BA68-0D997DFC2471}"/>
    <cellStyle name="Normal 8 27 5 3" xfId="14687" xr:uid="{83958B12-938B-4215-BC76-3FD64AE1DC1F}"/>
    <cellStyle name="Normal 8 27 5 5" xfId="14688" xr:uid="{32A779DF-3678-480D-AFAA-E7312D4DA444}"/>
    <cellStyle name="Normal 8 27 6" xfId="14689" xr:uid="{B31F035F-E45D-4A3D-AA87-B061BF00D385}"/>
    <cellStyle name="Normal 8 27 6 3" xfId="14690" xr:uid="{0D21850D-7A87-4943-AE09-1FAB43749692}"/>
    <cellStyle name="Normal 8 27 6 5" xfId="14691" xr:uid="{6DD5D639-1131-44D3-9E8F-47A62621B04A}"/>
    <cellStyle name="Normal 8 27 7" xfId="14692" xr:uid="{F8CEF6B9-EEDA-477D-8BA7-7FB2D8AC8FF4}"/>
    <cellStyle name="Normal 8 27 7 3" xfId="14693" xr:uid="{E87C90DB-C0B7-48E6-A871-B3AF52447366}"/>
    <cellStyle name="Normal 8 27 7 5" xfId="14694" xr:uid="{DF4B2D5A-1515-4C7A-8E49-873BD219B44A}"/>
    <cellStyle name="Normal 8 27 8" xfId="14695" xr:uid="{06080D5F-A03A-4BBF-89D5-6A5CF6D13BF7}"/>
    <cellStyle name="Normal 8 27 8 3" xfId="14696" xr:uid="{90A2C79A-5439-4FBC-B3B0-0F9E00853C8B}"/>
    <cellStyle name="Normal 8 27 8 5" xfId="14697" xr:uid="{ACC11E86-3B67-496D-9109-C4E4F738AF94}"/>
    <cellStyle name="Normal 8 27 9" xfId="14698" xr:uid="{A26A1F9E-B51B-470B-93E9-768E83CB239D}"/>
    <cellStyle name="Normal 8 28 10" xfId="14699" xr:uid="{F842B3E4-0767-4173-92CE-A74C57097F88}"/>
    <cellStyle name="Normal 8 28 12" xfId="14700" xr:uid="{E06410AA-A70D-4BF4-B4FE-AAD3281BB6E4}"/>
    <cellStyle name="Normal 8 28 2" xfId="14701" xr:uid="{6B473392-9527-4545-82D3-3573F9627470}"/>
    <cellStyle name="Normal 8 28 2 3" xfId="14702" xr:uid="{E30658B6-9479-4A0F-8BA2-870DA1752D47}"/>
    <cellStyle name="Normal 8 28 2 5" xfId="14703" xr:uid="{01CBF4AD-B283-49CC-A369-683369C8FA1E}"/>
    <cellStyle name="Normal 8 28 3" xfId="14704" xr:uid="{FF688A98-70B1-4D8A-B35D-7CD17FC71012}"/>
    <cellStyle name="Normal 8 28 3 3" xfId="14705" xr:uid="{E22C8D23-D822-419A-9E61-D1CC7EA74441}"/>
    <cellStyle name="Normal 8 28 3 5" xfId="14706" xr:uid="{FBFFFAB5-2158-4F96-81DB-F41D60D61731}"/>
    <cellStyle name="Normal 8 28 4" xfId="14707" xr:uid="{13C53EB4-356B-40AE-8FDC-D10790C28325}"/>
    <cellStyle name="Normal 8 28 4 3" xfId="14708" xr:uid="{59DE0C76-847C-4F12-B1C2-E7C315545DBF}"/>
    <cellStyle name="Normal 8 28 4 5" xfId="14709" xr:uid="{4A26F055-BA42-4B14-9BB8-709E2A5D50D2}"/>
    <cellStyle name="Normal 8 28 4 6" xfId="14710" xr:uid="{D8DA5351-ED62-4BF5-9255-F8D6619D1C15}"/>
    <cellStyle name="Normal 8 28 5" xfId="14711" xr:uid="{C490341F-4879-4005-B20F-B8BC44291C78}"/>
    <cellStyle name="Normal 8 28 5 2" xfId="14712" xr:uid="{BB617B7F-6126-494C-9B46-C75E1CE027E8}"/>
    <cellStyle name="Normal 8 28 5 3" xfId="14713" xr:uid="{41CEBB91-9E99-4D1F-85B2-88631FF0A5AE}"/>
    <cellStyle name="Normal 8 28 5 4" xfId="14714" xr:uid="{C0AA98F3-ECB4-46AB-B599-A5AA28872ABC}"/>
    <cellStyle name="Normal 8 28 5 6" xfId="14715" xr:uid="{15AA601D-4646-4F2A-8F99-FBFD37FCE365}"/>
    <cellStyle name="Normal 8 28 6" xfId="14716" xr:uid="{297BABC4-42E2-471A-9DD9-4D9FD9068591}"/>
    <cellStyle name="Normal 8 28 6 2" xfId="14717" xr:uid="{9CB5B391-BAA6-4054-900C-5FC18F5BF4C7}"/>
    <cellStyle name="Normal 8 28 6 3" xfId="14718" xr:uid="{DFB2C96F-6F35-4121-A58D-55A381DEFD95}"/>
    <cellStyle name="Normal 8 28 6 4" xfId="14719" xr:uid="{E754733C-A0DF-4867-9FAE-56F7F969F609}"/>
    <cellStyle name="Normal 8 28 6 5" xfId="14720" xr:uid="{F1296459-44E1-42EF-9E70-CEE776DA3973}"/>
    <cellStyle name="Normal 8 28 7" xfId="14721" xr:uid="{A4BA6AA0-E8FB-4CA1-95F9-190E97CADB31}"/>
    <cellStyle name="Normal 8 28 7 3" xfId="14722" xr:uid="{5E2AECF4-C9CA-40D2-93B3-53B36032F8DD}"/>
    <cellStyle name="Normal 8 28 7 5" xfId="14723" xr:uid="{CE2789ED-2231-44D6-BF51-484257A1EEA9}"/>
    <cellStyle name="Normal 8 28 8" xfId="14724" xr:uid="{0C700130-192E-4A3D-BDA7-F52FBAD3E78D}"/>
    <cellStyle name="Normal 8 28 8 3" xfId="14725" xr:uid="{3E2AF4EE-E54D-4F41-B851-51D9D6D52FC9}"/>
    <cellStyle name="Normal 8 28 8 5" xfId="14726" xr:uid="{390F641A-56C6-4CF7-BD6A-3056030EE2B8}"/>
    <cellStyle name="Normal 8 28 9" xfId="14727" xr:uid="{AC977646-8A1A-4269-9435-72102673BD18}"/>
    <cellStyle name="Normal 8 29 10" xfId="14728" xr:uid="{A72A53F4-74C5-410E-B619-F1748253DF3D}"/>
    <cellStyle name="Normal 8 29 12" xfId="14729" xr:uid="{35BA018F-BB75-4351-B4A2-E50DC54C2DEB}"/>
    <cellStyle name="Normal 8 29 2" xfId="14730" xr:uid="{73FE550B-6465-4944-8A23-DF7277B125E5}"/>
    <cellStyle name="Normal 8 29 2 3" xfId="14731" xr:uid="{6B4D14DC-D85B-43FD-8D80-5B4A18C89ED9}"/>
    <cellStyle name="Normal 8 29 2 5" xfId="14732" xr:uid="{C5A6883D-87D0-4431-9F41-AFD0CE1CC280}"/>
    <cellStyle name="Normal 8 29 3" xfId="14733" xr:uid="{9C6EACF0-F3EB-45B4-B66A-3CEBCC64DDD7}"/>
    <cellStyle name="Normal 8 29 3 3" xfId="14734" xr:uid="{E265F132-8420-4525-9A98-348C69C8079B}"/>
    <cellStyle name="Normal 8 29 3 5" xfId="14735" xr:uid="{8369811A-9AA9-4ADA-A2FD-302F1FFF662D}"/>
    <cellStyle name="Normal 8 29 4" xfId="14736" xr:uid="{E6AD50F4-A4C3-4A22-9DCC-F82C16374869}"/>
    <cellStyle name="Normal 8 29 4 3" xfId="14737" xr:uid="{D0FED568-F91A-4AE0-BC64-8E8BEA3CF06B}"/>
    <cellStyle name="Normal 8 29 4 5" xfId="14738" xr:uid="{C1A90EA2-2B7C-4D9C-BD7C-ECA9B57F930E}"/>
    <cellStyle name="Normal 8 29 5" xfId="14739" xr:uid="{C50131C5-D2A0-4DD4-8939-4FCAB764A536}"/>
    <cellStyle name="Normal 8 29 5 3" xfId="14740" xr:uid="{8F32C518-190C-4680-8FFC-6AAFA12C975B}"/>
    <cellStyle name="Normal 8 29 5 5" xfId="14741" xr:uid="{FF477D42-26FE-428B-BDF9-69728FE4F042}"/>
    <cellStyle name="Normal 8 29 6" xfId="14742" xr:uid="{AB30E4AD-ACD4-4FD0-9931-2C55642E129D}"/>
    <cellStyle name="Normal 8 29 6 3" xfId="14743" xr:uid="{18ADC364-6003-43C9-9852-6E58A99846D8}"/>
    <cellStyle name="Normal 8 29 6 5" xfId="14744" xr:uid="{4DC02A04-1063-49A3-8C7E-596E94FB08E4}"/>
    <cellStyle name="Normal 8 29 7" xfId="14745" xr:uid="{4CFB8A61-FFD1-47F2-8E5A-E7F236C39A50}"/>
    <cellStyle name="Normal 8 29 7 3" xfId="14746" xr:uid="{034F900E-1C89-4592-88CE-1B961993361D}"/>
    <cellStyle name="Normal 8 29 7 5" xfId="14747" xr:uid="{AB9F577F-8431-4EAC-9757-75CC8B8B430D}"/>
    <cellStyle name="Normal 8 29 8" xfId="14748" xr:uid="{96B29FB3-488D-46E8-AAB3-B180AC108050}"/>
    <cellStyle name="Normal 8 29 8 3" xfId="14749" xr:uid="{3437B814-2A55-4D18-B124-265011BC9E9D}"/>
    <cellStyle name="Normal 8 29 8 5" xfId="14750" xr:uid="{27AA9273-4CB5-4A4D-A8E0-0E45CE848C6D}"/>
    <cellStyle name="Normal 8 29 9" xfId="14751" xr:uid="{188528D1-86D9-4004-A3AF-4171E5389CBB}"/>
    <cellStyle name="Normal 8 3 10" xfId="14752" xr:uid="{9C319DC9-F4C6-4621-9A09-64A79F94E60B}"/>
    <cellStyle name="Normal 8 3 12" xfId="14753" xr:uid="{E6E5BE42-51FB-4A9E-8605-55AED70FE1E8}"/>
    <cellStyle name="Normal 8 3 14" xfId="14754" xr:uid="{5758F6DC-C852-4D80-B606-7C68098A9562}"/>
    <cellStyle name="Normal 8 3 2 2" xfId="14755" xr:uid="{95D7C261-2508-446B-84ED-1CD8DBC63F8A}"/>
    <cellStyle name="Normal 8 3 2 4" xfId="14756" xr:uid="{187A9749-8C80-40C7-861C-F4CABABA5146}"/>
    <cellStyle name="Normal 8 3 2 6" xfId="14757" xr:uid="{23B41804-A357-4137-8106-95F61E15A67B}"/>
    <cellStyle name="Normal 8 3 3 2" xfId="14758" xr:uid="{CCFCD3C3-ED8D-48E9-A541-7A2BB084A7A1}"/>
    <cellStyle name="Normal 8 3 3 4" xfId="14759" xr:uid="{7DC21036-DDC0-4929-B2D3-99BBE2B8842E}"/>
    <cellStyle name="Normal 8 3 3 6" xfId="14760" xr:uid="{5773610E-F3FD-491F-B417-852014DAF359}"/>
    <cellStyle name="Normal 8 3 4 2" xfId="14761" xr:uid="{9DBF6282-A021-4B7D-B731-5521B9EA4EF4}"/>
    <cellStyle name="Normal 8 3 4 4" xfId="14762" xr:uid="{1C846D94-FB52-4CB0-B35A-842438B045D3}"/>
    <cellStyle name="Normal 8 3 4 6" xfId="14763" xr:uid="{7776480B-AD31-4CC6-A373-ED24B0D03B24}"/>
    <cellStyle name="Normal 8 3 5 2" xfId="14764" xr:uid="{E518A5F9-0B11-48BB-A558-15DAEA829650}"/>
    <cellStyle name="Normal 8 3 5 4" xfId="14765" xr:uid="{0DA39479-750D-4F56-8277-FC30167894BB}"/>
    <cellStyle name="Normal 8 3 5 6" xfId="14766" xr:uid="{FE757DFF-6189-4EE4-BE10-A4F34A2CDAFC}"/>
    <cellStyle name="Normal 8 3 6 2" xfId="14767" xr:uid="{C02B0122-4E6D-495B-984F-6FC1E02A7EC7}"/>
    <cellStyle name="Normal 8 3 6 4" xfId="14768" xr:uid="{5C4B15C9-5607-4F41-812B-6E6F705B2D6E}"/>
    <cellStyle name="Normal 8 3 6 5" xfId="14769" xr:uid="{FDE78816-C82C-4960-BF62-DF87AD0509A6}"/>
    <cellStyle name="Normal 8 3 6 6" xfId="14770" xr:uid="{588CB99A-6C76-4446-B7F1-B1528CC5CB4E}"/>
    <cellStyle name="Normal 8 3 7 2" xfId="14771" xr:uid="{9AD4AB57-CC59-41C3-9D1E-1D80797D3264}"/>
    <cellStyle name="Normal 8 3 7 4" xfId="14772" xr:uid="{4D1D5A16-8193-43AE-BFA4-044F45DEA431}"/>
    <cellStyle name="Normal 8 3 7 6" xfId="14773" xr:uid="{8ACF5D0D-881E-4CFF-82DE-EF79FE1FEF9B}"/>
    <cellStyle name="Normal 8 3 8 2" xfId="14774" xr:uid="{F8EE03A9-1DEA-4086-8CD1-E3194856C8BF}"/>
    <cellStyle name="Normal 8 3 8 4" xfId="14775" xr:uid="{C8EF93B8-BD71-4183-BE24-092659903AD5}"/>
    <cellStyle name="Normal 8 3 8 6" xfId="14776" xr:uid="{3321CC88-1F0B-497F-9C38-57EADEE5230F}"/>
    <cellStyle name="Normal 8 30" xfId="14777" xr:uid="{A89F0171-CBD5-4E7E-917F-1E212D5B2502}"/>
    <cellStyle name="Normal 8 30 11" xfId="14778" xr:uid="{DD4E34E8-F119-429E-9F33-9130794FBC2F}"/>
    <cellStyle name="Normal 8 30 13" xfId="14779" xr:uid="{A75F6828-2C98-4CE5-8B32-0599BC8F0BF7}"/>
    <cellStyle name="Normal 8 30 2 2" xfId="14780" xr:uid="{C45F4958-A156-48E2-99FB-DDFF5C1D7640}"/>
    <cellStyle name="Normal 8 30 2 4" xfId="14781" xr:uid="{0E120E0E-4C09-4594-9DCF-BE5F8387E953}"/>
    <cellStyle name="Normal 8 30 2 6" xfId="14782" xr:uid="{D319F4E0-42E9-4658-BA74-8582755A0912}"/>
    <cellStyle name="Normal 8 30 3 2" xfId="14783" xr:uid="{B43EAD68-6616-4322-9B6B-9A4CDA0F6386}"/>
    <cellStyle name="Normal 8 30 3 4" xfId="14784" xr:uid="{55CB51A4-3DFB-41B1-BC5C-4CEC41608FAB}"/>
    <cellStyle name="Normal 8 30 3 6" xfId="14785" xr:uid="{99BEDD20-174F-4F5C-853F-4932222A9AB0}"/>
    <cellStyle name="Normal 8 30 4 2" xfId="14786" xr:uid="{75922530-9E2E-4B1B-A315-1F97F7B0E369}"/>
    <cellStyle name="Normal 8 30 4 4" xfId="14787" xr:uid="{3F0B4D3E-7412-478B-8FDE-68E3FDCAAB79}"/>
    <cellStyle name="Normal 8 30 4 6" xfId="14788" xr:uid="{AFF793AC-657D-43AA-8AB1-9670D30EE944}"/>
    <cellStyle name="Normal 8 30 5 2" xfId="14789" xr:uid="{CF51B908-F835-4F47-841F-9E0669A2D690}"/>
    <cellStyle name="Normal 8 30 5 4" xfId="14790" xr:uid="{2D064F94-34F1-4B44-88F7-070B67910591}"/>
    <cellStyle name="Normal 8 30 5 6" xfId="14791" xr:uid="{5D2DF299-9B9C-42EB-8C83-36C45CA463EA}"/>
    <cellStyle name="Normal 8 30 6 2" xfId="14792" xr:uid="{66C54D09-DA2A-4806-BA6F-ABBA5C6403CE}"/>
    <cellStyle name="Normal 8 30 6 4" xfId="14793" xr:uid="{41A581E4-1E45-4E0F-959E-496B2C1E7396}"/>
    <cellStyle name="Normal 8 30 6 6" xfId="14794" xr:uid="{87A5ACFE-1291-4B64-86D7-4B89131386A3}"/>
    <cellStyle name="Normal 8 30 7 2" xfId="14795" xr:uid="{8F4153E3-DC39-464D-914F-709E925F0D21}"/>
    <cellStyle name="Normal 8 30 7 4" xfId="14796" xr:uid="{E534BE47-456E-4194-B9A0-1BEE6F814046}"/>
    <cellStyle name="Normal 8 30 7 6" xfId="14797" xr:uid="{559BF258-EB8B-4282-85F7-7A82F401BB26}"/>
    <cellStyle name="Normal 8 30 8 2" xfId="14798" xr:uid="{5211C0FF-B05F-4A5E-A250-66131108C69A}"/>
    <cellStyle name="Normal 8 30 8 4" xfId="14799" xr:uid="{3789E620-4B23-430F-85F8-109E2DE46EBC}"/>
    <cellStyle name="Normal 8 30 8 6" xfId="14800" xr:uid="{AC36CE18-2ABC-4E21-97C9-6DF25BD3D19D}"/>
    <cellStyle name="Normal 8 31" xfId="14801" xr:uid="{05CA4D17-F692-4ED8-B8E9-754075F5C990}"/>
    <cellStyle name="Normal 8 31 11" xfId="14802" xr:uid="{1073594E-6635-4F0B-B00D-571AB458B192}"/>
    <cellStyle name="Normal 8 31 13" xfId="14803" xr:uid="{46191A92-F590-40CA-ACFC-968F52FAD6D1}"/>
    <cellStyle name="Normal 8 31 2 2" xfId="14804" xr:uid="{97ABA323-6C80-4692-AF8B-D9FA73DB66F2}"/>
    <cellStyle name="Normal 8 31 2 4" xfId="14805" xr:uid="{27B5F0B7-7EBA-4CE4-B3F8-558E7E95E278}"/>
    <cellStyle name="Normal 8 31 2 6" xfId="14806" xr:uid="{5EFC0A50-6323-423E-9354-34C63ED03B50}"/>
    <cellStyle name="Normal 8 31 3 2" xfId="14807" xr:uid="{F8EBC9B5-1F89-4742-80C9-52D9EE4929E1}"/>
    <cellStyle name="Normal 8 31 3 4" xfId="14808" xr:uid="{0AB60668-E446-448F-95FE-943EA86461D5}"/>
    <cellStyle name="Normal 8 31 3 6" xfId="14809" xr:uid="{A32037A5-5ADD-428A-B246-79F319D516BC}"/>
    <cellStyle name="Normal 8 31 4 2" xfId="14810" xr:uid="{6B41F6BA-088A-469A-9C5B-CA427B804B48}"/>
    <cellStyle name="Normal 8 31 4 4" xfId="14811" xr:uid="{D7CA2A10-FF96-4B32-9CC0-BEB7D22A7956}"/>
    <cellStyle name="Normal 8 31 4 6" xfId="14812" xr:uid="{762DF03D-E5C5-4072-86C1-7092365F9F3B}"/>
    <cellStyle name="Normal 8 31 5 2" xfId="14813" xr:uid="{D3C2F4E0-2C44-45C4-8C43-548E46FB8FDB}"/>
    <cellStyle name="Normal 8 31 5 4" xfId="14814" xr:uid="{115F4008-AFA8-49F1-A6FA-54383B11C69D}"/>
    <cellStyle name="Normal 8 31 5 6" xfId="14815" xr:uid="{2BEBCB73-6865-4FC3-B859-A679D9E8C68A}"/>
    <cellStyle name="Normal 8 31 6 2" xfId="14816" xr:uid="{FF42B2BE-A542-412D-B231-2EE37178BDEC}"/>
    <cellStyle name="Normal 8 31 6 4" xfId="14817" xr:uid="{8B0E5BB0-30C5-4E3A-B353-CF426B7AB6B7}"/>
    <cellStyle name="Normal 8 31 6 6" xfId="14818" xr:uid="{B9D846AB-D149-4D86-8A13-5AB21FCF6AA9}"/>
    <cellStyle name="Normal 8 31 7 2" xfId="14819" xr:uid="{6A0C6FEC-C6AA-4C38-8988-5A7F1F153995}"/>
    <cellStyle name="Normal 8 31 7 4" xfId="14820" xr:uid="{ACF15A4B-41E8-4C75-9AE9-8B692D94C30B}"/>
    <cellStyle name="Normal 8 31 7 6" xfId="14821" xr:uid="{24F38056-042C-4A05-917E-B2B851C53AAE}"/>
    <cellStyle name="Normal 8 31 8 2" xfId="14822" xr:uid="{CD0AD02E-ABC2-4BCB-8A63-1A7E0DF19205}"/>
    <cellStyle name="Normal 8 31 8 6" xfId="14823" xr:uid="{EBDE1D7D-8626-4F1A-BC96-0A94DC721A40}"/>
    <cellStyle name="Normal 8 32" xfId="14824" xr:uid="{1A44069F-78A8-4147-97B7-3635974B7315}"/>
    <cellStyle name="Normal 8 32 11" xfId="14825" xr:uid="{B3ED90AC-22DB-4A9B-80A2-65848D19C638}"/>
    <cellStyle name="Normal 8 32 13" xfId="14826" xr:uid="{69215B4B-D538-4BD5-8CB7-9CB27A5C8774}"/>
    <cellStyle name="Normal 8 32 2 2" xfId="14827" xr:uid="{90BB0C4D-98CF-4DBE-880F-D0BDFD113C59}"/>
    <cellStyle name="Normal 8 32 2 4" xfId="14828" xr:uid="{F7DAC110-C183-4C0D-862C-EFEEF7457457}"/>
    <cellStyle name="Normal 8 32 2 6" xfId="14829" xr:uid="{905C689E-849F-4A5F-B626-E8AEC65825C2}"/>
    <cellStyle name="Normal 8 32 3 2" xfId="14830" xr:uid="{E446DB45-4E03-43F3-BDFC-A1AF7DCDFA8D}"/>
    <cellStyle name="Normal 8 32 3 4" xfId="14831" xr:uid="{9009C5D5-0ECE-44F5-9480-18BA211F3656}"/>
    <cellStyle name="Normal 8 32 3 6" xfId="14832" xr:uid="{49AA5C5B-6DDD-4A0D-BF55-D16496879F17}"/>
    <cellStyle name="Normal 8 32 4 2" xfId="14833" xr:uid="{68CA5233-98D9-4D84-AB21-5B29ED2990B7}"/>
    <cellStyle name="Normal 8 32 4 4" xfId="14834" xr:uid="{3D4A7645-33DC-4497-9A76-D45DED69C2CB}"/>
    <cellStyle name="Normal 8 32 4 6" xfId="14835" xr:uid="{4EC22747-F25D-48B9-9CE0-EAC00BCD9C31}"/>
    <cellStyle name="Normal 8 32 5 2" xfId="14836" xr:uid="{3C35611A-CE75-4B2F-803B-B528EF5E992A}"/>
    <cellStyle name="Normal 8 32 5 4" xfId="14837" xr:uid="{760C14DF-447D-4E82-AA15-AA4F41349853}"/>
    <cellStyle name="Normal 8 32 5 6" xfId="14838" xr:uid="{340006B7-3FEC-4907-B8B2-BE3233EB5822}"/>
    <cellStyle name="Normal 8 32 6 2" xfId="14839" xr:uid="{AD772C28-A978-48F9-821C-060F2ACEB558}"/>
    <cellStyle name="Normal 8 32 6 4" xfId="14840" xr:uid="{22DCAB68-D344-45C5-89BC-ED7260D6E3A6}"/>
    <cellStyle name="Normal 8 32 6 6" xfId="14841" xr:uid="{2FE4EE95-51F6-41C6-BD66-A0576F51D3A9}"/>
    <cellStyle name="Normal 8 32 7 2" xfId="14842" xr:uid="{1E1C9E9E-1059-4ECB-9983-9DD635120F31}"/>
    <cellStyle name="Normal 8 32 7 4" xfId="14843" xr:uid="{38A2DA45-27AF-425F-B68C-42B49015A39E}"/>
    <cellStyle name="Normal 8 32 7 6" xfId="14844" xr:uid="{A445258F-A7CD-4CFA-BAAE-D6A1F48B5578}"/>
    <cellStyle name="Normal 8 32 8 2" xfId="14845" xr:uid="{1F4FC451-DAC6-4EBD-889A-BF805037F9B3}"/>
    <cellStyle name="Normal 8 32 8 4" xfId="14846" xr:uid="{7D48B316-C563-43F7-8BFC-CC3FB39FFE76}"/>
    <cellStyle name="Normal 8 32 8 6" xfId="14847" xr:uid="{73F5B5E0-A0A9-4B07-9766-0333CFB88C73}"/>
    <cellStyle name="Normal 8 32 9" xfId="14848" xr:uid="{3E74F3A4-426D-4B83-B319-ADD6D799A2A2}"/>
    <cellStyle name="Normal 8 33 10" xfId="14849" xr:uid="{A47A3612-8AD8-439F-93F4-1EB1830CB7D3}"/>
    <cellStyle name="Normal 8 33 12" xfId="14850" xr:uid="{4EB80DB6-4A3E-4D2C-BB53-746038B6C3F2}"/>
    <cellStyle name="Normal 8 33 2" xfId="14851" xr:uid="{539AA348-B5CF-464E-8A11-54764058E53E}"/>
    <cellStyle name="Normal 8 33 2 3" xfId="14852" xr:uid="{4B4125B6-DA14-4563-93C2-95CEDB7A195F}"/>
    <cellStyle name="Normal 8 33 2 5" xfId="14853" xr:uid="{EAF01D59-54E5-4FA5-830D-37D3C29CE89C}"/>
    <cellStyle name="Normal 8 33 3" xfId="14854" xr:uid="{AC8437D8-30C3-4359-97AD-0B77E27F9263}"/>
    <cellStyle name="Normal 8 33 3 3" xfId="14855" xr:uid="{FEEFFA9E-59AD-49E2-BAEB-6843F30242CF}"/>
    <cellStyle name="Normal 8 33 3 5" xfId="14856" xr:uid="{F60A99CC-D3A5-418D-895A-AFC2CCE32432}"/>
    <cellStyle name="Normal 8 33 4" xfId="14857" xr:uid="{CC509D2C-45B0-4FF7-878D-22EB195CA392}"/>
    <cellStyle name="Normal 8 33 4 3" xfId="14858" xr:uid="{E62A25A2-7519-4F9A-A6E7-25C5B6E3B190}"/>
    <cellStyle name="Normal 8 33 4 5" xfId="14859" xr:uid="{896F5505-B965-42BC-AAA6-07B6C5F7A2B4}"/>
    <cellStyle name="Normal 8 33 5" xfId="14860" xr:uid="{E2D7CC7B-C373-42A5-9B50-C5466493EB7E}"/>
    <cellStyle name="Normal 8 33 5 3" xfId="14861" xr:uid="{4F6B5814-BC36-42FA-8DF7-0C2A50CA82DD}"/>
    <cellStyle name="Normal 8 33 5 5" xfId="14862" xr:uid="{A223F7FB-83A9-407F-B87E-29E6F1767B83}"/>
    <cellStyle name="Normal 8 33 6" xfId="14863" xr:uid="{43C1BC91-69F8-4ED4-A230-A47B1EB6ABA6}"/>
    <cellStyle name="Normal 8 33 6 3" xfId="14864" xr:uid="{46A2C9A5-E8D3-466D-87A8-8169F9AAB872}"/>
    <cellStyle name="Normal 8 33 6 5" xfId="14865" xr:uid="{F8B1E74A-96B0-4444-A774-CA4EC2A7CB0B}"/>
    <cellStyle name="Normal 8 33 7" xfId="14866" xr:uid="{E6E01CCF-3EF2-49CD-AD08-0689578CA35F}"/>
    <cellStyle name="Normal 8 33 7 3" xfId="14867" xr:uid="{105C7240-54BD-439B-9B44-79B105B8A30E}"/>
    <cellStyle name="Normal 8 33 7 5" xfId="14868" xr:uid="{023226CA-08B7-485F-9351-CE395E82899A}"/>
    <cellStyle name="Normal 8 33 8" xfId="14869" xr:uid="{0B90F11B-9384-4583-A799-5E600B20996D}"/>
    <cellStyle name="Normal 8 33 8 3" xfId="14870" xr:uid="{CB2B4ED5-9543-4D46-9F4D-414D8716EDA8}"/>
    <cellStyle name="Normal 8 33 8 5" xfId="14871" xr:uid="{07623AEF-BA5F-48E1-A6E0-34937D374D2F}"/>
    <cellStyle name="Normal 8 33 9" xfId="14872" xr:uid="{973450D1-1FBE-4A3E-A47D-C533567B520E}"/>
    <cellStyle name="Normal 8 34 2" xfId="14873" xr:uid="{726A470F-7DF2-40FD-8F81-54981ACE084C}"/>
    <cellStyle name="Normal 8 34 4" xfId="14874" xr:uid="{7484D966-46FA-4853-ACAF-BAB049934B22}"/>
    <cellStyle name="Normal 8 34 6" xfId="14875" xr:uid="{32675E94-1D82-4D18-9724-6F948932A684}"/>
    <cellStyle name="Normal 8 35 2" xfId="14876" xr:uid="{64B8F792-26AE-44A8-8EEE-9E274616E676}"/>
    <cellStyle name="Normal 8 35 4" xfId="14877" xr:uid="{58A2E6DF-CCAF-4B03-9293-03F7282DB1CD}"/>
    <cellStyle name="Normal 8 35 6" xfId="14878" xr:uid="{6593DD0C-FEE3-4DBB-9A0B-610906D2AE89}"/>
    <cellStyle name="Normal 8 36 2" xfId="14879" xr:uid="{32DF9280-1524-400B-A169-5D9669ADEE69}"/>
    <cellStyle name="Normal 8 36 4" xfId="14880" xr:uid="{947B5A9C-890C-4CF0-92E9-9DEC987BF201}"/>
    <cellStyle name="Normal 8 36 6" xfId="14881" xr:uid="{10635E13-F1DC-4631-99D6-948F6934FC53}"/>
    <cellStyle name="Normal 8 37 2" xfId="14882" xr:uid="{DB95B2EB-BC00-479E-92D0-28CA1404895A}"/>
    <cellStyle name="Normal 8 37 4" xfId="14883" xr:uid="{ADD526DE-9F28-4225-BF6E-338A0682AAA9}"/>
    <cellStyle name="Normal 8 37 6" xfId="14884" xr:uid="{F9D4446F-A812-4B90-B807-6B451FA8C8D9}"/>
    <cellStyle name="Normal 8 38 2" xfId="14885" xr:uid="{EA82EDFD-97C6-45F1-9598-1688C038FBE7}"/>
    <cellStyle name="Normal 8 38 4" xfId="14886" xr:uid="{5505DEA8-0FAB-4B64-9280-DD809A425CD2}"/>
    <cellStyle name="Normal 8 38 6" xfId="14887" xr:uid="{54EE6906-483D-4BF7-BCB0-0549994F7CEB}"/>
    <cellStyle name="Normal 8 39 2" xfId="14888" xr:uid="{ACB82F75-DAD8-4280-9A59-B099946BB063}"/>
    <cellStyle name="Normal 8 39 4" xfId="14889" xr:uid="{19315B33-6CBB-47D8-8730-F04BA59FAFAD}"/>
    <cellStyle name="Normal 8 39 6" xfId="14890" xr:uid="{09EA2CC3-DB54-40BA-9BE8-1C926737FDE3}"/>
    <cellStyle name="Normal 8 4 10" xfId="14891" xr:uid="{7A5087C1-F2B2-48F0-8E29-76606144AB0C}"/>
    <cellStyle name="Normal 8 4 12" xfId="14892" xr:uid="{41F8D0D3-E607-4932-9596-74CFBA5D9064}"/>
    <cellStyle name="Normal 8 4 2" xfId="14893" xr:uid="{CF703B98-23F2-4789-9570-73557CEFC04F}"/>
    <cellStyle name="Normal 8 4 2 3" xfId="14894" xr:uid="{437D77F5-91E2-4E85-BE12-F88BE88CF7F4}"/>
    <cellStyle name="Normal 8 4 2 5" xfId="14895" xr:uid="{2FABBD58-429E-4FFA-9B3B-720CB8DC808C}"/>
    <cellStyle name="Normal 8 4 3" xfId="14896" xr:uid="{1DACD282-E3E9-4904-BB53-384F82E1B66E}"/>
    <cellStyle name="Normal 8 4 3 3" xfId="14897" xr:uid="{13711A86-31FA-40A4-B8BC-E1F65F028719}"/>
    <cellStyle name="Normal 8 4 3 5" xfId="14898" xr:uid="{0F407077-0ED8-49C7-B98F-3D6362B00D37}"/>
    <cellStyle name="Normal 8 4 4" xfId="14899" xr:uid="{FB0893F5-A4F8-4DF6-9BCA-B62BEC50E57E}"/>
    <cellStyle name="Normal 8 4 4 3" xfId="14900" xr:uid="{F188FFE7-DE03-4EEA-8192-F7C2ECCB93E2}"/>
    <cellStyle name="Normal 8 4 4 5" xfId="14901" xr:uid="{46ED22A7-3AFF-4A2F-812F-D45B29BD77A5}"/>
    <cellStyle name="Normal 8 4 5" xfId="14902" xr:uid="{C54B8E79-F4E9-4FB0-B020-4688EF099503}"/>
    <cellStyle name="Normal 8 4 5 3" xfId="14903" xr:uid="{ADD6A7ED-1073-420A-802E-39FA2915344D}"/>
    <cellStyle name="Normal 8 4 5 5" xfId="14904" xr:uid="{E9FC514B-76CB-4458-A282-B4A428E2B625}"/>
    <cellStyle name="Normal 8 4 6" xfId="14905" xr:uid="{7F812BCC-73A7-4AF8-BF4A-5A3E41068460}"/>
    <cellStyle name="Normal 8 4 6 3" xfId="14906" xr:uid="{E8CB9D54-0D42-4998-9D68-C3EE96932956}"/>
    <cellStyle name="Normal 8 4 6 5" xfId="14907" xr:uid="{43ED5861-1119-4A0A-A017-A287743377F0}"/>
    <cellStyle name="Normal 8 4 7" xfId="14908" xr:uid="{33DDA9E9-97FC-406D-92B0-7626E549F011}"/>
    <cellStyle name="Normal 8 4 7 3" xfId="14909" xr:uid="{397BC8C4-8826-4C77-B5DA-6B3606D0D239}"/>
    <cellStyle name="Normal 8 4 7 5" xfId="14910" xr:uid="{C5098E70-2176-4107-958B-F3F07E8ABAEE}"/>
    <cellStyle name="Normal 8 4 8" xfId="14911" xr:uid="{1C35920B-B435-48A5-83CE-3F707E4F005A}"/>
    <cellStyle name="Normal 8 4 8 3" xfId="14912" xr:uid="{895846CA-DB08-49A1-9C4E-8B9B818006FD}"/>
    <cellStyle name="Normal 8 4 8 5" xfId="14913" xr:uid="{D62F29B5-C9D0-4A9A-8F7C-8E3BFF7CC094}"/>
    <cellStyle name="Normal 8 4 9" xfId="14914" xr:uid="{2E246797-9AA4-4C36-BB8F-0AFC7AA3DEB8}"/>
    <cellStyle name="Normal 8 40 2" xfId="14915" xr:uid="{95E675F3-6840-4EDD-91E0-8F8D1F1C5E0F}"/>
    <cellStyle name="Normal 8 40 4" xfId="14916" xr:uid="{72434A11-07FF-441E-BE1E-2799948F5180}"/>
    <cellStyle name="Normal 8 40 6" xfId="14917" xr:uid="{E50E4617-4028-43E7-A1B2-03E8FC3DADCB}"/>
    <cellStyle name="Normal 8 42" xfId="14918" xr:uid="{66B9D055-6762-4548-93E3-F07A3226A6CB}"/>
    <cellStyle name="Normal 8 44" xfId="14919" xr:uid="{195DAB0B-25BA-4C34-94F9-E981A4871F2F}"/>
    <cellStyle name="Normal 8 46" xfId="14920" xr:uid="{6ACD0DFA-6872-4FF3-BD5E-D2A9DEAC5109}"/>
    <cellStyle name="Normal 8 5 10" xfId="14921" xr:uid="{E9FE226A-B46A-496E-92F1-6083E3DCD29C}"/>
    <cellStyle name="Normal 8 5 12" xfId="14922" xr:uid="{84B80E34-9C83-48A1-A64D-938AE043A261}"/>
    <cellStyle name="Normal 8 5 2" xfId="14923" xr:uid="{D3738C6E-0D6F-453D-9210-2787FA84CD68}"/>
    <cellStyle name="Normal 8 5 2 3" xfId="14924" xr:uid="{54D0B3CB-C9A7-4F7B-AEB1-6ABE94C72B45}"/>
    <cellStyle name="Normal 8 5 2 5" xfId="14925" xr:uid="{8808D6C0-7EA8-447A-AEB1-57E038CCEEC6}"/>
    <cellStyle name="Normal 8 5 3" xfId="14926" xr:uid="{AD25461C-3B83-4090-A874-C43D6FB9DC12}"/>
    <cellStyle name="Normal 8 5 3 3" xfId="14927" xr:uid="{DC201E9A-9E20-451F-A30C-90F02898C9D3}"/>
    <cellStyle name="Normal 8 5 3 5" xfId="14928" xr:uid="{7EA253E7-7D46-4ED7-AEDA-6EA5C8E28757}"/>
    <cellStyle name="Normal 8 5 4" xfId="14929" xr:uid="{8FAF0592-B6CD-4E24-B954-6FC00565F611}"/>
    <cellStyle name="Normal 8 5 4 3" xfId="14930" xr:uid="{7EB733E2-7832-4E36-84BB-182E0762DAB8}"/>
    <cellStyle name="Normal 8 5 4 5" xfId="14931" xr:uid="{265FC25A-D11C-4350-BD24-F2155A36995D}"/>
    <cellStyle name="Normal 8 5 5" xfId="14932" xr:uid="{3E91D6F1-17E7-4DFD-A542-76DD19379D9D}"/>
    <cellStyle name="Normal 8 5 5 2" xfId="14933" xr:uid="{9CE02CD1-A0D1-4807-97D5-FB7B7DB98649}"/>
    <cellStyle name="Normal 8 5 5 3" xfId="14934" xr:uid="{2C86E547-F790-473E-B237-E0CD4110879A}"/>
    <cellStyle name="Normal 8 5 5 4" xfId="14935" xr:uid="{E0E88192-4EEA-467F-B7BA-5C8A2E41C3A6}"/>
    <cellStyle name="Normal 8 5 5 5" xfId="14936" xr:uid="{FC0001DE-C827-4EAB-A44F-46FB0466A8FB}"/>
    <cellStyle name="Normal 8 5 5 6" xfId="14937" xr:uid="{80B9F53D-28F0-4277-97C5-17193623C736}"/>
    <cellStyle name="Normal 8 5 6 2" xfId="14938" xr:uid="{DD7501F2-F217-4E4F-AEE0-65F57AF65E6A}"/>
    <cellStyle name="Normal 8 5 6 4" xfId="14939" xr:uid="{ADB0B27E-C7A8-4622-B7F6-CAAF5FD2BE1D}"/>
    <cellStyle name="Normal 8 5 6 6" xfId="14940" xr:uid="{C7689B19-6A37-4E57-9146-734531B47C2D}"/>
    <cellStyle name="Normal 8 5 7 2" xfId="14941" xr:uid="{877529DF-94E8-457C-8353-26A198F2266F}"/>
    <cellStyle name="Normal 8 5 7 4" xfId="14942" xr:uid="{EBFC3153-41D2-47B0-8385-74301A762C7F}"/>
    <cellStyle name="Normal 8 5 7 6" xfId="14943" xr:uid="{51B25CEB-AA22-4AB1-8762-C9266172A51E}"/>
    <cellStyle name="Normal 8 5 8 2" xfId="14944" xr:uid="{877E6B50-BB42-4287-B08C-9C4A3846DE26}"/>
    <cellStyle name="Normal 8 5 8 4" xfId="14945" xr:uid="{2D7FCC23-96D4-494F-A634-DB4C271FC38E}"/>
    <cellStyle name="Normal 8 5 8 6" xfId="14946" xr:uid="{FE39722B-FB8C-447A-B545-5374F59C0889}"/>
    <cellStyle name="Normal 8 6" xfId="14947" xr:uid="{D9E22526-94B0-4BA0-9947-FC26B23A3AF9}"/>
    <cellStyle name="Normal 8 6 11" xfId="14948" xr:uid="{71FBFAC0-319B-4B9E-8570-B00D64EA2B81}"/>
    <cellStyle name="Normal 8 6 13" xfId="14949" xr:uid="{6B201DDD-27DE-4E87-B1D6-C0FF08467FF1}"/>
    <cellStyle name="Normal 8 6 2 2" xfId="14950" xr:uid="{A56426D1-7412-4A40-A32D-270D53C016F8}"/>
    <cellStyle name="Normal 8 6 2 4" xfId="14951" xr:uid="{AD070B93-6858-4984-9D5C-E6965E8BFA5C}"/>
    <cellStyle name="Normal 8 6 2 6" xfId="14952" xr:uid="{BE402017-3413-4F22-B438-AC363584DEC8}"/>
    <cellStyle name="Normal 8 6 3 2" xfId="14953" xr:uid="{3DF60C74-2548-40B2-B58B-74F3AF79BAEE}"/>
    <cellStyle name="Normal 8 6 3 4" xfId="14954" xr:uid="{20BE7674-C445-4C75-8A5D-197C67371CB1}"/>
    <cellStyle name="Normal 8 6 3 6" xfId="14955" xr:uid="{E95700FA-D420-45F8-99FA-6791661BB5D0}"/>
    <cellStyle name="Normal 8 6 4 2" xfId="14956" xr:uid="{3B022A7B-B8FC-4A0C-AC37-A908B00CEC6F}"/>
    <cellStyle name="Normal 8 6 4 4" xfId="14957" xr:uid="{E1D445D5-1054-428C-B7D9-88C7F2038098}"/>
    <cellStyle name="Normal 8 6 4 6" xfId="14958" xr:uid="{747022F0-744A-422C-8469-A4E902C09246}"/>
    <cellStyle name="Normal 8 6 5 2" xfId="14959" xr:uid="{47F93943-CD91-4142-94AC-EC80ABDF386F}"/>
    <cellStyle name="Normal 8 6 5 4" xfId="14960" xr:uid="{A3734FC7-9608-43AF-864F-BC88193DB897}"/>
    <cellStyle name="Normal 8 6 5 6" xfId="14961" xr:uid="{EC3BF454-B20A-4879-A633-98B9C7C0FEBF}"/>
    <cellStyle name="Normal 8 6 6 2" xfId="14962" xr:uid="{45C03F91-3922-495D-B488-563646DF251F}"/>
    <cellStyle name="Normal 8 6 6 4" xfId="14963" xr:uid="{526C396D-BEE4-441D-833E-B5242850A660}"/>
    <cellStyle name="Normal 8 6 6 6" xfId="14964" xr:uid="{D47198FC-D080-4413-8521-8CF9EB4FD939}"/>
    <cellStyle name="Normal 8 6 7 2" xfId="14965" xr:uid="{46A8A3FC-1F31-4E71-9DE9-BA94F46B8DAC}"/>
    <cellStyle name="Normal 8 6 7 4" xfId="14966" xr:uid="{A7497F88-FB79-4AF3-93F5-B5B61E84F9CD}"/>
    <cellStyle name="Normal 8 6 7 6" xfId="14967" xr:uid="{B3898AAF-D079-4FE8-8169-EA7E8111B2E7}"/>
    <cellStyle name="Normal 8 6 8 2" xfId="14968" xr:uid="{AA512B3D-B9A3-4AE1-8A5C-4DF7BD06EFAA}"/>
    <cellStyle name="Normal 8 6 8 4" xfId="14969" xr:uid="{A691DE7F-44F8-4080-8A28-1A2096A7B9BC}"/>
    <cellStyle name="Normal 8 6 8 6" xfId="14970" xr:uid="{2ED7B404-D4BE-477E-AC15-10AA14622FEF}"/>
    <cellStyle name="Normal 8 7" xfId="14971" xr:uid="{48381399-9755-4781-BA25-04BA09B648A8}"/>
    <cellStyle name="Normal 8 7 11" xfId="14972" xr:uid="{743A4CCC-977A-4B43-8542-8B2261CD91DD}"/>
    <cellStyle name="Normal 8 7 13" xfId="14973" xr:uid="{D82B4D53-465C-4BE1-9FC5-9360B8CB5EA1}"/>
    <cellStyle name="Normal 8 7 2 2" xfId="14974" xr:uid="{E5AE97DE-B84F-4ADC-B7AC-6C62F31A9116}"/>
    <cellStyle name="Normal 8 7 2 4" xfId="14975" xr:uid="{9E8C3223-8993-434B-814B-EF37F7A2E2ED}"/>
    <cellStyle name="Normal 8 7 2 6" xfId="14976" xr:uid="{FC8CBC3C-6669-433C-A893-C88B33312F49}"/>
    <cellStyle name="Normal 8 7 3 2" xfId="14977" xr:uid="{D038B5E2-EC1C-427F-B51E-AEF80AAF28D2}"/>
    <cellStyle name="Normal 8 7 3 4" xfId="14978" xr:uid="{05FC1B88-9D75-4700-A540-A537C24FAAB3}"/>
    <cellStyle name="Normal 8 7 3 6" xfId="14979" xr:uid="{184EDEB4-F654-4F67-A54B-97572504E6F7}"/>
    <cellStyle name="Normal 8 7 4 2" xfId="14980" xr:uid="{F18B018F-CE50-41C1-8A31-4E41FC32D718}"/>
    <cellStyle name="Normal 8 7 4 4" xfId="14981" xr:uid="{5A8F6A14-8AD4-430B-8E63-C41F46E0B2E6}"/>
    <cellStyle name="Normal 8 7 4 6" xfId="14982" xr:uid="{4C8C9E6E-4C3D-4E53-9697-87EAB1B7E5A2}"/>
    <cellStyle name="Normal 8 7 5 2" xfId="14983" xr:uid="{4E804EDF-BC08-432B-A2CD-174BE6A38F30}"/>
    <cellStyle name="Normal 8 7 6 2" xfId="14984" xr:uid="{F3B960AD-0469-4393-A82B-1787D0198E77}"/>
    <cellStyle name="Normal 8 7 6 6" xfId="14985" xr:uid="{1408179A-7BE7-4A78-9AA4-C4F4522AC27C}"/>
    <cellStyle name="Normal 8 7 7 2" xfId="14986" xr:uid="{4B127ADD-9F9E-4C80-B57B-A0C03B9391EF}"/>
    <cellStyle name="Normal 8 7 7 6" xfId="14987" xr:uid="{1FC59FF3-8713-46A0-8E9F-DC0061EDB6D3}"/>
    <cellStyle name="Normal 8 7 8 4" xfId="14988" xr:uid="{99E82B32-11CD-497D-A1C7-25D3D8950976}"/>
    <cellStyle name="Normal 8 8" xfId="14989" xr:uid="{F85C4749-6736-4C43-9799-A6C2A5FC8DB4}"/>
    <cellStyle name="Normal 8 8 13" xfId="14990" xr:uid="{0196B878-13AC-45E0-A6BF-D4AA79615167}"/>
    <cellStyle name="Normal 8 8 2 4" xfId="14991" xr:uid="{8C52CC99-A542-4399-9675-28F708321D34}"/>
    <cellStyle name="Normal 8 8 3 2" xfId="14992" xr:uid="{A35FDCC3-506E-4F67-B74D-E1CA8226A98A}"/>
    <cellStyle name="Normal 8 8 3 6" xfId="14993" xr:uid="{2DE46E02-EE41-4F76-832A-BF8BB1404B70}"/>
    <cellStyle name="Normal 8 8 4 4" xfId="14994" xr:uid="{D0B496DD-F11E-4627-90DE-E5AA35B7A178}"/>
    <cellStyle name="Normal 8 8 5 2" xfId="14995" xr:uid="{CDAD7ECB-CFB8-4886-95A2-F78A2B0DF76D}"/>
    <cellStyle name="Normal 8 8 5 6" xfId="14996" xr:uid="{3F2B41DF-8074-4D50-8105-B66F5BD44C0C}"/>
    <cellStyle name="Normal 8 8 6 4" xfId="14997" xr:uid="{C2862D71-0567-4B32-A272-F1BC8F565F35}"/>
    <cellStyle name="Normal 8 8 7 2" xfId="14998" xr:uid="{2737C49F-025B-4FC6-96C2-B211B66DCF7B}"/>
    <cellStyle name="Normal 8 8 7 6" xfId="14999" xr:uid="{83D2C3DC-F657-4166-AE0F-6B838F3036BA}"/>
    <cellStyle name="Normal 8 8 8 4" xfId="15000" xr:uid="{B9A9EEA2-37DB-493C-8589-A0173C9EBAD8}"/>
    <cellStyle name="Normal 8 9" xfId="15001" xr:uid="{0F90BB21-0614-4281-881C-EE15C80CEE61}"/>
    <cellStyle name="Normal 8 9 13" xfId="15002" xr:uid="{EBFD16F0-272F-4898-A54F-9362061A072E}"/>
    <cellStyle name="Normal 8 9 2 4" xfId="15003" xr:uid="{52B47652-9535-4BB9-8FC1-1EC574633AAD}"/>
    <cellStyle name="Normal 8 9 3 2" xfId="15004" xr:uid="{2CC93359-78F5-44BF-B569-8519947F6806}"/>
    <cellStyle name="Normal 8 9 3 5" xfId="15005" xr:uid="{291AE0D4-51A4-432E-951A-0B3EC9F056EE}"/>
    <cellStyle name="Normal 8 9 4 3" xfId="15006" xr:uid="{F5E271F5-7C77-4803-A869-3F2107EBA905}"/>
    <cellStyle name="Normal 8 9 5" xfId="15007" xr:uid="{B129DCA9-7FA3-4F43-B259-8EEC9B1D92D5}"/>
    <cellStyle name="Normal 8 9 5 5" xfId="15008" xr:uid="{0B2E876F-CA7D-4625-B0AA-48020BCA700C}"/>
    <cellStyle name="Normal 8 9 6 3" xfId="15009" xr:uid="{6BA81A04-D3EE-4FAF-9591-427C14D40C5C}"/>
    <cellStyle name="Normal 8 9 7" xfId="15010" xr:uid="{1FD83DBD-8259-4880-816D-5C304EB25337}"/>
    <cellStyle name="Normal 8 9 7 5" xfId="15011" xr:uid="{A3500A25-8382-4F83-B1E2-EC166348BB14}"/>
    <cellStyle name="Normal 8 9 8 3" xfId="15012" xr:uid="{4CDF9BA9-4680-4CC5-A7DA-C6BD0F68C352}"/>
    <cellStyle name="Normal 8 9 9" xfId="15013" xr:uid="{CEDEBC1C-B833-4DD8-9F3D-692E682C4A7C}"/>
    <cellStyle name="Normal 82" xfId="15014" xr:uid="{F9A182A6-CA27-4F66-994A-CA630080D815}"/>
    <cellStyle name="Normal 86" xfId="15015" xr:uid="{84A927F3-5B16-4FAD-8998-44B18D86BAE5}"/>
    <cellStyle name="Normal 9" xfId="343" xr:uid="{9257E3F0-49C2-4600-89DD-36CB92478C3D}"/>
    <cellStyle name="Normal 9 10 12" xfId="15016" xr:uid="{55DEE50C-B204-41BC-9CC1-FED9A5F03AB4}"/>
    <cellStyle name="Normal 9 10 2 3" xfId="15017" xr:uid="{EF7D13D5-3B9E-45A8-86C8-8E930DC00ADE}"/>
    <cellStyle name="Normal 9 10 3" xfId="15018" xr:uid="{C9158A4F-6A46-417D-B4AA-2F29540AD7DA}"/>
    <cellStyle name="Normal 9 10 3 5" xfId="15019" xr:uid="{6A0FB937-7E8F-4AF7-857F-D58F0BF7D03B}"/>
    <cellStyle name="Normal 9 10 4 3" xfId="15020" xr:uid="{5E6FD053-B721-4315-8BF9-59C8DE4667D0}"/>
    <cellStyle name="Normal 9 10 5" xfId="15021" xr:uid="{FB9DBC47-803A-49B1-9C3D-779481D1BED9}"/>
    <cellStyle name="Normal 9 10 5 5" xfId="15022" xr:uid="{346ACE62-E0DC-449E-A18F-B5ED999FD8EA}"/>
    <cellStyle name="Normal 9 10 6 3" xfId="15023" xr:uid="{2C868E5B-B6E6-42A4-84E4-C11928ACFDD7}"/>
    <cellStyle name="Normal 9 10 7" xfId="15024" xr:uid="{1ED1EEA7-D54B-4D3D-81A1-321C8DC5A0D2}"/>
    <cellStyle name="Normal 9 10 7 4" xfId="15025" xr:uid="{F4C27FD9-158E-4814-B2C1-40B34D6B632C}"/>
    <cellStyle name="Normal 9 10 8 2" xfId="15026" xr:uid="{F0B53EA3-E654-4EA9-AD82-D802AF4BB23A}"/>
    <cellStyle name="Normal 9 10 8 6" xfId="15027" xr:uid="{5A5A1B30-0A5B-49C6-A533-5ABBC170211E}"/>
    <cellStyle name="Normal 9 11 11" xfId="15028" xr:uid="{ABF1E78C-D27F-4B5F-8D1A-F9414B15E766}"/>
    <cellStyle name="Normal 9 11 2 2" xfId="15029" xr:uid="{859AFAE6-5E64-4D3B-9633-F0A370455524}"/>
    <cellStyle name="Normal 9 11 2 6" xfId="15030" xr:uid="{BC7D5304-357C-4BF4-B8BF-B4A571A3EAEF}"/>
    <cellStyle name="Normal 9 11 3 4" xfId="15031" xr:uid="{D634430A-DC55-45E5-AC17-B53169F93867}"/>
    <cellStyle name="Normal 9 11 4 2" xfId="15032" xr:uid="{D7E39B2F-7B10-4DC8-8817-53BC1EDEFA8A}"/>
    <cellStyle name="Normal 9 11 4 6" xfId="15033" xr:uid="{F8EC361B-F7F3-46E1-A5D5-E4E9920B9061}"/>
    <cellStyle name="Normal 9 11 5 4" xfId="15034" xr:uid="{BF46488A-9C84-43BB-8893-121737F30902}"/>
    <cellStyle name="Normal 9 11 6 2" xfId="15035" xr:uid="{5F2A8558-FB75-4C2D-AE53-ECF36E662374}"/>
    <cellStyle name="Normal 9 11 6 6" xfId="15036" xr:uid="{0016D458-81A8-4A9D-AB14-D470A23165B5}"/>
    <cellStyle name="Normal 9 11 7 4" xfId="15037" xr:uid="{6BCE5C5B-2445-4B8D-A4F4-DB202AEE3FB3}"/>
    <cellStyle name="Normal 9 11 8 2" xfId="15038" xr:uid="{B9C785DD-20CC-4E6B-8948-09449DD9D561}"/>
    <cellStyle name="Normal 9 11 8 6" xfId="15039" xr:uid="{4A9055CF-6000-4E16-9200-F4BC915CAA0A}"/>
    <cellStyle name="Normal 9 12 11" xfId="15040" xr:uid="{FDD2E792-7A99-4C5D-9DBA-4D9C3128DB88}"/>
    <cellStyle name="Normal 9 12 2 2" xfId="15041" xr:uid="{9637D57E-DB3A-4E16-A958-7D1DCC1F2158}"/>
    <cellStyle name="Normal 9 12 2 6" xfId="15042" xr:uid="{3659FC98-3CE4-4029-8099-2B8F2D2DFB9E}"/>
    <cellStyle name="Normal 9 12 3 4" xfId="15043" xr:uid="{D6BE342D-B98F-4A43-BA08-CDF64AD9F812}"/>
    <cellStyle name="Normal 9 12 4 2" xfId="15044" xr:uid="{3A17A85A-C4DC-44CA-A572-8217EF6E9146}"/>
    <cellStyle name="Normal 9 12 4 6" xfId="15045" xr:uid="{12E5CBC7-3D38-4A70-AC30-443F87EB4721}"/>
    <cellStyle name="Normal 9 12 5 4" xfId="15046" xr:uid="{ED78D8D5-E0B3-47B9-BF97-6F84C66C80E5}"/>
    <cellStyle name="Normal 9 12 6" xfId="15047" xr:uid="{92CCCFA2-8769-4959-9634-9D7669FDA2DC}"/>
    <cellStyle name="Normal 9 12 6 5" xfId="15048" xr:uid="{80BAB5D7-9584-45BD-A115-5CAF0993618B}"/>
    <cellStyle name="Normal 9 12 7 3" xfId="15049" xr:uid="{51F6E8A2-CE18-406A-A917-F48F4E21A069}"/>
    <cellStyle name="Normal 9 12 8" xfId="15050" xr:uid="{E9127F15-74AD-4DE9-8FBE-791909A7C70E}"/>
    <cellStyle name="Normal 9 12 8 5" xfId="15051" xr:uid="{25694305-31BE-4370-9691-EB22F5183B2F}"/>
    <cellStyle name="Normal 9 13 10" xfId="15052" xr:uid="{41FFC3A6-8680-400A-AFA4-B23268847F04}"/>
    <cellStyle name="Normal 9 13 2" xfId="15053" xr:uid="{F534B39E-9419-49C5-B2A1-296EAA724917}"/>
    <cellStyle name="Normal 9 13 2 5" xfId="15054" xr:uid="{313A413D-E479-4234-9A46-E6C1B0A6E0A9}"/>
    <cellStyle name="Normal 9 13 3 3" xfId="15055" xr:uid="{2E80F51F-D5C4-4D0B-B9E2-D74F6905F42D}"/>
    <cellStyle name="Normal 9 13 4" xfId="15056" xr:uid="{94DB7120-AEF9-45E5-B627-1613830BB863}"/>
    <cellStyle name="Normal 9 13 4 3" xfId="15057" xr:uid="{D5D17DD4-08E6-4F7F-8C9F-87F53227D405}"/>
    <cellStyle name="Normal 9 13 5" xfId="15058" xr:uid="{346A8075-8949-4062-9DDC-710CC113BA3E}"/>
    <cellStyle name="Normal 9 13 5 5" xfId="15059" xr:uid="{280B30AF-DAA2-44C4-B12D-923A97F6918B}"/>
    <cellStyle name="Normal 9 13 6 3" xfId="15060" xr:uid="{20BB9079-2A53-4E20-85A5-39A831E7D5EC}"/>
    <cellStyle name="Normal 9 13 7" xfId="15061" xr:uid="{8C414A03-F00D-4BE2-AC28-05A04F81184E}"/>
    <cellStyle name="Normal 9 13 7 5" xfId="15062" xr:uid="{3A9DEFF4-10D5-4FF6-9111-2F1BAFE9D5FE}"/>
    <cellStyle name="Normal 9 13 8 3" xfId="15063" xr:uid="{620D341D-9524-4970-B4D3-7778F1F7FA22}"/>
    <cellStyle name="Normal 9 13 9" xfId="15064" xr:uid="{66692576-D925-4204-AE9C-102A71DAF3D9}"/>
    <cellStyle name="Normal 9 14 12" xfId="15065" xr:uid="{740B2D05-4A75-4287-B561-AE0E71D15824}"/>
    <cellStyle name="Normal 9 14 2 3" xfId="15066" xr:uid="{783B41ED-A35D-4212-A0C5-464D00C9DAE2}"/>
    <cellStyle name="Normal 9 14 3" xfId="15067" xr:uid="{868C16C4-4EFE-4824-973B-120AE4EC0504}"/>
    <cellStyle name="Normal 9 14 3 5" xfId="15068" xr:uid="{A162FE41-A80C-4FA6-B9F9-E69DBF9FEEDE}"/>
    <cellStyle name="Normal 9 14 4" xfId="15069" xr:uid="{97DDA5FC-C638-4870-8B7A-811E8C6CECCE}"/>
    <cellStyle name="Normal 9 14 4 3" xfId="15070" xr:uid="{041DA07C-ACE1-46A8-909F-40BE3FEF21F0}"/>
    <cellStyle name="Normal 9 14 4 5" xfId="15071" xr:uid="{6E2C7406-CD50-4827-ACEF-FFAE7BB65E4E}"/>
    <cellStyle name="Normal 9 14 5" xfId="15072" xr:uid="{6627E8BF-D9E7-43AF-92A6-6CBF38CB6139}"/>
    <cellStyle name="Normal 9 14 5 3" xfId="15073" xr:uid="{B69653EE-D636-4E84-A0CA-3E030B366619}"/>
    <cellStyle name="Normal 9 14 5 5" xfId="15074" xr:uid="{AE4B566A-65A1-4959-89AF-AC4DB15EFAB2}"/>
    <cellStyle name="Normal 9 14 6" xfId="15075" xr:uid="{CB61A8D5-2B48-4A86-994E-64E60BA57039}"/>
    <cellStyle name="Normal 9 14 6 3" xfId="15076" xr:uid="{0EAB72CF-85B2-4BEF-9164-7DB169FED80E}"/>
    <cellStyle name="Normal 9 14 6 5" xfId="15077" xr:uid="{2849C278-9FD5-4CEE-86FD-D7F511DBCA5F}"/>
    <cellStyle name="Normal 9 14 7" xfId="15078" xr:uid="{48DD7AAA-4329-4989-9596-64B19564BD10}"/>
    <cellStyle name="Normal 9 14 7 3" xfId="15079" xr:uid="{D9C635DC-A7EC-4466-8DBE-92F89F6FB6C7}"/>
    <cellStyle name="Normal 9 14 7 5" xfId="15080" xr:uid="{DFA5CA8B-C0F8-4399-A0EA-AEF555085480}"/>
    <cellStyle name="Normal 9 14 8" xfId="15081" xr:uid="{6E8E7B3E-C22B-4F30-BBAC-AAE0E2C0EBBA}"/>
    <cellStyle name="Normal 9 14 8 3" xfId="15082" xr:uid="{2B82E7CC-1048-4C12-B17B-272C3D2B6033}"/>
    <cellStyle name="Normal 9 14 8 5" xfId="15083" xr:uid="{20781248-0C77-4123-8E90-91F4A0E3DC69}"/>
    <cellStyle name="Normal 9 14 9" xfId="15084" xr:uid="{B6BD0AE4-A93A-41EB-869C-6C18AEF9F60C}"/>
    <cellStyle name="Normal 9 15 10" xfId="15085" xr:uid="{54728A80-1930-4F08-A538-92B959AACEAA}"/>
    <cellStyle name="Normal 9 15 12" xfId="15086" xr:uid="{C6505BBB-5ABC-4E5F-BC71-55A2300B596C}"/>
    <cellStyle name="Normal 9 15 2" xfId="15087" xr:uid="{D9FD1406-B082-4A9B-8131-3C8280CD31DF}"/>
    <cellStyle name="Normal 9 15 2 3" xfId="15088" xr:uid="{BCC5114F-5970-4316-97D9-E0147A3EB947}"/>
    <cellStyle name="Normal 9 15 2 5" xfId="15089" xr:uid="{6561FAAE-397B-440E-A76B-6EBC068FB2BC}"/>
    <cellStyle name="Normal 9 15 3" xfId="15090" xr:uid="{52CF9B3A-706A-4706-B1FA-321185000790}"/>
    <cellStyle name="Normal 9 15 3 3" xfId="15091" xr:uid="{EDCF29D6-1D0D-42C6-A859-AB69D74FC0FC}"/>
    <cellStyle name="Normal 9 15 3 5" xfId="15092" xr:uid="{C484A7DE-7563-44BD-BEB8-72E91C704CFD}"/>
    <cellStyle name="Normal 9 15 4" xfId="15093" xr:uid="{1CC19928-02C4-415E-A89B-07DDADC367F4}"/>
    <cellStyle name="Normal 9 15 4 3" xfId="15094" xr:uid="{B7C3A0BB-30C7-48F8-8653-5FA53FFA772D}"/>
    <cellStyle name="Normal 9 15 4 5" xfId="15095" xr:uid="{574AC41C-F1DA-4035-ADD6-C4752DE0AC30}"/>
    <cellStyle name="Normal 9 15 5" xfId="15096" xr:uid="{F8CC1D85-68D1-4CCD-8657-E1AC6C24F838}"/>
    <cellStyle name="Normal 9 15 5 3" xfId="15097" xr:uid="{EEB35F88-A641-42B2-8AF4-03BAB43FE9CD}"/>
    <cellStyle name="Normal 9 15 5 5" xfId="15098" xr:uid="{AA493AFF-5B23-449D-B29E-070EFA7FF9AA}"/>
    <cellStyle name="Normal 9 15 6" xfId="15099" xr:uid="{B490C385-A559-472D-B11D-CEAB3B96B615}"/>
    <cellStyle name="Normal 9 15 6 3" xfId="15100" xr:uid="{C9211C7E-F2A3-4E01-A42F-A043B2229AFB}"/>
    <cellStyle name="Normal 9 15 6 5" xfId="15101" xr:uid="{B897F7BA-E4D5-4333-997F-38ACC9648F65}"/>
    <cellStyle name="Normal 9 15 7" xfId="15102" xr:uid="{763F635C-2F8A-4A43-930C-4D0F54846119}"/>
    <cellStyle name="Normal 9 15 7 3" xfId="15103" xr:uid="{074B7946-0C35-4E88-BFB2-4C9080DCB58E}"/>
    <cellStyle name="Normal 9 15 7 5" xfId="15104" xr:uid="{6482039F-209F-4340-9819-F3573CA6160F}"/>
    <cellStyle name="Normal 9 15 8" xfId="15105" xr:uid="{D5F38728-6D60-4AA0-A45D-80702FE5975B}"/>
    <cellStyle name="Normal 9 15 8 3" xfId="15106" xr:uid="{AF8E7F07-0C15-4AC3-BAB1-DDEB400E28EA}"/>
    <cellStyle name="Normal 9 15 8 5" xfId="15107" xr:uid="{E4905D52-1FFF-4515-BE13-8F9BAB4B9F71}"/>
    <cellStyle name="Normal 9 15 9" xfId="15108" xr:uid="{25E4B614-6867-4990-8C6D-FB91C0DE87BB}"/>
    <cellStyle name="Normal 9 16 10" xfId="15109" xr:uid="{4AAD4D05-9570-4A80-BC28-32E363152738}"/>
    <cellStyle name="Normal 9 16 12" xfId="15110" xr:uid="{CA4DC1AB-E980-4C5E-90CC-0A9F9D471741}"/>
    <cellStyle name="Normal 9 16 2" xfId="15111" xr:uid="{6CF5C92C-27D2-4BDA-B197-7BCBFAF7A2BD}"/>
    <cellStyle name="Normal 9 16 2 3" xfId="15112" xr:uid="{CF2986AA-E239-41A8-A681-922C050D2ABB}"/>
    <cellStyle name="Normal 9 16 2 5" xfId="15113" xr:uid="{F224492F-C822-492D-B293-15685AD6DFB3}"/>
    <cellStyle name="Normal 9 16 3" xfId="15114" xr:uid="{9F53D279-C9B8-4525-B865-A9170C71B9BE}"/>
    <cellStyle name="Normal 9 16 3 3" xfId="15115" xr:uid="{0A173CED-CEDD-4C25-BF32-61C6CC2F4C10}"/>
    <cellStyle name="Normal 9 16 3 5" xfId="15116" xr:uid="{CDA9A1A2-F9A2-480C-AE48-17886ED1EFBC}"/>
    <cellStyle name="Normal 9 16 4" xfId="15117" xr:uid="{6EF512BF-5897-4E3D-B98F-BF7206BE0C6D}"/>
    <cellStyle name="Normal 9 16 4 2" xfId="15118" xr:uid="{F22DCB72-8655-425F-83B6-4451A18725CD}"/>
    <cellStyle name="Normal 9 16 4 3" xfId="15119" xr:uid="{A66838EE-5DB0-4275-8AA7-424724FBF8E2}"/>
    <cellStyle name="Normal 9 16 4 5" xfId="15120" xr:uid="{4C727CF9-39F6-4700-95E0-4E431652B43F}"/>
    <cellStyle name="Normal 9 16 5" xfId="15121" xr:uid="{E51ED27E-DD29-4F8E-B5E0-98903A3E0BF5}"/>
    <cellStyle name="Normal 9 16 5 3" xfId="15122" xr:uid="{5BF188D0-D158-4578-BE34-69B6129D2313}"/>
    <cellStyle name="Normal 9 16 5 5" xfId="15123" xr:uid="{606CA6BF-D02D-4F3B-AA51-F9C0D177968E}"/>
    <cellStyle name="Normal 9 16 6" xfId="15124" xr:uid="{61F24924-D32E-400D-9201-120E66117B7A}"/>
    <cellStyle name="Normal 9 16 6 3" xfId="15125" xr:uid="{EAE34056-7A95-47A9-B907-D81A0AAB3355}"/>
    <cellStyle name="Normal 9 16 6 4" xfId="15126" xr:uid="{BF5C68C8-B309-4DA2-8E9F-E22AAF1E3AD9}"/>
    <cellStyle name="Normal 9 16 6 5" xfId="15127" xr:uid="{A4445080-B5C8-4216-8D27-B064C6A782E0}"/>
    <cellStyle name="Normal 9 16 7" xfId="15128" xr:uid="{8624D8AD-9662-4F31-A4C6-A782E6F7F9CA}"/>
    <cellStyle name="Normal 9 16 7 3" xfId="15129" xr:uid="{89FBB6C6-0F7A-498A-8A51-0F1CBB1423D0}"/>
    <cellStyle name="Normal 9 16 7 4" xfId="15130" xr:uid="{2E1FDAEA-A0A3-44D1-AEE2-76936107EBF7}"/>
    <cellStyle name="Normal 9 16 7 6" xfId="15131" xr:uid="{8BC9B881-5BA5-43D9-9A1E-E29BE96C247D}"/>
    <cellStyle name="Normal 9 16 8 2" xfId="15132" xr:uid="{C024CD2A-7DC4-4ED1-844F-F1B5453540F4}"/>
    <cellStyle name="Normal 9 16 8 4" xfId="15133" xr:uid="{8D1F55DA-CBF6-4859-ADF7-556FCA13F94D}"/>
    <cellStyle name="Normal 9 16 8 6" xfId="15134" xr:uid="{1690DCE6-6488-4BC3-A17E-FA27AA866C1C}"/>
    <cellStyle name="Normal 9 17" xfId="15135" xr:uid="{49E416B7-6716-4776-9374-B8C4C5835EA7}"/>
    <cellStyle name="Normal 9 17 11" xfId="15136" xr:uid="{BABC4385-4262-4BEA-980B-9DB0B984E6CF}"/>
    <cellStyle name="Normal 9 17 13" xfId="15137" xr:uid="{5B9AC192-87B3-4228-91FA-7FBB0629BE2C}"/>
    <cellStyle name="Normal 9 17 2 2" xfId="15138" xr:uid="{B256346B-D607-4502-A343-195E1BFD5A2E}"/>
    <cellStyle name="Normal 9 17 2 3" xfId="15139" xr:uid="{80D4361F-63AB-4ADB-954F-3BD47AE9C3B0}"/>
    <cellStyle name="Normal 9 17 2 5" xfId="15140" xr:uid="{6895F0DB-7F46-43F6-AE23-2B2DFD8EC202}"/>
    <cellStyle name="Normal 9 17 3" xfId="15141" xr:uid="{885776EC-92D0-4CAE-A0FF-BD4F8CD8C0D5}"/>
    <cellStyle name="Normal 9 17 3 3" xfId="15142" xr:uid="{5C4B1E7B-719C-4544-9178-5EED9F2A356C}"/>
    <cellStyle name="Normal 9 17 3 4" xfId="15143" xr:uid="{54743EA4-9C2A-477F-AEA5-5FCD2244FDA4}"/>
    <cellStyle name="Normal 9 17 3 5" xfId="15144" xr:uid="{C8372A71-622A-48ED-A3A9-E73EB4CFBA29}"/>
    <cellStyle name="Normal 9 17 3 6" xfId="15145" xr:uid="{CA8D08A9-C124-472A-8919-51E9386FEC55}"/>
    <cellStyle name="Normal 9 17 4" xfId="15146" xr:uid="{C1FA3FCF-FEA0-4325-8C2B-8CFC39AC1B88}"/>
    <cellStyle name="Normal 9 17 4 2" xfId="15147" xr:uid="{3BE5EAAD-C24D-42A1-AE3B-0D197422EB56}"/>
    <cellStyle name="Normal 9 17 4 3" xfId="15148" xr:uid="{38A40461-7232-4D07-9EA6-99B406FBE50D}"/>
    <cellStyle name="Normal 9 17 4 5" xfId="15149" xr:uid="{54AB6A2B-5055-4A15-AC7F-167C410F2643}"/>
    <cellStyle name="Normal 9 17 5" xfId="15150" xr:uid="{708D2421-8F36-409D-B8AA-E37D18A5F89D}"/>
    <cellStyle name="Normal 9 17 5 2" xfId="15151" xr:uid="{EC314D6B-DC46-48EF-8DC2-92A98163B762}"/>
    <cellStyle name="Normal 9 17 5 4" xfId="15152" xr:uid="{0213590B-87EF-41DB-A467-0B8D82F5B9D6}"/>
    <cellStyle name="Normal 9 17 5 5" xfId="15153" xr:uid="{57548235-1D49-467A-877F-11A98F860769}"/>
    <cellStyle name="Normal 9 17 5 6" xfId="15154" xr:uid="{DF2EDF28-FD1B-4D0E-9ADC-0BC0D7347EB3}"/>
    <cellStyle name="Normal 9 17 6" xfId="15155" xr:uid="{AD126B84-620A-4E60-8882-77555FE8EB49}"/>
    <cellStyle name="Normal 9 17 6 2" xfId="15156" xr:uid="{7ED27EE8-B349-4631-9AAC-487FECF43A96}"/>
    <cellStyle name="Normal 9 17 6 3" xfId="15157" xr:uid="{3EA66260-6682-40AC-A614-129BCA944D43}"/>
    <cellStyle name="Normal 9 17 6 4" xfId="15158" xr:uid="{48735EAF-E298-4539-BBF5-B99D0A0D612F}"/>
    <cellStyle name="Normal 9 17 6 5" xfId="15159" xr:uid="{E12F0A16-B2F9-44BD-A396-5BA0B8AF57C7}"/>
    <cellStyle name="Normal 9 17 6 6" xfId="15160" xr:uid="{9D23A2C9-0F9E-4B0B-BD48-46CD911D1AC1}"/>
    <cellStyle name="Normal 9 17 7 2" xfId="15161" xr:uid="{33B669D2-C663-45DF-BF71-B924FA304291}"/>
    <cellStyle name="Normal 9 17 7 3" xfId="15162" xr:uid="{3FF4C036-E2C0-410F-9B51-F6CFE33D394D}"/>
    <cellStyle name="Normal 9 17 7 4" xfId="15163" xr:uid="{D1F9E2F7-67AF-4137-9E83-E9006EAE4D07}"/>
    <cellStyle name="Normal 9 17 7 6" xfId="15164" xr:uid="{C257A464-936A-44E0-BE71-CA3413FCBA3B}"/>
    <cellStyle name="Normal 9 17 8 2" xfId="15165" xr:uid="{61EF12B2-01E9-429D-B08D-65BF5C18BB76}"/>
    <cellStyle name="Normal 9 17 8 4" xfId="15166" xr:uid="{0069B399-9607-450F-B14A-E422E9EB7430}"/>
    <cellStyle name="Normal 9 17 8 6" xfId="15167" xr:uid="{37FC987C-FF2E-4517-98D7-29A6F46EAD3C}"/>
    <cellStyle name="Normal 9 18" xfId="15168" xr:uid="{2DDCCDEC-7EE8-4D8E-BB59-E0B78C01256C}"/>
    <cellStyle name="Normal 9 18 10" xfId="15169" xr:uid="{704350DF-9997-4374-8012-71392D4D8840}"/>
    <cellStyle name="Normal 9 18 12" xfId="15170" xr:uid="{92C27F38-86AA-4709-98A7-5BCD1020B29A}"/>
    <cellStyle name="Normal 9 18 2" xfId="15171" xr:uid="{41111A84-8DD5-4B32-B5B3-C5388DB0EB5A}"/>
    <cellStyle name="Normal 9 18 2 2" xfId="15172" xr:uid="{6AAB0407-F575-49D3-A042-BDE16992D39A}"/>
    <cellStyle name="Normal 9 18 2 3" xfId="15173" xr:uid="{3445EFCC-B6D1-4052-8ECE-E0076A6058B9}"/>
    <cellStyle name="Normal 9 18 2 4" xfId="15174" xr:uid="{83D537ED-E2F9-4FF5-8B92-5D79A57B4557}"/>
    <cellStyle name="Normal 9 18 2 5" xfId="15175" xr:uid="{D920C622-74A0-4456-94FB-523BB757860E}"/>
    <cellStyle name="Normal 9 18 2 6" xfId="15176" xr:uid="{9AF2ECAA-938C-4C1E-89F2-80BEB4C20CAA}"/>
    <cellStyle name="Normal 9 18 3" xfId="15177" xr:uid="{065FDBF6-A7DC-45BC-BDF9-47EE76314600}"/>
    <cellStyle name="Normal 9 18 3 2" xfId="15178" xr:uid="{CA1D330E-50F5-4FA8-BBFF-B832D9314F89}"/>
    <cellStyle name="Normal 9 18 3 3" xfId="15179" xr:uid="{449FDDE8-18F0-4942-B321-A68485E9271E}"/>
    <cellStyle name="Normal 9 18 3 4" xfId="15180" xr:uid="{2094648F-47DA-41E4-9E26-CBF03B94D3E8}"/>
    <cellStyle name="Normal 9 18 3 5" xfId="15181" xr:uid="{EB285BC5-1A4F-404D-ADD4-8E25C0884CBE}"/>
    <cellStyle name="Normal 9 18 3 6" xfId="15182" xr:uid="{93FCB12B-0770-43CE-A236-6C1E4B3A22FB}"/>
    <cellStyle name="Normal 9 18 4" xfId="15183" xr:uid="{680582F3-564B-4C0E-8308-719DA01DEE9A}"/>
    <cellStyle name="Normal 9 18 4 2" xfId="15184" xr:uid="{5B889136-1D02-491A-94B5-A656607E14B7}"/>
    <cellStyle name="Normal 9 18 4 3" xfId="15185" xr:uid="{DD0CBB66-901D-404C-AF69-9BC9C21A65C8}"/>
    <cellStyle name="Normal 9 18 4 5" xfId="15186" xr:uid="{4729E590-54D7-4484-AFEB-F784DEDB2882}"/>
    <cellStyle name="Normal 9 18 5" xfId="15187" xr:uid="{6EF35BDB-51FF-42D6-BC50-931A3C5502B4}"/>
    <cellStyle name="Normal 9 18 5 3" xfId="15188" xr:uid="{AD2BBB32-1733-4B0A-8A81-AADDD45B3D87}"/>
    <cellStyle name="Normal 9 18 5 5" xfId="15189" xr:uid="{0B592236-5A92-44EF-A3C7-6BEDF8DF2A91}"/>
    <cellStyle name="Normal 9 18 6" xfId="15190" xr:uid="{2BE55196-4217-42F8-920E-1D6F93D7AF5B}"/>
    <cellStyle name="Normal 9 18 6 3" xfId="15191" xr:uid="{F08EFB03-7D0D-4FCA-A6BB-1AB189947433}"/>
    <cellStyle name="Normal 9 18 6 5" xfId="15192" xr:uid="{8E4E38A1-4D5D-4917-94E8-BB45B6339C2E}"/>
    <cellStyle name="Normal 9 18 7" xfId="15193" xr:uid="{22E0DC85-2791-424E-9666-7EE809257AAC}"/>
    <cellStyle name="Normal 9 18 7 3" xfId="15194" xr:uid="{F2E86240-D1EB-492D-95E8-A54F35F7CF3F}"/>
    <cellStyle name="Normal 9 18 7 5" xfId="15195" xr:uid="{D8AB6456-469E-4C08-837B-7AF9EB5A5186}"/>
    <cellStyle name="Normal 9 18 8" xfId="15196" xr:uid="{88C09D38-867F-4910-95F8-856EE2202255}"/>
    <cellStyle name="Normal 9 18 8 3" xfId="15197" xr:uid="{DE318258-2B8B-4FD7-AC9D-EB2F662B84B1}"/>
    <cellStyle name="Normal 9 18 8 5" xfId="15198" xr:uid="{34962859-58C5-4314-840B-68A7604A2A7D}"/>
    <cellStyle name="Normal 9 18 9" xfId="15199" xr:uid="{24D80A5F-0705-4A29-9119-96C274631AD0}"/>
    <cellStyle name="Normal 9 19 10" xfId="15200" xr:uid="{9DEBF833-BE51-45ED-8E91-A1FCE9B2E583}"/>
    <cellStyle name="Normal 9 19 12" xfId="15201" xr:uid="{F8626D9E-0B38-46B2-8476-7F18AF63E9A3}"/>
    <cellStyle name="Normal 9 19 2" xfId="15202" xr:uid="{81FF8674-2DB0-4754-9A8B-C16DF3C48342}"/>
    <cellStyle name="Normal 9 19 2 3" xfId="15203" xr:uid="{1E312740-7093-4F23-8F28-379C920A90EE}"/>
    <cellStyle name="Normal 9 19 2 5" xfId="15204" xr:uid="{47E3E8CB-6B04-4C4B-BCB6-436E12033026}"/>
    <cellStyle name="Normal 9 19 3" xfId="15205" xr:uid="{49099515-2FA4-45CA-932C-2FF50BD9526E}"/>
    <cellStyle name="Normal 9 19 3 3" xfId="15206" xr:uid="{CC4671BD-084E-444E-B266-3BF611CAB73B}"/>
    <cellStyle name="Normal 9 19 3 5" xfId="15207" xr:uid="{06DBB953-9404-49AA-A893-02026E8971D5}"/>
    <cellStyle name="Normal 9 19 4" xfId="15208" xr:uid="{2CFABEAA-DB67-4059-B1E2-B71F21BE03E8}"/>
    <cellStyle name="Normal 9 19 4 3" xfId="15209" xr:uid="{F0707A6C-A7C1-454C-9E2F-99DB9F97A443}"/>
    <cellStyle name="Normal 9 19 4 5" xfId="15210" xr:uid="{1239C983-0E47-49A1-B3D4-196DE0B9A130}"/>
    <cellStyle name="Normal 9 19 5" xfId="15211" xr:uid="{87CB1485-AC85-466E-A1B6-FD8A216054E5}"/>
    <cellStyle name="Normal 9 19 5 3" xfId="15212" xr:uid="{BAD64CAC-4BC6-43EA-833E-18C31D52EF3A}"/>
    <cellStyle name="Normal 9 19 5 5" xfId="15213" xr:uid="{4A8A7A4F-813A-47B1-85E6-23A646D357BD}"/>
    <cellStyle name="Normal 9 19 6" xfId="15214" xr:uid="{A9E3084D-E90E-4380-B668-159580A76B63}"/>
    <cellStyle name="Normal 9 19 6 3" xfId="15215" xr:uid="{D75C9C7B-92A1-489B-8575-E170DCCB513E}"/>
    <cellStyle name="Normal 9 19 6 5" xfId="15216" xr:uid="{C9A169B8-83CE-4FDE-A114-4E4F676423DF}"/>
    <cellStyle name="Normal 9 19 7" xfId="15217" xr:uid="{4C4840F7-68CE-4382-B81E-B24661D76F16}"/>
    <cellStyle name="Normal 9 19 7 3" xfId="15218" xr:uid="{D877C8EA-5D88-4566-B35F-4180C7223C68}"/>
    <cellStyle name="Normal 9 19 7 5" xfId="15219" xr:uid="{921DC03B-57D1-4365-AC31-91D035492357}"/>
    <cellStyle name="Normal 9 19 8" xfId="15220" xr:uid="{C118400B-9126-489E-88BA-2644DC30379D}"/>
    <cellStyle name="Normal 9 19 8 3" xfId="15221" xr:uid="{6BBCD64F-F86B-4D97-9435-D8F4D3C9DD9A}"/>
    <cellStyle name="Normal 9 19 8 5" xfId="15222" xr:uid="{05381745-4F69-40B5-8A9C-08A7A815503E}"/>
    <cellStyle name="Normal 9 19 9" xfId="15223" xr:uid="{E8C201CC-648C-437D-88B6-1282D73F169C}"/>
    <cellStyle name="Normal 9 2 10" xfId="15224" xr:uid="{017C9D0D-D54E-4823-A9BA-78850A27A1B0}"/>
    <cellStyle name="Normal 9 2 12" xfId="15225" xr:uid="{5190D7F2-D593-46EB-9875-981D2138C9DE}"/>
    <cellStyle name="Normal 9 2 14" xfId="15226" xr:uid="{0EC9803F-A57B-454C-B3BF-5435BCACFADA}"/>
    <cellStyle name="Normal 9 2 2 2" xfId="15227" xr:uid="{55D66F7C-1A84-4DBC-B3F1-754F265C2195}"/>
    <cellStyle name="Normal 9 2 2 4" xfId="15228" xr:uid="{A0AB6D84-1B79-4E25-B220-400BB21A0B0F}"/>
    <cellStyle name="Normal 9 2 2 6" xfId="15229" xr:uid="{6C392066-9BD0-481B-8166-2F0FC80A8563}"/>
    <cellStyle name="Normal 9 2 3 2" xfId="15230" xr:uid="{E304BE47-4A8A-49F3-904D-BA464EF27069}"/>
    <cellStyle name="Normal 9 2 3 4" xfId="15231" xr:uid="{059D7EBE-3567-495C-86ED-64F393A13744}"/>
    <cellStyle name="Normal 9 2 3 6" xfId="15232" xr:uid="{F800D930-B3C0-4B74-AA2D-76A558180C92}"/>
    <cellStyle name="Normal 9 2 4 2" xfId="15233" xr:uid="{A9424773-4238-4CAC-87F8-824D867BF073}"/>
    <cellStyle name="Normal 9 2 4 4" xfId="15234" xr:uid="{830340C7-477F-4052-B45A-21FF4552FECE}"/>
    <cellStyle name="Normal 9 2 4 6" xfId="15235" xr:uid="{DB7A2D2C-7ABF-48C9-AC10-AEAAF58C4AEA}"/>
    <cellStyle name="Normal 9 2 5 2" xfId="15236" xr:uid="{F81C3E38-8DF3-4A73-8608-B716A64050D6}"/>
    <cellStyle name="Normal 9 2 5 4" xfId="15237" xr:uid="{F344D55F-47C0-4340-A19B-4E156B9A7659}"/>
    <cellStyle name="Normal 9 2 5 6" xfId="15238" xr:uid="{711F0900-D132-4C88-B31C-7B729835534A}"/>
    <cellStyle name="Normal 9 2 6 2" xfId="15239" xr:uid="{5C242026-2073-4E79-8B66-AA3C308F0999}"/>
    <cellStyle name="Normal 9 2 6 4" xfId="15240" xr:uid="{FDE868C5-AB6F-4C5D-9150-2A2F4B59D9E3}"/>
    <cellStyle name="Normal 9 2 6 6" xfId="15241" xr:uid="{1F680014-682A-4BD8-8D79-639329D9483F}"/>
    <cellStyle name="Normal 9 2 7 2" xfId="15242" xr:uid="{7529FA60-8909-4634-AEA2-0E231A2115D2}"/>
    <cellStyle name="Normal 9 2 7 4" xfId="15243" xr:uid="{877BCD26-8DE5-4ACF-B03B-A9FAF76C56EC}"/>
    <cellStyle name="Normal 9 2 7 6" xfId="15244" xr:uid="{9421FF2B-7DE9-4124-8D0B-08AC10135F30}"/>
    <cellStyle name="Normal 9 2 8 2" xfId="15245" xr:uid="{C60D818A-18C5-455B-B494-E035D370B89C}"/>
    <cellStyle name="Normal 9 2 8 4" xfId="15246" xr:uid="{776434D3-39D6-4246-B0A0-8FC6334AB653}"/>
    <cellStyle name="Normal 9 2 8 6" xfId="15247" xr:uid="{CD1593CE-8748-46E0-9B70-8E7024168528}"/>
    <cellStyle name="Normal 9 20" xfId="15248" xr:uid="{BDCBA03A-D246-4C04-9071-046ECCBA7271}"/>
    <cellStyle name="Normal 9 20 11" xfId="15249" xr:uid="{AE3EE342-8EC7-4A14-B9FA-F0D3731BE545}"/>
    <cellStyle name="Normal 9 20 13" xfId="15250" xr:uid="{D9CD252C-02EB-4909-9381-799B296F4FCE}"/>
    <cellStyle name="Normal 9 20 2 2" xfId="15251" xr:uid="{7E88C168-FE71-4337-BBEA-FEC51A4FDB4C}"/>
    <cellStyle name="Normal 9 20 2 4" xfId="15252" xr:uid="{A55E4092-6417-4D4B-82FB-A3A727CE4343}"/>
    <cellStyle name="Normal 9 20 2 6" xfId="15253" xr:uid="{D80C8121-9479-4EA8-9883-C25A3E9BCD15}"/>
    <cellStyle name="Normal 9 20 3 2" xfId="15254" xr:uid="{22108A00-CDD6-4227-99E5-30D3BFD70D2A}"/>
    <cellStyle name="Normal 9 20 3 4" xfId="15255" xr:uid="{6C639F4A-D8B7-4E6D-A67C-BFBFE40B72BF}"/>
    <cellStyle name="Normal 9 20 3 6" xfId="15256" xr:uid="{BE85C1BC-43DD-49E6-A9C1-0AC1F879BB96}"/>
    <cellStyle name="Normal 9 20 4 2" xfId="15257" xr:uid="{BCECFEE4-43A4-4B49-A1BA-6B0375261D01}"/>
    <cellStyle name="Normal 9 20 4 4" xfId="15258" xr:uid="{6DAB2817-445F-4946-9485-C3CF9527EB00}"/>
    <cellStyle name="Normal 9 20 4 6" xfId="15259" xr:uid="{3D6C72FE-AD16-4F45-AEEF-5DDEF1565962}"/>
    <cellStyle name="Normal 9 20 5 2" xfId="15260" xr:uid="{419E2E73-EFE5-4FF1-9244-25FA408949AB}"/>
    <cellStyle name="Normal 9 20 5 4" xfId="15261" xr:uid="{CE6512F4-A3F9-4154-A680-81116BB21A1B}"/>
    <cellStyle name="Normal 9 20 5 6" xfId="15262" xr:uid="{D2EFB81B-DDDF-4DEB-BC2A-D3172C70BE26}"/>
    <cellStyle name="Normal 9 20 6 2" xfId="15263" xr:uid="{CFFC309A-D67B-4806-8CE1-9D94AF08B15E}"/>
    <cellStyle name="Normal 9 20 6 4" xfId="15264" xr:uid="{FF9E3143-9606-425C-9FC8-7B99400C690D}"/>
    <cellStyle name="Normal 9 20 6 6" xfId="15265" xr:uid="{EA5754E5-723E-4AE4-BBF4-80585DC346C2}"/>
    <cellStyle name="Normal 9 20 7 2" xfId="15266" xr:uid="{754DFC02-140F-490A-B268-FFFFB76CDEB5}"/>
    <cellStyle name="Normal 9 20 7 4" xfId="15267" xr:uid="{916884B2-46CC-46EA-B3F6-AA4F933468BB}"/>
    <cellStyle name="Normal 9 20 7 6" xfId="15268" xr:uid="{D834B739-732D-49B3-9F13-F48148384C0C}"/>
    <cellStyle name="Normal 9 20 8 2" xfId="15269" xr:uid="{4E4BE6F4-74E4-4377-B7DF-87B0C296DE50}"/>
    <cellStyle name="Normal 9 20 8 4" xfId="15270" xr:uid="{BB0CB1F6-FE60-4B46-9DED-01D112B1E717}"/>
    <cellStyle name="Normal 9 20 8 6" xfId="15271" xr:uid="{4E1CE2F1-49CF-4A5E-8995-B618D8877DE6}"/>
    <cellStyle name="Normal 9 21" xfId="15272" xr:uid="{B43A23A8-A378-46D2-B104-F3B44C536DFF}"/>
    <cellStyle name="Normal 9 21 11" xfId="15273" xr:uid="{DE01B557-9C00-4FF6-A01C-BA76F75D8022}"/>
    <cellStyle name="Normal 9 21 13" xfId="15274" xr:uid="{4D22A1A6-17BB-468C-9041-F2C8ABF2ABBA}"/>
    <cellStyle name="Normal 9 21 2 2" xfId="15275" xr:uid="{AF2E39F3-9D4D-4C6C-943F-70AE20E42B90}"/>
    <cellStyle name="Normal 9 21 2 4" xfId="15276" xr:uid="{4542B6CF-6CE4-47C7-BE18-6F30256512EE}"/>
    <cellStyle name="Normal 9 21 2 6" xfId="15277" xr:uid="{18E25363-25D7-41A8-AB76-2B38931C1FAA}"/>
    <cellStyle name="Normal 9 21 3 2" xfId="15278" xr:uid="{5A4C0054-2DB6-4005-9691-3784197255A1}"/>
    <cellStyle name="Normal 9 21 3 4" xfId="15279" xr:uid="{1746DB14-F90C-4CA0-9185-27DDB72679F0}"/>
    <cellStyle name="Normal 9 21 3 6" xfId="15280" xr:uid="{8E7E6E3F-26F8-4A70-8A96-F1B273669CED}"/>
    <cellStyle name="Normal 9 21 4 2" xfId="15281" xr:uid="{932767A8-5492-40F0-8C3E-25AF0C4C35CD}"/>
    <cellStyle name="Normal 9 21 4 3" xfId="15282" xr:uid="{A6A20C0A-1F42-4469-BA4D-02AA30786920}"/>
    <cellStyle name="Normal 9 21 4 5" xfId="15283" xr:uid="{75156008-CF4E-48D7-8007-54B8E9C996DE}"/>
    <cellStyle name="Normal 9 21 5" xfId="15284" xr:uid="{01AC331D-D949-4486-853B-48BF71C7E911}"/>
    <cellStyle name="Normal 9 21 5 3" xfId="15285" xr:uid="{5B282D37-0A52-4E77-BD84-5C190E3118CD}"/>
    <cellStyle name="Normal 9 21 5 5" xfId="15286" xr:uid="{003FBB1B-D922-4875-8666-3929BCEF7917}"/>
    <cellStyle name="Normal 9 21 5 6" xfId="15287" xr:uid="{0531929B-AD3B-400F-8561-9A795E0010DF}"/>
    <cellStyle name="Normal 9 21 6" xfId="15288" xr:uid="{7A5C9DA6-593D-4418-BBFA-3D9ACBD380B8}"/>
    <cellStyle name="Normal 9 21 6 2" xfId="15289" xr:uid="{DE0246D0-999E-4D68-B3EA-6FF28490EE94}"/>
    <cellStyle name="Normal 9 21 6 3" xfId="15290" xr:uid="{D8DF461E-DF35-4977-BE8F-2972302530AE}"/>
    <cellStyle name="Normal 9 21 6 4" xfId="15291" xr:uid="{11F0B531-BA33-43EA-BEB4-E7CD964BD100}"/>
    <cellStyle name="Normal 9 21 6 5" xfId="15292" xr:uid="{AD7A1E1B-44D9-4EE3-8ED1-A12895CABD47}"/>
    <cellStyle name="Normal 9 21 6 6" xfId="15293" xr:uid="{0D9F7D30-2BB0-421C-9EDC-579C83AEECEA}"/>
    <cellStyle name="Normal 9 21 7" xfId="15294" xr:uid="{FDFAB519-8E39-4DC0-8992-271F92E5F087}"/>
    <cellStyle name="Normal 9 21 7 3" xfId="15295" xr:uid="{26BA35F0-3E2A-41B9-BC17-9C8E65868529}"/>
    <cellStyle name="Normal 9 21 7 5" xfId="15296" xr:uid="{E0BC7C54-AEF4-4FC8-BE07-559509DAA593}"/>
    <cellStyle name="Normal 9 21 8" xfId="15297" xr:uid="{0DB03050-644E-4A1C-959B-ED592A2650C0}"/>
    <cellStyle name="Normal 9 21 8 2" xfId="15298" xr:uid="{19604412-3356-4D70-A457-F163D6FDD6D3}"/>
    <cellStyle name="Normal 9 21 8 4" xfId="15299" xr:uid="{3B7C2F2A-F74F-4038-A202-84522A023461}"/>
    <cellStyle name="Normal 9 21 8 6" xfId="15300" xr:uid="{EF52A210-F377-4648-8E2F-7E679C3DBE34}"/>
    <cellStyle name="Normal 9 22" xfId="15301" xr:uid="{8F1F93DF-37B7-4215-8B85-5E51365126E5}"/>
    <cellStyle name="Normal 9 22 11" xfId="15302" xr:uid="{C32B119E-75FB-4A95-8E5F-571A22DF77E4}"/>
    <cellStyle name="Normal 9 22 13" xfId="15303" xr:uid="{1BF83340-F214-4E82-AA15-863B58999094}"/>
    <cellStyle name="Normal 9 22 2" xfId="15304" xr:uid="{B2BFB027-A3F8-4599-BE72-AF0B2D659C3A}"/>
    <cellStyle name="Normal 9 22 2 2" xfId="15305" xr:uid="{BF6FFBF0-2A2F-485D-8B79-F4DA6F593D49}"/>
    <cellStyle name="Normal 9 22 2 4" xfId="15306" xr:uid="{D984D21C-E8D7-4F00-BFFC-AD4FB42C836E}"/>
    <cellStyle name="Normal 9 22 2 6" xfId="15307" xr:uid="{9C632840-4E4E-4707-8F48-9D2465713E23}"/>
    <cellStyle name="Normal 9 22 3 2" xfId="15308" xr:uid="{21F989C7-59ED-400E-8CE5-1EB6BB1BF775}"/>
    <cellStyle name="Normal 9 22 3 4" xfId="15309" xr:uid="{810B6FB7-4203-41CC-833C-3649BEB0E451}"/>
    <cellStyle name="Normal 9 22 3 5" xfId="15310" xr:uid="{B64B7C21-137D-490C-B8EB-70C0C6EB8AA1}"/>
    <cellStyle name="Normal 9 22 4" xfId="15311" xr:uid="{9A993703-2F3D-4136-A677-5871EEFBDAC9}"/>
    <cellStyle name="Normal 9 22 4 3" xfId="15312" xr:uid="{ADBB071E-D007-48CC-9BDD-B7C37065B474}"/>
    <cellStyle name="Normal 9 22 4 5" xfId="15313" xr:uid="{8661F837-25CD-40F4-845B-2AEF15DCC957}"/>
    <cellStyle name="Normal 9 22 5" xfId="15314" xr:uid="{3115EC08-BA53-4B88-A1C0-88D881D2C010}"/>
    <cellStyle name="Normal 9 22 5 3" xfId="15315" xr:uid="{95D7136B-9146-4E57-B3CC-E9F91985F553}"/>
    <cellStyle name="Normal 9 22 5 4" xfId="15316" xr:uid="{C41AE309-5500-43EA-A4DF-0C457704AF1E}"/>
    <cellStyle name="Normal 9 22 5 6" xfId="15317" xr:uid="{78B05A25-420A-4120-B2D1-5C7608A394E5}"/>
    <cellStyle name="Normal 9 22 6 2" xfId="15318" xr:uid="{A09F9439-04DE-419C-B57F-9C86AA626733}"/>
    <cellStyle name="Normal 9 22 6 4" xfId="15319" xr:uid="{BD4E7CE0-12CE-4E25-8975-6749E2875F88}"/>
    <cellStyle name="Normal 9 22 6 6" xfId="15320" xr:uid="{187F4C0B-A417-43EF-93A0-61EA8948A440}"/>
    <cellStyle name="Normal 9 22 7 2" xfId="15321" xr:uid="{409CC335-85D0-4144-A75F-E07D48BA1515}"/>
    <cellStyle name="Normal 9 22 7 4" xfId="15322" xr:uid="{00C86CFD-00C6-4C9C-8D0A-7B00FE7D4317}"/>
    <cellStyle name="Normal 9 22 7 6" xfId="15323" xr:uid="{08CA53A9-FB2F-43F6-A740-A2315C1EDFA3}"/>
    <cellStyle name="Normal 9 22 8 2" xfId="15324" xr:uid="{40B8F175-A52D-4882-A013-109738B7F8ED}"/>
    <cellStyle name="Normal 9 22 8 4" xfId="15325" xr:uid="{B83C99F0-8DB8-49B6-B2AB-1D92CB05B319}"/>
    <cellStyle name="Normal 9 22 8 6" xfId="15326" xr:uid="{DC03407E-876B-4C25-9BC1-0D5799812BB9}"/>
    <cellStyle name="Normal 9 23" xfId="15327" xr:uid="{44EF7028-29B0-4A99-969C-F1DC729DC3F5}"/>
    <cellStyle name="Normal 9 23 11" xfId="15328" xr:uid="{900E06E7-2A99-489A-9AF1-92E27197BDBF}"/>
    <cellStyle name="Normal 9 23 13" xfId="15329" xr:uid="{56A7F0D3-E35F-4371-BF74-018B79337938}"/>
    <cellStyle name="Normal 9 23 2 2" xfId="15330" xr:uid="{EC3E7386-624A-47F8-BF6B-98F301DD0CED}"/>
    <cellStyle name="Normal 9 23 2 4" xfId="15331" xr:uid="{2D3FF743-A141-402F-B8D1-F1578000471E}"/>
    <cellStyle name="Normal 9 23 2 6" xfId="15332" xr:uid="{1233082D-AE32-4678-BC65-FF3F9CB79523}"/>
    <cellStyle name="Normal 9 23 3 2" xfId="15333" xr:uid="{B625878A-15D2-4CDB-A9C5-0917E64B2F83}"/>
    <cellStyle name="Normal 9 23 3 4" xfId="15334" xr:uid="{11B1A71F-201B-491E-B9F7-AADF08FE3669}"/>
    <cellStyle name="Normal 9 23 3 6" xfId="15335" xr:uid="{0E45451E-E190-4CB9-BB37-58B3AC7001B0}"/>
    <cellStyle name="Normal 9 23 4 2" xfId="15336" xr:uid="{38AFA030-2F1B-4E3D-922B-574762A7C2E5}"/>
    <cellStyle name="Normal 9 23 4 4" xfId="15337" xr:uid="{46680346-674B-4A2F-9299-6FD0C35CE72F}"/>
    <cellStyle name="Normal 9 23 4 6" xfId="15338" xr:uid="{9C5D4BBA-CD25-415E-99AA-66C84BC4D57B}"/>
    <cellStyle name="Normal 9 23 5 2" xfId="15339" xr:uid="{3EF5F327-E78B-4A0B-A697-FB2011663333}"/>
    <cellStyle name="Normal 9 23 5 4" xfId="15340" xr:uid="{247F9795-6A0F-480B-915C-3118C864A6C1}"/>
    <cellStyle name="Normal 9 23 5 6" xfId="15341" xr:uid="{21536F61-347D-457D-935E-BA8F6CE3ACAB}"/>
    <cellStyle name="Normal 9 23 6 2" xfId="15342" xr:uid="{B9BE474A-B01E-45A5-8834-7718AB1AB530}"/>
    <cellStyle name="Normal 9 23 6 4" xfId="15343" xr:uid="{449D7C97-D53A-4E13-B1D5-EA29CB0E60B9}"/>
    <cellStyle name="Normal 9 23 6 6" xfId="15344" xr:uid="{DA93A276-C9F6-4739-AC50-9A831C4F646E}"/>
    <cellStyle name="Normal 9 23 7 2" xfId="15345" xr:uid="{412C536B-A213-4246-A585-5C2F839AA9AC}"/>
    <cellStyle name="Normal 9 23 7 4" xfId="15346" xr:uid="{436BCCE7-98F8-4EE1-B151-66D917C226D3}"/>
    <cellStyle name="Normal 9 23 7 6" xfId="15347" xr:uid="{BDB57A6D-B64E-4E9A-BC58-08CA0AA4360D}"/>
    <cellStyle name="Normal 9 23 8 2" xfId="15348" xr:uid="{41BB095A-7E97-4538-8C22-8F155ADB06F1}"/>
    <cellStyle name="Normal 9 23 8 4" xfId="15349" xr:uid="{81099399-12F3-48C2-A373-9A003B4399D0}"/>
    <cellStyle name="Normal 9 23 8 6" xfId="15350" xr:uid="{7DF8A2B9-AEBD-4770-8B4B-F299F1E615E9}"/>
    <cellStyle name="Normal 9 24" xfId="15351" xr:uid="{F3716B08-584D-4E14-AA7B-9E2011B85BB1}"/>
    <cellStyle name="Normal 9 24 11" xfId="15352" xr:uid="{108B040F-E01E-4B1F-BC99-3DE3B12FBC3C}"/>
    <cellStyle name="Normal 9 24 13" xfId="15353" xr:uid="{DBCB955D-8EF4-4977-A050-7857B68180B3}"/>
    <cellStyle name="Normal 9 24 2 2" xfId="15354" xr:uid="{19B0EF5E-F18C-435F-ADBB-83777CE82466}"/>
    <cellStyle name="Normal 9 24 2 4" xfId="15355" xr:uid="{E1552336-6C31-4161-9612-95F20D443C52}"/>
    <cellStyle name="Normal 9 24 2 6" xfId="15356" xr:uid="{A6BD3B12-1969-4520-8A9B-CCEE4F159BA5}"/>
    <cellStyle name="Normal 9 24 3 2" xfId="15357" xr:uid="{B37213DF-797A-4574-9492-855E3DF769AF}"/>
    <cellStyle name="Normal 9 24 3 4" xfId="15358" xr:uid="{0C53277E-DDB8-4627-92DB-3E8ED41FE97D}"/>
    <cellStyle name="Normal 9 24 3 6" xfId="15359" xr:uid="{CA674A68-7693-4D5C-9F50-8175A7015A03}"/>
    <cellStyle name="Normal 9 24 4 2" xfId="15360" xr:uid="{A8D5B13F-B260-4833-B57A-FE4654F935DB}"/>
    <cellStyle name="Normal 9 24 4 4" xfId="15361" xr:uid="{C6E4F1A8-1E55-4D90-8CB9-68C79CC2749D}"/>
    <cellStyle name="Normal 9 24 4 6" xfId="15362" xr:uid="{6DB00658-55C2-406A-9DD6-AE6E7F93F8DF}"/>
    <cellStyle name="Normal 9 24 5 2" xfId="15363" xr:uid="{97C42A3F-41F4-42ED-A021-8D3D0213C27B}"/>
    <cellStyle name="Normal 9 24 5 4" xfId="15364" xr:uid="{84B08FB7-973D-4E79-93B9-DEA571EBB339}"/>
    <cellStyle name="Normal 9 24 5 6" xfId="15365" xr:uid="{FCBF71F2-070E-416C-9CD9-60D42BC6B8E4}"/>
    <cellStyle name="Normal 9 24 6 2" xfId="15366" xr:uid="{D7C931F4-0365-4C03-B1AF-3C9E0F004EC2}"/>
    <cellStyle name="Normal 9 24 6 4" xfId="15367" xr:uid="{B2A05BA0-D091-4FAD-8D0E-59D9ADB2A0F6}"/>
    <cellStyle name="Normal 9 24 6 6" xfId="15368" xr:uid="{EA1BFE88-FCAC-411A-8CF7-4298EE173977}"/>
    <cellStyle name="Normal 9 24 7 2" xfId="15369" xr:uid="{8F789448-DEA0-4B24-89BC-D948CA0154EB}"/>
    <cellStyle name="Normal 9 24 7 4" xfId="15370" xr:uid="{399C74FE-14C1-4A74-A00B-5C77E7E66D13}"/>
    <cellStyle name="Normal 9 24 7 6" xfId="15371" xr:uid="{14A41385-4688-41DB-9881-878543150400}"/>
    <cellStyle name="Normal 9 24 8 2" xfId="15372" xr:uid="{2A514B37-2906-42CA-80ED-A65E7219183C}"/>
    <cellStyle name="Normal 9 24 8 4" xfId="15373" xr:uid="{45EB9C92-B09C-442D-A022-76C3E8B34592}"/>
    <cellStyle name="Normal 9 24 8 6" xfId="15374" xr:uid="{EDE5F727-5190-4C9F-8560-4B3A0CFDBCEC}"/>
    <cellStyle name="Normal 9 25" xfId="15375" xr:uid="{6923105D-6B4D-4107-8633-59B30547712E}"/>
    <cellStyle name="Normal 9 25 11" xfId="15376" xr:uid="{4197E09D-7CDC-4DC4-987F-70956F6904BE}"/>
    <cellStyle name="Normal 9 25 13" xfId="15377" xr:uid="{1725EF14-98B8-4CB2-A380-6B4347F6DACB}"/>
    <cellStyle name="Normal 9 25 2 2" xfId="15378" xr:uid="{FA596EC9-0E0F-412C-BBD2-A851377B87C9}"/>
    <cellStyle name="Normal 9 25 2 4" xfId="15379" xr:uid="{E602C4DF-B2E5-4933-8F35-7710CE5266B8}"/>
    <cellStyle name="Normal 9 25 2 6" xfId="15380" xr:uid="{EBE0AC16-0F3F-4060-B84C-0738169DC96A}"/>
    <cellStyle name="Normal 9 25 3 2" xfId="15381" xr:uid="{6AD18A1C-FCB4-4B16-9C26-5045B03983F8}"/>
    <cellStyle name="Normal 9 25 3 4" xfId="15382" xr:uid="{89781009-D71E-4D68-B16D-D0432FF2E7BF}"/>
    <cellStyle name="Normal 9 25 3 6" xfId="15383" xr:uid="{08BA0ED6-05FF-42FB-913C-D8592F17D22F}"/>
    <cellStyle name="Normal 9 25 4 2" xfId="15384" xr:uid="{EEA5A0A7-D697-45F4-A846-48207696B1F5}"/>
    <cellStyle name="Normal 9 25 4 4" xfId="15385" xr:uid="{B33DD034-F75C-47C5-950C-ECE2D90812D6}"/>
    <cellStyle name="Normal 9 25 4 6" xfId="15386" xr:uid="{11ABF466-28F9-4345-A3FE-8945D1E07DED}"/>
    <cellStyle name="Normal 9 25 5 2" xfId="15387" xr:uid="{C222C44C-85D0-4A72-986A-F10AABD5FC36}"/>
    <cellStyle name="Normal 9 25 5 4" xfId="15388" xr:uid="{86BE9EBA-C176-4A75-B703-DE62197D4980}"/>
    <cellStyle name="Normal 9 25 5 6" xfId="15389" xr:uid="{46A282C3-CCA6-4381-BCFE-B99764C670BC}"/>
    <cellStyle name="Normal 9 25 6 2" xfId="15390" xr:uid="{105BFFE1-34FE-4FFA-8F55-BC901B70D873}"/>
    <cellStyle name="Normal 9 25 6 4" xfId="15391" xr:uid="{498AC450-4D01-4C68-8EF7-75BCF9666F57}"/>
    <cellStyle name="Normal 9 25 6 6" xfId="15392" xr:uid="{21FE9E56-A42A-4EAD-9A1E-6F79223EC397}"/>
    <cellStyle name="Normal 9 25 7 2" xfId="15393" xr:uid="{E5D1BC9B-570A-4A4E-A7A2-1E8475DED95C}"/>
    <cellStyle name="Normal 9 25 7 4" xfId="15394" xr:uid="{F1B60549-E8F8-4FB2-9BE6-B7B37F947A08}"/>
    <cellStyle name="Normal 9 25 7 6" xfId="15395" xr:uid="{14326769-2715-4C4A-9C7B-799F3A63CA0E}"/>
    <cellStyle name="Normal 9 25 8 2" xfId="15396" xr:uid="{D4231D52-9FD4-4051-A348-7F2D25920C19}"/>
    <cellStyle name="Normal 9 25 8 4" xfId="15397" xr:uid="{F670ECED-D5B3-4BEF-863C-C0E5248432FD}"/>
    <cellStyle name="Normal 9 25 8 6" xfId="15398" xr:uid="{DE0A0CA7-30D3-4034-817C-E9446DB618D8}"/>
    <cellStyle name="Normal 9 26" xfId="15399" xr:uid="{6EE729BA-CCF9-4D2B-A1EA-BC5D9EB1C8C2}"/>
    <cellStyle name="Normal 9 26 11" xfId="15400" xr:uid="{1D12C751-A97E-4C60-AFAF-7C17F6004165}"/>
    <cellStyle name="Normal 9 26 13" xfId="15401" xr:uid="{90139B60-8054-4ED9-9C75-0A1D6C130FAF}"/>
    <cellStyle name="Normal 9 26 2 2" xfId="15402" xr:uid="{BA10EE22-BCDF-41B6-88E3-0E8AEB4BBF8E}"/>
    <cellStyle name="Normal 9 26 2 4" xfId="15403" xr:uid="{ACB8792C-E8A9-43F3-82D0-160F589C3FA0}"/>
    <cellStyle name="Normal 9 26 2 6" xfId="15404" xr:uid="{DFF59157-AB3E-4864-AD00-F389558E5F28}"/>
    <cellStyle name="Normal 9 26 3 2" xfId="15405" xr:uid="{45FC4A69-2BB4-4B27-B666-CFB17374A9AD}"/>
    <cellStyle name="Normal 9 26 3 4" xfId="15406" xr:uid="{C9B93EEA-135D-444D-AC5C-87F39406022F}"/>
    <cellStyle name="Normal 9 26 3 6" xfId="15407" xr:uid="{545A3304-F605-4D65-BC74-3EC86390D4AB}"/>
    <cellStyle name="Normal 9 26 4 2" xfId="15408" xr:uid="{FC954EAF-8CED-4C36-A3E8-D80DE91E1DC7}"/>
    <cellStyle name="Normal 9 26 4 4" xfId="15409" xr:uid="{31EDF007-167F-4AB0-854E-A1BD5DFB815D}"/>
    <cellStyle name="Normal 9 26 4 6" xfId="15410" xr:uid="{FFE934A0-00F7-44B6-A0B1-59CFA76B0CA3}"/>
    <cellStyle name="Normal 9 26 5 2" xfId="15411" xr:uid="{67112B83-43F7-454E-BB00-6F07AEDFA247}"/>
    <cellStyle name="Normal 9 26 5 4" xfId="15412" xr:uid="{83F40058-E5D1-4ADC-8DEC-07DE6344FDA8}"/>
    <cellStyle name="Normal 9 26 5 6" xfId="15413" xr:uid="{7D4806DD-0B44-480B-87DD-0C78735EE626}"/>
    <cellStyle name="Normal 9 26 6 2" xfId="15414" xr:uid="{F0AE8106-DFC3-4B27-9F34-B65AA54D754A}"/>
    <cellStyle name="Normal 9 26 6 4" xfId="15415" xr:uid="{53AAED07-4D9A-4466-9260-ECA601B82005}"/>
    <cellStyle name="Normal 9 26 6 6" xfId="15416" xr:uid="{978E10D4-BC1D-4AAF-B65B-E32983C32DDE}"/>
    <cellStyle name="Normal 9 26 7 2" xfId="15417" xr:uid="{C0DC7FF4-B6A1-4433-A468-AA7AC7C1371B}"/>
    <cellStyle name="Normal 9 26 7 4" xfId="15418" xr:uid="{05E0799E-2ADE-422E-92DB-6B0E90D1678D}"/>
    <cellStyle name="Normal 9 26 7 6" xfId="15419" xr:uid="{651DB4F2-2BF7-4B49-9E96-E8784A1DA1A6}"/>
    <cellStyle name="Normal 9 26 8 2" xfId="15420" xr:uid="{4D46C7F6-BAC4-422D-85FE-C719F5AA1599}"/>
    <cellStyle name="Normal 9 26 8 4" xfId="15421" xr:uid="{43E69F6C-B3BF-4E28-B2B0-FF84C1BDD33B}"/>
    <cellStyle name="Normal 9 26 8 6" xfId="15422" xr:uid="{B52E855C-4A58-4D57-931F-931FEC79EC09}"/>
    <cellStyle name="Normal 9 27" xfId="15423" xr:uid="{99996AB8-DFC8-4FB5-B08E-054F4C66DA89}"/>
    <cellStyle name="Normal 9 27 11" xfId="15424" xr:uid="{B037DA40-D04B-477E-B774-D944C73E6A46}"/>
    <cellStyle name="Normal 9 27 13" xfId="15425" xr:uid="{E7984C03-A529-4B83-A76C-452DED10F6A8}"/>
    <cellStyle name="Normal 9 27 2 2" xfId="15426" xr:uid="{CA669631-B251-4DAF-B71A-06713BD920FD}"/>
    <cellStyle name="Normal 9 27 2 4" xfId="15427" xr:uid="{3A3CA154-6828-4BFC-A27C-B4224A7CA3FA}"/>
    <cellStyle name="Normal 9 27 2 6" xfId="15428" xr:uid="{B59338CC-DF06-4008-A23F-52B93A08479D}"/>
    <cellStyle name="Normal 9 27 3 2" xfId="15429" xr:uid="{3B29DD4B-8580-4191-8787-7262E1937422}"/>
    <cellStyle name="Normal 9 27 3 4" xfId="15430" xr:uid="{3AD35DDB-3692-45A0-9AF8-7C75D82E466E}"/>
    <cellStyle name="Normal 9 27 3 6" xfId="15431" xr:uid="{687CDB6A-93AD-4B22-9EBE-670606493AA2}"/>
    <cellStyle name="Normal 9 27 4 2" xfId="15432" xr:uid="{4DD0793B-A4D8-4E03-9336-06C571A06D5B}"/>
    <cellStyle name="Normal 9 27 4 4" xfId="15433" xr:uid="{F3364408-E2A6-448E-8AED-11B1016EF14C}"/>
    <cellStyle name="Normal 9 27 4 6" xfId="15434" xr:uid="{F03C20AD-5B04-4AA2-A83F-FE6A0FC74CBA}"/>
    <cellStyle name="Normal 9 27 5 2" xfId="15435" xr:uid="{464682F9-7FE4-4DF3-A038-A0A46A4E99FE}"/>
    <cellStyle name="Normal 9 27 5 4" xfId="15436" xr:uid="{53C04777-EB26-4B18-AC1C-116E4E0B5495}"/>
    <cellStyle name="Normal 9 27 5 6" xfId="15437" xr:uid="{EB1DA5FF-49ED-4AB3-81EE-4094ACCE47CE}"/>
    <cellStyle name="Normal 9 27 6 2" xfId="15438" xr:uid="{3F1E5494-659F-44B9-BFE4-1124A7E5BC41}"/>
    <cellStyle name="Normal 9 27 6 4" xfId="15439" xr:uid="{4469EE8C-93DE-4D56-BFE2-88B014DB481B}"/>
    <cellStyle name="Normal 9 27 6 6" xfId="15440" xr:uid="{C9AA1770-52F5-4559-95B3-F7C628D4C589}"/>
    <cellStyle name="Normal 9 27 7 2" xfId="15441" xr:uid="{4D545533-3043-4366-BB07-1150C2DA4BE5}"/>
    <cellStyle name="Normal 9 27 7 4" xfId="15442" xr:uid="{92500F69-05F6-432B-B01D-036E50E10522}"/>
    <cellStyle name="Normal 9 27 7 6" xfId="15443" xr:uid="{78E6B6EA-DE94-44FB-8BDB-8109DA9FB788}"/>
    <cellStyle name="Normal 9 27 8 2" xfId="15444" xr:uid="{63B3426C-767D-4A8F-9461-6C2FA4A9D07C}"/>
    <cellStyle name="Normal 9 27 8 4" xfId="15445" xr:uid="{02941FFF-3C7F-45AF-BF34-FB356F16F7E7}"/>
    <cellStyle name="Normal 9 27 8 6" xfId="15446" xr:uid="{7AB9A5D1-9949-47A8-B0AA-41D54AF157AD}"/>
    <cellStyle name="Normal 9 28" xfId="15447" xr:uid="{7DAC04E8-33F5-4521-A8B7-71217C32C202}"/>
    <cellStyle name="Normal 9 28 11" xfId="15448" xr:uid="{2186D064-8FF1-4CC4-BE27-D3796502894A}"/>
    <cellStyle name="Normal 9 28 13" xfId="15449" xr:uid="{1F2AEB87-8EA7-4091-95FF-804C8466C099}"/>
    <cellStyle name="Normal 9 28 2 2" xfId="15450" xr:uid="{E1A2FE10-598E-40A9-BE24-41590B92251D}"/>
    <cellStyle name="Normal 9 28 2 4" xfId="15451" xr:uid="{706DD2F6-2753-48B1-84B2-C67CFD157425}"/>
    <cellStyle name="Normal 9 28 2 6" xfId="15452" xr:uid="{13A3985C-9CA7-4917-9C2E-C1A97EE0A190}"/>
    <cellStyle name="Normal 9 28 3 2" xfId="15453" xr:uid="{E68713AB-87C7-4FBC-A158-E8CE2D19FC1F}"/>
    <cellStyle name="Normal 9 28 3 4" xfId="15454" xr:uid="{68699435-59E5-4CB7-B422-1258F348A26C}"/>
    <cellStyle name="Normal 9 28 3 6" xfId="15455" xr:uid="{E83A09DF-7A3E-4BAB-BA56-0BA187F13A76}"/>
    <cellStyle name="Normal 9 28 4 2" xfId="15456" xr:uid="{DF942F38-1213-4B34-B7E3-35519DE48F9D}"/>
    <cellStyle name="Normal 9 28 4 4" xfId="15457" xr:uid="{15D07D13-B123-47B9-801A-AF9CAF8E5CBE}"/>
    <cellStyle name="Normal 9 28 4 6" xfId="15458" xr:uid="{DCC8A157-04FD-4EF2-B52D-47AD0DA6C0D1}"/>
    <cellStyle name="Normal 9 28 5 2" xfId="15459" xr:uid="{D69CB774-6555-49BC-A392-24D81FE17F01}"/>
    <cellStyle name="Normal 9 28 5 4" xfId="15460" xr:uid="{2F406303-801E-4FF4-A7ED-36B8032AB9E4}"/>
    <cellStyle name="Normal 9 28 5 6" xfId="15461" xr:uid="{2CF22B86-0721-4A6D-84BC-98161C22F212}"/>
    <cellStyle name="Normal 9 28 6 2" xfId="15462" xr:uid="{C58CDDCA-359C-45DD-B3F0-5110EC1BEC49}"/>
    <cellStyle name="Normal 9 28 6 4" xfId="15463" xr:uid="{4DAE32E1-159F-4520-9D24-87C6A1C196E5}"/>
    <cellStyle name="Normal 9 28 6 6" xfId="15464" xr:uid="{2ADFF6A3-4380-4333-855E-692B15035BA6}"/>
    <cellStyle name="Normal 9 28 7 2" xfId="15465" xr:uid="{1C7B12F0-DB45-4B31-AF76-475ADE46BAB5}"/>
    <cellStyle name="Normal 9 28 7 4" xfId="15466" xr:uid="{E68E68E9-0B6C-4B3A-B116-FCC65E9AE8F2}"/>
    <cellStyle name="Normal 9 28 7 6" xfId="15467" xr:uid="{92C2AFA0-AE37-4775-BBA2-7FB5A1491555}"/>
    <cellStyle name="Normal 9 28 8 2" xfId="15468" xr:uid="{B6B896D0-AA4C-4302-BDCC-914CF4827773}"/>
    <cellStyle name="Normal 9 28 8 4" xfId="15469" xr:uid="{0FFB5ABA-8A73-49BE-9068-67C61DCF9662}"/>
    <cellStyle name="Normal 9 28 8 6" xfId="15470" xr:uid="{5869D2DE-AFE0-4CC6-82B6-20E39CFE80A5}"/>
    <cellStyle name="Normal 9 29" xfId="15471" xr:uid="{1CB5FEED-5146-45CE-AA43-3A6DEAAB2D3B}"/>
    <cellStyle name="Normal 9 29 11" xfId="15472" xr:uid="{0AF045CF-D57A-49BC-B236-7D2BF4C3160C}"/>
    <cellStyle name="Normal 9 29 13" xfId="15473" xr:uid="{60D83CF1-F63F-42B4-A090-41FC653335A1}"/>
    <cellStyle name="Normal 9 29 2 2" xfId="15474" xr:uid="{A6A5A0F2-CBDE-417C-93F6-4DC34D5096FE}"/>
    <cellStyle name="Normal 9 29 2 4" xfId="15475" xr:uid="{62B7E2A9-7370-43B5-B8FF-4128F5F791A5}"/>
    <cellStyle name="Normal 9 29 3 2" xfId="15476" xr:uid="{5C3E6717-F7D3-4958-84AF-CF77B3B310B8}"/>
    <cellStyle name="Normal 9 29 3 4" xfId="15477" xr:uid="{94A7C157-7C4E-4035-B2F8-2402FA9936C2}"/>
    <cellStyle name="Normal 9 29 3 6" xfId="15478" xr:uid="{C3A37CDF-F489-4DA5-AD21-63BDFB6D651B}"/>
    <cellStyle name="Normal 9 29 4 2" xfId="15479" xr:uid="{D6922A11-1347-4EE1-84EA-6539CA97844F}"/>
    <cellStyle name="Normal 9 29 4 4" xfId="15480" xr:uid="{E0A5908B-AB84-4695-8028-942A7E15B933}"/>
    <cellStyle name="Normal 9 29 5 2" xfId="15481" xr:uid="{89E4DB3D-9C62-4320-A0E9-0225235D2D78}"/>
    <cellStyle name="Normal 9 29 5 4" xfId="15482" xr:uid="{D45B8C38-78B7-46D0-BFD2-EACAC5658DCA}"/>
    <cellStyle name="Normal 9 29 5 6" xfId="15483" xr:uid="{CDF8AC4A-59D2-4011-944E-2A9BC5FE3DDE}"/>
    <cellStyle name="Normal 9 29 6 2" xfId="15484" xr:uid="{7F036041-59BC-4C22-AEA6-9DD2C9B35682}"/>
    <cellStyle name="Normal 9 29 6 4" xfId="15485" xr:uid="{33E32226-A72F-45D2-A206-1A2F43E54CBF}"/>
    <cellStyle name="Normal 9 29 6 6" xfId="15486" xr:uid="{B61C8EEB-4EA6-45BA-B057-53845934742F}"/>
    <cellStyle name="Normal 9 29 7 2" xfId="15487" xr:uid="{0A37493A-5F98-4E58-8D68-A05F24C6C5AD}"/>
    <cellStyle name="Normal 9 29 7 4" xfId="15488" xr:uid="{96B2A80F-D7AF-44D3-AFC3-5F1561A1BBB0}"/>
    <cellStyle name="Normal 9 29 7 6" xfId="15489" xr:uid="{57A373DB-FFE7-4709-987E-C5BF07B83AD7}"/>
    <cellStyle name="Normal 9 29 8 2" xfId="15490" xr:uid="{A6CD6CFD-1626-41C8-AB61-FB7B1995817A}"/>
    <cellStyle name="Normal 9 29 8 4" xfId="15491" xr:uid="{914CBD73-FF2F-41DD-AFF6-CDD6EB1ABCA3}"/>
    <cellStyle name="Normal 9 29 8 6" xfId="15492" xr:uid="{4111564C-FD9E-4B6C-8544-FACDFD462019}"/>
    <cellStyle name="Normal 9 3" xfId="15493" xr:uid="{790BF612-F3A7-4B20-BA6A-B1739B91E62B}"/>
    <cellStyle name="Normal 9 3 11" xfId="15494" xr:uid="{9C065A65-E671-4F41-AB44-6075BE034570}"/>
    <cellStyle name="Normal 9 3 13" xfId="15495" xr:uid="{1E210054-ACB6-42DB-AB44-F38380D78FB1}"/>
    <cellStyle name="Normal 9 3 2" xfId="15496" xr:uid="{648688CB-73A8-4573-A62F-7B1ACFA9EF54}"/>
    <cellStyle name="Normal 9 3 2 3" xfId="15497" xr:uid="{0A0B6651-E66C-4E2E-99F0-EA792C2ADFBA}"/>
    <cellStyle name="Normal 9 3 2 5" xfId="15498" xr:uid="{3DEE31BF-227B-42BF-9694-D13DD670A8D7}"/>
    <cellStyle name="Normal 9 3 3" xfId="15499" xr:uid="{ADFA4AB7-8BC2-494E-966A-A78227A05FAD}"/>
    <cellStyle name="Normal 9 3 3 3" xfId="15500" xr:uid="{8BC46544-E9A2-4BA4-8E98-28876DBFC710}"/>
    <cellStyle name="Normal 9 3 3 5" xfId="15501" xr:uid="{96BDF089-500A-41CB-B7B7-FA6DC8D7363B}"/>
    <cellStyle name="Normal 9 3 4" xfId="15502" xr:uid="{13B0DDD0-CF4B-4637-98A6-902194B0FD35}"/>
    <cellStyle name="Normal 9 3 4 3" xfId="15503" xr:uid="{C28AB18D-20FB-4B72-8606-390F19406894}"/>
    <cellStyle name="Normal 9 3 4 5" xfId="15504" xr:uid="{731D05A8-E38F-415E-A73B-DA3ADEF02EE6}"/>
    <cellStyle name="Normal 9 3 5" xfId="15505" xr:uid="{46976EED-283B-4186-9CDF-8A94F21DB48E}"/>
    <cellStyle name="Normal 9 3 5 3" xfId="15506" xr:uid="{D3AD2B3B-ED41-4233-BA50-FB53F3609AD7}"/>
    <cellStyle name="Normal 9 3 5 5" xfId="15507" xr:uid="{CB5705CA-3E0A-4736-8B10-6725D1D59891}"/>
    <cellStyle name="Normal 9 3 6" xfId="15508" xr:uid="{B66ECA2C-6E79-4BB7-BBFB-91B6581F68E1}"/>
    <cellStyle name="Normal 9 3 6 3" xfId="15509" xr:uid="{80008DB4-5C38-492A-B50A-757AA1B616B2}"/>
    <cellStyle name="Normal 9 3 6 5" xfId="15510" xr:uid="{4C4D7B4C-AE25-4BCD-AA55-CB27F17A25ED}"/>
    <cellStyle name="Normal 9 3 7" xfId="15511" xr:uid="{60ABB9B4-A994-4110-84A9-3C1B4EEE61FA}"/>
    <cellStyle name="Normal 9 3 7 3" xfId="15512" xr:uid="{CD379A96-2CD8-4619-B010-3552F901B63A}"/>
    <cellStyle name="Normal 9 3 7 5" xfId="15513" xr:uid="{AE540DC0-1F69-4D7F-8FF2-8BB8C4D9932D}"/>
    <cellStyle name="Normal 9 3 8" xfId="15514" xr:uid="{93130197-D4EF-485F-8461-84F58282EAE8}"/>
    <cellStyle name="Normal 9 3 8 3" xfId="15515" xr:uid="{833958F6-B8F2-4E6F-B3B0-A7C3AAB0CAE0}"/>
    <cellStyle name="Normal 9 3 8 5" xfId="15516" xr:uid="{821B6D4D-C553-4E05-8D78-64ADA8810B6A}"/>
    <cellStyle name="Normal 9 3 9" xfId="15517" xr:uid="{AF65B2C8-BE52-4AE9-B17B-70892640D0F6}"/>
    <cellStyle name="Normal 9 30 10" xfId="15518" xr:uid="{6F9D9A0F-C367-4B45-B672-BC42550FD9A0}"/>
    <cellStyle name="Normal 9 30 12" xfId="15519" xr:uid="{8C75AA45-BEAC-4F71-832B-589DE753E818}"/>
    <cellStyle name="Normal 9 30 2" xfId="15520" xr:uid="{F6367234-C758-49CF-8670-E81633B6396E}"/>
    <cellStyle name="Normal 9 30 2 3" xfId="15521" xr:uid="{7D2D9F34-06BF-45C6-AFC8-B8CFCCEA9C02}"/>
    <cellStyle name="Normal 9 30 2 5" xfId="15522" xr:uid="{F5F16D0F-36FE-434B-A4DC-6552287C48B9}"/>
    <cellStyle name="Normal 9 30 3" xfId="15523" xr:uid="{1DBA81CB-5D59-41AA-A8AA-B0281496CA04}"/>
    <cellStyle name="Normal 9 30 3 3" xfId="15524" xr:uid="{D31F0272-C5CA-443E-ACB3-92879C872281}"/>
    <cellStyle name="Normal 9 30 3 5" xfId="15525" xr:uid="{3BD160F0-6B7B-4F7A-8703-587447E33853}"/>
    <cellStyle name="Normal 9 30 4" xfId="15526" xr:uid="{5DA33230-A3D5-45AF-A1EA-922C7E525831}"/>
    <cellStyle name="Normal 9 30 4 3" xfId="15527" xr:uid="{292DD8FE-7EA7-48E6-9339-5F9E38A7C5CC}"/>
    <cellStyle name="Normal 9 30 4 5" xfId="15528" xr:uid="{C6C0B631-3D70-47C9-9E00-F1C113BE050A}"/>
    <cellStyle name="Normal 9 30 5" xfId="15529" xr:uid="{D7C84826-D054-416E-98F5-A4CB97338324}"/>
    <cellStyle name="Normal 9 30 5 3" xfId="15530" xr:uid="{5E93467A-CA87-4299-A18F-E3F5945BAA4D}"/>
    <cellStyle name="Normal 9 30 5 5" xfId="15531" xr:uid="{886DFB41-95AD-40E9-85B2-C15A1D4CC695}"/>
    <cellStyle name="Normal 9 30 6" xfId="15532" xr:uid="{B8390D4D-A79C-4B8E-887C-BBD1645916EA}"/>
    <cellStyle name="Normal 9 30 6 3" xfId="15533" xr:uid="{3DA47DA8-A897-4B07-A903-9E59D7737B8A}"/>
    <cellStyle name="Normal 9 30 6 5" xfId="15534" xr:uid="{BE33C8D5-44DE-4960-949B-A65E593881EB}"/>
    <cellStyle name="Normal 9 30 7" xfId="15535" xr:uid="{E412F12D-8618-4AE8-B331-BF697FAE1457}"/>
    <cellStyle name="Normal 9 30 7 3" xfId="15536" xr:uid="{6BE67194-39DA-49A5-86D2-60C0758E36E1}"/>
    <cellStyle name="Normal 9 30 7 5" xfId="15537" xr:uid="{77214486-B188-4D48-9B4E-217BD11D9AFB}"/>
    <cellStyle name="Normal 9 30 8" xfId="15538" xr:uid="{1F108EA7-300F-439E-9D7D-356644E94EE9}"/>
    <cellStyle name="Normal 9 30 8 3" xfId="15539" xr:uid="{EF724397-035F-461C-9760-CD59A3387E03}"/>
    <cellStyle name="Normal 9 30 9" xfId="15540" xr:uid="{7A99317E-32DC-4CA1-ABC0-D5D8F4096ED3}"/>
    <cellStyle name="Normal 9 31 12" xfId="15541" xr:uid="{07ECC294-2238-401C-86B3-DDB52C746E5C}"/>
    <cellStyle name="Normal 9 31 2" xfId="15542" xr:uid="{298645FD-30C1-4575-B3AB-FA0BFBAA5220}"/>
    <cellStyle name="Normal 9 31 2 3" xfId="15543" xr:uid="{610A00DE-20B2-48CE-A59B-EFBCF640EDBB}"/>
    <cellStyle name="Normal 9 31 2 5" xfId="15544" xr:uid="{969468C3-B59A-4097-BEFC-475DACF2E0A3}"/>
    <cellStyle name="Normal 9 31 3" xfId="15545" xr:uid="{2DEE92DC-DA7A-4553-8E4B-CD34241DF70D}"/>
    <cellStyle name="Normal 9 31 3 3" xfId="15546" xr:uid="{AEF92154-2E1E-4C7F-8B15-1842F4500D71}"/>
    <cellStyle name="Normal 9 31 3 5" xfId="15547" xr:uid="{1907048A-F0A0-4EDD-9B48-F7C51FF76BB3}"/>
    <cellStyle name="Normal 9 31 4" xfId="15548" xr:uid="{CCE95DED-D219-40EC-8904-CB9170E5F5BE}"/>
    <cellStyle name="Normal 9 31 4 3" xfId="15549" xr:uid="{69188730-9D31-4758-AC51-F42FF31A6C51}"/>
    <cellStyle name="Normal 9 31 4 5" xfId="15550" xr:uid="{A3C63B6E-C777-448C-99A8-0D598EB415F7}"/>
    <cellStyle name="Normal 9 31 5" xfId="15551" xr:uid="{487CF1C7-B140-435A-92DF-17E0F69495DC}"/>
    <cellStyle name="Normal 9 31 5 3" xfId="15552" xr:uid="{A40DA32E-C346-4432-BF05-03775E389EBF}"/>
    <cellStyle name="Normal 9 31 5 5" xfId="15553" xr:uid="{BA3AAB93-10A9-4160-B195-2AEFD4533695}"/>
    <cellStyle name="Normal 9 31 6" xfId="15554" xr:uid="{98598968-063F-41CD-A78E-3945E4CE369D}"/>
    <cellStyle name="Normal 9 31 6 3" xfId="15555" xr:uid="{A19664F9-BFA7-4BF2-A6B3-6E1F4838F137}"/>
    <cellStyle name="Normal 9 31 6 5" xfId="15556" xr:uid="{6D7CA6BA-DA2B-497C-9303-29694B1A8D96}"/>
    <cellStyle name="Normal 9 31 7" xfId="15557" xr:uid="{35E258C3-DFD6-4AFC-A45C-1C68CA78EE62}"/>
    <cellStyle name="Normal 9 31 7 3" xfId="15558" xr:uid="{0180C1AE-4C8C-4B7F-A04F-D7D8537F96DF}"/>
    <cellStyle name="Normal 9 31 7 5" xfId="15559" xr:uid="{A260890A-50DF-4CD1-8DA0-7422BE5D15A6}"/>
    <cellStyle name="Normal 9 31 8" xfId="15560" xr:uid="{C9497013-F12C-4A15-B534-689116586FDC}"/>
    <cellStyle name="Normal 9 31 8 3" xfId="15561" xr:uid="{1294FF93-E38F-4EB3-8D86-A03189D89E48}"/>
    <cellStyle name="Normal 9 31 8 5" xfId="15562" xr:uid="{D77299F1-15A0-42BA-935B-4AB818528DC9}"/>
    <cellStyle name="Normal 9 31 9" xfId="15563" xr:uid="{5C2FCA89-04E9-4552-A76C-4C2D8220E291}"/>
    <cellStyle name="Normal 9 32 10" xfId="15564" xr:uid="{3A773A3B-04DB-4525-A3F7-F33296C69CD1}"/>
    <cellStyle name="Normal 9 32 12" xfId="15565" xr:uid="{806FE0FA-AC06-49B5-B995-450701D5C9FC}"/>
    <cellStyle name="Normal 9 32 2" xfId="15566" xr:uid="{ECBA7AC4-D2E2-4306-8D38-0D9998ABF1F5}"/>
    <cellStyle name="Normal 9 32 2 3" xfId="15567" xr:uid="{9E0682EC-5E4D-4935-B9B9-691EAD51056C}"/>
    <cellStyle name="Normal 9 32 2 5" xfId="15568" xr:uid="{6FFB7400-C2B2-4E09-8BA4-7044AD88B9A4}"/>
    <cellStyle name="Normal 9 32 3" xfId="15569" xr:uid="{A2E3C964-F144-4A21-926A-9AB4D3E56CF3}"/>
    <cellStyle name="Normal 9 32 3 3" xfId="15570" xr:uid="{4DAC7172-8334-49B0-AE57-64B82FDCE48C}"/>
    <cellStyle name="Normal 9 32 3 5" xfId="15571" xr:uid="{1044B3D8-BB64-46F2-8DE6-1B13AEF493EE}"/>
    <cellStyle name="Normal 9 32 4" xfId="15572" xr:uid="{011E06C4-AEB1-4C49-93F5-B463E7E61581}"/>
    <cellStyle name="Normal 9 32 4 3" xfId="15573" xr:uid="{44586A8C-78D4-431E-8F75-19C9A5E6F757}"/>
    <cellStyle name="Normal 9 32 4 5" xfId="15574" xr:uid="{B2DEE107-AAFC-4B28-804A-A30153122C49}"/>
    <cellStyle name="Normal 9 32 5" xfId="15575" xr:uid="{7F6A08FE-34EA-4D0A-BC11-1BEC39F4398F}"/>
    <cellStyle name="Normal 9 32 5 3" xfId="15576" xr:uid="{765E6C50-CD6F-46C9-B87C-EAF35BA7EF31}"/>
    <cellStyle name="Normal 9 32 5 5" xfId="15577" xr:uid="{E63EAAF3-7E3F-415D-A6B3-10D5EBE9E993}"/>
    <cellStyle name="Normal 9 32 6" xfId="15578" xr:uid="{41E03F20-96A7-402D-84F2-4815B86D69EC}"/>
    <cellStyle name="Normal 9 32 6 3" xfId="15579" xr:uid="{CD4C9738-70B6-4744-8DC6-C11AF41E91A8}"/>
    <cellStyle name="Normal 9 32 6 5" xfId="15580" xr:uid="{23E3D8A0-07F3-48EF-B24E-7F0A7B3EBC11}"/>
    <cellStyle name="Normal 9 32 7" xfId="15581" xr:uid="{C0816DFA-7E30-440A-B2C4-89D7430C3EBA}"/>
    <cellStyle name="Normal 9 32 7 3" xfId="15582" xr:uid="{868E3B59-15CD-43DE-9821-23425E8E580B}"/>
    <cellStyle name="Normal 9 32 7 5" xfId="15583" xr:uid="{716A756D-F7AC-411C-B7AA-EE1EDEBA1A3B}"/>
    <cellStyle name="Normal 9 32 8" xfId="15584" xr:uid="{70042052-5875-4EF2-89DF-A1EA9739E878}"/>
    <cellStyle name="Normal 9 32 8 3" xfId="15585" xr:uid="{1A390B23-283B-4D04-BD08-D664FAA6860B}"/>
    <cellStyle name="Normal 9 32 8 5" xfId="15586" xr:uid="{95064166-179B-440E-A0CD-D288C449BA4F}"/>
    <cellStyle name="Normal 9 32 9" xfId="15587" xr:uid="{AEE74D6F-764A-4AF0-87B3-6AEB571A40C0}"/>
    <cellStyle name="Normal 9 33 10" xfId="15588" xr:uid="{B322657B-8709-4439-88F9-76CFD5A864FF}"/>
    <cellStyle name="Normal 9 33 12" xfId="15589" xr:uid="{FF009DB3-E287-43E9-BA55-B7170F5EE40F}"/>
    <cellStyle name="Normal 9 33 2" xfId="15590" xr:uid="{BB9F2B84-5B8F-414E-B52F-4F4522A57D6B}"/>
    <cellStyle name="Normal 9 33 2 3" xfId="15591" xr:uid="{A44310FE-4662-4442-AAD7-B82CC388FFE3}"/>
    <cellStyle name="Normal 9 33 2 5" xfId="15592" xr:uid="{2DE6526B-1A0A-4FC5-AE27-73390E03433A}"/>
    <cellStyle name="Normal 9 33 3" xfId="15593" xr:uid="{6D25D784-2C25-44AF-80F9-DDBBC1A02DB3}"/>
    <cellStyle name="Normal 9 33 3 3" xfId="15594" xr:uid="{5E15217A-F189-4A6B-8771-5B847FA35BC9}"/>
    <cellStyle name="Normal 9 33 3 5" xfId="15595" xr:uid="{3F6DB30C-3353-4E79-9ADF-B29AD7DA66D9}"/>
    <cellStyle name="Normal 9 33 4" xfId="15596" xr:uid="{6331A980-E596-4408-B997-B8668CCC3A6C}"/>
    <cellStyle name="Normal 9 33 4 3" xfId="15597" xr:uid="{2CF0FFE9-ECC6-4ED7-A0AF-399951942C52}"/>
    <cellStyle name="Normal 9 33 4 5" xfId="15598" xr:uid="{B4501F41-513E-4A64-A4FC-E4EB283E8F5C}"/>
    <cellStyle name="Normal 9 33 5" xfId="15599" xr:uid="{4B91A401-2975-45FA-B8F5-E889EBEB5559}"/>
    <cellStyle name="Normal 9 33 5 3" xfId="15600" xr:uid="{97F8A7BB-6ABC-4455-B156-F4E016A5B909}"/>
    <cellStyle name="Normal 9 33 5 5" xfId="15601" xr:uid="{D9A87FA6-C510-43F1-A36F-4506E3547F58}"/>
    <cellStyle name="Normal 9 33 6" xfId="15602" xr:uid="{9A2EE0AA-55DF-4192-82E5-629D6BF820E0}"/>
    <cellStyle name="Normal 9 33 6 3" xfId="15603" xr:uid="{F52331D0-842A-4F2C-994B-D28D439E585D}"/>
    <cellStyle name="Normal 9 33 6 5" xfId="15604" xr:uid="{C3108102-BD79-496E-85AA-6C3B447DDE1A}"/>
    <cellStyle name="Normal 9 33 7" xfId="15605" xr:uid="{30404DEF-B46C-448B-973A-18A330F6B7B1}"/>
    <cellStyle name="Normal 9 33 7 3" xfId="15606" xr:uid="{88B797F6-4274-4B1D-8D73-180E3E09E58A}"/>
    <cellStyle name="Normal 9 33 7 5" xfId="15607" xr:uid="{1467CBE3-24AD-4C45-A12A-C990083216B7}"/>
    <cellStyle name="Normal 9 33 8" xfId="15608" xr:uid="{FAAAF408-1EB4-4EE1-AD4B-DB87C4F7D4B8}"/>
    <cellStyle name="Normal 9 33 8 3" xfId="15609" xr:uid="{4C450F7A-2779-44AB-AD07-9F1B43E7E82A}"/>
    <cellStyle name="Normal 9 33 8 5" xfId="15610" xr:uid="{21A2FB93-59F7-4626-8136-96245A903176}"/>
    <cellStyle name="Normal 9 33 9" xfId="15611" xr:uid="{DA5480F3-E01D-4140-88AC-6597684C087C}"/>
    <cellStyle name="Normal 9 34 2" xfId="15612" xr:uid="{B0D83A87-E00E-48B5-896A-3F41D2E8BBA8}"/>
    <cellStyle name="Normal 9 34 4" xfId="15613" xr:uid="{05885EF4-F676-414F-BC08-EEFA5F01DEFD}"/>
    <cellStyle name="Normal 9 34 6" xfId="15614" xr:uid="{E0AA2372-1B46-4615-A844-DA0701A5E3BE}"/>
    <cellStyle name="Normal 9 35 2" xfId="15615" xr:uid="{392170F9-D8F5-4ECB-823F-93475C9EB39D}"/>
    <cellStyle name="Normal 9 35 4" xfId="15616" xr:uid="{81F647A6-9ECB-4F34-AAA2-1815BED5DE8C}"/>
    <cellStyle name="Normal 9 35 6" xfId="15617" xr:uid="{851D9AEA-7978-4F87-9400-5B5BAF139D92}"/>
    <cellStyle name="Normal 9 36 2" xfId="15618" xr:uid="{819F0765-4FD0-46F0-A79E-08BA9A74429D}"/>
    <cellStyle name="Normal 9 36 4" xfId="15619" xr:uid="{E9E8EAFA-8DF7-43CB-A441-75F314AEEAC8}"/>
    <cellStyle name="Normal 9 36 6" xfId="15620" xr:uid="{8E0581B6-E90E-4224-B4B7-8A9BBF12B37C}"/>
    <cellStyle name="Normal 9 37 2" xfId="15621" xr:uid="{AC7CFCD7-0464-4E8C-A7ED-0187CB914907}"/>
    <cellStyle name="Normal 9 37 4" xfId="15622" xr:uid="{F5C326D4-2D4E-4B0A-A370-A40BCB2B69FD}"/>
    <cellStyle name="Normal 9 37 6" xfId="15623" xr:uid="{6D39DCD0-E83A-4102-86AA-2DA57B729990}"/>
    <cellStyle name="Normal 9 38 2" xfId="15624" xr:uid="{9B3133D3-A777-469A-A12F-03B01B94ED19}"/>
    <cellStyle name="Normal 9 38 4" xfId="15625" xr:uid="{C88389B1-3A9C-4864-89D9-830AC43EE451}"/>
    <cellStyle name="Normal 9 38 6" xfId="15626" xr:uid="{527D17BE-1D66-4AE5-AB9E-7760A7FC9743}"/>
    <cellStyle name="Normal 9 39 2" xfId="15627" xr:uid="{D0973B78-FDE0-45B0-BBCE-6CC885FA1004}"/>
    <cellStyle name="Normal 9 39 6" xfId="15628" xr:uid="{09DBE6E7-91D3-4DDE-A1A1-EC145B21066F}"/>
    <cellStyle name="Normal 9 4 10" xfId="15629" xr:uid="{C6B14028-2382-424A-BA96-F81A93691591}"/>
    <cellStyle name="Normal 9 4 12" xfId="15630" xr:uid="{90417A9D-4B7C-4B1F-8DB8-819AAAD791E4}"/>
    <cellStyle name="Normal 9 4 2" xfId="15631" xr:uid="{3327F462-DC75-49C5-9793-CDA455EE13BA}"/>
    <cellStyle name="Normal 9 4 2 3" xfId="15632" xr:uid="{5D07B86D-B899-47EC-9FD4-67CEC98D0DDD}"/>
    <cellStyle name="Normal 9 4 2 5" xfId="15633" xr:uid="{807272C7-0FB0-4584-92EC-5240133C0F55}"/>
    <cellStyle name="Normal 9 4 3" xfId="15634" xr:uid="{CC2B4279-4033-4D48-8F16-0DB33D9A4841}"/>
    <cellStyle name="Normal 9 4 3 3" xfId="15635" xr:uid="{EECF7564-D068-4058-9599-0FE49084A46D}"/>
    <cellStyle name="Normal 9 4 3 5" xfId="15636" xr:uid="{32142090-3DAB-4E93-A8E8-6C1B9371274E}"/>
    <cellStyle name="Normal 9 4 4" xfId="15637" xr:uid="{FFD7B0A1-A715-4028-A616-B2B9898B9AF5}"/>
    <cellStyle name="Normal 9 4 4 3" xfId="15638" xr:uid="{9425041F-063B-4432-9916-6A1E6862F76A}"/>
    <cellStyle name="Normal 9 4 4 5" xfId="15639" xr:uid="{F8BBAAF2-0902-46AB-8E01-D2126655863E}"/>
    <cellStyle name="Normal 9 4 5" xfId="15640" xr:uid="{D270F7A2-5160-44F7-A99F-03D743FE0FD6}"/>
    <cellStyle name="Normal 9 4 5 3" xfId="15641" xr:uid="{D9A6C9EC-E842-45E0-9462-4016A210889E}"/>
    <cellStyle name="Normal 9 4 5 5" xfId="15642" xr:uid="{8D8537E5-CABE-4EA4-9F58-98481F5121EC}"/>
    <cellStyle name="Normal 9 4 6" xfId="15643" xr:uid="{DC8BFE60-5C50-40C8-84F1-E23D7C8A9DDF}"/>
    <cellStyle name="Normal 9 4 6 3" xfId="15644" xr:uid="{91249A5D-D961-49DB-9A96-47C47143920E}"/>
    <cellStyle name="Normal 9 4 6 5" xfId="15645" xr:uid="{D420E23B-C891-4308-923B-DFEA44293774}"/>
    <cellStyle name="Normal 9 4 7" xfId="15646" xr:uid="{DF86CEBD-9A3E-420F-9EE7-97FD43705A91}"/>
    <cellStyle name="Normal 9 4 7 3" xfId="15647" xr:uid="{A1B77A0B-4233-495F-92CE-6DE6BD2A7BC9}"/>
    <cellStyle name="Normal 9 4 7 5" xfId="15648" xr:uid="{39324DEA-ADE5-4619-9BA8-A683FF9F6BDB}"/>
    <cellStyle name="Normal 9 4 8" xfId="15649" xr:uid="{B9821852-B11D-4950-AD91-A9C3409A6603}"/>
    <cellStyle name="Normal 9 4 8 3" xfId="15650" xr:uid="{CCDEA668-75E7-4E31-B2E6-D70673238183}"/>
    <cellStyle name="Normal 9 4 8 5" xfId="15651" xr:uid="{0E8C57AD-DE9B-459F-AFD7-40BC319C7AD8}"/>
    <cellStyle name="Normal 9 4 9" xfId="15652" xr:uid="{990CA899-5AA1-40E1-A3E7-A66302DA18DC}"/>
    <cellStyle name="Normal 9 40 2" xfId="15653" xr:uid="{893A26F9-E394-4232-BDF4-AD7A43C491E2}"/>
    <cellStyle name="Normal 9 40 4" xfId="15654" xr:uid="{40A09476-D73F-4F6C-AF6C-1786787636FE}"/>
    <cellStyle name="Normal 9 40 6" xfId="15655" xr:uid="{0CD70CFA-33E0-4AB0-8455-B7764A1B2824}"/>
    <cellStyle name="Normal 9 42" xfId="15656" xr:uid="{DE083456-B14B-484E-862A-5CD89A2620FC}"/>
    <cellStyle name="Normal 9 44" xfId="15657" xr:uid="{4F0E7BB5-44A8-48F7-AE61-65483901B024}"/>
    <cellStyle name="Normal 9 46" xfId="15658" xr:uid="{78F7AF4E-65B9-45B4-B737-CCA46F4A109B}"/>
    <cellStyle name="Normal 9 5 10" xfId="15659" xr:uid="{DA7ABE83-6C59-4D74-B79C-6DE11B0BE3B1}"/>
    <cellStyle name="Normal 9 5 12" xfId="15660" xr:uid="{5348D207-2BB1-4381-AF08-F003441F2C9E}"/>
    <cellStyle name="Normal 9 5 2" xfId="15661" xr:uid="{9E534D4F-DF1A-4737-B344-A712D2BE83FD}"/>
    <cellStyle name="Normal 9 5 2 3" xfId="15662" xr:uid="{ABE679E7-B60E-4AC8-8778-EB17AEED2AE3}"/>
    <cellStyle name="Normal 9 5 2 5" xfId="15663" xr:uid="{DE5362F2-DE6A-45BD-BA68-0A390B1B11CC}"/>
    <cellStyle name="Normal 9 5 3" xfId="15664" xr:uid="{607AC3A5-8549-4019-81B7-2EAFD78DDA50}"/>
    <cellStyle name="Normal 9 5 3 3" xfId="15665" xr:uid="{39AF984E-2C91-42DD-97A1-C4A59C1473CC}"/>
    <cellStyle name="Normal 9 5 3 5" xfId="15666" xr:uid="{E4EFD14E-8522-4BD4-B120-D6F3A70633C9}"/>
    <cellStyle name="Normal 9 5 4" xfId="15667" xr:uid="{EEFCCAF7-3DAA-408F-8D45-50808F0969E9}"/>
    <cellStyle name="Normal 9 5 4 3" xfId="15668" xr:uid="{22EC447E-DD35-49D7-8047-A313FE49FF73}"/>
    <cellStyle name="Normal 9 5 4 4" xfId="15669" xr:uid="{732B9EB5-F320-4DBB-A947-AFF37973F0F0}"/>
    <cellStyle name="Normal 9 5 4 5" xfId="15670" xr:uid="{15300F66-0D9D-465B-82D4-BEA67FB74922}"/>
    <cellStyle name="Normal 9 5 4 6" xfId="15671" xr:uid="{4004D45E-1B25-41C4-8D6D-4F9045C06A2F}"/>
    <cellStyle name="Normal 9 5 5" xfId="15672" xr:uid="{3EFCFE3D-48AC-47A7-95B3-8B6E803C85C2}"/>
    <cellStyle name="Normal 9 5 5 2" xfId="15673" xr:uid="{BB19587E-FC8A-43C0-8A45-022E325AF71C}"/>
    <cellStyle name="Normal 9 5 5 4" xfId="15674" xr:uid="{B247AFFA-5651-4F75-8212-25DF20619FAF}"/>
    <cellStyle name="Normal 9 5 5 6" xfId="15675" xr:uid="{AE855E67-7481-4B4C-8FA1-B10F4A5925A0}"/>
    <cellStyle name="Normal 9 5 6 2" xfId="15676" xr:uid="{6D1CE1BF-179D-4CED-BD9E-6FB4E1C5DCAC}"/>
    <cellStyle name="Normal 9 5 6 3" xfId="15677" xr:uid="{D26019F0-2D0C-4125-83D5-9BFA8166225B}"/>
    <cellStyle name="Normal 9 5 6 4" xfId="15678" xr:uid="{98C1C5C9-7D5B-4E13-A724-19CC59D57D00}"/>
    <cellStyle name="Normal 9 5 6 5" xfId="15679" xr:uid="{9DA2D09D-1321-4D96-97B1-E79EAEC1B6C3}"/>
    <cellStyle name="Normal 9 5 7" xfId="15680" xr:uid="{50861A41-F5D6-4A33-B900-831E4D9E576A}"/>
    <cellStyle name="Normal 9 5 7 3" xfId="15681" xr:uid="{91ECBDBC-60A0-45FD-9F60-F9B31D582C14}"/>
    <cellStyle name="Normal 9 5 7 5" xfId="15682" xr:uid="{F5EE2E68-CFA5-465E-813A-0943E830C399}"/>
    <cellStyle name="Normal 9 5 8" xfId="15683" xr:uid="{03BB12B7-9065-44BA-8FC1-636E927AB5D2}"/>
    <cellStyle name="Normal 9 5 8 2" xfId="15684" xr:uid="{27B21783-F2DD-4A17-A5F8-919B19119D3A}"/>
    <cellStyle name="Normal 9 5 8 4" xfId="15685" xr:uid="{A13B0503-E642-4BE7-92FC-580137864041}"/>
    <cellStyle name="Normal 9 5 8 6" xfId="15686" xr:uid="{8D617283-8D50-4BE8-BB96-F3BF8EB708C5}"/>
    <cellStyle name="Normal 9 6" xfId="15687" xr:uid="{55A2525B-8B83-4BF4-9E1D-E535523AD6E2}"/>
    <cellStyle name="Normal 9 6 11" xfId="15688" xr:uid="{2697C2B6-3AF6-4F9B-8553-2FAEB1CF5EA1}"/>
    <cellStyle name="Normal 9 6 13" xfId="15689" xr:uid="{BF8E2518-A935-4C07-903D-0353D5B01A0C}"/>
    <cellStyle name="Normal 9 6 2 2" xfId="15690" xr:uid="{52A701AA-72E2-43A0-BA46-82AC2025E9CD}"/>
    <cellStyle name="Normal 9 6 2 6" xfId="15691" xr:uid="{DB49DC83-495D-43DF-9F5B-49ED541F3BE6}"/>
    <cellStyle name="Normal 9 6 3 2" xfId="15692" xr:uid="{AA0BCEEF-7186-4D74-8FE7-243CE26D3C69}"/>
    <cellStyle name="Normal 9 6 3 4" xfId="15693" xr:uid="{9203C4BC-84D8-45E0-8ADA-42D2A915DDEA}"/>
    <cellStyle name="Normal 9 6 3 6" xfId="15694" xr:uid="{1E4017D5-323D-487F-879C-B4D7BFDDC939}"/>
    <cellStyle name="Normal 9 6 4 2" xfId="15695" xr:uid="{83A08FD8-E89C-4215-AC39-2C81990BC032}"/>
    <cellStyle name="Normal 9 6 4 4" xfId="15696" xr:uid="{50407D09-1031-401B-9755-44AF8500D0EE}"/>
    <cellStyle name="Normal 9 6 5 2" xfId="15697" xr:uid="{40C65F07-7A40-43CE-9B2A-DB746D1CEC7E}"/>
    <cellStyle name="Normal 9 6 5 4" xfId="15698" xr:uid="{D94CFBBF-39E2-4BC6-88A7-85BB6818405C}"/>
    <cellStyle name="Normal 9 6 5 6" xfId="15699" xr:uid="{B4A7A473-E864-4DAB-8AF6-9BBC268306C2}"/>
    <cellStyle name="Normal 9 6 6 2" xfId="15700" xr:uid="{660800E3-D827-47F5-AF55-2F10955D9380}"/>
    <cellStyle name="Normal 9 6 6 4" xfId="15701" xr:uid="{4F1E8180-76C8-4435-9947-AE8124E149E8}"/>
    <cellStyle name="Normal 9 6 6 6" xfId="15702" xr:uid="{75D968B9-F385-4B2B-81D4-48BB07569B45}"/>
    <cellStyle name="Normal 9 6 7 4" xfId="15703" xr:uid="{F84F1673-3915-4F37-BA46-D92B6B2988BC}"/>
    <cellStyle name="Normal 9 6 7 6" xfId="15704" xr:uid="{95F741B0-20FD-4A30-A49E-9EAC037FBA49}"/>
    <cellStyle name="Normal 9 6 8 2" xfId="15705" xr:uid="{D6EC35E8-75AC-48B9-8B70-BA25CD0D17BA}"/>
    <cellStyle name="Normal 9 6 8 4" xfId="15706" xr:uid="{AF4915B3-C429-4102-8373-E19AADD50842}"/>
    <cellStyle name="Normal 9 6 8 6" xfId="15707" xr:uid="{FE168C21-D449-4B81-9D6A-DACA6B7346FA}"/>
    <cellStyle name="Normal 9 7" xfId="15708" xr:uid="{4FEDAEAD-2CBD-497F-8D91-AB6B008EAC9C}"/>
    <cellStyle name="Normal 9 7 11" xfId="15709" xr:uid="{1BB2EBB8-8420-4F33-A442-F1854175B17F}"/>
    <cellStyle name="Normal 9 7 13" xfId="15710" xr:uid="{6FD148FB-ABD7-42A9-B2B8-56B0D8D1869F}"/>
    <cellStyle name="Normal 9 7 2 2" xfId="15711" xr:uid="{670823E7-5A14-4E7C-8527-8D34D7DA73CD}"/>
    <cellStyle name="Normal 9 7 2 4" xfId="15712" xr:uid="{85A4F7C7-EB4C-41F8-9BBA-9CBE3A31B90F}"/>
    <cellStyle name="Normal 9 7 2 6" xfId="15713" xr:uid="{09575CD1-800D-41DF-B1C0-6E609EDAD32F}"/>
    <cellStyle name="Normal 9 7 3 2" xfId="15714" xr:uid="{84D09098-23DE-4D80-A394-35CD00A963D4}"/>
    <cellStyle name="Normal 9 7 3 4" xfId="15715" xr:uid="{44D7F55A-FB32-4629-8F1A-D758AE8AD92B}"/>
    <cellStyle name="Normal 9 7 3 6" xfId="15716" xr:uid="{62896C66-EE29-4FE6-B7F9-65983B305999}"/>
    <cellStyle name="Normal 9 7 4 2" xfId="15717" xr:uid="{F7CEA8FC-A246-4873-B78F-5FDCDA29BE64}"/>
    <cellStyle name="Normal 9 7 4 4" xfId="15718" xr:uid="{079DCE3C-FD8B-44B5-8D5C-8BBEA68B93C7}"/>
    <cellStyle name="Normal 9 7 4 6" xfId="15719" xr:uid="{77AE9441-0A26-49FC-8B2D-7CF267CA2FD9}"/>
    <cellStyle name="Normal 9 7 5 2" xfId="15720" xr:uid="{339EDB25-145D-48A9-B8B0-D75B343FC506}"/>
    <cellStyle name="Normal 9 7 5 4" xfId="15721" xr:uid="{2ED6152E-EC01-4973-8888-95A1858730F5}"/>
    <cellStyle name="Normal 9 7 5 6" xfId="15722" xr:uid="{0A3FA681-B076-4B40-BEEA-433EEFC6932C}"/>
    <cellStyle name="Normal 9 7 6 2" xfId="15723" xr:uid="{988F898B-7227-4CB4-9D63-095C5E6FC783}"/>
    <cellStyle name="Normal 9 7 6 4" xfId="15724" xr:uid="{12288AAD-65AC-4790-9F79-0C1A66A8E9CA}"/>
    <cellStyle name="Normal 9 7 6 5" xfId="15725" xr:uid="{07D7D1C8-CF4F-415D-BEAB-F4E64C532CC3}"/>
    <cellStyle name="Normal 9 7 6 6" xfId="15726" xr:uid="{9FB35971-FFA2-4A9C-96FE-E051AB288191}"/>
    <cellStyle name="Normal 9 7 7" xfId="15727" xr:uid="{E7F43333-2BB3-4AF3-9C84-854E1B74DCE1}"/>
    <cellStyle name="Normal 9 7 7 2" xfId="15728" xr:uid="{9C5B13E3-9118-4C26-A39C-3BF248C8B6B5}"/>
    <cellStyle name="Normal 9 7 7 3" xfId="15729" xr:uid="{48D3BABF-7EAB-4B97-BDB6-5D5C444C5F66}"/>
    <cellStyle name="Normal 9 7 7 4" xfId="15730" xr:uid="{8DBCDE7F-5653-4336-B9EC-F16E939C904B}"/>
    <cellStyle name="Normal 9 7 7 5" xfId="15731" xr:uid="{B415C4A5-3BFC-4E0A-B7DF-F45D8C6601C4}"/>
    <cellStyle name="Normal 9 7 7 6" xfId="15732" xr:uid="{DF4CA5C2-CEB8-4EB0-9B2D-484826B96B29}"/>
    <cellStyle name="Normal 9 7 8" xfId="15733" xr:uid="{88CDFDDD-4859-4426-8073-D5AE5D523B11}"/>
    <cellStyle name="Normal 9 7 8 2" xfId="15734" xr:uid="{48541107-0B61-4A5A-B919-7852F1CA2687}"/>
    <cellStyle name="Normal 9 7 8 3" xfId="15735" xr:uid="{2D02E433-B9CC-4EA7-AE88-841F7F801EA4}"/>
    <cellStyle name="Normal 9 7 8 5" xfId="15736" xr:uid="{39C4074A-6C85-4DF4-967F-15ADDB0DE2DB}"/>
    <cellStyle name="Normal 9 7 9" xfId="15737" xr:uid="{D55AC7D3-1EA7-4F4B-BAC0-3203FB94F33A}"/>
    <cellStyle name="Normal 9 8 10" xfId="15738" xr:uid="{42AFC4DB-5B14-4B9D-B988-B1D33087C454}"/>
    <cellStyle name="Normal 9 8 12" xfId="15739" xr:uid="{52729035-F6ED-48DB-A9BF-CD2097C21579}"/>
    <cellStyle name="Normal 9 8 2" xfId="15740" xr:uid="{710B552D-781E-4DE8-8B34-1A8A121B9E0C}"/>
    <cellStyle name="Normal 9 8 2 3" xfId="15741" xr:uid="{67C2ADB7-2758-4540-AE40-AD61FD92026F}"/>
    <cellStyle name="Normal 9 8 2 5" xfId="15742" xr:uid="{C5AD21F8-1F2D-4C11-9260-F029DF0B23EB}"/>
    <cellStyle name="Normal 9 8 3" xfId="15743" xr:uid="{BA14A3CE-DCCC-4DD4-B9C1-E892D674FC32}"/>
    <cellStyle name="Normal 9 8 3 3" xfId="15744" xr:uid="{DFBB2BED-7F4F-4B91-BE25-B16ABADD2E91}"/>
    <cellStyle name="Normal 9 8 3 5" xfId="15745" xr:uid="{84CB5F97-961D-4E8B-AAD7-0285A032C9C0}"/>
    <cellStyle name="Normal 9 8 4" xfId="15746" xr:uid="{71F2FF42-8FA1-41EB-ADE1-3A4B53DC8829}"/>
    <cellStyle name="Normal 9 8 4 3" xfId="15747" xr:uid="{3FE35BC6-4ED7-4B33-BA30-882C51E05D82}"/>
    <cellStyle name="Normal 9 8 4 5" xfId="15748" xr:uid="{82BD6E5A-3DD6-48A6-A3F6-9DDDFA60B7B3}"/>
    <cellStyle name="Normal 9 8 5" xfId="15749" xr:uid="{A9D4C86E-D020-43E7-844C-29D75B0BAD9B}"/>
    <cellStyle name="Normal 9 8 5 3" xfId="15750" xr:uid="{9B57E69B-2C9A-40B7-B593-92EA79234826}"/>
    <cellStyle name="Normal 9 8 5 5" xfId="15751" xr:uid="{E3C2B751-77BB-4F41-8362-DFC6789C2A42}"/>
    <cellStyle name="Normal 9 8 6" xfId="15752" xr:uid="{40F9CF45-C6BB-4FAA-9BAF-DF63092D5A5A}"/>
    <cellStyle name="Normal 9 8 6 3" xfId="15753" xr:uid="{51B69E9B-A4AD-4F2E-9215-FBD3B65DB186}"/>
    <cellStyle name="Normal 9 8 6 5" xfId="15754" xr:uid="{E554DFD0-5E29-4C8E-99A2-4F64F8D1B033}"/>
    <cellStyle name="Normal 9 8 7" xfId="15755" xr:uid="{737336A9-DE64-4681-8576-EEFBA335DA46}"/>
    <cellStyle name="Normal 9 8 7 3" xfId="15756" xr:uid="{3EA90846-6666-4E61-BC38-EE4791220186}"/>
    <cellStyle name="Normal 9 8 7 5" xfId="15757" xr:uid="{069FD4BB-CC25-4185-858C-9A4E75414FC7}"/>
    <cellStyle name="Normal 9 8 8" xfId="15758" xr:uid="{4D50D724-CB26-4FE7-8859-C84A07EAEB9D}"/>
    <cellStyle name="Normal 9 8 8 3" xfId="15759" xr:uid="{4514E17B-C03E-4917-99F0-23B34AFBC0FB}"/>
    <cellStyle name="Normal 9 8 8 5" xfId="15760" xr:uid="{3B2C931A-EADF-4957-9005-4B27E1AA6831}"/>
    <cellStyle name="Normal 9 8 9" xfId="15761" xr:uid="{9520923F-A263-4E06-9874-B1AE5C6B0A0A}"/>
    <cellStyle name="Normal 9 9 10" xfId="15762" xr:uid="{038DC223-91BC-4B71-BD76-2F1E2B7C78B8}"/>
    <cellStyle name="Normal 9 9 12" xfId="15763" xr:uid="{EA3CE259-2AA0-458E-AC17-7055162DF1DB}"/>
    <cellStyle name="Normal 9 9 2" xfId="15764" xr:uid="{61503FB2-B651-4105-BF6B-8F83FC14DDE9}"/>
    <cellStyle name="Normal 9 9 2 3" xfId="15765" xr:uid="{94FA8432-4AA6-4DF9-B5B4-CD5C8CE70A61}"/>
    <cellStyle name="Normal 9 9 2 5" xfId="15766" xr:uid="{179D72F8-2AA5-41B2-86E1-5E9E9504C5B6}"/>
    <cellStyle name="Normal 9 9 3" xfId="15767" xr:uid="{8620B24E-94DF-400D-BC3C-39C650EA84CF}"/>
    <cellStyle name="Normal 9 9 3 3" xfId="15768" xr:uid="{C995610C-D2B0-4B5C-83FA-732A0E7CEA39}"/>
    <cellStyle name="Normal 9 9 3 5" xfId="15769" xr:uid="{52A751B4-023D-4208-88B4-A61B1DD0E688}"/>
    <cellStyle name="Normal 9 9 4" xfId="15770" xr:uid="{FD31C30A-9847-49CB-A0B5-D23582C864F7}"/>
    <cellStyle name="Normal 9 9 4 3" xfId="15771" xr:uid="{3A057EBA-3DAD-4E82-B1A8-77106227C18B}"/>
    <cellStyle name="Normal 9 9 4 5" xfId="15772" xr:uid="{F2795CA0-6FCA-4FD7-8BFD-B2EC2ECD2077}"/>
    <cellStyle name="Normal 9 9 5" xfId="15773" xr:uid="{43B7AFC6-FBD8-496B-8AE2-66D05C2E86FF}"/>
    <cellStyle name="Normal 9 9 5 3" xfId="15774" xr:uid="{7DE90BF1-9CEA-442E-BDFB-B25A7789DE30}"/>
    <cellStyle name="Normal 9 9 5 5" xfId="15775" xr:uid="{F6541E5C-E77A-464C-8A99-DE0E331A2E37}"/>
    <cellStyle name="Normal 9 9 6" xfId="15776" xr:uid="{96C31CB0-DF38-43C0-860E-6574A52351BA}"/>
    <cellStyle name="Normal 9 9 6 3" xfId="15777" xr:uid="{EEA9F64C-5775-42E6-BA3F-9AAAA45584B0}"/>
    <cellStyle name="Normal 9 9 6 5" xfId="15778" xr:uid="{4CF50C15-20C3-4DB1-8E4B-542029DD9726}"/>
    <cellStyle name="Normal 9 9 7" xfId="15779" xr:uid="{C96F7FDA-3115-4D2D-9F70-EBD9C9800E66}"/>
    <cellStyle name="Normal 9 9 7 3" xfId="15780" xr:uid="{27ED9124-A0A1-40A5-BCD1-B167DBCC6F50}"/>
    <cellStyle name="Normal 9 9 7 5" xfId="15781" xr:uid="{19DA785A-CEF4-470F-9C2C-9EFC47CDB84E}"/>
    <cellStyle name="Normal 9 9 8" xfId="15782" xr:uid="{B369BBE9-6B01-4AB8-8D13-E59028BDA599}"/>
    <cellStyle name="Normal 9 9 8 2" xfId="15783" xr:uid="{4795DB30-F12C-40EF-9E52-271D98C56283}"/>
    <cellStyle name="Normal 9 9 8 3" xfId="15784" xr:uid="{A95F5448-5D65-4B04-980F-731A454C8505}"/>
    <cellStyle name="Normal 9 9 8 5" xfId="15785" xr:uid="{7524CE00-BCCF-4C0E-9175-3483F90E71E4}"/>
    <cellStyle name="Normal 9 9 9" xfId="15786" xr:uid="{9AAD4AC6-26B5-401B-B4BE-A20796A0BB26}"/>
    <cellStyle name="Normal 90" xfId="15787" xr:uid="{0B4191BC-801D-47D2-BCAC-00DFCFFEBE01}"/>
    <cellStyle name="Normal 92" xfId="15788" xr:uid="{64576BDA-957C-4117-B9FB-8F4778C87BD6}"/>
    <cellStyle name="Normal 94" xfId="15789" xr:uid="{0F2D332D-9338-4C2A-BACE-681AC510E4BA}"/>
    <cellStyle name="Normal 96" xfId="15790" xr:uid="{2A364E5F-805D-4FEC-89D4-DBDE6D418A06}"/>
    <cellStyle name="Normal 98" xfId="15791" xr:uid="{A61E6C53-FB23-4A50-884B-FD406FD7F15C}"/>
    <cellStyle name="Normal Bold" xfId="636" xr:uid="{396A1C98-CF34-4011-9E8A-4CE057B640DA}"/>
    <cellStyle name="Normale_ cellular Costs" xfId="15792" xr:uid="{691BBBD9-B411-46F2-B1FA-E15D171DE416}"/>
    <cellStyle name="normбlnм_laroux" xfId="15793" xr:uid="{67FF315F-F8D2-4B08-9497-60A32BE42B80}"/>
    <cellStyle name="Nota 11" xfId="344" xr:uid="{9CF827FE-F991-4BC2-89F3-965C7A918E8A}"/>
    <cellStyle name="Nota 2 2" xfId="699" xr:uid="{FA6518B2-9041-4409-98AB-3C39CF39FF77}"/>
    <cellStyle name="Nota 2 2 3" xfId="919" xr:uid="{D87A0A56-A5A0-461B-AFB9-C2832AF2DF9C}"/>
    <cellStyle name="Nota 2 3" xfId="845" xr:uid="{E3CCBA48-AE9B-4B7F-A748-4AA35801EA6B}"/>
    <cellStyle name="Nota 2 3 3" xfId="818" xr:uid="{3AEB4163-F0BB-4A30-97EB-B69A095FD2B2}"/>
    <cellStyle name="Nota 2 5" xfId="772" xr:uid="{1F378305-8D28-4730-A98A-7B895673BBFE}"/>
    <cellStyle name="Nota 3 2" xfId="681" xr:uid="{B17AA106-F3C8-4A28-B4CE-C79560FD9FF5}"/>
    <cellStyle name="Nota 3 2 2 2" xfId="886" xr:uid="{C74564B5-36D0-4ABA-A0C2-B1C938EBC487}"/>
    <cellStyle name="Nota 3 2 2 4" xfId="927" xr:uid="{28514530-E3F0-4489-806A-B4414B3F71C6}"/>
    <cellStyle name="Nota 3 2 3 2" xfId="908" xr:uid="{3266861E-3A04-467E-95BA-5946E48EED82}"/>
    <cellStyle name="Nota 3 2 4" xfId="825" xr:uid="{B80B0CFB-E260-4D51-9A8F-D95663AC381A}"/>
    <cellStyle name="Nota 3 3" xfId="724" xr:uid="{BA66647D-23DB-43FB-8E84-8354ACDBEA4E}"/>
    <cellStyle name="Nota 3 5" xfId="755" xr:uid="{A0082E5D-2F21-4DD8-B2F5-0B293E3F21D2}"/>
    <cellStyle name="Nota 4" xfId="669" xr:uid="{8E87C4F8-AF57-4FFE-9EDE-5C72563A78D3}"/>
    <cellStyle name="Nota 4 2" xfId="731" xr:uid="{DDF1E348-F15C-4817-8A9F-60E02BAD4ACA}"/>
    <cellStyle name="Nota 4 2 3" xfId="920" xr:uid="{B528F488-F22B-4DA8-8600-5400AB2CB50C}"/>
    <cellStyle name="Nota 4 2 4" xfId="928" xr:uid="{E3879C5D-D8AC-472F-A396-D6FDE29EBDFE}"/>
    <cellStyle name="Nota 4 3 2" xfId="909" xr:uid="{9EB3302F-E30C-4537-9F03-F00A342324FC}"/>
    <cellStyle name="Nota 4 4" xfId="817" xr:uid="{BCC13B85-EBBE-4362-AD23-A1C23A4672AA}"/>
    <cellStyle name="Nota 5" xfId="691" xr:uid="{BDDD3A0D-3BF4-4616-B2C4-174389C10A1C}"/>
    <cellStyle name="Nota 5 3" xfId="921" xr:uid="{FC5CDA84-A901-4C89-AD7F-104A95968E28}"/>
    <cellStyle name="Nota 6" xfId="774" xr:uid="{C4D7BBD4-20E6-4547-93A1-189F8405DEEC}"/>
    <cellStyle name="Nota 7" xfId="771" xr:uid="{DBB5072F-D68D-4532-8020-CA096ADDAFF5}"/>
    <cellStyle name="Nota 9" xfId="15794" xr:uid="{A7EA786D-2724-4A37-958E-20A2E4022D27}"/>
    <cellStyle name="Notas 10" xfId="15795" xr:uid="{F8475D95-3222-486D-A440-DD645C2106A9}"/>
    <cellStyle name="Notas 12" xfId="15796" xr:uid="{F7BF117E-7149-4B7A-A5DC-5FBA58F62324}"/>
    <cellStyle name="Notas 14" xfId="15797" xr:uid="{BEBA4C91-FC4B-4D55-AEF2-3AC2A9E89FF7}"/>
    <cellStyle name="Notas 16" xfId="15798" xr:uid="{1541F998-0016-487B-9E6F-2CE4261D6778}"/>
    <cellStyle name="Notas 17" xfId="15799" xr:uid="{33864C32-3091-4F64-A138-E5FC5C937ABA}"/>
    <cellStyle name="Notas 18" xfId="15800" xr:uid="{47EB6D6D-BA09-439C-ACB0-532540A0B923}"/>
    <cellStyle name="Notas 19" xfId="15801" xr:uid="{9A964461-5C7B-470C-98A0-305929E925BC}"/>
    <cellStyle name="Notas 2" xfId="389" xr:uid="{F2073231-641E-4684-AF51-78948BA1DDEF}"/>
    <cellStyle name="Notas 2 2 2" xfId="887" xr:uid="{05BDA225-44FE-4332-B4B6-DFB11718D569}"/>
    <cellStyle name="Notas 2 2 4" xfId="929" xr:uid="{AEDDD073-5A0B-4A44-8FC9-55407F02A723}"/>
    <cellStyle name="Notas 2 3 2" xfId="910" xr:uid="{5C3EB525-C6AB-49A7-9782-4CEDFA0669D4}"/>
    <cellStyle name="Notas 2 4" xfId="784" xr:uid="{1A0B9064-5963-4894-BB8E-9E7FE947B197}"/>
    <cellStyle name="Notas 20" xfId="15802" xr:uid="{7C96CC0B-7B02-4893-8B25-4C1196F3CFF9}"/>
    <cellStyle name="Notas 22" xfId="15803" xr:uid="{40E98A22-0EE4-4BE3-846D-2F0FF3E6A6D3}"/>
    <cellStyle name="Notas 24" xfId="15804" xr:uid="{17E050B9-3700-42F7-B5A4-7BC0980313A9}"/>
    <cellStyle name="Notas 3" xfId="390" xr:uid="{9C09E126-0AFD-4AA1-9EA4-E1F43D535A4D}"/>
    <cellStyle name="Notas 3 2 2" xfId="888" xr:uid="{829C5371-F82B-4328-B358-30C4E74AA787}"/>
    <cellStyle name="Notas 3 2 4" xfId="930" xr:uid="{CE155211-827C-4976-A425-9B8AF0C145BD}"/>
    <cellStyle name="Notas 3 3 2" xfId="911" xr:uid="{BD4F6952-1D08-41FC-ACFE-EED7CAF771AE}"/>
    <cellStyle name="Notas 3 4" xfId="785" xr:uid="{A8EE21C3-B06B-4AA9-93B7-3518DD315CBD}"/>
    <cellStyle name="Notas 4" xfId="391" xr:uid="{A8D13665-E08B-4A68-A198-D968F8A2F92F}"/>
    <cellStyle name="Notas 4 2 2" xfId="889" xr:uid="{1396356F-33B2-48E4-B5AC-A16837ECB5F1}"/>
    <cellStyle name="Notas 4 2 4" xfId="931" xr:uid="{9A57FD6A-1B9C-49E7-BEC3-7C8D50120735}"/>
    <cellStyle name="Notas 4 3 2" xfId="912" xr:uid="{B9AFBC23-C4AC-4968-8EC7-6CB766DCCBF2}"/>
    <cellStyle name="Notas 4 4" xfId="786" xr:uid="{47F3FE21-9596-467B-846A-B8978A939EC7}"/>
    <cellStyle name="Notas 5" xfId="700" xr:uid="{3E1EFC2F-74B6-4DE6-833B-20E4F9238FE7}"/>
    <cellStyle name="Notas 5 3" xfId="922" xr:uid="{831C51BC-4C0A-41E1-AFF7-56211607F336}"/>
    <cellStyle name="Notas 6" xfId="846" xr:uid="{EF9D1840-9581-49F0-81F3-B824FA3E35AB}"/>
    <cellStyle name="Notas 6 3" xfId="777" xr:uid="{E6BAC3F8-449B-4229-945C-062FF710D7D2}"/>
    <cellStyle name="Notas 8" xfId="773" xr:uid="{1A575F11-C0E0-48B5-987B-9B3BC74E733A}"/>
    <cellStyle name="Note" xfId="345" xr:uid="{72BBEEED-2132-45FD-A698-77DFD4C6D87D}"/>
    <cellStyle name="Note 2 2" xfId="701" xr:uid="{18D3BE96-AC95-4B92-8CFA-43AEB09011F8}"/>
    <cellStyle name="Note 2 2 3" xfId="923" xr:uid="{08A62249-45B4-4388-ABED-B8FE0A03C37C}"/>
    <cellStyle name="Note 2 3" xfId="847" xr:uid="{4EFF9D70-5B3A-4FC2-8A2A-C28958FB5C3E}"/>
    <cellStyle name="Note 2 3 3" xfId="790" xr:uid="{EAE5CF9E-FA03-4BF2-82F3-710A7B39A16B}"/>
    <cellStyle name="Note 2 5" xfId="782" xr:uid="{C3E6A520-1488-4464-865F-3AB3F37C5BB9}"/>
    <cellStyle name="Note 3 2" xfId="702" xr:uid="{8595DDCF-8D1A-4E14-8A53-5D2713819982}"/>
    <cellStyle name="Note 3 2 3" xfId="924" xr:uid="{14D4C5E5-0AEB-4395-8494-0E8CE13A2F64}"/>
    <cellStyle name="Note 3 3" xfId="848" xr:uid="{9567C1F2-B648-4C7D-8060-1056A095A140}"/>
    <cellStyle name="Note 3 3 3" xfId="768" xr:uid="{FD699232-AD97-4C9B-BDDD-2CCCF8AEBE18}"/>
    <cellStyle name="Note 3 5" xfId="762" xr:uid="{A58F5049-BB91-44FF-B725-6E9439C113FF}"/>
    <cellStyle name="Note 4 2" xfId="703" xr:uid="{E82C462C-2BE5-42F9-9699-5B6C577DF561}"/>
    <cellStyle name="Note 4 2 3" xfId="925" xr:uid="{7AA79A22-B765-4068-BCEE-EDE720846567}"/>
    <cellStyle name="Note 4 3" xfId="849" xr:uid="{5A794D24-6BE4-4977-A754-408D60BADD74}"/>
    <cellStyle name="Note 4 3 3" xfId="791" xr:uid="{14E368ED-D86A-4678-918F-73CC168D9AA8}"/>
    <cellStyle name="Note 4 5" xfId="810" xr:uid="{8BA78B11-32ED-4553-BE0E-0A4BAFA4E213}"/>
    <cellStyle name="Note 5 2" xfId="728" xr:uid="{8644663B-B076-4873-80B7-4797EA1A1899}"/>
    <cellStyle name="Note 5 2 3" xfId="926" xr:uid="{002E4147-9DAB-4BDD-881E-72F11C22CD9F}"/>
    <cellStyle name="Note 5 3" xfId="850" xr:uid="{497C3B69-4ACD-4E5C-95F0-8F39C1F5F5AE}"/>
    <cellStyle name="Note 5 3 3" xfId="769" xr:uid="{94B147EE-F42A-4199-AE1C-82B52DBE4D8F}"/>
    <cellStyle name="Note 5 5" xfId="789" xr:uid="{B7480E85-3AD6-46B1-8732-739702248316}"/>
    <cellStyle name="Note 6 2" xfId="890" xr:uid="{9D6B864C-B62E-4C64-935B-CEFF59649CD7}"/>
    <cellStyle name="Note 6 4" xfId="932" xr:uid="{D9BF5DE4-7FA5-477F-A289-2785F3615148}"/>
    <cellStyle name="Note 7 2" xfId="913" xr:uid="{3B55B332-F8CB-465F-B4CB-C8D75293A1AA}"/>
    <cellStyle name="Note 8" xfId="775" xr:uid="{54083A63-4731-4E1E-BA26-81A41C9E508B}"/>
    <cellStyle name="Note 9" xfId="793" xr:uid="{524025BA-D3B1-4B62-8917-0D964C3D182D}"/>
    <cellStyle name="O" xfId="15805" xr:uid="{440766A1-C5A4-43F7-B2D7-C6FD5C4FF177}"/>
    <cellStyle name="Œ…‹æØ‚è [0.00]_laroux" xfId="15806" xr:uid="{24B93F6D-316C-4ACB-BCAA-FD79CAAD2F3C}"/>
    <cellStyle name="Œ…‹æØ‚è_laroux" xfId="15807" xr:uid="{0E11EDF5-DFDE-46E8-8EC4-EDD3C23DBC58}"/>
    <cellStyle name="Output 2" xfId="665" xr:uid="{52DB6EA6-AC9D-45B4-AD8F-0DCA39204048}"/>
    <cellStyle name="Output 2 4" xfId="792" xr:uid="{382E9560-07A9-419F-814C-CD1D4436220D}"/>
    <cellStyle name="Output 4" xfId="756" xr:uid="{6DC20776-F4C6-4F9F-9D9F-0D57320568D7}"/>
    <cellStyle name="Page Number" xfId="15808" xr:uid="{C07E9E0D-E7A7-4B52-A365-2A51FC434530}"/>
    <cellStyle name="pb_page_heading_LS" xfId="15809" xr:uid="{B0281919-9241-4C9E-AC41-1BA2EB42863D}"/>
    <cellStyle name="Percen - Estilo2" xfId="15810" xr:uid="{63C89381-67EA-477E-A2EB-DE49050E09B2}"/>
    <cellStyle name="Percent ()" xfId="346" xr:uid="{836B368A-D92B-4132-9DFB-2C32DDAA2297}"/>
    <cellStyle name="Percent () 2 2" xfId="675" xr:uid="{DBF94A40-15A8-4D97-BF62-B0744728C18D}"/>
    <cellStyle name="Percent (0%)" xfId="15811" xr:uid="{A1FB230D-648F-4A5E-A4B8-99BD2F3C85EA}"/>
    <cellStyle name="Percent (0) 3" xfId="15812" xr:uid="{88916145-B2E2-4551-B449-5CBA6B4457CF}"/>
    <cellStyle name="Percent (0.0%)" xfId="15813" xr:uid="{180083F3-4154-42CF-9C48-D787D952A2C7}"/>
    <cellStyle name="Percent [0] 2" xfId="15814" xr:uid="{087336B1-F47D-48BC-A5AA-030F190B3FA9}"/>
    <cellStyle name="Percent 1 2" xfId="15815" xr:uid="{A2F8DBCB-AF70-4311-A23B-80DED13B89D3}"/>
    <cellStyle name="Porcentagem" xfId="3" builtinId="5"/>
    <cellStyle name="Porcentagem 16 2 2 3" xfId="17332" xr:uid="{7FC10FF2-F04B-4F11-AF69-830888D5C8B7}"/>
    <cellStyle name="Porcentagem 16 2 5" xfId="827" xr:uid="{A9054036-08FF-4D50-BD73-62B74736D72B}"/>
    <cellStyle name="Porcentagem 2 43" xfId="15816" xr:uid="{AE104C38-D38C-44F7-AAF8-5AB0529E4774}"/>
    <cellStyle name="Porcentagem 21" xfId="17349" xr:uid="{BB4A8CBF-DE8B-475F-9CDA-B8CF11093EE9}"/>
    <cellStyle name="Porcentagem 4 10 2" xfId="15817" xr:uid="{AB472B0B-7F8D-4B9C-9738-257B56155E66}"/>
    <cellStyle name="Porcentagem 4 11 3 2" xfId="15818" xr:uid="{E1CFC8CE-74B6-49E5-A9E6-876A2A94585F}"/>
    <cellStyle name="Porcentagem 4 13 2" xfId="15819" xr:uid="{1C57C851-E44B-4B27-A5F4-24DE0474DDB2}"/>
    <cellStyle name="Porcentagem 4 13 3 4" xfId="15820" xr:uid="{223BCECF-D5C0-4CA4-B39B-5DE52CB11CB7}"/>
    <cellStyle name="Porcentagem 4 14 2 3" xfId="15821" xr:uid="{0EB88520-413F-4D5C-A7DE-E4991571CB80}"/>
    <cellStyle name="Porcentagem 4 14 3 2" xfId="15822" xr:uid="{1DA225B9-2F32-4B52-9375-66E90FC30408}"/>
    <cellStyle name="Porcentagem 4 14 5" xfId="15823" xr:uid="{DD383951-5053-4834-A8EC-63C0FC380B6C}"/>
    <cellStyle name="Porcentagem 4 15" xfId="15824" xr:uid="{91DB7DFF-6F12-4093-9F2C-79A060B1FE6A}"/>
    <cellStyle name="Porcentagem 4 15 2 2" xfId="15825" xr:uid="{14719F02-B242-408D-A7DE-360286085929}"/>
    <cellStyle name="Porcentagem 4 15 2 4" xfId="15826" xr:uid="{BDC964F9-0D79-4F38-BFF2-D614C8CD764E}"/>
    <cellStyle name="Porcentagem 4 15 3 2" xfId="15827" xr:uid="{0DF15634-3EBA-4DC7-B010-A265F4A8A72E}"/>
    <cellStyle name="Porcentagem 4 15 3 4" xfId="15828" xr:uid="{AB845D33-CD90-433C-9E85-D5F28BAEA893}"/>
    <cellStyle name="Porcentagem 4 15 5" xfId="15829" xr:uid="{3B0564DE-56DD-495F-AB1D-98D6DE7E6D94}"/>
    <cellStyle name="Porcentagem 4 16" xfId="15830" xr:uid="{5332EE65-9BD1-495D-B7B9-54B137B47695}"/>
    <cellStyle name="Porcentagem 4 16 2 2" xfId="15831" xr:uid="{3EA53F19-1F93-45C3-92E4-8AB91BDE39BD}"/>
    <cellStyle name="Porcentagem 4 16 2 4" xfId="15832" xr:uid="{6DB4E2B7-3C52-470D-9671-718FC30B4F9D}"/>
    <cellStyle name="Porcentagem 4 16 3 2" xfId="15833" xr:uid="{44818377-64EE-43F8-A934-8283A50B814B}"/>
    <cellStyle name="Porcentagem 4 16 3 4" xfId="15834" xr:uid="{DCEAF434-A841-4146-9BBD-E36C41972895}"/>
    <cellStyle name="Porcentagem 4 16 5" xfId="15835" xr:uid="{18E01B69-D919-4519-9BCD-F2FDD4228641}"/>
    <cellStyle name="Porcentagem 4 17" xfId="15836" xr:uid="{4188570F-FBA4-42D6-9B95-E8F32554352C}"/>
    <cellStyle name="Porcentagem 4 17 2 2" xfId="15837" xr:uid="{89904187-1F4B-47D3-BC9A-8097D707EA89}"/>
    <cellStyle name="Porcentagem 4 17 2 4" xfId="15838" xr:uid="{868DA1F1-3DDB-4E14-90EF-73160C504C42}"/>
    <cellStyle name="Porcentagem 4 17 3 2" xfId="15839" xr:uid="{4C56464F-E824-47BE-8913-FB365540194D}"/>
    <cellStyle name="Porcentagem 4 17 3 4" xfId="15840" xr:uid="{587FDA3D-2A71-4E11-9FB5-673D5EB47101}"/>
    <cellStyle name="Porcentagem 4 17 5" xfId="15841" xr:uid="{3329A04E-CABC-4362-BD99-F2E53223AF07}"/>
    <cellStyle name="Porcentagem 4 18" xfId="15842" xr:uid="{42BC86B9-0EA5-42EE-B9BA-8E8B295657D6}"/>
    <cellStyle name="Porcentagem 4 18 2 2" xfId="15843" xr:uid="{9BA7B6C8-6445-495F-868A-8775B8A2D589}"/>
    <cellStyle name="Porcentagem 4 18 2 4" xfId="15844" xr:uid="{5D02E6DE-F9CD-4811-816B-51B318C4289E}"/>
    <cellStyle name="Porcentagem 4 18 3 2" xfId="15845" xr:uid="{2E5A264B-3409-4297-9685-B9AE8E4151B0}"/>
    <cellStyle name="Porcentagem 4 18 3 4" xfId="15846" xr:uid="{EAE01053-456E-48C7-8BCF-354B3CCEC74B}"/>
    <cellStyle name="Porcentagem 4 19" xfId="15847" xr:uid="{D6DA75FA-E335-4092-9BAE-0274CE364B56}"/>
    <cellStyle name="Porcentagem 4 19 2 4" xfId="15848" xr:uid="{F60C9C16-A21F-49C4-9D2E-CAB19A5EEEAD}"/>
    <cellStyle name="Porcentagem 4 19 3 3" xfId="15849" xr:uid="{24FD9D24-8CC7-4E81-B8BC-91F74110F6F3}"/>
    <cellStyle name="Porcentagem 4 19 4" xfId="15850" xr:uid="{F543A686-33E6-4567-AA3F-DC3608223D78}"/>
    <cellStyle name="Porcentagem 4 19 6" xfId="15851" xr:uid="{395218AB-4554-49A3-9A59-D3BBDF26218E}"/>
    <cellStyle name="Porcentagem 4 2 10" xfId="15852" xr:uid="{E5ED5B08-F7B0-41AD-B9BC-D6A9D5228242}"/>
    <cellStyle name="Porcentagem 4 2 10 2 2" xfId="15853" xr:uid="{C00C33C2-0C82-4CCC-9C09-C94DA0B00837}"/>
    <cellStyle name="Porcentagem 4 2 10 2 4" xfId="15854" xr:uid="{7CBF6B58-8AA6-4F77-93DC-EDE3F998DD83}"/>
    <cellStyle name="Porcentagem 4 2 10 3" xfId="15855" xr:uid="{B3D2B4B7-8D96-4D6E-9213-F1347C876063}"/>
    <cellStyle name="Porcentagem 4 2 10 3 2" xfId="15856" xr:uid="{42F7D719-5BE3-48E3-9821-8C21A63FD9CC}"/>
    <cellStyle name="Porcentagem 4 2 10 3 3" xfId="15857" xr:uid="{C02B2554-2704-414C-B777-7DEA9FF13468}"/>
    <cellStyle name="Porcentagem 4 2 10 4" xfId="15858" xr:uid="{B43862CE-5F7B-41B8-BFCA-E9095B05D5F2}"/>
    <cellStyle name="Porcentagem 4 2 10 6" xfId="15859" xr:uid="{AA30B6C9-B910-40EE-B80D-B1206C51BE38}"/>
    <cellStyle name="Porcentagem 4 2 11 2" xfId="15860" xr:uid="{C0793700-9538-428A-A5D9-F419588B0D1D}"/>
    <cellStyle name="Porcentagem 4 2 11 2 3" xfId="15861" xr:uid="{D3574F27-DED9-4728-B540-D5A91D8BE7EC}"/>
    <cellStyle name="Porcentagem 4 2 11 3 3" xfId="15862" xr:uid="{8C28098E-578C-4528-B58E-B63D47A88369}"/>
    <cellStyle name="Porcentagem 4 2 12" xfId="15863" xr:uid="{AD4F2A4E-F1FD-45FD-BF1C-4020E91FE258}"/>
    <cellStyle name="Porcentagem 4 2 12 2 4" xfId="15864" xr:uid="{3826166A-F73F-4C9D-94AF-D299BE64C78B}"/>
    <cellStyle name="Porcentagem 4 2 12 3 4" xfId="15865" xr:uid="{05CC4796-068F-479E-A315-C12A0FFD6D9B}"/>
    <cellStyle name="Porcentagem 4 2 12 5" xfId="15866" xr:uid="{9D655F1F-B5C7-4B1B-84FC-7209615B2380}"/>
    <cellStyle name="Porcentagem 4 2 13" xfId="15867" xr:uid="{43BF03A7-1B15-43F7-A577-8FD712494D98}"/>
    <cellStyle name="Porcentagem 4 2 13 2" xfId="15868" xr:uid="{703EB1D6-6AF8-4486-9528-576E2B284762}"/>
    <cellStyle name="Porcentagem 4 2 13 2 2" xfId="15869" xr:uid="{D6C42114-EE63-4528-9D02-816856DEE0AF}"/>
    <cellStyle name="Porcentagem 4 2 13 2 4" xfId="15870" xr:uid="{73A54FA9-73D8-454B-ADBB-72DC4044E287}"/>
    <cellStyle name="Porcentagem 4 2 13 3 2" xfId="15871" xr:uid="{B8ABAA43-B8EB-4604-9127-B46C8F96074F}"/>
    <cellStyle name="Porcentagem 4 2 13 3 4" xfId="15872" xr:uid="{EB2DDBA6-6E55-430F-8353-03B6E88A292C}"/>
    <cellStyle name="Porcentagem 4 2 13 4" xfId="15873" xr:uid="{276DECD5-67A5-4E38-8926-75C450A898ED}"/>
    <cellStyle name="Porcentagem 4 2 13 5" xfId="15874" xr:uid="{E6C60935-2C40-40DE-9654-DC3168866B49}"/>
    <cellStyle name="Porcentagem 4 2 13 6" xfId="15875" xr:uid="{8201B7B2-9E40-444E-A8E1-BA4ADB765943}"/>
    <cellStyle name="Porcentagem 4 2 14" xfId="15876" xr:uid="{5ED0EFBE-922D-4141-B693-67AC0C8A8E89}"/>
    <cellStyle name="Porcentagem 4 2 14 2" xfId="15877" xr:uid="{687B6E1E-D7D6-40B0-A0D4-FB87EC03D9BD}"/>
    <cellStyle name="Porcentagem 4 2 14 2 2" xfId="15878" xr:uid="{17D75676-CC4A-419D-B145-2D078D248006}"/>
    <cellStyle name="Porcentagem 4 2 14 2 4" xfId="15879" xr:uid="{5B9DC28E-FC20-46F3-B728-AE363F2BC049}"/>
    <cellStyle name="Porcentagem 4 2 14 3" xfId="15880" xr:uid="{AE2C29D1-019B-44FB-81F6-C1C35301576A}"/>
    <cellStyle name="Porcentagem 4 2 14 3 2" xfId="15881" xr:uid="{7F12FE9D-703A-4786-925E-14124EC66644}"/>
    <cellStyle name="Porcentagem 4 2 14 3 3" xfId="15882" xr:uid="{7AED01E2-3DBD-4AC5-9D8A-C427AC019984}"/>
    <cellStyle name="Porcentagem 4 2 14 4" xfId="15883" xr:uid="{0094171C-2BC3-4879-8648-0F730F4C7215}"/>
    <cellStyle name="Porcentagem 4 2 14 6" xfId="15884" xr:uid="{B012AEBA-1A36-4228-8C6D-69975FB2AA2C}"/>
    <cellStyle name="Porcentagem 4 2 15 2 2" xfId="15885" xr:uid="{FEB68C5B-5218-4D5B-BF37-151A98B5FC4B}"/>
    <cellStyle name="Porcentagem 4 2 15 2 4" xfId="15886" xr:uid="{7A79A2B9-C154-4952-A777-FD9C4CDD846B}"/>
    <cellStyle name="Porcentagem 4 2 15 3 2" xfId="15887" xr:uid="{18DC0275-3AC7-4EA8-9D72-8F9BAC8504AE}"/>
    <cellStyle name="Porcentagem 4 2 15 4" xfId="15888" xr:uid="{BF73AD21-1249-40F0-A9B6-C94F84F791FA}"/>
    <cellStyle name="Porcentagem 4 2 15 5" xfId="15889" xr:uid="{B2AA2E4E-88EB-4F6E-B247-5BCEC0F372F8}"/>
    <cellStyle name="Porcentagem 4 2 15 6" xfId="15890" xr:uid="{04FB6F05-972F-4CDD-B84A-5C2A0D717A9E}"/>
    <cellStyle name="Porcentagem 4 2 16" xfId="15891" xr:uid="{F76D7E1B-69AC-4064-8E85-D30EE5A329A8}"/>
    <cellStyle name="Porcentagem 4 2 16 2 2" xfId="15892" xr:uid="{388A6786-20E3-4BCB-873C-B9CFCDAD7392}"/>
    <cellStyle name="Porcentagem 4 2 16 2 4" xfId="15893" xr:uid="{5BD7C5B6-517E-434E-9A41-0B9738EF3B9D}"/>
    <cellStyle name="Porcentagem 4 2 16 3 2" xfId="15894" xr:uid="{FE0DE8B9-5D45-4712-AA2B-2F895E8D503F}"/>
    <cellStyle name="Porcentagem 4 2 16 3 4" xfId="15895" xr:uid="{4364DABF-C1B2-45B9-BC8F-A4205172DF2F}"/>
    <cellStyle name="Porcentagem 4 2 16 5" xfId="15896" xr:uid="{34D18D7C-E1D6-4BD0-876E-AF33EA5CB393}"/>
    <cellStyle name="Porcentagem 4 2 17" xfId="15897" xr:uid="{DC2E2479-1DAD-4521-B6F3-339F96AAAB8B}"/>
    <cellStyle name="Porcentagem 4 2 17 2 2" xfId="15898" xr:uid="{9631F2AE-1EBA-4174-B709-C5FA0A60A718}"/>
    <cellStyle name="Porcentagem 4 2 17 2 4" xfId="15899" xr:uid="{4EFED826-0BFD-4572-A0E1-D36CD500ADE7}"/>
    <cellStyle name="Porcentagem 4 2 17 3 2" xfId="15900" xr:uid="{5AC88BDF-830F-41A9-ABAB-798C62C59813}"/>
    <cellStyle name="Porcentagem 4 2 17 3 4" xfId="15901" xr:uid="{7C997106-4FE5-4234-9386-3E43A5A4C26B}"/>
    <cellStyle name="Porcentagem 4 2 17 5" xfId="15902" xr:uid="{F236A187-7ACB-4BA3-BC04-7AEDDEFA23A6}"/>
    <cellStyle name="Porcentagem 4 2 18" xfId="15903" xr:uid="{3F4F1831-03CC-4E01-AB1E-199262C52674}"/>
    <cellStyle name="Porcentagem 4 2 18 3" xfId="15904" xr:uid="{C5154DE9-B133-4906-9FA6-855171EFE667}"/>
    <cellStyle name="Porcentagem 4 2 19" xfId="15905" xr:uid="{07EB367B-B4CB-40E0-A0CC-B9132C62130F}"/>
    <cellStyle name="Porcentagem 4 2 19 3" xfId="15906" xr:uid="{E31B57F8-1049-4F2C-904F-C6C5144584D0}"/>
    <cellStyle name="Porcentagem 4 2 2" xfId="15907" xr:uid="{0DFD5A6C-8E8A-4847-B933-08AE523A4F3E}"/>
    <cellStyle name="Porcentagem 4 2 2 2 2" xfId="15908" xr:uid="{537F965A-B016-4862-8DD7-6DE770313DA7}"/>
    <cellStyle name="Porcentagem 4 2 2 2 4" xfId="15909" xr:uid="{11C4FE38-5524-4922-A290-0627534B815B}"/>
    <cellStyle name="Porcentagem 4 2 2 3 2" xfId="15910" xr:uid="{C1E97F62-513F-4DEE-B5FD-F40468A15E6C}"/>
    <cellStyle name="Porcentagem 4 2 2 5" xfId="15911" xr:uid="{1FBFDB5B-DBB1-497A-9CF4-B7B8AAD956E4}"/>
    <cellStyle name="Porcentagem 4 2 20 2" xfId="15912" xr:uid="{D758D627-ED61-4A96-A8E7-1D8EE7EA60F7}"/>
    <cellStyle name="Porcentagem 4 2 22" xfId="15913" xr:uid="{125A8878-E95A-4127-9F68-8F66C3C2F480}"/>
    <cellStyle name="Porcentagem 4 2 3 2 2" xfId="15914" xr:uid="{19FDF501-D89C-43D2-B36C-DFE340CAEE5A}"/>
    <cellStyle name="Porcentagem 4 2 3 3 2" xfId="15915" xr:uid="{496F12CA-C098-4A34-8470-ADA315669DA1}"/>
    <cellStyle name="Porcentagem 4 2 3 5" xfId="15916" xr:uid="{6867A0F9-D643-4640-9F3F-2ACB41DB714D}"/>
    <cellStyle name="Porcentagem 4 2 4 2" xfId="15917" xr:uid="{A70E953A-B8C6-496A-A9EB-8E691A751CCC}"/>
    <cellStyle name="Porcentagem 4 2 4 3" xfId="15918" xr:uid="{94DF72C2-3EB2-4BBF-BCE5-D32A197BB572}"/>
    <cellStyle name="Porcentagem 4 2 4 3 3" xfId="15919" xr:uid="{CF02E548-3F8C-4D44-AFA7-7818F3CB68AA}"/>
    <cellStyle name="Porcentagem 4 2 4 4" xfId="15920" xr:uid="{40B9AC32-5206-4DA0-B03A-5F2B8183D580}"/>
    <cellStyle name="Porcentagem 4 2 5" xfId="15921" xr:uid="{1D1C096B-9DFD-4926-97E2-E56B47D49B64}"/>
    <cellStyle name="Porcentagem 4 2 5 3 3" xfId="15922" xr:uid="{33D401B6-E277-4263-A1D4-157EEE5B60B1}"/>
    <cellStyle name="Porcentagem 4 2 6" xfId="15923" xr:uid="{F9C38F05-C7DF-4FD4-B20E-EC7731B5A972}"/>
    <cellStyle name="Porcentagem 4 2 6 2 2" xfId="15924" xr:uid="{C02F7647-08D7-461B-9B60-D4FD279A44D2}"/>
    <cellStyle name="Porcentagem 4 2 6 2 4" xfId="15925" xr:uid="{6E38DAAE-C9FA-4662-A630-0C94A36F4ED2}"/>
    <cellStyle name="Porcentagem 4 2 6 3 2" xfId="15926" xr:uid="{7E42D150-799F-4607-8B54-D17455A35CED}"/>
    <cellStyle name="Porcentagem 4 2 6 3 4" xfId="15927" xr:uid="{F8995EC0-8A21-4135-B5E1-339E2E783FFC}"/>
    <cellStyle name="Porcentagem 4 2 6 5" xfId="15928" xr:uid="{DB6B1065-AB9F-4762-A7AB-376B57F2AD1D}"/>
    <cellStyle name="Porcentagem 4 2 7 2 2" xfId="15929" xr:uid="{3943B677-1B75-4224-8E2C-09D55C82E766}"/>
    <cellStyle name="Porcentagem 4 2 7 2 4" xfId="15930" xr:uid="{84BB6B47-1AEE-4651-BAAD-F0AE97648A92}"/>
    <cellStyle name="Porcentagem 4 2 7 3 2" xfId="15931" xr:uid="{75462CE6-23D3-4A60-8438-843BC5B537E9}"/>
    <cellStyle name="Porcentagem 4 2 7 3 4" xfId="15932" xr:uid="{4B330903-CB19-4392-9BF8-2C6640053AC2}"/>
    <cellStyle name="Porcentagem 4 2 7 5" xfId="15933" xr:uid="{15EC9DB0-39FA-4AC9-99AC-4E009514C0F5}"/>
    <cellStyle name="Porcentagem 4 2 8" xfId="15934" xr:uid="{D279698F-5389-493D-BC44-34658510BDB0}"/>
    <cellStyle name="Porcentagem 4 2 8 2 2" xfId="15935" xr:uid="{AE0D872C-97E1-4F12-A2C5-8AF87991F81F}"/>
    <cellStyle name="Porcentagem 4 2 8 2 4" xfId="15936" xr:uid="{8473735D-201C-4480-B83B-483ED7FE477F}"/>
    <cellStyle name="Porcentagem 4 2 8 3 2" xfId="15937" xr:uid="{AE2671E7-8F84-4166-811B-78E0F7069C04}"/>
    <cellStyle name="Porcentagem 4 2 8 3 4" xfId="15938" xr:uid="{8518B59F-ADC2-4D1C-AEAD-8F356F03B02B}"/>
    <cellStyle name="Porcentagem 4 2 8 5" xfId="15939" xr:uid="{C486B4AD-C6B0-47C7-AFAF-860960B9499B}"/>
    <cellStyle name="Porcentagem 4 2 9" xfId="15940" xr:uid="{2B22E040-AFBE-4820-950E-871150876442}"/>
    <cellStyle name="Porcentagem 4 2 9 2 2" xfId="15941" xr:uid="{8ABBE267-4C87-47B4-BDE9-D8D82F58D804}"/>
    <cellStyle name="Porcentagem 4 2 9 2 4" xfId="15942" xr:uid="{015E71EB-C5C9-4F18-9857-9FB9F4FEA0B4}"/>
    <cellStyle name="Porcentagem 4 2 9 3 2" xfId="15943" xr:uid="{25F7E2B6-88F5-43D0-A22B-A9F1D3EB342D}"/>
    <cellStyle name="Porcentagem 4 2 9 3 4" xfId="15944" xr:uid="{8B31AF37-EAED-4991-9F5D-1A14FD8D1D8E}"/>
    <cellStyle name="Porcentagem 4 2 9 4" xfId="15945" xr:uid="{52AEF079-608F-436C-AEC4-8946403B00B4}"/>
    <cellStyle name="Porcentagem 4 2 9 6" xfId="15946" xr:uid="{C997D74C-8060-465B-8775-3C90A0D7A077}"/>
    <cellStyle name="Porcentagem 4 20 2" xfId="15947" xr:uid="{953CD316-FAB2-49D1-B0A3-C1EB5D7A3958}"/>
    <cellStyle name="Porcentagem 4 20 3" xfId="15948" xr:uid="{35E8C480-09E1-45F1-A528-8A420EE4DE13}"/>
    <cellStyle name="Porcentagem 4 20 4" xfId="15949" xr:uid="{47F774C4-67C6-4C65-B29D-476CA608CA3A}"/>
    <cellStyle name="Porcentagem 4 21" xfId="15950" xr:uid="{8BE3A583-87D6-41D5-9D0B-ED849C0A81D1}"/>
    <cellStyle name="Porcentagem 4 21 2" xfId="15951" xr:uid="{596D47A1-16B6-4F35-989F-0CF754D708F8}"/>
    <cellStyle name="Porcentagem 4 21 3" xfId="15952" xr:uid="{9614381A-F9C4-4A64-9BAD-813B59C44555}"/>
    <cellStyle name="Porcentagem 4 21 4" xfId="15953" xr:uid="{62B76479-E110-4092-B20E-072E2AE4EE9F}"/>
    <cellStyle name="Porcentagem 4 22" xfId="15954" xr:uid="{70341356-C276-408D-82FC-B965A2CE9A42}"/>
    <cellStyle name="Porcentagem 4 22 3" xfId="15955" xr:uid="{D289B50B-35D6-4A1A-91E3-3BF373647CF9}"/>
    <cellStyle name="Porcentagem 4 23" xfId="15956" xr:uid="{F144A7CD-92A2-4ED8-AED8-2D713A71CD26}"/>
    <cellStyle name="Porcentagem 4 24" xfId="15957" xr:uid="{4E3910A8-070F-4260-AF14-A7A27BBBE5E0}"/>
    <cellStyle name="Porcentagem 4 3" xfId="646" xr:uid="{28315188-9B59-45E0-8777-E0A0844F7FCF}"/>
    <cellStyle name="Porcentagem 4 3 10 2" xfId="15958" xr:uid="{8B7EFD26-DDAA-4AE8-9859-0FBE2E73A62E}"/>
    <cellStyle name="Porcentagem 4 3 10 2 3" xfId="15959" xr:uid="{F746D048-DEF2-4E81-8976-F11EA71BFFA0}"/>
    <cellStyle name="Porcentagem 4 3 10 3" xfId="15960" xr:uid="{C898E44D-9563-429A-9409-88F384EA78E1}"/>
    <cellStyle name="Porcentagem 4 3 10 3 3" xfId="15961" xr:uid="{8655CC5E-EBFA-4679-A173-06E2C7B2C6C7}"/>
    <cellStyle name="Porcentagem 4 3 10 4" xfId="15962" xr:uid="{618F764D-6257-4C1B-99A8-49CD01C848F4}"/>
    <cellStyle name="Porcentagem 4 3 11" xfId="15963" xr:uid="{9CA030EE-6D24-4AF7-BA28-DA6ED9F71F28}"/>
    <cellStyle name="Porcentagem 4 3 11 2 2" xfId="15964" xr:uid="{5F3760F4-8DF7-45CB-9D69-9853B94CF4AB}"/>
    <cellStyle name="Porcentagem 4 3 11 2 4" xfId="15965" xr:uid="{81FA6DC3-44CB-424A-8283-6D59FCDE19D7}"/>
    <cellStyle name="Porcentagem 4 3 11 3 2" xfId="15966" xr:uid="{9C6B1BEC-8120-4BAE-A94C-997C22B3FE34}"/>
    <cellStyle name="Porcentagem 4 3 11 3 4" xfId="15967" xr:uid="{60BDF6B7-8124-4810-A366-C7D4A4441053}"/>
    <cellStyle name="Porcentagem 4 3 11 5" xfId="15968" xr:uid="{635DB1BA-7B50-4BAB-AC1A-E4A6C221390B}"/>
    <cellStyle name="Porcentagem 4 3 12" xfId="15969" xr:uid="{B0D39A46-E80B-43A9-B648-D8D148141086}"/>
    <cellStyle name="Porcentagem 4 3 12 2 2" xfId="15970" xr:uid="{CD9AEE7B-18E0-4881-BD8A-59B337DE6A46}"/>
    <cellStyle name="Porcentagem 4 3 12 2 4" xfId="15971" xr:uid="{43F3998D-DE7D-4775-A794-4B92F6C0AE38}"/>
    <cellStyle name="Porcentagem 4 3 12 3 2" xfId="15972" xr:uid="{31B9B48D-E0A4-4AC5-A81E-E8D7CA5C921A}"/>
    <cellStyle name="Porcentagem 4 3 12 3 4" xfId="15973" xr:uid="{A9DAEBF2-9205-4935-AAFE-BACDB45C4112}"/>
    <cellStyle name="Porcentagem 4 3 12 5" xfId="15974" xr:uid="{A151FBED-2097-4B2C-8D67-5073D484580C}"/>
    <cellStyle name="Porcentagem 4 3 13" xfId="15975" xr:uid="{589F0967-0F84-4A71-B10C-5FA555F219B0}"/>
    <cellStyle name="Porcentagem 4 3 13 2 2" xfId="15976" xr:uid="{87EADE07-0A6B-489B-86F2-6A0B3C837777}"/>
    <cellStyle name="Porcentagem 4 3 13 2 4" xfId="15977" xr:uid="{B0F6A2E9-4ACE-47F1-8F46-3ED84C7C6901}"/>
    <cellStyle name="Porcentagem 4 3 13 3 2" xfId="15978" xr:uid="{8DB6EE46-31F9-48FF-80C8-EC7E5A69C420}"/>
    <cellStyle name="Porcentagem 4 3 13 3 4" xfId="15979" xr:uid="{A2ACE86D-58EF-42BE-B236-5DF292430E08}"/>
    <cellStyle name="Porcentagem 4 3 13 5" xfId="15980" xr:uid="{4E9FA29F-09ED-42CA-8912-4508E08C248F}"/>
    <cellStyle name="Porcentagem 4 3 14" xfId="15981" xr:uid="{7D0E1BCE-D6EC-43A9-86C7-44B436DCE749}"/>
    <cellStyle name="Porcentagem 4 3 14 2 2" xfId="15982" xr:uid="{4D6F6015-8E7E-4E40-B4A4-A4FFD0CF0395}"/>
    <cellStyle name="Porcentagem 4 3 14 2 4" xfId="15983" xr:uid="{2F51653A-25A2-4E31-B484-581F842EDB66}"/>
    <cellStyle name="Porcentagem 4 3 14 3 2" xfId="15984" xr:uid="{3C30A2FD-7E10-4ED3-9834-4FAFD26405D1}"/>
    <cellStyle name="Porcentagem 4 3 14 3 4" xfId="15985" xr:uid="{0C949516-2664-4915-9531-3545DB01AD64}"/>
    <cellStyle name="Porcentagem 4 3 14 5" xfId="15986" xr:uid="{374D6224-AB0D-4ABE-B2F7-514FEFFEB249}"/>
    <cellStyle name="Porcentagem 4 3 15" xfId="15987" xr:uid="{C2291B3D-7718-45D0-A084-B2CC799D200B}"/>
    <cellStyle name="Porcentagem 4 3 15 2 2" xfId="15988" xr:uid="{1E549A23-764A-4CBD-B736-1F5674F1C2BA}"/>
    <cellStyle name="Porcentagem 4 3 15 2 4" xfId="15989" xr:uid="{12258ADB-60B4-4DD0-9B53-DA3CFD9D81A6}"/>
    <cellStyle name="Porcentagem 4 3 15 3 2" xfId="15990" xr:uid="{2FFEE9F0-BA09-4F25-A9A1-C7735D513752}"/>
    <cellStyle name="Porcentagem 4 3 15 3 4" xfId="15991" xr:uid="{AF8AE262-04B9-4A06-8A12-E8BA7B43A1C9}"/>
    <cellStyle name="Porcentagem 4 3 15 4" xfId="15992" xr:uid="{35F89924-4BBD-46CB-B0D7-7E6F1396C45D}"/>
    <cellStyle name="Porcentagem 4 3 15 5" xfId="15993" xr:uid="{47B431FB-5E3E-479C-A009-0D624DBCCEB6}"/>
    <cellStyle name="Porcentagem 4 3 15 6" xfId="15994" xr:uid="{52E515C2-3840-4756-9438-46976D379D70}"/>
    <cellStyle name="Porcentagem 4 3 16" xfId="15995" xr:uid="{2F9DAF87-F5FC-4F9C-B053-5E4DE66A02BD}"/>
    <cellStyle name="Porcentagem 4 3 16 2" xfId="15996" xr:uid="{37B19D73-D318-4D30-90A4-F7D28518B1D8}"/>
    <cellStyle name="Porcentagem 4 3 16 2 2" xfId="15997" xr:uid="{91408730-3C07-4A5E-AD00-A0A6DD4668FF}"/>
    <cellStyle name="Porcentagem 4 3 16 2 4" xfId="15998" xr:uid="{CED78B19-BC10-405D-A6C1-0ADF23DEA529}"/>
    <cellStyle name="Porcentagem 4 3 16 3 2" xfId="15999" xr:uid="{995761D5-F233-4404-8B7E-E2B6CD07DEF0}"/>
    <cellStyle name="Porcentagem 4 3 16 3 4" xfId="16000" xr:uid="{B35EF916-40AD-400E-882A-C7B6FE799B6F}"/>
    <cellStyle name="Porcentagem 4 3 16 5" xfId="16001" xr:uid="{AD68F415-70C4-48BD-9A6B-B9439E214B44}"/>
    <cellStyle name="Porcentagem 4 3 17" xfId="16002" xr:uid="{9F4FA79B-B081-4B97-8C88-351F29613302}"/>
    <cellStyle name="Porcentagem 4 3 17 2 2" xfId="16003" xr:uid="{7312A1FC-3DFA-4641-91FD-36A3EE61CDF5}"/>
    <cellStyle name="Porcentagem 4 3 17 2 4" xfId="16004" xr:uid="{D3FEEF76-E73A-436F-9FA3-194A76BA7C5A}"/>
    <cellStyle name="Porcentagem 4 3 17 3 2" xfId="16005" xr:uid="{909BE89D-0522-4208-9471-825E140725F6}"/>
    <cellStyle name="Porcentagem 4 3 17 3 4" xfId="16006" xr:uid="{59690D7D-3D8B-4B1D-9425-6B84F7518CD5}"/>
    <cellStyle name="Porcentagem 4 3 17 5" xfId="16007" xr:uid="{9C0044EE-3A4F-4664-9F64-65168F31A18C}"/>
    <cellStyle name="Porcentagem 4 3 18" xfId="16008" xr:uid="{2A7E154C-922A-4FE8-9903-416FB96E1DEF}"/>
    <cellStyle name="Porcentagem 4 3 18 3" xfId="16009" xr:uid="{04D295F8-0DCD-477D-96CD-F33C5EA2905C}"/>
    <cellStyle name="Porcentagem 4 3 18 4" xfId="16010" xr:uid="{DCB0B337-2FA6-4E39-8862-8A5EE70031AE}"/>
    <cellStyle name="Porcentagem 4 3 19 2" xfId="16011" xr:uid="{8E10310D-C34E-479B-B1E5-B33079F53E2D}"/>
    <cellStyle name="Porcentagem 4 3 19 4" xfId="16012" xr:uid="{B8908D2C-F3D7-49DE-943E-7A6DBA283B88}"/>
    <cellStyle name="Porcentagem 4 3 2 2" xfId="16013" xr:uid="{729D0866-92B4-475B-9641-5FDE36CDCE5C}"/>
    <cellStyle name="Porcentagem 4 3 2 2 3" xfId="16014" xr:uid="{370BDE0E-FDF6-45DD-B56D-20211CD2281D}"/>
    <cellStyle name="Porcentagem 4 3 2 2 4" xfId="16015" xr:uid="{730F0237-B1A8-46A5-87EE-B706C979889D}"/>
    <cellStyle name="Porcentagem 4 3 2 3" xfId="16016" xr:uid="{D9897693-688A-4A5F-BD45-FFDA5C6ADF28}"/>
    <cellStyle name="Porcentagem 4 3 2 3 2" xfId="16017" xr:uid="{5455DFDC-515C-4A3D-BBB1-98A41B13CAB5}"/>
    <cellStyle name="Porcentagem 4 3 2 3 3" xfId="16018" xr:uid="{CEF7957E-8146-4BCC-A461-593784FD85A2}"/>
    <cellStyle name="Porcentagem 4 3 2 3 4" xfId="16019" xr:uid="{8E6FEE69-C6EA-4DA4-B3CE-ED4A97A0B00C}"/>
    <cellStyle name="Porcentagem 4 3 2 5" xfId="16020" xr:uid="{B5BABBB5-6C95-4457-9179-2FACDC70378C}"/>
    <cellStyle name="Porcentagem 4 3 20" xfId="16021" xr:uid="{D6F633F9-D275-4C75-9DA4-EF422D9530F6}"/>
    <cellStyle name="Porcentagem 4 3 20 3" xfId="16022" xr:uid="{17BC370E-507D-498C-8AD8-460369304E79}"/>
    <cellStyle name="Porcentagem 4 3 20 4" xfId="16023" xr:uid="{A0D50C2B-E9BB-45D3-9C8B-D0BE7ACBAECB}"/>
    <cellStyle name="Porcentagem 4 3 21" xfId="16024" xr:uid="{0D4CC56E-1702-4C9E-A0A8-4C55A4B7149C}"/>
    <cellStyle name="Porcentagem 4 3 23" xfId="16025" xr:uid="{F5E6D574-D5E7-497E-BB75-1EED7C4969DF}"/>
    <cellStyle name="Porcentagem 4 3 3 2" xfId="16026" xr:uid="{19530841-C37C-458C-B497-542464BDEFCB}"/>
    <cellStyle name="Porcentagem 4 3 3 2 3" xfId="16027" xr:uid="{C2BA4053-2D0E-407D-8133-E618B9A073A2}"/>
    <cellStyle name="Porcentagem 4 3 3 3" xfId="16028" xr:uid="{E8FC8C6D-A20A-4629-8C4E-86923D53038A}"/>
    <cellStyle name="Porcentagem 4 3 3 3 3" xfId="16029" xr:uid="{EB68B148-2350-47D3-99BF-EA74C11A9E6A}"/>
    <cellStyle name="Porcentagem 4 3 3 4" xfId="16030" xr:uid="{EB958297-35D1-4D83-A5B9-256830BD4D87}"/>
    <cellStyle name="Porcentagem 4 3 3 6" xfId="16031" xr:uid="{97088468-4C98-4C5B-9021-18614546CFB6}"/>
    <cellStyle name="Porcentagem 4 3 4 2" xfId="16032" xr:uid="{80696EC6-0832-4F71-ABB8-A6871BDAF6B5}"/>
    <cellStyle name="Porcentagem 4 3 4 2 3" xfId="16033" xr:uid="{AABFAB8A-2B5B-4A1F-9C4C-1B266007FDAE}"/>
    <cellStyle name="Porcentagem 4 3 4 3" xfId="16034" xr:uid="{AA407AA3-A49A-4378-9910-F48E38B4872D}"/>
    <cellStyle name="Porcentagem 4 3 4 3 3" xfId="16035" xr:uid="{734B1681-8680-4687-AA66-4B4BE382D870}"/>
    <cellStyle name="Porcentagem 4 3 4 4" xfId="16036" xr:uid="{78DDBC69-CA88-4EE6-BBDB-518B932A592F}"/>
    <cellStyle name="Porcentagem 4 3 4 6" xfId="16037" xr:uid="{DB6E6E5B-5F56-4678-A1E8-AF1BF706288B}"/>
    <cellStyle name="Porcentagem 4 3 5 2" xfId="16038" xr:uid="{FBA0EC7B-0FE3-46C1-A972-18009089A9EF}"/>
    <cellStyle name="Porcentagem 4 3 5 2 3" xfId="16039" xr:uid="{294A6F2C-021B-410E-B7F0-6E1E66FEE7EA}"/>
    <cellStyle name="Porcentagem 4 3 5 3" xfId="16040" xr:uid="{D6BD4241-4F81-4A26-9BC4-1459ECB289CE}"/>
    <cellStyle name="Porcentagem 4 3 5 3 3" xfId="16041" xr:uid="{9251AEEA-1D74-48E9-9135-241DB19A2516}"/>
    <cellStyle name="Porcentagem 4 3 5 4" xfId="16042" xr:uid="{90D559E7-F067-4BD9-81A8-D92270362369}"/>
    <cellStyle name="Porcentagem 4 3 5 6" xfId="16043" xr:uid="{36426F76-FF85-4F26-BC22-AE1B3A82B008}"/>
    <cellStyle name="Porcentagem 4 3 6 2" xfId="16044" xr:uid="{41DCDB44-4906-42E4-93ED-675228B9484E}"/>
    <cellStyle name="Porcentagem 4 3 6 2 3" xfId="16045" xr:uid="{EC99A3F5-8B0D-44FD-B05C-8368FA38465F}"/>
    <cellStyle name="Porcentagem 4 3 6 3" xfId="16046" xr:uid="{CA58B8C3-6A29-4303-9302-5D0C6545F4FC}"/>
    <cellStyle name="Porcentagem 4 3 6 3 3" xfId="16047" xr:uid="{3557AC1B-EC60-4190-9FFF-AAF39336B24D}"/>
    <cellStyle name="Porcentagem 4 3 6 4" xfId="16048" xr:uid="{2590E7A4-51CC-44B6-BFCC-1B2C1D5C9F6F}"/>
    <cellStyle name="Porcentagem 4 3 6 6" xfId="16049" xr:uid="{95DABDB6-EF79-4B31-A9E3-98A2BECAE1EE}"/>
    <cellStyle name="Porcentagem 4 3 7 2" xfId="16050" xr:uid="{651CA46E-8D8E-4636-9668-0ECA9C0FDBAB}"/>
    <cellStyle name="Porcentagem 4 3 7 2 3" xfId="16051" xr:uid="{C73CE034-3C66-4D3E-8D76-3915420AE7CF}"/>
    <cellStyle name="Porcentagem 4 3 7 3" xfId="16052" xr:uid="{D3F6FAE1-1E5E-4B25-A955-132929DF726F}"/>
    <cellStyle name="Porcentagem 4 3 7 3 3" xfId="16053" xr:uid="{D900EC19-2979-4126-B44A-4D1825313D9F}"/>
    <cellStyle name="Porcentagem 4 3 7 4" xfId="16054" xr:uid="{BCF19886-387E-4313-AF7A-3A42BD6711C1}"/>
    <cellStyle name="Porcentagem 4 3 7 6" xfId="16055" xr:uid="{03CF3931-12F3-4188-ADD0-7748EAF1E296}"/>
    <cellStyle name="Porcentagem 4 3 8 2" xfId="16056" xr:uid="{56AFC56C-CF58-4419-9A61-1BC1031C904D}"/>
    <cellStyle name="Porcentagem 4 3 8 3" xfId="16057" xr:uid="{E396C80D-8FAA-4746-B461-4A06D12920C8}"/>
    <cellStyle name="Porcentagem 4 3 8 3 3" xfId="16058" xr:uid="{F72B7054-630B-48E7-A12B-0A6C0B8D9FD2}"/>
    <cellStyle name="Porcentagem 4 3 8 3 4" xfId="16059" xr:uid="{25B6F1BB-F617-4D76-85E2-42EB83651264}"/>
    <cellStyle name="Porcentagem 4 3 8 5" xfId="16060" xr:uid="{3D8F51C3-7D82-4DBA-8C9F-B1777F1326D4}"/>
    <cellStyle name="Porcentagem 4 3 9" xfId="16061" xr:uid="{A74E3C05-F1D5-4889-B43C-5FD4A8C3DCBE}"/>
    <cellStyle name="Porcentagem 4 3 9 2 2" xfId="16062" xr:uid="{08F44708-BBD5-4445-922F-A3E638F4E34C}"/>
    <cellStyle name="Porcentagem 4 3 9 2 4" xfId="16063" xr:uid="{181A18F6-47E0-40E3-B3A8-EB8A6E27FD0C}"/>
    <cellStyle name="Porcentagem 4 3 9 3" xfId="16064" xr:uid="{17B0AF98-E882-44C2-A577-6435995D4978}"/>
    <cellStyle name="Porcentagem 4 3 9 3 2" xfId="16065" xr:uid="{A4ABC7EB-514D-4EEA-93E7-5DAB7D5B44E5}"/>
    <cellStyle name="Porcentagem 4 3 9 3 4" xfId="16066" xr:uid="{0806E5E2-E4FB-4BEF-A639-EFB3678FC746}"/>
    <cellStyle name="Porcentagem 4 3 9 5" xfId="16067" xr:uid="{FFA3A8F1-0DE1-432D-929B-33E9B9463328}"/>
    <cellStyle name="Porcentagem 4 4" xfId="16068" xr:uid="{42268663-2009-4C13-8D8F-D0E1DCF1E722}"/>
    <cellStyle name="Porcentagem 4 4 2 2" xfId="16069" xr:uid="{EFA4A5D8-A2D1-495E-9F21-8D7B5824D7AC}"/>
    <cellStyle name="Porcentagem 4 4 2 4" xfId="16070" xr:uid="{D50D160E-9097-4D26-B56F-ED3C3EC2C0FA}"/>
    <cellStyle name="Porcentagem 4 4 3 2" xfId="16071" xr:uid="{2C4CA027-D552-42CE-993B-27080C230F15}"/>
    <cellStyle name="Porcentagem 4 4 3 4" xfId="16072" xr:uid="{374119BD-BD84-404F-ACD4-9EE9B89BEC9E}"/>
    <cellStyle name="Porcentagem 4 4 5" xfId="16073" xr:uid="{3BBFC5B0-CB7F-461D-B044-0900C9CAEAA5}"/>
    <cellStyle name="Porcentagem 4 5" xfId="16074" xr:uid="{EBE19FA5-AB50-40D7-BFA9-03B54373F6EB}"/>
    <cellStyle name="Porcentagem 4 5 2 2" xfId="16075" xr:uid="{584ECB2F-A762-457E-8A02-7A566399F151}"/>
    <cellStyle name="Porcentagem 4 5 2 4" xfId="16076" xr:uid="{884CA8C9-2661-43E0-9051-4382837D7EA4}"/>
    <cellStyle name="Porcentagem 4 5 3 2" xfId="16077" xr:uid="{277A35E2-C4E0-4A12-8D84-59F31BB4261C}"/>
    <cellStyle name="Porcentagem 4 5 3 4" xfId="16078" xr:uid="{FC3C8F10-EECF-4F1C-8486-BC32A0B98B43}"/>
    <cellStyle name="Porcentagem 4 5 5" xfId="16079" xr:uid="{57C57E14-F331-4D7B-BA7F-36FB3561E201}"/>
    <cellStyle name="Porcentagem 4 6" xfId="16080" xr:uid="{3E30CC7A-261A-4C55-900E-B286E3E14B5E}"/>
    <cellStyle name="Porcentagem 4 6 2 2" xfId="16081" xr:uid="{5B474FC1-1B76-49D8-B47B-47C027329962}"/>
    <cellStyle name="Porcentagem 4 6 2 4" xfId="16082" xr:uid="{4C07668F-0B44-43D6-8234-8E6BBBD687A1}"/>
    <cellStyle name="Porcentagem 4 6 3 2" xfId="16083" xr:uid="{C8C91DCD-4833-464C-B844-F65407FDA834}"/>
    <cellStyle name="Porcentagem 4 6 3 4" xfId="16084" xr:uid="{192255D8-3751-4CE0-BFC3-BBC721524D7E}"/>
    <cellStyle name="Porcentagem 4 6 6" xfId="16085" xr:uid="{D730FB4F-88F7-4E58-91CB-E13CFC087B25}"/>
    <cellStyle name="Porcentagem 4 7 2" xfId="16086" xr:uid="{BEAED266-0CD6-4DC5-A4A6-DC68EE67E85B}"/>
    <cellStyle name="Porcentagem 4 7 2 3" xfId="16087" xr:uid="{A7F62F09-E836-4D2B-B75A-30D650903E7A}"/>
    <cellStyle name="Porcentagem 4 7 3" xfId="16088" xr:uid="{E33076A4-3A69-4CB1-A874-E271593D400D}"/>
    <cellStyle name="Porcentagem 4 7 3 3" xfId="16089" xr:uid="{9CE911A5-B1DB-4190-871C-F5C4C99818D1}"/>
    <cellStyle name="Porcentagem 4 7 4" xfId="16090" xr:uid="{4AD26BA3-06D6-457C-A75D-F911C6863BAB}"/>
    <cellStyle name="Porcentagem 4 8" xfId="16091" xr:uid="{99BAAEE0-5EFC-4E54-8A44-3B2F08661491}"/>
    <cellStyle name="Porcentagem 4 8 2 2" xfId="16092" xr:uid="{85487100-4855-4247-B020-82EEBA96814D}"/>
    <cellStyle name="Porcentagem 4 8 2 4" xfId="16093" xr:uid="{747ED959-7949-45F8-88C1-D7C839F409D7}"/>
    <cellStyle name="Porcentagem 4 8 3 2" xfId="16094" xr:uid="{2B3B4F82-951A-4324-8FFF-DB2B6D418636}"/>
    <cellStyle name="Porcentagem 4 8 3 4" xfId="16095" xr:uid="{001C0487-E254-484A-8A71-6ED8C0784D8F}"/>
    <cellStyle name="Porcentagem 4 8 5" xfId="16096" xr:uid="{C121C67A-77B4-4840-B473-C31327E5585D}"/>
    <cellStyle name="Porcentagem 4 9" xfId="16097" xr:uid="{8A11DD22-CC56-4C6B-A152-4A8768BFA170}"/>
    <cellStyle name="Porcentagem 4 9 2 2" xfId="16098" xr:uid="{4EBF4E87-837E-4E69-9171-5FC917C173D0}"/>
    <cellStyle name="Porcentagem 4 9 2 4" xfId="16099" xr:uid="{66B1D779-ECFB-41B1-9540-35E15AFF0613}"/>
    <cellStyle name="Porcentagem 4 9 3 2" xfId="16100" xr:uid="{3AB95755-9070-401F-A033-1FB49932D941}"/>
    <cellStyle name="Porcentagem 4 9 3 4" xfId="16101" xr:uid="{97EFF1AF-E155-45CB-AB09-84E13DB41203}"/>
    <cellStyle name="Porcentagem 4 9 5" xfId="16102" xr:uid="{284D3BE4-1E35-45C3-832A-891E8C7F4F71}"/>
    <cellStyle name="Porcentagem 5" xfId="392" xr:uid="{7932C183-296D-48D6-B971-2CA50472CBCB}"/>
    <cellStyle name="Porcentagem 5 2 2" xfId="16103" xr:uid="{C825068D-2050-490A-B23B-40EA0744CFBC}"/>
    <cellStyle name="Porcentagem 5 3 2" xfId="16104" xr:uid="{B6F1C9DB-020E-4E37-A174-908F255C1FE5}"/>
    <cellStyle name="Porcentagem 5 4 2 2" xfId="891" xr:uid="{884E3C91-11C2-4ECE-9369-15FE8174DD09}"/>
    <cellStyle name="Porcentagem 5 4 3 2" xfId="17333" xr:uid="{375FBB8F-D06F-46C6-A0DA-7389C08153F2}"/>
    <cellStyle name="Porcentagem 5 4 4" xfId="852" xr:uid="{D3341F7A-5B78-4058-91F2-F2456E521351}"/>
    <cellStyle name="Porcentagem 5 5" xfId="704" xr:uid="{7A6A47E6-9D26-4D27-8FAB-237E972D4F7A}"/>
    <cellStyle name="Porcentagem 5 5 3" xfId="17334" xr:uid="{C318205F-2E61-4A59-93FF-875A0845D264}"/>
    <cellStyle name="Porcentagem 5 7" xfId="851" xr:uid="{5DE8828C-7368-4D4E-BAB9-237AC6694CF5}"/>
    <cellStyle name="Porcentagem 5 9" xfId="17292" xr:uid="{EE526603-06F4-433C-991F-4CA43045D596}"/>
    <cellStyle name="Porcentagem 6" xfId="393" xr:uid="{CF4E65E6-E734-450D-A2B2-F347D4D39A6C}"/>
    <cellStyle name="Porcentagem 6 3" xfId="16105" xr:uid="{45017098-0C90-4CFE-AB3E-2C243734B36C}"/>
    <cellStyle name="Porcentagem 7 2" xfId="545" xr:uid="{08FE2452-4294-4648-943B-6538C48EC752}"/>
    <cellStyle name="Porcentagem 8" xfId="394" xr:uid="{CEABB4F4-F5AB-46AF-89F3-0E6ADD366EC7}"/>
    <cellStyle name="Porcentaje" xfId="16106" xr:uid="{734D8F53-2378-42B3-B1EA-74D2DADB4B84}"/>
    <cellStyle name="Porcentual 2 11" xfId="16107" xr:uid="{0A8301D3-4F1A-4FCD-969C-FA06111B8C0B}"/>
    <cellStyle name="Porcentual 2 15" xfId="16108" xr:uid="{49312AD6-E65F-4093-B69E-2AEC6626AAB3}"/>
    <cellStyle name="Porcentual 2 21" xfId="16109" xr:uid="{CD729517-3638-4A01-B765-24B1CF642C18}"/>
    <cellStyle name="SAPBEXHLevel0 3 4" xfId="778" xr:uid="{3B81BD93-6E2B-4592-B177-1BA95F307BD6}"/>
    <cellStyle name="SAPBEXHLevel1 3" xfId="714" xr:uid="{02E7AE1B-858E-47A0-A8CB-B16B181BCB4F}"/>
    <cellStyle name="SAPBEXHLevel1 5" xfId="17293" xr:uid="{7701CAC2-A92A-4DBD-9FDC-7FC8E0CC2CBB}"/>
    <cellStyle name="SAPBEXHLevel1X 2" xfId="715" xr:uid="{E1D16DB8-6392-4023-A222-F340E6909979}"/>
    <cellStyle name="SAPBEXHLevel1X 3" xfId="711" xr:uid="{99690BD0-528A-4BE0-B9C6-FAF7016FBDA1}"/>
    <cellStyle name="SAPBEXHLevel1X 5" xfId="776" xr:uid="{C2DFB475-EF43-453B-B09F-7DED09386190}"/>
    <cellStyle name="SAPBEXHLevel2 2" xfId="676" xr:uid="{D76744A6-1A42-4F24-940C-853CFC8113DE}"/>
    <cellStyle name="SAPBEXHLevel2 2 2 2" xfId="914" xr:uid="{85033F35-E21C-490B-A574-41E77FB4916F}"/>
    <cellStyle name="SAPBEXHLevel2 2 3" xfId="901" xr:uid="{975FA91F-2F94-49F3-ABF5-C908A929AEB1}"/>
    <cellStyle name="SAPBEXHLevel2 2 5" xfId="17295" xr:uid="{71E77A85-9456-4AF9-96F4-8EC6AD18A203}"/>
    <cellStyle name="SAPBEXHLevel2 3 2" xfId="853" xr:uid="{99BECA10-9CA3-43EE-9869-AFE7F5F2252C}"/>
    <cellStyle name="SAPBEXHLevel2 3 4" xfId="779" xr:uid="{15DFDEB9-F0E2-4DB1-AB4C-BDC21AD396ED}"/>
    <cellStyle name="SAPBEXHLevel2 5" xfId="17294" xr:uid="{4958BC6D-DF9F-4D4B-90DA-E8FFE65862E6}"/>
    <cellStyle name="SAPBEXHLevel2X 2" xfId="716" xr:uid="{2649AD03-B0E0-4E1E-9BD6-8D01312E29FB}"/>
    <cellStyle name="SAPBEXHLevel2X 3" xfId="710" xr:uid="{FA3BB953-8B70-4C30-9746-63301250BA04}"/>
    <cellStyle name="SAPBEXHLevel2X 5" xfId="796" xr:uid="{4D52ED68-2D71-40BB-AA03-BE25AC2879B7}"/>
    <cellStyle name="SAPBEXHLevel3 2" xfId="717" xr:uid="{338B4BE7-734D-4FC7-ABC6-70BFEDDF845C}"/>
    <cellStyle name="SAPBEXHLevel3 3" xfId="709" xr:uid="{ACAFF325-E022-4F68-9D13-A58429421866}"/>
    <cellStyle name="SAPBEXHLevel3 5" xfId="787" xr:uid="{F4A5A6D6-DD06-40EC-91A8-F95B0D635600}"/>
    <cellStyle name="SAPBEXHLevel3X 2" xfId="718" xr:uid="{4C109B54-909B-4819-B445-A68FD34AAC8F}"/>
    <cellStyle name="SAPBEXHLevel3X 3" xfId="688" xr:uid="{318DCB0E-1E42-49CA-B0D9-4E2B8FF483A0}"/>
    <cellStyle name="SAPBEXHLevel3X 5" xfId="764" xr:uid="{CA95D13C-EBD9-4D01-8BAA-67D64E8BB8AB}"/>
    <cellStyle name="SAPBEXresData" xfId="637" xr:uid="{76625DE0-8802-4A30-A905-93CF14815314}"/>
    <cellStyle name="SAPBEXresData 4" xfId="759" xr:uid="{7763298A-1FE9-4DAE-B23E-879AFC5138EF}"/>
    <cellStyle name="SAPBEXresDataEmph" xfId="638" xr:uid="{7F47D983-BCD1-40E6-836A-0EE2FBC4DAA7}"/>
    <cellStyle name="SAPBEXresDataEmph 2 2" xfId="16110" xr:uid="{030D83F3-D964-4E3D-851B-F2628BABFA68}"/>
    <cellStyle name="SAPBEXresDataEmph 4" xfId="758" xr:uid="{15938DE8-734F-4205-B2E0-FF67B2658AF7}"/>
    <cellStyle name="SAPBEXresItem" xfId="639" xr:uid="{783F7983-FFC0-40C6-8BC9-2E110B137ACA}"/>
    <cellStyle name="SAPBEXresItem 2 2" xfId="16111" xr:uid="{FAA22FD2-9F63-47DC-A12A-FDA477C5D66A}"/>
    <cellStyle name="SAPBEXresItem 4" xfId="757" xr:uid="{3AB640DB-1352-4B4B-ADEC-1F19B0DAB942}"/>
    <cellStyle name="SAPBEXresItemX" xfId="640" xr:uid="{4A8D6698-F8D8-41A2-9FC5-334284CEF803}"/>
    <cellStyle name="SAPBEXresItemX 2 2" xfId="16112" xr:uid="{77786067-D319-42EC-8173-AEB447FB2365}"/>
    <cellStyle name="SAPBEXresItemX 4" xfId="794" xr:uid="{BE89FB1C-176F-48C1-A8CD-0946547B03D5}"/>
    <cellStyle name="SAPBEXresItemX 5" xfId="765" xr:uid="{6D0CD05F-2840-4CFB-98C5-2A77FAAD04AC}"/>
    <cellStyle name="SAPBEXstdData 2" xfId="677" xr:uid="{F1F3013C-AA1E-4E48-815A-06761370E03D}"/>
    <cellStyle name="SAPBEXstdData 2 2 2" xfId="916" xr:uid="{097F7BFE-8B6A-4636-A68C-5D44CEA6215B}"/>
    <cellStyle name="SAPBEXstdData 2 3" xfId="902" xr:uid="{D1C5948A-2FB7-49A6-980E-E5AF2599C015}"/>
    <cellStyle name="SAPBEXstdData 2 5" xfId="17296" xr:uid="{22A97833-988F-4FAF-AAD8-EFF60355285D}"/>
    <cellStyle name="SAPBEXstdData 3" xfId="719" xr:uid="{9B620015-FA88-4A34-88FC-5C56E6CF030D}"/>
    <cellStyle name="SAPBEXstdData 3 3" xfId="915" xr:uid="{A6C687D3-B3F2-44FB-974B-116EEEC11686}"/>
    <cellStyle name="SAPBEXstdData 4" xfId="812" xr:uid="{78A1C1D2-B5AD-454C-86C5-C65D53377770}"/>
    <cellStyle name="SAPBEXstdDataEmph" xfId="641" xr:uid="{BE896764-9CB6-4A6C-AE1C-D94EA367646B}"/>
    <cellStyle name="SAPBEXstdDataEmph 2 2" xfId="16113" xr:uid="{ED82ABB0-9D68-4799-AC55-31A6049A3F46}"/>
    <cellStyle name="SAPBEXstdDataEmph 4" xfId="805" xr:uid="{84194663-604E-46C3-A711-6A71E480CB9A}"/>
    <cellStyle name="SAPBEXstdItem" xfId="642" xr:uid="{CCACBC83-A478-483C-9211-FB1033F9A394}"/>
    <cellStyle name="SAPBEXstdItem 2 2" xfId="741" xr:uid="{3F3FE0E0-94B7-4FEB-80A0-8B869EA7998E}"/>
    <cellStyle name="SAPBEXstdItem 3" xfId="720" xr:uid="{B562E37D-7A5C-4D1A-AC79-62570BA224D0}"/>
    <cellStyle name="SAPBEXstdItem 6" xfId="819" xr:uid="{6F993AE5-449E-4292-BC62-B1868E5B9B9F}"/>
    <cellStyle name="SAPBEXstdItemX 2" xfId="678" xr:uid="{CEF4921D-B86D-498E-9301-5F698F2190FB}"/>
    <cellStyle name="SAPBEXstdItemX 2 2 2" xfId="917" xr:uid="{DE45B5A4-7BD7-4E66-AC97-58FAA878A29D}"/>
    <cellStyle name="SAPBEXstdItemX 2 3" xfId="903" xr:uid="{6F214CFA-986F-4C0A-B8DA-0D8170579A8B}"/>
    <cellStyle name="SAPBEXstdItemX 2 5" xfId="17298" xr:uid="{EB256940-4CF9-43A3-8F4D-6FB5635E06FD}"/>
    <cellStyle name="SAPBEXstdItemX 3 2" xfId="854" xr:uid="{A8BECEFD-E276-4CEA-B7E3-F7D3FC7E3FED}"/>
    <cellStyle name="SAPBEXstdItemX 3 4" xfId="754" xr:uid="{4A7CEA11-B6F0-48E2-B263-745AAB22657F}"/>
    <cellStyle name="SAPBEXstdItemX 5" xfId="17297" xr:uid="{7B09067F-6863-4A45-9A0B-2096EE6DA2AC}"/>
    <cellStyle name="SAPBEXundefined" xfId="643" xr:uid="{12EB3AA9-094E-4C81-BEF4-2C5C12953441}"/>
    <cellStyle name="SAPBEXundefined 2 2" xfId="16114" xr:uid="{91B5952B-963A-4959-A126-19830985B841}"/>
    <cellStyle name="SAPOutput 2" xfId="16115" xr:uid="{08E5444A-DE92-4D98-BCD9-41D24EE38AE8}"/>
    <cellStyle name="Separador de m" xfId="347" xr:uid="{5097A71A-B7DE-4736-B3F9-DD545B09AC5E}"/>
    <cellStyle name="Separador de milhares 10 2" xfId="16116" xr:uid="{43F72F7F-6E14-493F-ACA7-C559CCFCA06D}"/>
    <cellStyle name="Separador de milhares 10 3" xfId="17274" xr:uid="{7A3AA388-EAE0-484D-A9C3-449794EEE3BA}"/>
    <cellStyle name="Separador de milhares 11 3" xfId="17299" xr:uid="{272B3794-3FD4-4B87-B7E5-1DD210C01007}"/>
    <cellStyle name="Separador de milhares 13" xfId="395" xr:uid="{E81A1819-DAAF-4F65-A68A-D2582BC031F8}"/>
    <cellStyle name="Separador de milhares 13 3" xfId="17300" xr:uid="{B9F1F61D-7749-4754-A38E-42362326B6ED}"/>
    <cellStyle name="Separador de milhares 14 2" xfId="16117" xr:uid="{D91A9FF6-4F17-416E-8F82-C8222E83F486}"/>
    <cellStyle name="Separador de milhares 15" xfId="660" xr:uid="{136AE045-DB85-4109-85D8-DE4E07B4803D}"/>
    <cellStyle name="Separador de milhares 15 2 2 2" xfId="892" xr:uid="{D3F750B2-4EAD-4C33-B8D5-C2792B28351D}"/>
    <cellStyle name="Separador de milhares 15 2 3" xfId="893" xr:uid="{8F2E64B1-C960-4423-9508-B7D9DB1524E5}"/>
    <cellStyle name="Separador de milhares 15 2 4" xfId="856" xr:uid="{E935EBC8-8F3B-4C3A-9009-600D1B93448A}"/>
    <cellStyle name="Separador de milhares 15 2 6" xfId="17302" xr:uid="{571F14D0-0F5C-4290-8549-DA78AF6F2A50}"/>
    <cellStyle name="Separador de milhares 15 3 2" xfId="894" xr:uid="{0B6B154D-4A2A-4D04-B0BF-4EC8F04496F6}"/>
    <cellStyle name="Separador de milhares 15 4" xfId="895" xr:uid="{E133FF0E-3156-4C5F-89ED-ECCAED2E05DF}"/>
    <cellStyle name="Separador de milhares 15 5" xfId="855" xr:uid="{FD54A590-2918-4B18-BA66-0D530B768C7D}"/>
    <cellStyle name="Separador de milhares 15 7" xfId="17301" xr:uid="{1B9A7FD5-4319-4431-B159-2EC42F141C54}"/>
    <cellStyle name="Separador de milhares 16 2" xfId="16118" xr:uid="{9ABC448C-6892-43B1-A98A-87B379DFA27B}"/>
    <cellStyle name="Separador de milhares 2 10 12" xfId="16119" xr:uid="{26F370ED-9CC8-43C0-A762-48DDB93B7948}"/>
    <cellStyle name="Separador de milhares 2 10 14" xfId="16120" xr:uid="{EAFCCDA7-188C-4386-83EE-BC96D0E0C776}"/>
    <cellStyle name="Separador de milhares 2 10 2 2" xfId="16121" xr:uid="{A583743C-B7E4-40DE-9894-A933DB9AF183}"/>
    <cellStyle name="Separador de milhares 2 10 2 4" xfId="16122" xr:uid="{6FD53F10-9129-45EC-BBA4-BF6C87CD5E0C}"/>
    <cellStyle name="Separador de milhares 2 10 2 6" xfId="16123" xr:uid="{0B5ACE26-F4B4-4F3F-8CF0-A2E5B6324E88}"/>
    <cellStyle name="Separador de milhares 2 10 3" xfId="16124" xr:uid="{D0F527E0-0614-4F83-ACAE-590BD9BEF5CE}"/>
    <cellStyle name="Separador de milhares 2 10 3 3" xfId="16125" xr:uid="{A9A995E5-FA27-49C1-B8EB-56D38D7B10D0}"/>
    <cellStyle name="Separador de milhares 2 10 3 5" xfId="16126" xr:uid="{5E9DCD5F-B008-4918-9AF9-8B4C728F4CB9}"/>
    <cellStyle name="Separador de milhares 2 10 4" xfId="16127" xr:uid="{391E4076-83AB-4D27-A4D2-B8924E20E762}"/>
    <cellStyle name="Separador de milhares 2 10 4 3" xfId="16128" xr:uid="{3BD5872B-E825-4E3B-94CA-A2EBADB86090}"/>
    <cellStyle name="Separador de milhares 2 10 4 4" xfId="16129" xr:uid="{EFC1C0A5-0D26-4FBB-9644-7F38EEE5D999}"/>
    <cellStyle name="Separador de milhares 2 10 4 5" xfId="16130" xr:uid="{A33E82C5-3662-45D9-8508-A937AEC5FA60}"/>
    <cellStyle name="Separador de milhares 2 10 5" xfId="16131" xr:uid="{0A7039EF-1DEA-47A9-BBAF-58E7B6E787E5}"/>
    <cellStyle name="Separador de milhares 2 10 5 3" xfId="16132" xr:uid="{FC8BB6C5-A581-4C28-8799-F6BFA64343DA}"/>
    <cellStyle name="Separador de milhares 2 10 5 5" xfId="16133" xr:uid="{411F9302-6951-47F5-B156-C1982A88B150}"/>
    <cellStyle name="Separador de milhares 2 10 6" xfId="16134" xr:uid="{E4C3A3A6-1240-4817-B9A8-19420ACC1AD8}"/>
    <cellStyle name="Separador de milhares 2 10 6 3" xfId="16135" xr:uid="{9900CC7C-79E0-4A92-9360-AB90F7599C31}"/>
    <cellStyle name="Separador de milhares 2 10 6 4" xfId="16136" xr:uid="{97026B25-CCD2-49C1-8625-28F5E82A7A6F}"/>
    <cellStyle name="Separador de milhares 2 10 6 6" xfId="16137" xr:uid="{EC8A7A9E-B400-44BD-ADF6-FCFF30E1B96F}"/>
    <cellStyle name="Separador de milhares 2 10 7 2" xfId="16138" xr:uid="{7375E796-468A-4D38-9891-B987B56512D4}"/>
    <cellStyle name="Separador de milhares 2 10 7 4" xfId="16139" xr:uid="{7941205C-3165-4567-95CA-82D5EDFC5AD7}"/>
    <cellStyle name="Separador de milhares 2 10 7 6" xfId="16140" xr:uid="{398161CE-29B1-49C1-B766-D0B923D2CBA6}"/>
    <cellStyle name="Separador de milhares 2 10 8 2" xfId="16141" xr:uid="{3CD516F5-577B-4EDD-9222-17E63FBC376F}"/>
    <cellStyle name="Separador de milhares 2 10 8 3" xfId="16142" xr:uid="{7E8255CE-C81A-437C-BB53-51EFEE89C805}"/>
    <cellStyle name="Separador de milhares 2 10 8 5" xfId="16143" xr:uid="{3EC6F247-AD08-42A1-B1F6-7EE391CB6D09}"/>
    <cellStyle name="Separador de milhares 2 10 9" xfId="16144" xr:uid="{9C53EDA9-F523-464A-9647-D10CA0E23488}"/>
    <cellStyle name="Separador de milhares 2 11 10" xfId="16145" xr:uid="{AC7F18E2-075F-453D-9759-FEFBCD3A6832}"/>
    <cellStyle name="Separador de milhares 2 11 12" xfId="16146" xr:uid="{54D8334A-9441-4804-B2D4-CE4EA6630370}"/>
    <cellStyle name="Separador de milhares 2 11 2" xfId="16147" xr:uid="{F803ADA3-9E76-466F-A1AF-82E91DFC3216}"/>
    <cellStyle name="Separador de milhares 2 11 2 3" xfId="16148" xr:uid="{7B719A76-12D3-47F2-95FE-CFD0FE3D17C7}"/>
    <cellStyle name="Separador de milhares 2 11 2 5" xfId="16149" xr:uid="{F6A4C21D-CC77-44FD-854A-54CCE6515EBC}"/>
    <cellStyle name="Separador de milhares 2 11 3 3" xfId="16150" xr:uid="{A66E7E3D-1594-4FB2-BD99-77AE60C6AE5E}"/>
    <cellStyle name="Separador de milhares 2 11 3 5" xfId="16151" xr:uid="{F1FFD4BF-9720-4255-B8F7-56D6A4FAFC77}"/>
    <cellStyle name="Separador de milhares 2 11 4" xfId="16152" xr:uid="{BFAB3948-7E3F-4954-A9BD-CE1BE79B46FB}"/>
    <cellStyle name="Separador de milhares 2 11 4 3" xfId="16153" xr:uid="{758AD5DA-B7F2-4EFE-A990-FEA5EC2C6D15}"/>
    <cellStyle name="Separador de milhares 2 11 4 5" xfId="16154" xr:uid="{2C9F7339-4D3D-43D3-AAE4-4A8EE25662D3}"/>
    <cellStyle name="Separador de milhares 2 11 5" xfId="16155" xr:uid="{AAACADEC-904F-46E9-8F4E-9783C47CC77F}"/>
    <cellStyle name="Separador de milhares 2 11 5 3" xfId="16156" xr:uid="{BF8C5EF4-2285-4125-B7FD-DAEC66C9C998}"/>
    <cellStyle name="Separador de milhares 2 11 5 5" xfId="16157" xr:uid="{7C1E3D8D-EF0C-462F-BCE7-A078B888FC80}"/>
    <cellStyle name="Separador de milhares 2 11 6" xfId="16158" xr:uid="{B57C925B-6A58-4D8E-B9A7-536CA307A9D2}"/>
    <cellStyle name="Separador de milhares 2 11 6 4" xfId="16159" xr:uid="{61ABA62D-D058-40C4-99F9-BF5F8576C304}"/>
    <cellStyle name="Separador de milhares 2 11 6 6" xfId="16160" xr:uid="{BCF59DB4-FCC9-4CE5-B974-F2FF9E114E09}"/>
    <cellStyle name="Separador de milhares 2 11 7 3" xfId="16161" xr:uid="{3A6955DA-B7EA-4E8D-8ECC-E83B5D6284F0}"/>
    <cellStyle name="Separador de milhares 2 11 7 6" xfId="16162" xr:uid="{C18A4185-B520-4744-B11A-9AF5999164B4}"/>
    <cellStyle name="Separador de milhares 2 11 8 3" xfId="16163" xr:uid="{EECCBA68-1A6A-43F6-A256-9AB65FDB0DF4}"/>
    <cellStyle name="Separador de milhares 2 11 8 6" xfId="16164" xr:uid="{9EE472D7-3FF2-4AB7-BF4D-1E93D73B3FF4}"/>
    <cellStyle name="Separador de milhares 2 12" xfId="16165" xr:uid="{1489DF74-26A7-4A21-B00C-CF88BB90AB12}"/>
    <cellStyle name="Separador de milhares 2 12 11" xfId="16166" xr:uid="{043D2E19-5B47-43EC-BB69-A2F99D22030D}"/>
    <cellStyle name="Separador de milhares 2 12 13" xfId="16167" xr:uid="{45099761-C11B-4B8B-B15C-12646E99DB88}"/>
    <cellStyle name="Separador de milhares 2 12 2 2" xfId="16168" xr:uid="{C17EE4CD-78F7-44B9-BE3B-86623426347D}"/>
    <cellStyle name="Separador de milhares 2 12 2 4" xfId="16169" xr:uid="{9567FCD7-1AAA-4484-8460-00080132D4AB}"/>
    <cellStyle name="Separador de milhares 2 12 2 6" xfId="16170" xr:uid="{1A8DDBCE-6757-4680-8A11-1604C585CC6D}"/>
    <cellStyle name="Separador de milhares 2 12 3 2" xfId="16171" xr:uid="{1E42F10F-E894-47B1-A68C-ED3D377C24F5}"/>
    <cellStyle name="Separador de milhares 2 12 3 4" xfId="16172" xr:uid="{7755B3BF-4C68-4C03-8B22-1C574A0ACDF3}"/>
    <cellStyle name="Separador de milhares 2 12 3 6" xfId="16173" xr:uid="{6095E04D-FD0F-4C74-8C80-70954B16F4EB}"/>
    <cellStyle name="Separador de milhares 2 12 4 2" xfId="16174" xr:uid="{97121F48-E4D7-4866-9B4E-DE4B0E21C9C6}"/>
    <cellStyle name="Separador de milhares 2 12 4 4" xfId="16175" xr:uid="{E23621FA-5807-4A11-BC46-97D0DA38BF4A}"/>
    <cellStyle name="Separador de milhares 2 12 5 2" xfId="16176" xr:uid="{A3B6725F-97AC-48D6-B06C-5527507016C8}"/>
    <cellStyle name="Separador de milhares 2 12 5 4" xfId="16177" xr:uid="{C1A8397D-043E-40D9-A0E9-82374ED36DD0}"/>
    <cellStyle name="Separador de milhares 2 12 5 5" xfId="16178" xr:uid="{C8080EAD-5DAA-42E8-B7DA-1F73B9359F69}"/>
    <cellStyle name="Separador de milhares 2 12 6 3" xfId="16179" xr:uid="{1ADD6DFC-FE21-4797-92D0-39A524EA619D}"/>
    <cellStyle name="Separador de milhares 2 12 6 5" xfId="16180" xr:uid="{5569AF12-300F-4BFF-973F-A4A36A94AA28}"/>
    <cellStyle name="Separador de milhares 2 12 7" xfId="16181" xr:uid="{F9A1963B-12B2-44F7-A701-023C2A4A4F4B}"/>
    <cellStyle name="Separador de milhares 2 12 7 3" xfId="16182" xr:uid="{01469B18-EE8E-4064-8C71-A860045EF120}"/>
    <cellStyle name="Separador de milhares 2 12 7 5" xfId="16183" xr:uid="{0C992C73-F3EA-4161-B296-40B2701CA9B3}"/>
    <cellStyle name="Separador de milhares 2 12 8" xfId="16184" xr:uid="{6BE757ED-A995-411A-9CC0-A7F13718E74C}"/>
    <cellStyle name="Separador de milhares 2 12 8 3" xfId="16185" xr:uid="{C593AEB1-17FD-4E28-BCDF-BE22E385B207}"/>
    <cellStyle name="Separador de milhares 2 12 8 5" xfId="16186" xr:uid="{9D0B9B94-1BC3-4582-A415-3E6F399D2F8F}"/>
    <cellStyle name="Separador de milhares 2 13" xfId="16187" xr:uid="{4861004F-FB2A-45B4-840D-A615A9F3C757}"/>
    <cellStyle name="Separador de milhares 2 13 2" xfId="16188" xr:uid="{9F59E360-28BE-4A05-BB17-7768B7AC67F0}"/>
    <cellStyle name="Separador de milhares 2 13 2 4" xfId="16189" xr:uid="{EF985C17-373B-4FA6-8E01-15A0416E35D4}"/>
    <cellStyle name="Separador de milhares 2 13 3" xfId="16190" xr:uid="{25B640A1-C454-4BDB-A429-B9AE9927C146}"/>
    <cellStyle name="Separador de milhares 2 13 3 3" xfId="16191" xr:uid="{D2B0A576-3E3E-4C4C-8ADE-87B81C78B25C}"/>
    <cellStyle name="Separador de milhares 2 13 3 6" xfId="16192" xr:uid="{E866420F-2C44-4173-B7E5-93882073A7DE}"/>
    <cellStyle name="Separador de milhares 2 13 4 3" xfId="16193" xr:uid="{8378A6C9-8823-4D9E-AC5C-6E0D3EF6FC40}"/>
    <cellStyle name="Separador de milhares 2 13 4 5" xfId="16194" xr:uid="{D48BADFE-3FC1-4382-8862-8253E25BE5A3}"/>
    <cellStyle name="Separador de milhares 2 13 5" xfId="16195" xr:uid="{7B639C07-B72B-47F2-85AE-97048B6A7B4E}"/>
    <cellStyle name="Separador de milhares 2 13 5 3" xfId="16196" xr:uid="{2AA7E026-07B7-4072-AC4D-6B4DA24D8A2B}"/>
    <cellStyle name="Separador de milhares 2 13 5 5" xfId="16197" xr:uid="{9C5CEDA5-61FC-4BAC-BA2A-4F9D4683B1C1}"/>
    <cellStyle name="Separador de milhares 2 13 6" xfId="16198" xr:uid="{F6680950-DCCC-469B-BC60-0B364B85470B}"/>
    <cellStyle name="Separador de milhares 2 13 6 4" xfId="16199" xr:uid="{A3E656ED-98A3-4355-B89F-984B6B8C0D8A}"/>
    <cellStyle name="Separador de milhares 2 13 6 6" xfId="16200" xr:uid="{1E0D6A9F-276E-4800-B6BF-0B8E15957FDF}"/>
    <cellStyle name="Separador de milhares 2 13 7 3" xfId="16201" xr:uid="{BBADEDB3-ACEA-40EF-B60B-5AB3A4BDE842}"/>
    <cellStyle name="Separador de milhares 2 13 7 5" xfId="16202" xr:uid="{0EADEFD2-A67D-4DA8-8074-781F6FF3E133}"/>
    <cellStyle name="Separador de milhares 2 13 8" xfId="16203" xr:uid="{16F097B2-F8E8-4B81-8FF6-99E41DA8881C}"/>
    <cellStyle name="Separador de milhares 2 14" xfId="16204" xr:uid="{BBAC9305-34EC-4D2C-9041-361C2849A79D}"/>
    <cellStyle name="Separador de milhares 2 14 2 2" xfId="16205" xr:uid="{C852B3E8-AAB9-45A5-986E-09529327B11D}"/>
    <cellStyle name="Separador de milhares 2 14 2 6" xfId="16206" xr:uid="{B7616E95-821C-42E2-B09E-0E1E04FFD58D}"/>
    <cellStyle name="Separador de milhares 2 14 3 4" xfId="16207" xr:uid="{744C7B5F-EDB9-4B03-B284-1CE247114495}"/>
    <cellStyle name="Separador de milhares 2 14 4 3" xfId="16208" xr:uid="{44B754E7-8726-407C-989E-C746851F35CB}"/>
    <cellStyle name="Separador de milhares 2 14 4 5" xfId="16209" xr:uid="{0FDC1D8E-E24C-4DEB-910A-1E5BBE8A6643}"/>
    <cellStyle name="Separador de milhares 2 14 5" xfId="16210" xr:uid="{2FF74B80-EC44-4DC6-9F6E-E52B76A9D562}"/>
    <cellStyle name="Separador de milhares 2 14 5 4" xfId="16211" xr:uid="{841BDCA6-6F40-4AAF-BD62-F28932C35213}"/>
    <cellStyle name="Separador de milhares 2 14 5 6" xfId="16212" xr:uid="{08EF9F89-2B72-4386-8B48-C06B9292ED45}"/>
    <cellStyle name="Separador de milhares 2 14 6 4" xfId="16213" xr:uid="{EF51E0AF-4CBC-404B-B48E-A8F662C1D217}"/>
    <cellStyle name="Separador de milhares 2 14 7 2" xfId="16214" xr:uid="{89C24E04-F857-4CA3-9F11-B8352A03F521}"/>
    <cellStyle name="Separador de milhares 2 14 7 6" xfId="16215" xr:uid="{9E715805-0116-44D3-9FA1-5A59D5432423}"/>
    <cellStyle name="Separador de milhares 2 14 8 4" xfId="16216" xr:uid="{DA2526A9-B375-4B6F-BE45-167013CAA77A}"/>
    <cellStyle name="Separador de milhares 2 15 13" xfId="16217" xr:uid="{C28175BE-AEFE-4F65-B2AF-03F675E53B2F}"/>
    <cellStyle name="Separador de milhares 2 15 2 6" xfId="16218" xr:uid="{3C8B77E3-EBCE-49BD-A102-BD39C78E438D}"/>
    <cellStyle name="Separador de milhares 2 15 3 2" xfId="16219" xr:uid="{A500CA0B-284E-44AE-9A97-72867B85B722}"/>
    <cellStyle name="Separador de milhares 2 15 3 6" xfId="16220" xr:uid="{464D4ABB-0098-4BD8-833A-F54153EDE0B7}"/>
    <cellStyle name="Separador de milhares 2 15 4 2" xfId="16221" xr:uid="{2AB20080-5B32-40D1-9F63-426CCB0CB18E}"/>
    <cellStyle name="Separador de milhares 2 15 4 6" xfId="16222" xr:uid="{AA80DB7F-4841-4B38-988F-1FF8EFF6D8B4}"/>
    <cellStyle name="Separador de milhares 2 15 5 4" xfId="16223" xr:uid="{AB76843B-5E98-4991-98E8-20E374D2DFB2}"/>
    <cellStyle name="Separador de milhares 2 15 6 2" xfId="16224" xr:uid="{F1962A2E-C59E-4EFB-A2DD-6068CEAD45FB}"/>
    <cellStyle name="Separador de milhares 2 15 6 6" xfId="16225" xr:uid="{637C9909-2FB9-4B2E-AC74-7AD0704E1164}"/>
    <cellStyle name="Separador de milhares 2 15 7" xfId="16226" xr:uid="{3FF5F7BD-9BCE-4E41-A03C-DAC3B73D21CB}"/>
    <cellStyle name="Separador de milhares 2 15 7 5" xfId="16227" xr:uid="{A089C8C8-527E-42F6-A995-5E56E7ADE14C}"/>
    <cellStyle name="Separador de milhares 2 15 8 3" xfId="16228" xr:uid="{48634B38-1B43-4C22-A3EE-0C0D39151DCB}"/>
    <cellStyle name="Separador de milhares 2 15 8 5" xfId="16229" xr:uid="{3C280546-7986-4A80-8B53-F060F0630BEA}"/>
    <cellStyle name="Separador de milhares 2 16" xfId="16230" xr:uid="{335EC6E5-3584-4578-82B5-D42DAF58DB31}"/>
    <cellStyle name="Separador de milhares 2 16 13" xfId="16231" xr:uid="{354536F7-6A79-4F88-B0B7-8A009F3CACCE}"/>
    <cellStyle name="Separador de milhares 2 16 2 2" xfId="16232" xr:uid="{45BC5644-FD6D-47EB-94AF-92BB334F3FAC}"/>
    <cellStyle name="Separador de milhares 2 16 2 4" xfId="16233" xr:uid="{E5582479-DC14-4611-A7D8-260986E71E68}"/>
    <cellStyle name="Separador de milhares 2 16 2 6" xfId="16234" xr:uid="{9017A25D-FD01-4212-B68F-21878F5724F4}"/>
    <cellStyle name="Separador de milhares 2 16 3 2" xfId="16235" xr:uid="{B314DCC3-1EF4-4BEA-BDFE-24B1481E4534}"/>
    <cellStyle name="Separador de milhares 2 16 3 4" xfId="16236" xr:uid="{D687DC8B-AB4E-4197-A166-788288D8272A}"/>
    <cellStyle name="Separador de milhares 2 16 3 6" xfId="16237" xr:uid="{9D38F0E1-E220-4AB5-B352-6A1A583182EF}"/>
    <cellStyle name="Separador de milhares 2 16 4 4" xfId="16238" xr:uid="{9094D2D8-4C17-4B2A-A487-84BE9896CDF7}"/>
    <cellStyle name="Separador de milhares 2 16 5 2" xfId="16239" xr:uid="{4B4A3142-0982-4B99-B09C-784047AAB357}"/>
    <cellStyle name="Separador de milhares 2 16 5 6" xfId="16240" xr:uid="{97842984-FC8C-419D-A81B-66218F1E4497}"/>
    <cellStyle name="Separador de milhares 2 16 6 4" xfId="16241" xr:uid="{A619D46D-7C33-4D4C-898A-1025E40C52DC}"/>
    <cellStyle name="Separador de milhares 2 16 7 2" xfId="16242" xr:uid="{1F13E0FF-9DD3-471A-B21A-0200137DC53F}"/>
    <cellStyle name="Separador de milhares 2 16 7 5" xfId="16243" xr:uid="{022DE5D0-C653-4F8F-940B-5BBE3C6D6915}"/>
    <cellStyle name="Separador de milhares 2 16 8 3" xfId="16244" xr:uid="{AC5D1B70-C984-4D12-93B0-66BB607A918D}"/>
    <cellStyle name="Separador de milhares 2 16 9" xfId="16245" xr:uid="{6A03EE83-A83D-4CD4-BFCB-28079449F216}"/>
    <cellStyle name="Separador de milhares 2 17 12" xfId="16246" xr:uid="{7CA5DBD0-7CDE-4902-97E6-7899EA0F3AF9}"/>
    <cellStyle name="Separador de milhares 2 17 2 3" xfId="16247" xr:uid="{5F7E7331-F2F1-499E-94DB-4EC3099B39E6}"/>
    <cellStyle name="Separador de milhares 2 17 3" xfId="16248" xr:uid="{4F0C3B14-4072-443B-A549-7AD65B535805}"/>
    <cellStyle name="Separador de milhares 2 17 4 3" xfId="16249" xr:uid="{C62F0AC4-AE7A-428A-B2EF-E7A4793F8ABF}"/>
    <cellStyle name="Separador de milhares 2 17 5" xfId="16250" xr:uid="{3A832F93-0D0B-4B57-A5EF-3CF852E7BBE2}"/>
    <cellStyle name="Separador de milhares 2 17 5 5" xfId="16251" xr:uid="{AA8A73B0-6CF8-4EEC-9416-535F03FAC09B}"/>
    <cellStyle name="Separador de milhares 2 17 6 3" xfId="16252" xr:uid="{25042A06-4792-41B2-9A98-FEC81FB5BFEF}"/>
    <cellStyle name="Separador de milhares 2 17 7" xfId="16253" xr:uid="{A575E257-8EB5-44FC-A4EC-188D84E03E6B}"/>
    <cellStyle name="Separador de milhares 2 17 7 5" xfId="16254" xr:uid="{5D619E15-F637-459D-AE45-EC592AA48971}"/>
    <cellStyle name="Separador de milhares 2 17 8 3" xfId="16255" xr:uid="{4997871A-BB36-4EC0-AC6C-752F9DF08C8B}"/>
    <cellStyle name="Separador de milhares 2 17 8 6" xfId="16256" xr:uid="{B2501BB0-E5DA-4FC9-B0D8-0588853B421A}"/>
    <cellStyle name="Separador de milhares 2 18 11" xfId="16257" xr:uid="{D75F6CE3-289B-46E0-BE9C-D94D4FF2E32E}"/>
    <cellStyle name="Separador de milhares 2 18 2 2" xfId="16258" xr:uid="{3536BB52-0255-4455-941C-635660C98E89}"/>
    <cellStyle name="Separador de milhares 2 18 2 5" xfId="16259" xr:uid="{4E3E3507-1C70-4A53-AAB0-E57992533B06}"/>
    <cellStyle name="Separador de milhares 2 18 3" xfId="16260" xr:uid="{C56B53A7-9575-4836-84B6-DC8C605D44B6}"/>
    <cellStyle name="Separador de milhares 2 18 3 3" xfId="16261" xr:uid="{0C4E6B50-0070-45D7-92DF-94A33CDD33AB}"/>
    <cellStyle name="Separador de milhares 2 18 3 5" xfId="16262" xr:uid="{E04D912B-4916-42FA-9BF3-6450C66BAAB7}"/>
    <cellStyle name="Separador de milhares 2 18 4" xfId="16263" xr:uid="{AA16ECB4-3B56-452D-8D17-027F5749EB49}"/>
    <cellStyle name="Separador de milhares 2 18 4 3" xfId="16264" xr:uid="{82ECB33E-82F4-4859-8ABE-3EF858CCEA10}"/>
    <cellStyle name="Separador de milhares 2 18 4 5" xfId="16265" xr:uid="{BBF68A0D-1551-4EBA-ABBC-96C6E1C9BDB3}"/>
    <cellStyle name="Separador de milhares 2 18 5" xfId="16266" xr:uid="{8E9B4054-0FAA-4FB0-83A6-25C2FEF69971}"/>
    <cellStyle name="Separador de milhares 2 18 5 3" xfId="16267" xr:uid="{64C64890-44FD-4D78-A585-0B6EC04C38F0}"/>
    <cellStyle name="Separador de milhares 2 18 5 5" xfId="16268" xr:uid="{15F5B5B6-FA72-42C7-AC7C-B326A946B6CD}"/>
    <cellStyle name="Separador de milhares 2 18 6" xfId="16269" xr:uid="{8AFDD210-1D39-4368-8617-AAC6633CBEAE}"/>
    <cellStyle name="Separador de milhares 2 18 6 3" xfId="16270" xr:uid="{2BC3EA56-ED1A-45B3-8FE9-850CAC60D9EC}"/>
    <cellStyle name="Separador de milhares 2 18 6 5" xfId="16271" xr:uid="{F56C3E6C-8498-41CA-86C8-633FBE24B28D}"/>
    <cellStyle name="Separador de milhares 2 18 7" xfId="16272" xr:uid="{F0F91F70-8DFA-4901-ADF9-F63C5632A6C4}"/>
    <cellStyle name="Separador de milhares 2 18 7 3" xfId="16273" xr:uid="{5E9E4079-B7EC-4A80-8FF9-C1C879C4AE1E}"/>
    <cellStyle name="Separador de milhares 2 18 7 4" xfId="16274" xr:uid="{230D30EB-BD9D-4E76-8F1B-673554A4DB1B}"/>
    <cellStyle name="Separador de milhares 2 18 7 6" xfId="16275" xr:uid="{6776C9F2-93D5-4606-A7F8-2AC0ED73AABA}"/>
    <cellStyle name="Separador de milhares 2 18 8 2" xfId="16276" xr:uid="{DAA02EED-71EE-42DE-B73F-4D681819F4EB}"/>
    <cellStyle name="Separador de milhares 2 18 8 4" xfId="16277" xr:uid="{31A5ED00-4428-49E5-80A3-6BADCCE83B0F}"/>
    <cellStyle name="Separador de milhares 2 18 8 6" xfId="16278" xr:uid="{5A0C13A9-194C-422A-8C00-77CD92430652}"/>
    <cellStyle name="Separador de milhares 2 19" xfId="16279" xr:uid="{49B807B1-CAD6-46C3-AFD3-6A5FCE96F0D6}"/>
    <cellStyle name="Separador de milhares 2 19 12" xfId="16280" xr:uid="{8F0BB555-2F25-4117-A064-75CC1F1577B8}"/>
    <cellStyle name="Separador de milhares 2 19 2" xfId="16281" xr:uid="{D2D51E40-3626-4303-8B6E-67E5AFC90135}"/>
    <cellStyle name="Separador de milhares 2 19 2 3" xfId="16282" xr:uid="{EB78E005-04F0-407F-B411-C1C5FA44AF5F}"/>
    <cellStyle name="Separador de milhares 2 19 2 5" xfId="16283" xr:uid="{E8A9FA68-A291-43A9-83F1-3909B9B8E335}"/>
    <cellStyle name="Separador de milhares 2 19 3" xfId="16284" xr:uid="{673BE571-2AAC-473A-9917-A1E7FD208576}"/>
    <cellStyle name="Separador de milhares 2 19 3 3" xfId="16285" xr:uid="{7B524310-8214-4F46-B11B-B4EEA464807B}"/>
    <cellStyle name="Separador de milhares 2 19 3 5" xfId="16286" xr:uid="{E989C865-586A-4DD3-945F-E05B8F4442BF}"/>
    <cellStyle name="Separador de milhares 2 19 4" xfId="16287" xr:uid="{3FA29D8F-2F62-49D6-AF67-1CA0FB17681F}"/>
    <cellStyle name="Separador de milhares 2 19 4 3" xfId="16288" xr:uid="{B1DB5D64-70DA-4A90-9488-D0F916BB721C}"/>
    <cellStyle name="Separador de milhares 2 19 4 5" xfId="16289" xr:uid="{671B4E75-9767-42E2-BABB-31C31D09BB74}"/>
    <cellStyle name="Separador de milhares 2 19 5" xfId="16290" xr:uid="{D7DD3CFF-BD45-4BED-AE73-700D9ED68DDD}"/>
    <cellStyle name="Separador de milhares 2 19 5 3" xfId="16291" xr:uid="{2D3DE752-1F46-4908-9A49-619DB771A145}"/>
    <cellStyle name="Separador de milhares 2 19 5 5" xfId="16292" xr:uid="{E11C1E8C-CFB3-47FA-A2D5-6AB799506291}"/>
    <cellStyle name="Separador de milhares 2 19 6" xfId="16293" xr:uid="{7AE39AD7-FDF1-42C4-9B3F-6D0D6FDF2A0D}"/>
    <cellStyle name="Separador de milhares 2 19 6 3" xfId="16294" xr:uid="{3A384C9A-8081-42ED-8B14-A59E75049A37}"/>
    <cellStyle name="Separador de milhares 2 19 6 5" xfId="16295" xr:uid="{7B0DFE91-59A0-4D30-8A88-BF902A4C5956}"/>
    <cellStyle name="Separador de milhares 2 19 7" xfId="16296" xr:uid="{AB130312-96DE-42D9-B428-3FA7AF262647}"/>
    <cellStyle name="Separador de milhares 2 19 7 3" xfId="16297" xr:uid="{F69DFB42-5B45-4EAF-81B0-CE3FE4DAF0B9}"/>
    <cellStyle name="Separador de milhares 2 19 7 5" xfId="16298" xr:uid="{192AB423-5985-4ECF-A13A-C018A2D202B2}"/>
    <cellStyle name="Separador de milhares 2 19 8 2" xfId="16299" xr:uid="{5E7A3CBD-3D74-4342-8E4E-6E63BE7EDE57}"/>
    <cellStyle name="Separador de milhares 2 2 10 2" xfId="16300" xr:uid="{790E3F26-26F7-486D-A847-23F68C943A80}"/>
    <cellStyle name="Separador de milhares 2 2 13" xfId="16301" xr:uid="{2D2B8249-0C7B-4DF1-9F37-DCF1ED794A51}"/>
    <cellStyle name="Separador de milhares 2 2 15" xfId="16302" xr:uid="{A61B3000-F681-4930-9024-1AAE297FB937}"/>
    <cellStyle name="Separador de milhares 2 2 17" xfId="16303" xr:uid="{A55C8EF4-7287-48D3-BFA7-D01D58211FE2}"/>
    <cellStyle name="Separador de milhares 2 2 2 10" xfId="16304" xr:uid="{E52B8F3C-850A-4004-975F-AD0951285757}"/>
    <cellStyle name="Separador de milhares 2 2 4 2" xfId="16305" xr:uid="{A88A7480-BC0B-49A6-B726-6085092967CC}"/>
    <cellStyle name="Separador de milhares 2 20 12" xfId="16306" xr:uid="{478DD20E-8690-4FBC-A104-158ED447E745}"/>
    <cellStyle name="Separador de milhares 2 20 4 2" xfId="16307" xr:uid="{3059555B-01D0-450D-9E32-1E7EF81AE231}"/>
    <cellStyle name="Separador de milhares 2 20 5 6" xfId="16308" xr:uid="{FDC5286D-3AAE-490F-857A-F2CCE80853C8}"/>
    <cellStyle name="Separador de milhares 2 20 6 6" xfId="16309" xr:uid="{294CB4B5-9382-4883-9750-2E91614D35D5}"/>
    <cellStyle name="Separador de milhares 2 20 7 6" xfId="16310" xr:uid="{339A9726-9584-4140-8848-EE01D715DD87}"/>
    <cellStyle name="Separador de milhares 2 20 8 3" xfId="16311" xr:uid="{3C3A74C0-6A8B-4E69-8224-E779CAFFC5B0}"/>
    <cellStyle name="Separador de milhares 2 20 8 4" xfId="16312" xr:uid="{CE29A87C-8381-4453-A7ED-B7D2D41B8C98}"/>
    <cellStyle name="Separador de milhares 2 20 8 5" xfId="16313" xr:uid="{F381C37B-81BD-4591-BFF8-FD718B1118CB}"/>
    <cellStyle name="Separador de milhares 2 20 8 6" xfId="16314" xr:uid="{AD361D45-B212-4089-A2F3-AA0569E3D5A6}"/>
    <cellStyle name="Separador de milhares 2 21" xfId="16315" xr:uid="{51E0C1A5-7FEB-413F-8F06-88D6623192BE}"/>
    <cellStyle name="Separador de milhares 2 21 10" xfId="16316" xr:uid="{212B64DC-0DE8-4ADE-958D-8520D028579B}"/>
    <cellStyle name="Separador de milhares 2 21 12" xfId="16317" xr:uid="{D72DC897-E799-47E7-8C1D-2B26E7F78774}"/>
    <cellStyle name="Separador de milhares 2 21 13" xfId="16318" xr:uid="{B60B6FAC-CADB-4B13-AFA7-94195E19849E}"/>
    <cellStyle name="Separador de milhares 2 21 2" xfId="16319" xr:uid="{7718263A-4522-408F-AB8B-38E94B77A197}"/>
    <cellStyle name="Separador de milhares 2 21 2 2" xfId="16320" xr:uid="{081801FC-75EE-4349-B6A9-314C958EB000}"/>
    <cellStyle name="Separador de milhares 2 21 2 3" xfId="16321" xr:uid="{D81A5968-4691-4B44-8A25-5B9864DA5C27}"/>
    <cellStyle name="Separador de milhares 2 21 2 5" xfId="16322" xr:uid="{AD79ABA3-7A10-4700-A313-531DE7720E3D}"/>
    <cellStyle name="Separador de milhares 2 21 2 6" xfId="16323" xr:uid="{D50966F2-3BBF-4237-B7B0-EDCCE29E7DF3}"/>
    <cellStyle name="Separador de milhares 2 21 3" xfId="16324" xr:uid="{2606C0AE-D899-49BF-A941-CAB35C87662F}"/>
    <cellStyle name="Separador de milhares 2 21 3 2" xfId="16325" xr:uid="{2EE38D6B-DB0C-4F47-9BA8-2CF7319646B8}"/>
    <cellStyle name="Separador de milhares 2 21 3 3" xfId="16326" xr:uid="{12AF84EC-EE16-47F2-93BB-D621A5305B84}"/>
    <cellStyle name="Separador de milhares 2 21 3 4" xfId="16327" xr:uid="{BF4F54E0-3C4D-4541-A867-008D1E228463}"/>
    <cellStyle name="Separador de milhares 2 21 3 5" xfId="16328" xr:uid="{7C759AB0-C032-4D44-8036-F0893B27E1CA}"/>
    <cellStyle name="Separador de milhares 2 21 4 3" xfId="16329" xr:uid="{1051BD23-2532-4F5C-A615-AE901BD8C2AF}"/>
    <cellStyle name="Separador de milhares 2 21 4 4" xfId="16330" xr:uid="{E2933C50-8ED7-437B-9F1C-7762AB71E585}"/>
    <cellStyle name="Separador de milhares 2 21 4 5" xfId="16331" xr:uid="{5F0FBFDB-BAE3-4725-A5D7-5AA1FC9EBF00}"/>
    <cellStyle name="Separador de milhares 2 21 4 6" xfId="16332" xr:uid="{EA4FA695-0E6C-4676-9C77-13CA13D92795}"/>
    <cellStyle name="Separador de milhares 2 21 5" xfId="16333" xr:uid="{02103F6D-B19A-4220-9B37-AB520947551A}"/>
    <cellStyle name="Separador de milhares 2 21 5 2" xfId="16334" xr:uid="{A80A75D1-27A9-4FF4-BC40-D68BEA5B25C8}"/>
    <cellStyle name="Separador de milhares 2 21 5 3" xfId="16335" xr:uid="{84ED7DC7-A623-420D-BF35-324C03A39203}"/>
    <cellStyle name="Separador de milhares 2 21 5 5" xfId="16336" xr:uid="{0E8768AC-8D28-4E7A-A223-368686FE6CFA}"/>
    <cellStyle name="Separador de milhares 2 21 5 6" xfId="16337" xr:uid="{6B59034D-CA5F-4881-A2FA-34BEC503E820}"/>
    <cellStyle name="Separador de milhares 2 21 6" xfId="16338" xr:uid="{079CC98B-33A8-4256-BF8A-EA39B7319A23}"/>
    <cellStyle name="Separador de milhares 2 21 6 3" xfId="16339" xr:uid="{E77A9B2F-8E28-4EA5-B72F-F33FD9714DAF}"/>
    <cellStyle name="Separador de milhares 2 21 6 4" xfId="16340" xr:uid="{52C93BDA-D8AF-4FB6-A432-BE4D15B2FC40}"/>
    <cellStyle name="Separador de milhares 2 21 6 6" xfId="16341" xr:uid="{13E2DDEC-5A6B-4825-BB0D-6CDE6DC82D3E}"/>
    <cellStyle name="Separador de milhares 2 21 7" xfId="16342" xr:uid="{D9FFEA31-A147-489B-B110-9521D64EF8CB}"/>
    <cellStyle name="Separador de milhares 2 21 7 2" xfId="16343" xr:uid="{34FE9BBF-E09D-4385-9A00-9D4B6FAB78F9}"/>
    <cellStyle name="Separador de milhares 2 21 7 3" xfId="16344" xr:uid="{8EB6EDF7-9AC1-43EA-9B04-DE81D83CC733}"/>
    <cellStyle name="Separador de milhares 2 21 7 5" xfId="16345" xr:uid="{3E96918C-73AB-4B9F-A26A-09BF58990001}"/>
    <cellStyle name="Separador de milhares 2 21 7 6" xfId="16346" xr:uid="{D5F78C0D-F9E3-4296-8E43-A14DF7D8FE5B}"/>
    <cellStyle name="Separador de milhares 2 21 8 2" xfId="16347" xr:uid="{21ACCCB7-6BED-4E1B-B60A-04DC236E336D}"/>
    <cellStyle name="Separador de milhares 2 21 8 3" xfId="16348" xr:uid="{2DC00F28-BF70-4E32-9A17-061DBE9AB43F}"/>
    <cellStyle name="Separador de milhares 2 21 8 4" xfId="16349" xr:uid="{B3E7DD87-9137-4414-BCA2-AFF6FE566B56}"/>
    <cellStyle name="Separador de milhares 2 21 8 5" xfId="16350" xr:uid="{21CEA2FA-9F3B-4A91-8215-2C6F3562B147}"/>
    <cellStyle name="Separador de milhares 2 21 8 6" xfId="16351" xr:uid="{B3C1AF58-4CAD-4574-817E-FDAE3CEE1D91}"/>
    <cellStyle name="Separador de milhares 2 21 9" xfId="16352" xr:uid="{53BFD84E-33F9-4852-AF55-AB27068D14E8}"/>
    <cellStyle name="Separador de milhares 2 22" xfId="16353" xr:uid="{CBA619D1-B133-4558-BA65-BCD05EB187EB}"/>
    <cellStyle name="Separador de milhares 2 22 10" xfId="16354" xr:uid="{AEB7EAA2-03B0-42E5-A063-E80A814A6B64}"/>
    <cellStyle name="Separador de milhares 2 22 11" xfId="16355" xr:uid="{F2861767-30CE-495F-A8CE-B36B075D05F1}"/>
    <cellStyle name="Separador de milhares 2 22 12" xfId="16356" xr:uid="{9DB3ECF6-B7BD-4915-ABD7-2A849C93A4EF}"/>
    <cellStyle name="Separador de milhares 2 22 13" xfId="16357" xr:uid="{E799FB04-2FC5-40D7-8E1A-2BD1A5FE414C}"/>
    <cellStyle name="Separador de milhares 2 22 2" xfId="16358" xr:uid="{AC097B9A-2C87-49C0-BE5F-CE84D9903A5B}"/>
    <cellStyle name="Separador de milhares 2 22 2 2" xfId="16359" xr:uid="{3676CA2C-677A-4C48-90DB-CD09A9F49BD7}"/>
    <cellStyle name="Separador de milhares 2 22 2 3" xfId="16360" xr:uid="{F21B9416-7574-4626-9B5D-38299CE42E19}"/>
    <cellStyle name="Separador de milhares 2 22 2 4" xfId="16361" xr:uid="{87630995-4E79-4A8E-9A90-2526B1B1D2F2}"/>
    <cellStyle name="Separador de milhares 2 22 2 5" xfId="16362" xr:uid="{EFD1477D-7F4D-4109-8F33-E177591D4B14}"/>
    <cellStyle name="Separador de milhares 2 22 2 6" xfId="16363" xr:uid="{CC9B1398-9C64-4B0E-B698-DBD62CFEEBAA}"/>
    <cellStyle name="Separador de milhares 2 22 3" xfId="16364" xr:uid="{D4DCF138-8350-4EDB-AC2F-C59BFF926E02}"/>
    <cellStyle name="Separador de milhares 2 22 3 2" xfId="16365" xr:uid="{DC4017F9-B746-4625-A14B-B8CFD0884DDF}"/>
    <cellStyle name="Separador de milhares 2 22 3 3" xfId="16366" xr:uid="{369B7C23-CD88-4CA1-8C85-3175A245C211}"/>
    <cellStyle name="Separador de milhares 2 22 3 4" xfId="16367" xr:uid="{3B8B4319-2B16-45DB-A197-C7A808005C5D}"/>
    <cellStyle name="Separador de milhares 2 22 3 5" xfId="16368" xr:uid="{B4809DE1-7EAB-402C-A3F3-E57D234775CB}"/>
    <cellStyle name="Separador de milhares 2 22 3 6" xfId="16369" xr:uid="{5C1B3D8C-8AE3-4420-928F-075C31A19EE7}"/>
    <cellStyle name="Separador de milhares 2 22 4" xfId="16370" xr:uid="{7D354237-7375-4485-9E23-C96961C4C68A}"/>
    <cellStyle name="Separador de milhares 2 22 4 2" xfId="16371" xr:uid="{547A7DF5-34E3-49CF-9AF5-0C371C068A0F}"/>
    <cellStyle name="Separador de milhares 2 22 4 3" xfId="16372" xr:uid="{857D254A-8DEB-4988-A444-0D50EEAE0720}"/>
    <cellStyle name="Separador de milhares 2 22 4 4" xfId="16373" xr:uid="{DF46F2E0-8E26-4415-BB24-0712C127B31A}"/>
    <cellStyle name="Separador de milhares 2 22 4 5" xfId="16374" xr:uid="{810EECC9-C2A2-4924-9AE0-6264F20C29CF}"/>
    <cellStyle name="Separador de milhares 2 22 4 6" xfId="16375" xr:uid="{8E4AACC4-4591-4A66-A08F-529FDBFE067D}"/>
    <cellStyle name="Separador de milhares 2 22 5" xfId="16376" xr:uid="{045A37E4-B622-46C9-BE2D-E049E036CF74}"/>
    <cellStyle name="Separador de milhares 2 22 5 2" xfId="16377" xr:uid="{E2F7F67C-80A7-4AF3-9B69-0ABAE148B562}"/>
    <cellStyle name="Separador de milhares 2 22 5 3" xfId="16378" xr:uid="{126053B9-7510-4DB8-9F45-3B59C138E986}"/>
    <cellStyle name="Separador de milhares 2 22 5 4" xfId="16379" xr:uid="{5D00DDBC-7205-43AF-A042-B04AFF08DAE1}"/>
    <cellStyle name="Separador de milhares 2 22 5 5" xfId="16380" xr:uid="{0515AC0C-7592-4CE3-9F5D-7B31E358B6BA}"/>
    <cellStyle name="Separador de milhares 2 22 5 6" xfId="16381" xr:uid="{3ABD9F8E-3A45-45FE-B115-3C03E816D18B}"/>
    <cellStyle name="Separador de milhares 2 22 6" xfId="16382" xr:uid="{4859D3EF-F202-4405-8B12-2A4A19DD160A}"/>
    <cellStyle name="Separador de milhares 2 22 6 2" xfId="16383" xr:uid="{EE4A23B6-688A-477C-8ECB-F9DCD969B537}"/>
    <cellStyle name="Separador de milhares 2 22 6 3" xfId="16384" xr:uid="{8DFE02ED-61F0-48D5-BE65-A5FAF6D8ED23}"/>
    <cellStyle name="Separador de milhares 2 22 6 4" xfId="16385" xr:uid="{9C8A1D17-3F7B-47A1-864D-AE2897B321E9}"/>
    <cellStyle name="Separador de milhares 2 22 6 5" xfId="16386" xr:uid="{8CB957C2-C185-4B3C-B217-D7C7158CF7EC}"/>
    <cellStyle name="Separador de milhares 2 22 6 6" xfId="16387" xr:uid="{7F6CFD9D-25B9-4AC8-83FD-7ABA75707C11}"/>
    <cellStyle name="Separador de milhares 2 22 7" xfId="16388" xr:uid="{DC5BE4E0-D055-454B-93AE-0522BE33346C}"/>
    <cellStyle name="Separador de milhares 2 22 7 2" xfId="16389" xr:uid="{AD236B89-F293-4E16-8E9D-7752E87F29DB}"/>
    <cellStyle name="Separador de milhares 2 22 7 3" xfId="16390" xr:uid="{D9D74EAC-909D-4199-AC8A-50498396A84C}"/>
    <cellStyle name="Separador de milhares 2 22 7 4" xfId="16391" xr:uid="{1C12B692-FA1E-410C-A331-42C060FEBFBC}"/>
    <cellStyle name="Separador de milhares 2 22 7 5" xfId="16392" xr:uid="{BC8F3191-D114-432B-ADF8-15E4614501A7}"/>
    <cellStyle name="Separador de milhares 2 22 7 6" xfId="16393" xr:uid="{2C58ADB3-1861-4152-BA5B-8F469F79D6FE}"/>
    <cellStyle name="Separador de milhares 2 22 8" xfId="16394" xr:uid="{3C6F284F-E205-4EDD-9CB0-D6DB7EA15F14}"/>
    <cellStyle name="Separador de milhares 2 22 8 2" xfId="16395" xr:uid="{4E4B0849-CED9-4119-ACAD-22D8380058E1}"/>
    <cellStyle name="Separador de milhares 2 22 8 3" xfId="16396" xr:uid="{68BD1BFD-5EE1-4538-BD01-F041E0645034}"/>
    <cellStyle name="Separador de milhares 2 22 8 4" xfId="16397" xr:uid="{EACFD68B-1655-4657-A101-01C136F1BF78}"/>
    <cellStyle name="Separador de milhares 2 22 8 5" xfId="16398" xr:uid="{A0ADD7F1-AFA5-4544-A420-AAB08B3CEDB5}"/>
    <cellStyle name="Separador de milhares 2 22 8 6" xfId="16399" xr:uid="{ABB34622-D8FB-4D7A-A75A-67BE37B3CFD1}"/>
    <cellStyle name="Separador de milhares 2 22 9" xfId="16400" xr:uid="{EDA3BB7C-4BA8-4928-81BA-669FF4903939}"/>
    <cellStyle name="Separador de milhares 2 23" xfId="16401" xr:uid="{FB4499CF-E87B-439C-9CF2-A27128344C71}"/>
    <cellStyle name="Separador de milhares 2 23 10" xfId="16402" xr:uid="{D387336C-B536-4E72-BDF1-82B20403BDA6}"/>
    <cellStyle name="Separador de milhares 2 23 11" xfId="16403" xr:uid="{9F00A21B-49E4-4D08-8D93-255B992E94CF}"/>
    <cellStyle name="Separador de milhares 2 23 12" xfId="16404" xr:uid="{DC69488B-3F70-4693-8E2F-1F4D9EE44689}"/>
    <cellStyle name="Separador de milhares 2 23 13" xfId="16405" xr:uid="{5210A9CB-99EA-474E-BEE4-48FD8C74894C}"/>
    <cellStyle name="Separador de milhares 2 23 2" xfId="16406" xr:uid="{0A1823EE-20C0-4CC4-842F-CF2F6398CB05}"/>
    <cellStyle name="Separador de milhares 2 23 2 2" xfId="16407" xr:uid="{27599B28-4EC3-4090-9E9E-9D9E4F3FA657}"/>
    <cellStyle name="Separador de milhares 2 23 2 3" xfId="16408" xr:uid="{2B08BDAD-B2B4-44B9-93E7-412DCBC11422}"/>
    <cellStyle name="Separador de milhares 2 23 2 4" xfId="16409" xr:uid="{761DECEF-3586-4A74-8E6B-87C5767AA87D}"/>
    <cellStyle name="Separador de milhares 2 23 2 5" xfId="16410" xr:uid="{7440CB7A-69FC-4421-908C-C8D6410611E1}"/>
    <cellStyle name="Separador de milhares 2 23 2 6" xfId="16411" xr:uid="{48388012-64D9-4F80-9057-0AE4EEA11BFD}"/>
    <cellStyle name="Separador de milhares 2 23 3" xfId="16412" xr:uid="{09133A56-89FE-461E-A120-C55FC9A54E16}"/>
    <cellStyle name="Separador de milhares 2 23 3 2" xfId="16413" xr:uid="{066CB0B0-65C7-4D5E-A042-9D9B5275E7B8}"/>
    <cellStyle name="Separador de milhares 2 23 3 3" xfId="16414" xr:uid="{72F27BED-4DF2-45CD-AE64-36E99BC3E7DC}"/>
    <cellStyle name="Separador de milhares 2 23 3 4" xfId="16415" xr:uid="{F1002A38-E667-41F9-98EC-ED10945D1E20}"/>
    <cellStyle name="Separador de milhares 2 23 3 5" xfId="16416" xr:uid="{289E869D-A275-4353-B997-40358C22066B}"/>
    <cellStyle name="Separador de milhares 2 23 3 6" xfId="16417" xr:uid="{AAACA198-73D4-4E12-AA9C-262AE9FC695C}"/>
    <cellStyle name="Separador de milhares 2 23 4 2" xfId="16418" xr:uid="{5B0E9687-3BF4-4370-9AD4-8BD5D058ED6C}"/>
    <cellStyle name="Separador de milhares 2 23 4 4" xfId="16419" xr:uid="{2F159E60-C596-49C2-86F8-47DF79715DE5}"/>
    <cellStyle name="Separador de milhares 2 23 4 5" xfId="16420" xr:uid="{F4F9F62F-6340-4DAE-BB12-5DDFCFA31988}"/>
    <cellStyle name="Separador de milhares 2 23 5" xfId="16421" xr:uid="{C8A37060-5DC2-4B48-8767-994280C26239}"/>
    <cellStyle name="Separador de milhares 2 23 5 2" xfId="16422" xr:uid="{C26BEC71-CE93-40FC-910A-F9DC25153F04}"/>
    <cellStyle name="Separador de milhares 2 23 5 3" xfId="16423" xr:uid="{635C4673-3133-4B91-9BFE-9BB34D7EF32E}"/>
    <cellStyle name="Separador de milhares 2 23 5 4" xfId="16424" xr:uid="{534315B0-83BF-4658-B493-191EB70AAD39}"/>
    <cellStyle name="Separador de milhares 2 23 5 6" xfId="16425" xr:uid="{49840528-B560-402D-9CEF-ACB62C81F214}"/>
    <cellStyle name="Separador de milhares 2 23 6" xfId="16426" xr:uid="{415E9767-0F41-4114-BAB3-475C98D3C774}"/>
    <cellStyle name="Separador de milhares 2 23 6 2" xfId="16427" xr:uid="{FD70EBAD-FC3B-4AD1-85B1-2B522B28BE67}"/>
    <cellStyle name="Separador de milhares 2 23 6 3" xfId="16428" xr:uid="{67FA971F-FFC1-4B5B-8153-9F97CE9F16BD}"/>
    <cellStyle name="Separador de milhares 2 23 6 4" xfId="16429" xr:uid="{CC77D447-1D41-4560-8EFA-0493256A8F04}"/>
    <cellStyle name="Separador de milhares 2 23 6 5" xfId="16430" xr:uid="{2360ABA5-F825-41C6-9FB8-75F7036C829A}"/>
    <cellStyle name="Separador de milhares 2 23 6 6" xfId="16431" xr:uid="{6B90AC39-E114-49DB-9183-C36B197E2553}"/>
    <cellStyle name="Separador de milhares 2 23 7" xfId="16432" xr:uid="{4C280C57-2BE3-433C-8025-56F141EC6451}"/>
    <cellStyle name="Separador de milhares 2 23 7 2" xfId="16433" xr:uid="{0460454D-8154-454D-84E6-BA5127E120F3}"/>
    <cellStyle name="Separador de milhares 2 23 7 3" xfId="16434" xr:uid="{4F3FD6AE-4636-4225-8B3D-967951D42BB8}"/>
    <cellStyle name="Separador de milhares 2 23 7 5" xfId="16435" xr:uid="{B08F7100-9231-48F9-83B1-FF15DB2DF3EE}"/>
    <cellStyle name="Separador de milhares 2 23 7 6" xfId="16436" xr:uid="{0F952B69-BFDE-490E-A98D-24EB67F3EA66}"/>
    <cellStyle name="Separador de milhares 2 23 8" xfId="16437" xr:uid="{25594090-AAB4-4F7F-9E95-6880162A7FC6}"/>
    <cellStyle name="Separador de milhares 2 23 8 2" xfId="16438" xr:uid="{7D06E583-907B-45DD-9E68-E5AC4AE4BD10}"/>
    <cellStyle name="Separador de milhares 2 23 8 3" xfId="16439" xr:uid="{FD4A061C-7AD2-4B4D-A466-16D99784FC2D}"/>
    <cellStyle name="Separador de milhares 2 23 8 4" xfId="16440" xr:uid="{9232FB51-BB12-4379-A170-5E534C005F6F}"/>
    <cellStyle name="Separador de milhares 2 23 8 5" xfId="16441" xr:uid="{0B6A1FE6-9F91-4928-A1AF-756F74C4A2B5}"/>
    <cellStyle name="Separador de milhares 2 23 8 6" xfId="16442" xr:uid="{7D0469B2-BEBB-4CF1-B8BA-427619582FD0}"/>
    <cellStyle name="Separador de milhares 2 23 9" xfId="16443" xr:uid="{6D2D8577-54F7-4C2B-A926-144104989A72}"/>
    <cellStyle name="Separador de milhares 2 24" xfId="16444" xr:uid="{27E6C0CB-DEF6-49AD-AFD5-CBE50E441091}"/>
    <cellStyle name="Separador de milhares 2 24 10" xfId="16445" xr:uid="{F8F9F963-FAAC-4296-8A98-53DEDBF02BAE}"/>
    <cellStyle name="Separador de milhares 2 24 11" xfId="16446" xr:uid="{546F0A72-5045-4D72-BA53-559E12850849}"/>
    <cellStyle name="Separador de milhares 2 24 12" xfId="16447" xr:uid="{B134C6D0-9122-4B42-B361-3D0EC8DD76F1}"/>
    <cellStyle name="Separador de milhares 2 24 13" xfId="16448" xr:uid="{7B39288C-D371-4038-8A32-B484B09BA531}"/>
    <cellStyle name="Separador de milhares 2 24 2" xfId="16449" xr:uid="{53DB2593-53BF-4B38-9BE5-000FEEBC3F42}"/>
    <cellStyle name="Separador de milhares 2 24 2 2" xfId="16450" xr:uid="{86943B67-2359-475E-9E81-2DDB5DC04C88}"/>
    <cellStyle name="Separador de milhares 2 24 2 3" xfId="16451" xr:uid="{56F985DC-EA7C-4D19-8C48-9D3DFB61FFA0}"/>
    <cellStyle name="Separador de milhares 2 24 2 4" xfId="16452" xr:uid="{D6A94148-EDF4-4D24-A87C-307507324A3E}"/>
    <cellStyle name="Separador de milhares 2 24 2 5" xfId="16453" xr:uid="{9EABEE56-10A7-4745-82B8-82FF36877391}"/>
    <cellStyle name="Separador de milhares 2 24 2 6" xfId="16454" xr:uid="{58758288-F2DB-4BD8-835B-E21091412C19}"/>
    <cellStyle name="Separador de milhares 2 24 3 2" xfId="16455" xr:uid="{295FBE0F-10A3-44F3-B031-D9D7EF14FF46}"/>
    <cellStyle name="Separador de milhares 2 24 3 4" xfId="16456" xr:uid="{AF88C218-A0AF-40FB-9DCE-8C7722B4697F}"/>
    <cellStyle name="Separador de milhares 2 24 3 5" xfId="16457" xr:uid="{CD4638ED-59FA-426F-B9D3-B3D552CB968F}"/>
    <cellStyle name="Separador de milhares 2 24 4" xfId="16458" xr:uid="{C9F21E56-BE9C-4539-ACC1-9BF2459A4E5F}"/>
    <cellStyle name="Separador de milhares 2 24 4 2" xfId="16459" xr:uid="{F47EC82E-AB22-4987-A305-17AFCE532FC7}"/>
    <cellStyle name="Separador de milhares 2 24 4 3" xfId="16460" xr:uid="{637D1301-B624-47C5-AE6D-815F693D2C4C}"/>
    <cellStyle name="Separador de milhares 2 24 4 4" xfId="16461" xr:uid="{575890BD-1355-4787-B1AA-5DDD90421FB5}"/>
    <cellStyle name="Separador de milhares 2 24 4 5" xfId="16462" xr:uid="{F8571B8E-BB57-43FE-9DF3-594D0BA00C30}"/>
    <cellStyle name="Separador de milhares 2 24 4 6" xfId="16463" xr:uid="{09AE4130-125B-4931-9D05-AA0B04545219}"/>
    <cellStyle name="Separador de milhares 2 24 5" xfId="16464" xr:uid="{336E8CC7-FD4B-412A-A34A-9D59215B430A}"/>
    <cellStyle name="Separador de milhares 2 24 5 2" xfId="16465" xr:uid="{563C7F70-F64D-4F6A-ABB2-E292669D07A6}"/>
    <cellStyle name="Separador de milhares 2 24 5 3" xfId="16466" xr:uid="{DA6302C3-E97A-4904-A13D-D04A449FD873}"/>
    <cellStyle name="Separador de milhares 2 24 5 4" xfId="16467" xr:uid="{949075EC-68FC-4F0A-86E1-0C4E7779A2DC}"/>
    <cellStyle name="Separador de milhares 2 24 5 5" xfId="16468" xr:uid="{136D29A6-59AE-4B8A-A78B-EF5DD325BB27}"/>
    <cellStyle name="Separador de milhares 2 24 5 6" xfId="16469" xr:uid="{74046BD2-3CF1-4F82-B1AB-7F1F57BC51D8}"/>
    <cellStyle name="Separador de milhares 2 24 6" xfId="16470" xr:uid="{F490FC5D-D0B3-4F7C-B4D3-A7E24F80C022}"/>
    <cellStyle name="Separador de milhares 2 24 6 2" xfId="16471" xr:uid="{F82D5D45-B3BA-489D-B5BB-0300C84F7BE5}"/>
    <cellStyle name="Separador de milhares 2 24 6 3" xfId="16472" xr:uid="{1295262D-E8E8-4FFF-B84A-5EB794DD26CE}"/>
    <cellStyle name="Separador de milhares 2 24 6 4" xfId="16473" xr:uid="{79C1754C-5A94-45E2-A92A-08D273BD51DB}"/>
    <cellStyle name="Separador de milhares 2 24 6 5" xfId="16474" xr:uid="{D61BB6C1-1981-47F2-9A2C-DF866576F29D}"/>
    <cellStyle name="Separador de milhares 2 24 6 6" xfId="16475" xr:uid="{25E35E9C-0BE3-4EDA-AC77-66129036968C}"/>
    <cellStyle name="Separador de milhares 2 24 7" xfId="16476" xr:uid="{F89B1C1A-53D6-4204-82F4-2AD6CAE1812E}"/>
    <cellStyle name="Separador de milhares 2 24 7 2" xfId="16477" xr:uid="{59E9333C-D17A-48DE-9D3C-BDEC93E4DE1A}"/>
    <cellStyle name="Separador de milhares 2 24 7 3" xfId="16478" xr:uid="{4A1905AA-B416-46CC-88C2-B086B35D167E}"/>
    <cellStyle name="Separador de milhares 2 24 7 4" xfId="16479" xr:uid="{3BE6D1AB-5269-402B-B413-7FB0E8627160}"/>
    <cellStyle name="Separador de milhares 2 24 7 5" xfId="16480" xr:uid="{A4BFBC60-6B87-4ED8-A9D8-42188F061D0D}"/>
    <cellStyle name="Separador de milhares 2 24 7 6" xfId="16481" xr:uid="{A59FBE5E-B06D-4D3B-A186-C6A21AE9B19D}"/>
    <cellStyle name="Separador de milhares 2 24 8" xfId="16482" xr:uid="{4927498D-E33E-478C-9456-549DF999A392}"/>
    <cellStyle name="Separador de milhares 2 24 8 2" xfId="16483" xr:uid="{9729CB0C-743E-49E8-A116-C8917B81749D}"/>
    <cellStyle name="Separador de milhares 2 24 8 3" xfId="16484" xr:uid="{EDB67B2D-4543-45D6-A978-0B006C25FFCD}"/>
    <cellStyle name="Separador de milhares 2 24 8 4" xfId="16485" xr:uid="{AB1115BB-EB3F-4AA4-A5EC-81CC1A5B6F0A}"/>
    <cellStyle name="Separador de milhares 2 24 8 5" xfId="16486" xr:uid="{01312FF2-1BE1-4B5F-BF8E-507303D75961}"/>
    <cellStyle name="Separador de milhares 2 24 8 6" xfId="16487" xr:uid="{267BF561-A110-49BB-89C9-4E8CF5AE588C}"/>
    <cellStyle name="Separador de milhares 2 24 9" xfId="16488" xr:uid="{3D65F4C3-6006-40C0-99F7-C3B4886E1A43}"/>
    <cellStyle name="Separador de milhares 2 25" xfId="16489" xr:uid="{D09B797D-D2EE-4B12-ADB9-CB329050A8F9}"/>
    <cellStyle name="Separador de milhares 2 25 10" xfId="16490" xr:uid="{AD516142-3E81-4FA0-8317-4116377AFAD5}"/>
    <cellStyle name="Separador de milhares 2 25 11" xfId="16491" xr:uid="{17ED5D81-A628-4C27-99A9-90182C933F28}"/>
    <cellStyle name="Separador de milhares 2 25 12" xfId="16492" xr:uid="{138D62B8-9F06-4516-BC72-96D74A66F88E}"/>
    <cellStyle name="Separador de milhares 2 25 13" xfId="16493" xr:uid="{2FA8011A-7F80-4AEA-A0A4-DDB0F004635D}"/>
    <cellStyle name="Separador de milhares 2 25 2" xfId="16494" xr:uid="{CA06338A-8F2F-4B63-8CFC-51DA4765CC69}"/>
    <cellStyle name="Separador de milhares 2 25 2 2" xfId="16495" xr:uid="{21EDC0F8-78C3-4D42-9CEA-597150CA6F8E}"/>
    <cellStyle name="Separador de milhares 2 25 2 3" xfId="16496" xr:uid="{2B997024-17C4-44E3-9ECA-FDB2FC6E75BA}"/>
    <cellStyle name="Separador de milhares 2 25 2 4" xfId="16497" xr:uid="{0798866E-FC0C-4CD8-832C-F9C0CCE78660}"/>
    <cellStyle name="Separador de milhares 2 25 2 5" xfId="16498" xr:uid="{47BE13E1-8E58-48BE-A8D5-53F1C29E0D56}"/>
    <cellStyle name="Separador de milhares 2 25 2 6" xfId="16499" xr:uid="{6A2B9487-46B8-4ACB-AFC8-D8AD7E319A5D}"/>
    <cellStyle name="Separador de milhares 2 25 3" xfId="16500" xr:uid="{6A79FC6C-D05E-41E0-A52E-63E883005E67}"/>
    <cellStyle name="Separador de milhares 2 25 3 2" xfId="16501" xr:uid="{38213839-51AF-4F6F-B210-76C38A37DA39}"/>
    <cellStyle name="Separador de milhares 2 25 3 3" xfId="16502" xr:uid="{60F7249F-F08D-4A72-BBE4-69130189A156}"/>
    <cellStyle name="Separador de milhares 2 25 3 4" xfId="16503" xr:uid="{52F99B5F-FFA6-4382-B352-84928B7A0204}"/>
    <cellStyle name="Separador de milhares 2 25 3 5" xfId="16504" xr:uid="{BFDEBCF1-C17F-4659-A792-2EA64EBE0BB2}"/>
    <cellStyle name="Separador de milhares 2 25 3 6" xfId="16505" xr:uid="{31E4DCC3-7B99-493C-9A11-678FAB8A0877}"/>
    <cellStyle name="Separador de milhares 2 25 4" xfId="16506" xr:uid="{8FF1A078-ED54-4FEE-8AE7-346B7579A403}"/>
    <cellStyle name="Separador de milhares 2 25 4 2" xfId="16507" xr:uid="{E5D3859B-F450-4C74-8D68-4C04D45314C2}"/>
    <cellStyle name="Separador de milhares 2 25 4 3" xfId="16508" xr:uid="{17C22DAD-DDA7-4304-A643-DA0283C93741}"/>
    <cellStyle name="Separador de milhares 2 25 4 4" xfId="16509" xr:uid="{B38685DC-EA29-461F-B61E-0535DACFBE37}"/>
    <cellStyle name="Separador de milhares 2 25 4 5" xfId="16510" xr:uid="{D61F1CC3-C343-4890-A516-EE8404D954B5}"/>
    <cellStyle name="Separador de milhares 2 25 4 6" xfId="16511" xr:uid="{2D3C7927-FD1A-4072-99E1-C7AEAEAEDECF}"/>
    <cellStyle name="Separador de milhares 2 25 5" xfId="16512" xr:uid="{38BB3BDC-CB54-43A3-BB32-BBF47FF8C84F}"/>
    <cellStyle name="Separador de milhares 2 25 5 2" xfId="16513" xr:uid="{22DCFC00-C21B-45C0-8E77-7BA203E12834}"/>
    <cellStyle name="Separador de milhares 2 25 5 3" xfId="16514" xr:uid="{CD676528-E911-49AE-9B6F-52A41F090FEE}"/>
    <cellStyle name="Separador de milhares 2 25 5 4" xfId="16515" xr:uid="{CB55ABBA-A9C3-4515-9DE4-377D8B845526}"/>
    <cellStyle name="Separador de milhares 2 25 5 5" xfId="16516" xr:uid="{5FF66153-C3FD-418C-85D3-AB856A015419}"/>
    <cellStyle name="Separador de milhares 2 25 5 6" xfId="16517" xr:uid="{F774E988-7E95-4A88-8BCE-64D6F5FCA1EA}"/>
    <cellStyle name="Separador de milhares 2 25 6" xfId="16518" xr:uid="{8903EA02-7B0F-4F03-B78E-2E5C35A7545A}"/>
    <cellStyle name="Separador de milhares 2 25 6 2" xfId="16519" xr:uid="{FC853806-9ED5-46A9-AF2B-212A658D20FC}"/>
    <cellStyle name="Separador de milhares 2 25 6 3" xfId="16520" xr:uid="{D50ADBB1-8AA5-4512-B73B-4ADA9033A6FC}"/>
    <cellStyle name="Separador de milhares 2 25 6 4" xfId="16521" xr:uid="{EBD1654A-1828-4EB5-A499-0B83B18E8AE6}"/>
    <cellStyle name="Separador de milhares 2 25 6 5" xfId="16522" xr:uid="{EF2BA8D0-C866-45CD-9919-8E05495BA196}"/>
    <cellStyle name="Separador de milhares 2 25 6 6" xfId="16523" xr:uid="{F121F132-4301-4EB0-959F-11E998F1BA42}"/>
    <cellStyle name="Separador de milhares 2 25 7" xfId="16524" xr:uid="{E85D199E-840A-41CE-A2DC-B66DBD7BEDB6}"/>
    <cellStyle name="Separador de milhares 2 25 7 2" xfId="16525" xr:uid="{92277D06-6295-46C8-B5FE-BB26BC8CE33A}"/>
    <cellStyle name="Separador de milhares 2 25 7 3" xfId="16526" xr:uid="{308E0389-4908-46A2-88D2-EBF48BB1C884}"/>
    <cellStyle name="Separador de milhares 2 25 7 4" xfId="16527" xr:uid="{939E0D0B-ABF9-437E-92A4-147DD82667EC}"/>
    <cellStyle name="Separador de milhares 2 25 7 5" xfId="16528" xr:uid="{CE9DF50C-46E7-4DE5-90D9-4E1500AFF69C}"/>
    <cellStyle name="Separador de milhares 2 25 7 6" xfId="16529" xr:uid="{D66ED7E9-AC07-4522-8C28-88FDFEE11991}"/>
    <cellStyle name="Separador de milhares 2 25 8" xfId="16530" xr:uid="{AD30C466-F578-419D-BB43-B499CFCDF240}"/>
    <cellStyle name="Separador de milhares 2 25 8 2" xfId="16531" xr:uid="{1815ABBB-56A7-4EA1-917D-175AB6504B89}"/>
    <cellStyle name="Separador de milhares 2 25 8 3" xfId="16532" xr:uid="{E78E0BAD-0C9A-4179-B312-AE6BD07A0429}"/>
    <cellStyle name="Separador de milhares 2 25 8 4" xfId="16533" xr:uid="{20030A61-8C75-4A38-B2F7-0852CA1AA8A1}"/>
    <cellStyle name="Separador de milhares 2 25 8 5" xfId="16534" xr:uid="{F1FAC7AE-F3AE-4266-87E0-302C933D1289}"/>
    <cellStyle name="Separador de milhares 2 25 8 6" xfId="16535" xr:uid="{D6EC4BCA-91BF-406D-810F-54948A9E02BF}"/>
    <cellStyle name="Separador de milhares 2 25 9" xfId="16536" xr:uid="{0B4EB316-F8F5-4388-B53F-49DC59E01BC9}"/>
    <cellStyle name="Separador de milhares 2 26" xfId="16537" xr:uid="{EBD93764-6DA5-4324-AD6A-CA566D486448}"/>
    <cellStyle name="Separador de milhares 2 26 10" xfId="16538" xr:uid="{CF3F5E54-5189-498C-8639-CFD80755A153}"/>
    <cellStyle name="Separador de milhares 2 26 11" xfId="16539" xr:uid="{3B6DA504-8270-43DD-A3C5-3DE913A5FAB3}"/>
    <cellStyle name="Separador de milhares 2 26 12" xfId="16540" xr:uid="{A2355AFB-AC68-423C-BE17-ECEACC0B8076}"/>
    <cellStyle name="Separador de milhares 2 26 13" xfId="16541" xr:uid="{4B5E3E7D-E0D9-4A39-B149-144D14A609D4}"/>
    <cellStyle name="Separador de milhares 2 26 2" xfId="16542" xr:uid="{75455BA8-2819-42E4-B2C0-0AEA174406ED}"/>
    <cellStyle name="Separador de milhares 2 26 2 2" xfId="16543" xr:uid="{881156F9-B46B-4907-8B5C-CC6AA4A5BC73}"/>
    <cellStyle name="Separador de milhares 2 26 2 3" xfId="16544" xr:uid="{1AB42174-5C0C-4E4C-AC65-95DE087B126C}"/>
    <cellStyle name="Separador de milhares 2 26 2 4" xfId="16545" xr:uid="{6B2AA3DB-52F2-4E09-A9B6-400C24545660}"/>
    <cellStyle name="Separador de milhares 2 26 2 5" xfId="16546" xr:uid="{F5EBEADB-66EE-4021-8677-49775E94249F}"/>
    <cellStyle name="Separador de milhares 2 26 2 6" xfId="16547" xr:uid="{6F5A5E21-0F2E-405D-9B32-D4E7DEE38383}"/>
    <cellStyle name="Separador de milhares 2 26 3" xfId="16548" xr:uid="{8F14C764-FA05-4B3D-AB10-3193663DC141}"/>
    <cellStyle name="Separador de milhares 2 26 3 2" xfId="16549" xr:uid="{1B2C8C64-AE30-4B86-9A7A-B96E1B61527D}"/>
    <cellStyle name="Separador de milhares 2 26 3 3" xfId="16550" xr:uid="{95673584-8DDA-4E41-9E61-C392741497F5}"/>
    <cellStyle name="Separador de milhares 2 26 3 4" xfId="16551" xr:uid="{64138F3C-712F-43E5-8CC1-E8EC924991FA}"/>
    <cellStyle name="Separador de milhares 2 26 3 5" xfId="16552" xr:uid="{0213FC8A-A48D-444F-8DCC-46EBCF14E597}"/>
    <cellStyle name="Separador de milhares 2 26 3 6" xfId="16553" xr:uid="{B3443D21-AAF7-4A86-BEA6-0663ED91FF4E}"/>
    <cellStyle name="Separador de milhares 2 26 4" xfId="16554" xr:uid="{4C6ABB0C-708C-4CAE-9B30-034C2E4164CA}"/>
    <cellStyle name="Separador de milhares 2 26 4 2" xfId="16555" xr:uid="{64347B89-9221-4A70-974B-9730BFBA7560}"/>
    <cellStyle name="Separador de milhares 2 26 4 3" xfId="16556" xr:uid="{B50B7DD3-3494-4782-B1A2-E50052A76C70}"/>
    <cellStyle name="Separador de milhares 2 26 4 4" xfId="16557" xr:uid="{1D2ECA3F-8CF0-423C-95EA-07A704563849}"/>
    <cellStyle name="Separador de milhares 2 26 4 5" xfId="16558" xr:uid="{C70584F7-133D-4FFD-ABC4-2313973C9D25}"/>
    <cellStyle name="Separador de milhares 2 26 4 6" xfId="16559" xr:uid="{0DFEDC65-3ACF-4765-BBE4-0F9F6971FA64}"/>
    <cellStyle name="Separador de milhares 2 26 5" xfId="16560" xr:uid="{3B2EE6FE-212F-4399-AA62-5DBAE5FFF392}"/>
    <cellStyle name="Separador de milhares 2 26 5 2" xfId="16561" xr:uid="{225103E4-3BD7-42CB-BF74-6739D28EF707}"/>
    <cellStyle name="Separador de milhares 2 26 5 3" xfId="16562" xr:uid="{08283FF4-1D7E-4B96-BD9C-BCA000AC16E3}"/>
    <cellStyle name="Separador de milhares 2 26 5 4" xfId="16563" xr:uid="{CF7887D2-014E-422D-87CF-B241387159E0}"/>
    <cellStyle name="Separador de milhares 2 26 5 5" xfId="16564" xr:uid="{B43FC85F-8EEB-4253-A9B6-0F13BC17C7D1}"/>
    <cellStyle name="Separador de milhares 2 26 5 6" xfId="16565" xr:uid="{03320201-C687-4A91-9D4A-05E456F2BB94}"/>
    <cellStyle name="Separador de milhares 2 26 6" xfId="16566" xr:uid="{00729FA7-FC6C-4E21-8D43-B5439F99C053}"/>
    <cellStyle name="Separador de milhares 2 26 6 2" xfId="16567" xr:uid="{51340E63-78FC-4F5E-B800-E84A6506ED94}"/>
    <cellStyle name="Separador de milhares 2 26 6 3" xfId="16568" xr:uid="{5AEA98C9-8886-4285-A1D2-022B4976E2B8}"/>
    <cellStyle name="Separador de milhares 2 26 6 4" xfId="16569" xr:uid="{C662AA4E-3274-450C-981F-32CBA2FE798D}"/>
    <cellStyle name="Separador de milhares 2 26 6 5" xfId="16570" xr:uid="{45D3DA6A-6820-44CA-8E77-80DA289C700B}"/>
    <cellStyle name="Separador de milhares 2 26 6 6" xfId="16571" xr:uid="{0B75FDFF-4195-400C-B3B2-5CA2DB7E005C}"/>
    <cellStyle name="Separador de milhares 2 26 7" xfId="16572" xr:uid="{66195E84-CFD7-4C13-9E04-E97C7D3497BA}"/>
    <cellStyle name="Separador de milhares 2 26 7 2" xfId="16573" xr:uid="{65F3CF61-CCA4-44AA-A910-C20DB70CB380}"/>
    <cellStyle name="Separador de milhares 2 26 7 3" xfId="16574" xr:uid="{C06220DD-7D47-4717-8EE0-3B4FCE44680F}"/>
    <cellStyle name="Separador de milhares 2 26 7 4" xfId="16575" xr:uid="{20509B82-852A-4A31-AF26-B0851607F6FF}"/>
    <cellStyle name="Separador de milhares 2 26 7 5" xfId="16576" xr:uid="{B1A2757F-B67C-4D8D-8757-B1A400F44335}"/>
    <cellStyle name="Separador de milhares 2 26 7 6" xfId="16577" xr:uid="{EF143D15-D4DE-408E-8456-81714E604E63}"/>
    <cellStyle name="Separador de milhares 2 26 8" xfId="16578" xr:uid="{EBC8D35D-4C01-4BEC-8D20-66B4E38C271A}"/>
    <cellStyle name="Separador de milhares 2 26 8 2" xfId="16579" xr:uid="{2A717AE2-9F7E-49C1-9C2C-68B84B47E5D3}"/>
    <cellStyle name="Separador de milhares 2 26 8 3" xfId="16580" xr:uid="{7EC1CC30-4041-480A-BC46-DA934D983ABB}"/>
    <cellStyle name="Separador de milhares 2 26 8 4" xfId="16581" xr:uid="{FE225FF2-3865-4E7E-AEC8-FA18C6AABF5C}"/>
    <cellStyle name="Separador de milhares 2 26 8 5" xfId="16582" xr:uid="{AD31741E-0E75-4B53-BE18-FBF8608FA1AD}"/>
    <cellStyle name="Separador de milhares 2 26 8 6" xfId="16583" xr:uid="{A0CA9106-3881-4EFC-8384-BE2D3A42EFFF}"/>
    <cellStyle name="Separador de milhares 2 26 9" xfId="16584" xr:uid="{F07ABC4D-B8D4-48CA-9A9C-7DB07DB70838}"/>
    <cellStyle name="Separador de milhares 2 27" xfId="16585" xr:uid="{8CD140D9-A76E-4ABA-8982-EB2C7174C56A}"/>
    <cellStyle name="Separador de milhares 2 27 10" xfId="16586" xr:uid="{E81CCB4D-8B70-4645-9A70-72D32433252E}"/>
    <cellStyle name="Separador de milhares 2 27 11" xfId="16587" xr:uid="{042B8990-C3DF-4196-8980-4BA695FED8D2}"/>
    <cellStyle name="Separador de milhares 2 27 12" xfId="16588" xr:uid="{8C0B6FEF-4B45-4CBD-8E30-4491894731EB}"/>
    <cellStyle name="Separador de milhares 2 27 13" xfId="16589" xr:uid="{7F4BDDDD-396F-4355-8A34-9D41045B49FF}"/>
    <cellStyle name="Separador de milhares 2 27 2" xfId="16590" xr:uid="{9656B788-6822-49B2-9716-3E7EB575D8D7}"/>
    <cellStyle name="Separador de milhares 2 27 2 2" xfId="16591" xr:uid="{59464EFA-14CC-46B9-A2EA-A26C2E6F3855}"/>
    <cellStyle name="Separador de milhares 2 27 2 3" xfId="16592" xr:uid="{21B1E012-B4D2-454E-83FB-1BDE912DFDC8}"/>
    <cellStyle name="Separador de milhares 2 27 2 4" xfId="16593" xr:uid="{38B8EE00-CED6-49F3-878A-943865005C89}"/>
    <cellStyle name="Separador de milhares 2 27 2 5" xfId="16594" xr:uid="{D8487E02-12B7-440E-9E57-072470EFD2AD}"/>
    <cellStyle name="Separador de milhares 2 27 2 6" xfId="16595" xr:uid="{5E62C0AE-F489-4C8E-A62C-8EFE44C22CB6}"/>
    <cellStyle name="Separador de milhares 2 27 3" xfId="16596" xr:uid="{3307D150-EC72-4718-8CAE-E06DEE543003}"/>
    <cellStyle name="Separador de milhares 2 27 3 2" xfId="16597" xr:uid="{CD0CC78C-0E4E-4A0B-80D2-15BDAD159FDE}"/>
    <cellStyle name="Separador de milhares 2 27 3 3" xfId="16598" xr:uid="{32517A41-01DB-4FC8-BF1C-024098F4B8E6}"/>
    <cellStyle name="Separador de milhares 2 27 3 4" xfId="16599" xr:uid="{2BE502B9-E4F6-43E1-A6CA-B447C84AF3F3}"/>
    <cellStyle name="Separador de milhares 2 27 3 5" xfId="16600" xr:uid="{16DE22BB-1920-4B73-84C9-C205D1B8DDE8}"/>
    <cellStyle name="Separador de milhares 2 27 3 6" xfId="16601" xr:uid="{105D515D-A84B-4502-B707-BA6A9D10286E}"/>
    <cellStyle name="Separador de milhares 2 27 4" xfId="16602" xr:uid="{FC3987DF-52DF-44EA-B3DE-687FF33BD4EE}"/>
    <cellStyle name="Separador de milhares 2 27 4 2" xfId="16603" xr:uid="{1F40AD5B-D06D-466B-BEB7-47B0B0F27A09}"/>
    <cellStyle name="Separador de milhares 2 27 4 3" xfId="16604" xr:uid="{3C9CF9F9-EBC8-48C9-8BBD-DD1A109CD972}"/>
    <cellStyle name="Separador de milhares 2 27 4 4" xfId="16605" xr:uid="{F850388F-821E-4992-9CAC-B14DC506E515}"/>
    <cellStyle name="Separador de milhares 2 27 4 5" xfId="16606" xr:uid="{4AF93189-A8F5-4BFE-92D5-527303823EEA}"/>
    <cellStyle name="Separador de milhares 2 27 4 6" xfId="16607" xr:uid="{B7CFA4DA-601F-4536-8CE4-D1EFB788C4BA}"/>
    <cellStyle name="Separador de milhares 2 27 5" xfId="16608" xr:uid="{C3BCE6AE-96AD-45A6-9E48-3761A60534FC}"/>
    <cellStyle name="Separador de milhares 2 27 5 2" xfId="16609" xr:uid="{8EF8EE29-820E-4859-8A66-91325BF03AC3}"/>
    <cellStyle name="Separador de milhares 2 27 5 3" xfId="16610" xr:uid="{756BBA04-ED4A-43E0-8F77-D04FEE6AA619}"/>
    <cellStyle name="Separador de milhares 2 27 5 4" xfId="16611" xr:uid="{E45F953E-F092-4B2A-826A-110591CC2030}"/>
    <cellStyle name="Separador de milhares 2 27 5 5" xfId="16612" xr:uid="{F2F03CE7-A591-4D1E-A588-26C03B3DB38D}"/>
    <cellStyle name="Separador de milhares 2 27 6" xfId="16613" xr:uid="{12231A54-3FAD-49E8-832C-96AA79357589}"/>
    <cellStyle name="Separador de milhares 2 27 6 2" xfId="16614" xr:uid="{42B8155D-E827-4388-BCAC-F46B9ACCF776}"/>
    <cellStyle name="Separador de milhares 2 27 6 3" xfId="16615" xr:uid="{B5F6CD6E-481A-49C5-BDB6-F5DD2CAB68E9}"/>
    <cellStyle name="Separador de milhares 2 27 6 4" xfId="16616" xr:uid="{B15C62AF-04CB-4024-87E7-AF3520834956}"/>
    <cellStyle name="Separador de milhares 2 27 6 5" xfId="16617" xr:uid="{1E77558A-33AB-4B97-93E9-4D7CDEA35274}"/>
    <cellStyle name="Separador de milhares 2 27 6 6" xfId="16618" xr:uid="{968EA483-70E1-4FE6-875A-FADCF3114CD5}"/>
    <cellStyle name="Separador de milhares 2 27 7" xfId="16619" xr:uid="{CC49CEA3-88A6-4C93-AAB0-A9460AE8C12B}"/>
    <cellStyle name="Separador de milhares 2 27 7 2" xfId="16620" xr:uid="{DAD04B1E-5B3E-486E-8B4A-F0E2E218D0F3}"/>
    <cellStyle name="Separador de milhares 2 27 7 3" xfId="16621" xr:uid="{87555B0A-4C7F-42E2-8252-C767129515D9}"/>
    <cellStyle name="Separador de milhares 2 27 7 4" xfId="16622" xr:uid="{B6109681-1F38-4F23-917C-694A7023B69A}"/>
    <cellStyle name="Separador de milhares 2 27 7 5" xfId="16623" xr:uid="{1DAB9F79-D5C9-4BCE-B847-EBC4AB467172}"/>
    <cellStyle name="Separador de milhares 2 27 7 6" xfId="16624" xr:uid="{CB75553C-DD71-4FCC-9735-934943AC432C}"/>
    <cellStyle name="Separador de milhares 2 27 8" xfId="16625" xr:uid="{4CD608B4-A45D-4ABB-8EAE-6C2AE8BAD4D7}"/>
    <cellStyle name="Separador de milhares 2 27 8 2" xfId="16626" xr:uid="{CB510972-4051-4E1F-A8EA-DB4655501518}"/>
    <cellStyle name="Separador de milhares 2 27 8 3" xfId="16627" xr:uid="{8542E1C5-87CF-4908-A873-479FDEC9B564}"/>
    <cellStyle name="Separador de milhares 2 27 8 4" xfId="16628" xr:uid="{769C07D9-218F-48DC-A080-5AC9A0763281}"/>
    <cellStyle name="Separador de milhares 2 27 8 5" xfId="16629" xr:uid="{5C3C4284-11F6-4FF2-9435-D235E5CF2ECE}"/>
    <cellStyle name="Separador de milhares 2 27 8 6" xfId="16630" xr:uid="{325D7586-CAF1-4222-9D26-19029DF7417D}"/>
    <cellStyle name="Separador de milhares 2 27 9" xfId="16631" xr:uid="{8C6D3CAA-4573-42D2-B877-5BC0BB61C956}"/>
    <cellStyle name="Separador de milhares 2 28" xfId="16632" xr:uid="{63C4FC4C-9E4C-47C9-9023-4F16B6BA1945}"/>
    <cellStyle name="Separador de milhares 2 28 10" xfId="16633" xr:uid="{89B91B80-346A-4610-8FF5-5B8177AD5F0D}"/>
    <cellStyle name="Separador de milhares 2 28 11" xfId="16634" xr:uid="{3143B262-6E80-4E40-B1F9-68D698035460}"/>
    <cellStyle name="Separador de milhares 2 28 12" xfId="16635" xr:uid="{04ADC41D-1AFB-4F97-B7A7-A95CC78DEF8C}"/>
    <cellStyle name="Separador de milhares 2 28 13" xfId="16636" xr:uid="{045D4ED6-7B2D-4EF6-956B-F6A5D76DFB03}"/>
    <cellStyle name="Separador de milhares 2 28 2" xfId="16637" xr:uid="{B20392EE-BB54-4135-93C8-47EFD7F27B56}"/>
    <cellStyle name="Separador de milhares 2 28 2 2" xfId="16638" xr:uid="{8B6E45C8-2DE9-4FAA-BCAF-E9A225745171}"/>
    <cellStyle name="Separador de milhares 2 28 2 3" xfId="16639" xr:uid="{0DD7DE2B-0248-49C5-876F-DB25F767DC4D}"/>
    <cellStyle name="Separador de milhares 2 28 2 4" xfId="16640" xr:uid="{80CC62E2-8099-4668-BB30-35C29778976D}"/>
    <cellStyle name="Separador de milhares 2 28 2 5" xfId="16641" xr:uid="{86807598-7573-40CF-A5C6-D1E1B2D46FED}"/>
    <cellStyle name="Separador de milhares 2 28 2 6" xfId="16642" xr:uid="{8B86FFC8-498E-41C5-BCAA-BD11D8A2EAB9}"/>
    <cellStyle name="Separador de milhares 2 28 3" xfId="16643" xr:uid="{A187C87E-45D3-469F-8686-7057B4013334}"/>
    <cellStyle name="Separador de milhares 2 28 3 2" xfId="16644" xr:uid="{717D9DD8-F058-4A6C-A89F-80F15000DD34}"/>
    <cellStyle name="Separador de milhares 2 28 3 3" xfId="16645" xr:uid="{F0691BED-4C25-4A51-B58E-FB663DD51673}"/>
    <cellStyle name="Separador de milhares 2 28 3 4" xfId="16646" xr:uid="{D4743ADF-561F-4A42-A1DA-AE2452024935}"/>
    <cellStyle name="Separador de milhares 2 28 3 5" xfId="16647" xr:uid="{E5FA82F6-04A8-43E8-BD2A-302AD0ADCA7B}"/>
    <cellStyle name="Separador de milhares 2 28 3 6" xfId="16648" xr:uid="{7F98CA74-3F1C-4F80-A885-597C90C5F8C6}"/>
    <cellStyle name="Separador de milhares 2 28 4" xfId="16649" xr:uid="{01A81A46-D235-429A-A405-7FB7F5664F76}"/>
    <cellStyle name="Separador de milhares 2 28 4 2" xfId="16650" xr:uid="{0B41C7A9-9EFB-417F-8948-64E7E102FCAF}"/>
    <cellStyle name="Separador de milhares 2 28 4 3" xfId="16651" xr:uid="{BDB335D8-1D18-4C84-A86B-0EB6306D4C5D}"/>
    <cellStyle name="Separador de milhares 2 28 4 4" xfId="16652" xr:uid="{051375E6-8E23-4DE2-967C-D536AA6793BB}"/>
    <cellStyle name="Separador de milhares 2 28 4 5" xfId="16653" xr:uid="{FB4AECDF-EA53-4234-9426-15F22305555E}"/>
    <cellStyle name="Separador de milhares 2 28 4 6" xfId="16654" xr:uid="{54C58EDC-A119-482D-8CAB-324D24FE813E}"/>
    <cellStyle name="Separador de milhares 2 28 5" xfId="16655" xr:uid="{5D980F33-CD9A-4130-98DF-AA3F25EE25BA}"/>
    <cellStyle name="Separador de milhares 2 28 5 2" xfId="16656" xr:uid="{EB2C1D8D-9F07-4844-B5C6-4934EC9696EA}"/>
    <cellStyle name="Separador de milhares 2 28 5 3" xfId="16657" xr:uid="{0081E382-26FC-427F-9EC3-6D0644FD13E4}"/>
    <cellStyle name="Separador de milhares 2 28 5 4" xfId="16658" xr:uid="{F15D4CAA-8140-49D9-9B2B-C9CD68DC3251}"/>
    <cellStyle name="Separador de milhares 2 28 5 5" xfId="16659" xr:uid="{CE076C54-1D7E-4008-9A26-0E900DC6367C}"/>
    <cellStyle name="Separador de milhares 2 28 5 6" xfId="16660" xr:uid="{9F44E202-E107-4DE9-BD8D-B9AB63E0CAC7}"/>
    <cellStyle name="Separador de milhares 2 28 6 2" xfId="16661" xr:uid="{90599260-17BB-4EE0-9149-AB9427EF1A09}"/>
    <cellStyle name="Separador de milhares 2 28 6 4" xfId="16662" xr:uid="{63340B4D-40BF-43B0-9CD1-39FD99C0837A}"/>
    <cellStyle name="Separador de milhares 2 28 6 6" xfId="16663" xr:uid="{3076999D-5A25-4627-817D-BAACB0801F60}"/>
    <cellStyle name="Separador de milhares 2 28 7 2" xfId="16664" xr:uid="{5EEE0E05-AF18-4BF8-B7A8-F0990A6B46F5}"/>
    <cellStyle name="Separador de milhares 2 28 7 4" xfId="16665" xr:uid="{8CFFFCF9-69D2-4F99-AF6B-500CD6B552E6}"/>
    <cellStyle name="Separador de milhares 2 28 7 6" xfId="16666" xr:uid="{020371F6-6996-4D8F-8A5B-91F74D5F71CD}"/>
    <cellStyle name="Separador de milhares 2 28 8" xfId="16667" xr:uid="{2D0B027F-3935-409E-92FA-4086D66C58A9}"/>
    <cellStyle name="Separador de milhares 2 28 8 2" xfId="16668" xr:uid="{E75E552F-8A02-4A66-8430-161B46F719AC}"/>
    <cellStyle name="Separador de milhares 2 28 8 3" xfId="16669" xr:uid="{D66D65A3-A90D-4AA5-A10F-A606AC6F9306}"/>
    <cellStyle name="Separador de milhares 2 28 8 4" xfId="16670" xr:uid="{0F9B5FEC-94AE-414F-82A2-06AB857C74F8}"/>
    <cellStyle name="Separador de milhares 2 28 8 5" xfId="16671" xr:uid="{7DA1CDF0-9456-4FA5-BEDF-A02FC18A1A38}"/>
    <cellStyle name="Separador de milhares 2 28 8 6" xfId="16672" xr:uid="{732C42BE-7E69-46C9-BC3E-DDCA1F2226E7}"/>
    <cellStyle name="Separador de milhares 2 28 9" xfId="16673" xr:uid="{9A33A475-60C3-4C85-83D0-4120103B9DAF}"/>
    <cellStyle name="Separador de milhares 2 29" xfId="16674" xr:uid="{C95249AA-F4BF-42A4-8F07-F2777F0BA8FF}"/>
    <cellStyle name="Separador de milhares 2 29 10" xfId="16675" xr:uid="{A6630A57-1A77-4095-8D3E-1103DF0B0642}"/>
    <cellStyle name="Separador de milhares 2 29 11" xfId="16676" xr:uid="{B4E29399-2300-439B-8378-D890756C06B9}"/>
    <cellStyle name="Separador de milhares 2 29 13" xfId="16677" xr:uid="{DDC72EA9-2588-4658-AF2B-B7EE98EE31A4}"/>
    <cellStyle name="Separador de milhares 2 29 2 2" xfId="16678" xr:uid="{881BB3EA-6330-48B4-9DC5-A0ED092BD0C2}"/>
    <cellStyle name="Separador de milhares 2 29 2 4" xfId="16679" xr:uid="{E63AF9FF-20EA-4053-8584-B947CD3BEB8A}"/>
    <cellStyle name="Separador de milhares 2 29 2 6" xfId="16680" xr:uid="{B9926222-E5B6-4AAB-8177-C46012995153}"/>
    <cellStyle name="Separador de milhares 2 29 3 2" xfId="16681" xr:uid="{5E34CDA6-F37B-410D-A894-5725EDDE7222}"/>
    <cellStyle name="Separador de milhares 2 29 3 4" xfId="16682" xr:uid="{7A2E0E51-E7A3-4F43-BB07-2E11AD15DF2F}"/>
    <cellStyle name="Separador de milhares 2 29 3 5" xfId="16683" xr:uid="{90C55EF7-0262-4E28-A511-DFAF3520B12E}"/>
    <cellStyle name="Separador de milhares 2 29 3 6" xfId="16684" xr:uid="{5DD72646-1E57-4D36-A49E-42EED515C696}"/>
    <cellStyle name="Separador de milhares 2 29 4" xfId="16685" xr:uid="{44AAE47B-A174-4440-80E1-DA8B85E45409}"/>
    <cellStyle name="Separador de milhares 2 29 4 2" xfId="16686" xr:uid="{39A1F8E6-77C2-43FD-8318-1AF248F9FA1D}"/>
    <cellStyle name="Separador de milhares 2 29 4 3" xfId="16687" xr:uid="{AF735896-93AE-40A9-8956-016BE36764CF}"/>
    <cellStyle name="Separador de milhares 2 29 4 4" xfId="16688" xr:uid="{46D138EE-6EF2-431C-B20E-611E95767B5A}"/>
    <cellStyle name="Separador de milhares 2 29 4 6" xfId="16689" xr:uid="{0117B5AA-A11D-4E38-8AB2-6C9D2A949A82}"/>
    <cellStyle name="Separador de milhares 2 29 5 2" xfId="16690" xr:uid="{34AA0A40-B6E4-4FDD-B9BB-C5B757779FB1}"/>
    <cellStyle name="Separador de milhares 2 29 5 4" xfId="16691" xr:uid="{7EA10DAA-6C69-4E57-AB0F-CA413D4E88A7}"/>
    <cellStyle name="Separador de milhares 2 29 5 6" xfId="16692" xr:uid="{499C61BE-C297-45BE-AE38-C4AEDB6DA3A1}"/>
    <cellStyle name="Separador de milhares 2 29 6 2" xfId="16693" xr:uid="{34A65B60-AEE6-4A80-9C8F-3C64C9A8AA89}"/>
    <cellStyle name="Separador de milhares 2 29 6 4" xfId="16694" xr:uid="{951E3F43-4D71-4229-8592-9E66B7C3C52B}"/>
    <cellStyle name="Separador de milhares 2 29 6 6" xfId="16695" xr:uid="{6281AB4B-A6B6-4F42-981C-811DD2492DD8}"/>
    <cellStyle name="Separador de milhares 2 29 7 2" xfId="16696" xr:uid="{00DDCA15-7A16-4833-98E1-020FA8EC7620}"/>
    <cellStyle name="Separador de milhares 2 29 7 4" xfId="16697" xr:uid="{B08217F7-72D9-470B-86F7-06C4FB8927AB}"/>
    <cellStyle name="Separador de milhares 2 29 7 6" xfId="16698" xr:uid="{06DA70AD-1D95-4F80-92F3-CD94B7F4BC6A}"/>
    <cellStyle name="Separador de milhares 2 29 8 2" xfId="16699" xr:uid="{9A98FEC0-C9C9-474E-B2F4-4269A8678EF4}"/>
    <cellStyle name="Separador de milhares 2 29 8 4" xfId="16700" xr:uid="{51F03E6C-459D-4138-A754-0926783A38FD}"/>
    <cellStyle name="Separador de milhares 2 29 8 6" xfId="16701" xr:uid="{F8BE0B60-90DC-4CBE-A4DE-11264772CF22}"/>
    <cellStyle name="Separador de milhares 2 3" xfId="396" xr:uid="{6C990548-D917-41BC-BDA7-57718E6D7B0A}"/>
    <cellStyle name="Separador de milhares 2 3 11" xfId="16702" xr:uid="{FC69E686-AACB-470A-ADF9-937378D423F4}"/>
    <cellStyle name="Separador de milhares 2 3 13" xfId="16703" xr:uid="{4003DE92-3B4F-4528-A56E-61CB00E67A5F}"/>
    <cellStyle name="Separador de milhares 2 3 2" xfId="16704" xr:uid="{FA53A0E9-3F2F-4025-8367-89E12C17E33C}"/>
    <cellStyle name="Separador de milhares 2 3 2 3" xfId="16705" xr:uid="{DF0087F1-1E66-450B-8AED-71F63A204F2C}"/>
    <cellStyle name="Separador de milhares 2 3 2 4" xfId="16706" xr:uid="{270C97C8-B7C7-4BD9-9C92-8A644EB7E14C}"/>
    <cellStyle name="Separador de milhares 2 3 2 5" xfId="16707" xr:uid="{04583A26-6BA2-4B0C-99D0-61B55D22FD4D}"/>
    <cellStyle name="Separador de milhares 2 3 2 6" xfId="16708" xr:uid="{675772D9-E4C2-4833-BE03-9C77BD068134}"/>
    <cellStyle name="Separador de milhares 2 3 3 2" xfId="16709" xr:uid="{A90227D8-D2D2-425A-9A79-F56A911FF375}"/>
    <cellStyle name="Separador de milhares 2 3 3 4" xfId="16710" xr:uid="{F4F8493D-46A9-445B-BBA6-DF84E2FD1D9F}"/>
    <cellStyle name="Separador de milhares 2 3 3 6" xfId="16711" xr:uid="{99C2824F-7EF6-4054-8861-F1F74B278960}"/>
    <cellStyle name="Separador de milhares 2 3 4 2" xfId="16712" xr:uid="{D8976A3D-C23D-4881-8DE7-8F5D762778DA}"/>
    <cellStyle name="Separador de milhares 2 3 4 4" xfId="16713" xr:uid="{B1E6B69F-BE24-4FF8-B794-9A60B5CE9153}"/>
    <cellStyle name="Separador de milhares 2 3 4 6" xfId="16714" xr:uid="{181DA0DD-CF6A-446E-9726-45542F43C622}"/>
    <cellStyle name="Separador de milhares 2 3 5" xfId="16715" xr:uid="{D8FDEA08-F347-4050-9582-CF9688160D4F}"/>
    <cellStyle name="Separador de milhares 2 3 5 3" xfId="16716" xr:uid="{399A8250-4424-4C9A-A9B5-E9D9A12FD70E}"/>
    <cellStyle name="Separador de milhares 2 3 5 5" xfId="16717" xr:uid="{3322B670-7633-4AAA-9651-DE4142687019}"/>
    <cellStyle name="Separador de milhares 2 3 6" xfId="16718" xr:uid="{94E0A891-042F-4F05-AFAE-CB503057B2CC}"/>
    <cellStyle name="Separador de milhares 2 3 6 3" xfId="16719" xr:uid="{7672D984-C849-445A-AE33-7556D0315CE7}"/>
    <cellStyle name="Separador de milhares 2 3 6 5" xfId="16720" xr:uid="{3B6022CA-2701-4A19-A573-15633C74945E}"/>
    <cellStyle name="Separador de milhares 2 3 7" xfId="16721" xr:uid="{CD02B782-DC38-42C9-BA0B-6F79AD42A074}"/>
    <cellStyle name="Separador de milhares 2 3 7 2" xfId="16722" xr:uid="{BFE18E6D-71C3-4361-93B4-561883E9A1DF}"/>
    <cellStyle name="Separador de milhares 2 3 7 3" xfId="16723" xr:uid="{E10B0233-FE46-4445-B425-E4020EC5132D}"/>
    <cellStyle name="Separador de milhares 2 3 7 4" xfId="16724" xr:uid="{6E43933A-AC86-42E7-8BF2-2621BE4BC117}"/>
    <cellStyle name="Separador de milhares 2 3 7 5" xfId="16725" xr:uid="{0082CF81-A56B-4AA0-83D6-AB583F5E0697}"/>
    <cellStyle name="Separador de milhares 2 3 7 6" xfId="16726" xr:uid="{A3C9ABB3-4870-48FB-A6B4-3CB5EC29AA97}"/>
    <cellStyle name="Separador de milhares 2 3 8" xfId="16727" xr:uid="{9FA9A166-9D0F-4C70-B30D-42F2F36343FE}"/>
    <cellStyle name="Separador de milhares 2 3 8 2" xfId="16728" xr:uid="{5F550556-64DD-421F-A918-1679D98730EB}"/>
    <cellStyle name="Separador de milhares 2 3 8 3" xfId="16729" xr:uid="{E3001A15-CD62-46EA-A36F-0B67182731AF}"/>
    <cellStyle name="Separador de milhares 2 3 8 4" xfId="16730" xr:uid="{394BA181-FDC5-4944-9CE6-A583D1ED2720}"/>
    <cellStyle name="Separador de milhares 2 3 8 5" xfId="16731" xr:uid="{29250F21-2893-4FD5-A689-A56CF46AAA43}"/>
    <cellStyle name="Separador de milhares 2 3 8 6" xfId="16732" xr:uid="{3C1E6B92-4AC0-4E63-B32C-C719D25AF08F}"/>
    <cellStyle name="Separador de milhares 2 3 9" xfId="16733" xr:uid="{EA5E0B4E-6674-4643-8011-ECBE354842EC}"/>
    <cellStyle name="Separador de milhares 2 30" xfId="16734" xr:uid="{4FE3BFB7-640B-4D04-AA44-1C641D5CC29A}"/>
    <cellStyle name="Separador de milhares 2 30 10" xfId="16735" xr:uid="{7A96C3BE-2BE4-496E-AB22-55E7FBB61CD6}"/>
    <cellStyle name="Separador de milhares 2 30 11" xfId="16736" xr:uid="{5FA99A85-9645-4263-ADB2-6ACA62C522D0}"/>
    <cellStyle name="Separador de milhares 2 30 12" xfId="16737" xr:uid="{E522C075-E4F1-495E-83DD-F3A4B9163D94}"/>
    <cellStyle name="Separador de milhares 2 30 13" xfId="16738" xr:uid="{2611771B-5134-48C1-BF22-8F1FA63DD896}"/>
    <cellStyle name="Separador de milhares 2 30 2 2" xfId="16739" xr:uid="{2ED30BE5-D04D-4919-9868-279FCC35FF72}"/>
    <cellStyle name="Separador de milhares 2 30 2 4" xfId="16740" xr:uid="{A0F65A4D-16FF-4BB7-8789-35BFEF11A536}"/>
    <cellStyle name="Separador de milhares 2 30 2 6" xfId="16741" xr:uid="{4AEDAFCB-FFAE-4AD8-8CDD-9B024999B6ED}"/>
    <cellStyle name="Separador de milhares 2 30 3 2" xfId="16742" xr:uid="{76031B2B-5358-4461-97C5-1E88F522F584}"/>
    <cellStyle name="Separador de milhares 2 30 3 4" xfId="16743" xr:uid="{73D95F70-8494-4AE4-878F-9FC477B77F15}"/>
    <cellStyle name="Separador de milhares 2 30 3 6" xfId="16744" xr:uid="{75B6744F-E28C-4C84-88A9-DDD44A32A586}"/>
    <cellStyle name="Separador de milhares 2 30 4" xfId="16745" xr:uid="{55783731-519D-42CF-882B-EEC2EF94FB65}"/>
    <cellStyle name="Separador de milhares 2 30 4 3" xfId="16746" xr:uid="{3FA30C9B-DC12-4FC8-9C5A-498AE6B594D1}"/>
    <cellStyle name="Separador de milhares 2 30 4 5" xfId="16747" xr:uid="{9544E618-32F7-487B-B194-0745560D01E3}"/>
    <cellStyle name="Separador de milhares 2 30 5" xfId="16748" xr:uid="{9B889A2B-8CB9-4F53-B057-7A60EED36CA0}"/>
    <cellStyle name="Separador de milhares 2 30 5 3" xfId="16749" xr:uid="{0FDF073E-E84B-481C-8D6A-A95662F0562A}"/>
    <cellStyle name="Separador de milhares 2 30 5 5" xfId="16750" xr:uid="{0C841975-E6FE-48F9-9256-C7B7BA6956BD}"/>
    <cellStyle name="Separador de milhares 2 30 6" xfId="16751" xr:uid="{709EEBED-0562-46AD-A94C-0A79E548457A}"/>
    <cellStyle name="Separador de milhares 2 30 6 2" xfId="16752" xr:uid="{916CC046-65A0-4934-8E5E-03C9952F041E}"/>
    <cellStyle name="Separador de milhares 2 30 6 4" xfId="16753" xr:uid="{98AA4845-A1A3-4B6C-B81C-E373F7B1F90E}"/>
    <cellStyle name="Separador de milhares 2 30 6 6" xfId="16754" xr:uid="{26BFED00-BADC-46E7-BF1F-20A41C93A819}"/>
    <cellStyle name="Separador de milhares 2 30 7 2" xfId="16755" xr:uid="{DB371DF4-83E7-4F1F-B44A-58CE9E492B6A}"/>
    <cellStyle name="Separador de milhares 2 30 7 4" xfId="16756" xr:uid="{AF9812F9-FFF7-4493-8EDD-BA38E7DF2EE7}"/>
    <cellStyle name="Separador de milhares 2 30 8" xfId="16757" xr:uid="{3CB410B0-6E33-4266-AD96-FCC2CA2D8B41}"/>
    <cellStyle name="Separador de milhares 2 30 8 3" xfId="16758" xr:uid="{5CE9CD21-AE5A-4072-9797-1631017E2D2B}"/>
    <cellStyle name="Separador de milhares 2 30 8 4" xfId="16759" xr:uid="{13085629-C0A2-4BCF-A9BE-FE8B3E12CB68}"/>
    <cellStyle name="Separador de milhares 2 30 8 6" xfId="16760" xr:uid="{4615DB93-B6A1-47BD-82D0-6F1DD84EAEA1}"/>
    <cellStyle name="Separador de milhares 2 31" xfId="16761" xr:uid="{45E18F32-467E-4884-85AF-E7BD7B0E0C9A}"/>
    <cellStyle name="Separador de milhares 2 31 11" xfId="16762" xr:uid="{059E310D-3C6B-4B77-B074-C071B77A9A81}"/>
    <cellStyle name="Separador de milhares 2 31 13" xfId="16763" xr:uid="{1F96F697-26B2-49AD-B8BF-9EAD65896D96}"/>
    <cellStyle name="Separador de milhares 2 31 2 2" xfId="16764" xr:uid="{90BFC0D9-B158-43C4-99B2-B42E5B9A20C3}"/>
    <cellStyle name="Separador de milhares 2 31 2 4" xfId="16765" xr:uid="{DA82E417-3C02-489D-A220-C1895E29576A}"/>
    <cellStyle name="Separador de milhares 2 31 2 5" xfId="16766" xr:uid="{62C18D63-EB28-48BF-953E-65BFC401D48E}"/>
    <cellStyle name="Separador de milhares 2 31 3" xfId="16767" xr:uid="{49B1C644-8BEB-478C-AC44-D96D348F2F2B}"/>
    <cellStyle name="Separador de milhares 2 31 3 3" xfId="16768" xr:uid="{BCB2C1B9-FAF1-4CD4-9545-E7E764D03CF1}"/>
    <cellStyle name="Separador de milhares 2 31 3 5" xfId="16769" xr:uid="{D4C57234-82A8-47C0-91E7-4678D7535A8A}"/>
    <cellStyle name="Separador de milhares 2 31 4" xfId="16770" xr:uid="{E67AC462-FBC2-4C5E-B3D9-68F62E0611EE}"/>
    <cellStyle name="Separador de milhares 2 31 4 3" xfId="16771" xr:uid="{160EAC1F-9DD0-4F0F-905D-4F47B1BD640D}"/>
    <cellStyle name="Separador de milhares 2 31 4 5" xfId="16772" xr:uid="{A62A14B3-A9FA-42DE-99CE-36B111B2A894}"/>
    <cellStyle name="Separador de milhares 2 31 4 6" xfId="16773" xr:uid="{A968F08C-1775-4E17-8411-CF5A11E54043}"/>
    <cellStyle name="Separador de milhares 2 31 5 3" xfId="16774" xr:uid="{C90B0101-B1FA-420A-895C-9F9EB11ED0E2}"/>
    <cellStyle name="Separador de milhares 2 31 5 5" xfId="16775" xr:uid="{136AED40-C5FA-4A74-AD88-EADBFD9A3F41}"/>
    <cellStyle name="Separador de milhares 2 31 6" xfId="16776" xr:uid="{5B7FDFA2-4BBA-4866-97D0-70B32A2137C2}"/>
    <cellStyle name="Separador de milhares 2 31 6 3" xfId="16777" xr:uid="{ED3A9061-668F-4B76-B253-30870A5F17BA}"/>
    <cellStyle name="Separador de milhares 2 31 6 6" xfId="16778" xr:uid="{556019B5-F152-453C-80B3-4B822068861F}"/>
    <cellStyle name="Separador de milhares 2 31 7 2" xfId="16779" xr:uid="{E279FCCE-165A-40A8-8194-CC675CC70557}"/>
    <cellStyle name="Separador de milhares 2 31 7 3" xfId="16780" xr:uid="{940F3CD2-BB4C-4B0C-A800-FB039AE7E8FF}"/>
    <cellStyle name="Separador de milhares 2 31 7 5" xfId="16781" xr:uid="{A36A1EBF-4E86-4229-A637-CD4CBB871A01}"/>
    <cellStyle name="Separador de milhares 2 31 8" xfId="16782" xr:uid="{1EDC97BE-1A21-4DFC-B00F-8F4F9FAB8A12}"/>
    <cellStyle name="Separador de milhares 2 31 8 3" xfId="16783" xr:uid="{1681505D-CBDC-481C-BB24-276B37760DCC}"/>
    <cellStyle name="Separador de milhares 2 31 8 5" xfId="16784" xr:uid="{133B072A-D8F2-43BE-B56E-699218641CEB}"/>
    <cellStyle name="Separador de milhares 2 31 9" xfId="16785" xr:uid="{AE98FFB7-C08C-42C2-B897-477F44EA011C}"/>
    <cellStyle name="Separador de milhares 2 32 10" xfId="16786" xr:uid="{0AA8CEAF-4308-4C09-AA24-10526CE56EDE}"/>
    <cellStyle name="Separador de milhares 2 32 11" xfId="16787" xr:uid="{B316BD5D-0190-4F02-94FA-F92C60EC6DCF}"/>
    <cellStyle name="Separador de milhares 2 32 13" xfId="16788" xr:uid="{AD4C42CB-CB54-4260-92BA-CF0271973257}"/>
    <cellStyle name="Separador de milhares 2 32 2 2" xfId="16789" xr:uid="{C551A97D-AF59-445D-9BF9-FCF46FF3768B}"/>
    <cellStyle name="Separador de milhares 2 32 2 4" xfId="16790" xr:uid="{1DDDD439-17E9-425A-AC61-B670D7E5E0B5}"/>
    <cellStyle name="Separador de milhares 2 32 3" xfId="16791" xr:uid="{BE4A3626-B4E9-4000-9E8D-F67393D912E4}"/>
    <cellStyle name="Separador de milhares 2 32 3 3" xfId="16792" xr:uid="{E8A0AA8C-4788-4188-A0A7-BA5C4E0E9ABE}"/>
    <cellStyle name="Separador de milhares 2 32 3 5" xfId="16793" xr:uid="{35AD7A19-9FA2-4373-8ECD-DCDC9DFADF2F}"/>
    <cellStyle name="Separador de milhares 2 32 3 6" xfId="16794" xr:uid="{E7770510-F9A0-441B-BD10-4D86E027765E}"/>
    <cellStyle name="Separador de milhares 2 32 4 2" xfId="16795" xr:uid="{93B2152F-37D9-4974-AED2-D87E0D5F44FB}"/>
    <cellStyle name="Separador de milhares 2 32 4 4" xfId="16796" xr:uid="{94C311F0-D5E2-4357-AA3C-BB4336A40971}"/>
    <cellStyle name="Separador de milhares 2 32 4 6" xfId="16797" xr:uid="{B242D7B2-FAB1-4570-BB70-AB77077691CB}"/>
    <cellStyle name="Separador de milhares 2 32 5 2" xfId="16798" xr:uid="{724CF3F9-35A0-4166-8042-BEE714B9EC9C}"/>
    <cellStyle name="Separador de milhares 2 32 5 4" xfId="16799" xr:uid="{A4C40162-5A86-4683-858D-5EE9E1EE0A90}"/>
    <cellStyle name="Separador de milhares 2 32 5 6" xfId="16800" xr:uid="{192730FF-69AE-4DB4-8663-2A08D143B5F3}"/>
    <cellStyle name="Separador de milhares 2 32 6" xfId="16801" xr:uid="{BC184AF8-2A42-4E47-8337-321916E7D224}"/>
    <cellStyle name="Separador de milhares 2 32 6 3" xfId="16802" xr:uid="{BF1EC782-0353-41CE-9BF7-DA1D428F247D}"/>
    <cellStyle name="Separador de milhares 2 32 6 5" xfId="16803" xr:uid="{4A4F9B02-598B-44DF-A47E-B950204D742F}"/>
    <cellStyle name="Separador de milhares 2 32 7" xfId="16804" xr:uid="{066CE956-01B8-454B-A27B-19EF2C655402}"/>
    <cellStyle name="Separador de milhares 2 32 7 3" xfId="16805" xr:uid="{D9179460-EB78-466F-AC76-40458AB061D7}"/>
    <cellStyle name="Separador de milhares 2 32 7 5" xfId="16806" xr:uid="{8A32A5FA-A736-4278-92C1-F540C9681582}"/>
    <cellStyle name="Separador de milhares 2 32 8" xfId="16807" xr:uid="{7D08957C-3DC3-4137-92F4-96D831B8022A}"/>
    <cellStyle name="Separador de milhares 2 32 8 2" xfId="16808" xr:uid="{D27E9604-B86C-432B-8FA4-E6AF147D60D1}"/>
    <cellStyle name="Separador de milhares 2 32 8 3" xfId="16809" xr:uid="{21CCB470-2167-4268-B9DE-FCA2AE9C5226}"/>
    <cellStyle name="Separador de milhares 2 32 8 4" xfId="16810" xr:uid="{11085725-9F04-43B9-9A82-918540E08E78}"/>
    <cellStyle name="Separador de milhares 2 32 9" xfId="16811" xr:uid="{F860B8F6-EFFE-4D82-896F-211FF2114E01}"/>
    <cellStyle name="Separador de milhares 2 33 10" xfId="16812" xr:uid="{894A7F17-FB67-44F1-9AEB-CD706A704CC5}"/>
    <cellStyle name="Separador de milhares 2 33 12" xfId="16813" xr:uid="{6F4B3548-B68F-4722-ACA2-23BE9DE17857}"/>
    <cellStyle name="Separador de milhares 2 33 2" xfId="16814" xr:uid="{094B7693-89C5-4739-B1F5-EADDC6CEFB82}"/>
    <cellStyle name="Separador de milhares 2 33 2 3" xfId="16815" xr:uid="{CA64DAF2-077C-4351-83B8-DA88B08229E1}"/>
    <cellStyle name="Separador de milhares 2 33 2 5" xfId="16816" xr:uid="{22504E6F-93FE-4BBA-8BC3-A53515B3A374}"/>
    <cellStyle name="Separador de milhares 2 33 2 6" xfId="16817" xr:uid="{C565A755-E75D-4C2E-BFD3-8D865D1A5295}"/>
    <cellStyle name="Separador de milhares 2 33 3 2" xfId="16818" xr:uid="{ED1E6498-3870-4CAC-8C52-4D118646F21A}"/>
    <cellStyle name="Separador de milhares 2 33 3 6" xfId="16819" xr:uid="{34E4C38E-588D-4BCF-AB13-E49C743A666D}"/>
    <cellStyle name="Separador de milhares 2 33 4 2" xfId="16820" xr:uid="{B81080F5-F23B-4A72-9933-67F0234371DF}"/>
    <cellStyle name="Separador de milhares 2 33 4 4" xfId="16821" xr:uid="{9789E5DF-2073-4178-A45A-855BFCCC8422}"/>
    <cellStyle name="Separador de milhares 2 33 4 6" xfId="16822" xr:uid="{49A1C63C-22EF-49DB-925D-B54C029148E9}"/>
    <cellStyle name="Separador de milhares 2 33 5" xfId="16823" xr:uid="{8F613370-5E28-4134-822C-B17F9FD7A775}"/>
    <cellStyle name="Separador de milhares 2 33 5 2" xfId="16824" xr:uid="{8F3A35FE-D037-4D98-99BC-FD7A091308D5}"/>
    <cellStyle name="Separador de milhares 2 33 5 3" xfId="16825" xr:uid="{FD7FCE23-E81A-41D3-A136-5DEFA03B6236}"/>
    <cellStyle name="Separador de milhares 2 33 5 4" xfId="16826" xr:uid="{5B651EF0-33AC-4CF2-92DF-E8FCFBBD8858}"/>
    <cellStyle name="Separador de milhares 2 33 5 5" xfId="16827" xr:uid="{9C6C00ED-481E-467E-88C7-2B072FC4FA2D}"/>
    <cellStyle name="Separador de milhares 2 33 5 6" xfId="16828" xr:uid="{0F8A6DAA-B376-4A39-8D81-9687D64E8162}"/>
    <cellStyle name="Separador de milhares 2 33 6" xfId="16829" xr:uid="{3278B25E-8FCE-44EF-96D5-01070EAF58FB}"/>
    <cellStyle name="Separador de milhares 2 33 6 2" xfId="16830" xr:uid="{A2E0B4A3-53A3-4E0B-93B7-023E5FC7C4BD}"/>
    <cellStyle name="Separador de milhares 2 33 6 3" xfId="16831" xr:uid="{5E8047B3-6A93-4721-AB8E-544410FEC0A0}"/>
    <cellStyle name="Separador de milhares 2 33 6 4" xfId="16832" xr:uid="{DD54AE4B-6E34-4171-93E9-474BC4456A59}"/>
    <cellStyle name="Separador de milhares 2 33 7" xfId="16833" xr:uid="{1C5B02D4-98E7-4AB3-B821-19AFCB08F609}"/>
    <cellStyle name="Separador de milhares 2 33 7 2" xfId="16834" xr:uid="{8712DB67-D0F0-41D6-8173-ACBFA5E5AC2D}"/>
    <cellStyle name="Separador de milhares 2 33 7 4" xfId="16835" xr:uid="{BEC61155-1FF6-4823-AF2D-800DCB129D48}"/>
    <cellStyle name="Separador de milhares 2 33 7 6" xfId="16836" xr:uid="{3CB53C8C-296C-4A51-8087-7324EAFFF03C}"/>
    <cellStyle name="Separador de milhares 2 33 8 2" xfId="16837" xr:uid="{4227761F-130E-4BDF-96EB-080EA690ED7A}"/>
    <cellStyle name="Separador de milhares 2 33 8 4" xfId="16838" xr:uid="{45F3068C-DA6D-486B-A910-19BFBA47ED7E}"/>
    <cellStyle name="Separador de milhares 2 33 8 6" xfId="16839" xr:uid="{63A03B4B-581D-4571-BC4A-F5C95D4FF72F}"/>
    <cellStyle name="Separador de milhares 2 34" xfId="16840" xr:uid="{49E83182-9584-4274-9BCB-B16156A034F2}"/>
    <cellStyle name="Separador de milhares 2 34 3" xfId="16841" xr:uid="{93A7BDC8-2D69-43E5-989D-8D6939AD4C46}"/>
    <cellStyle name="Separador de milhares 2 34 5" xfId="16842" xr:uid="{A3C0C52D-5D33-4304-B1A6-352634BC42F7}"/>
    <cellStyle name="Separador de milhares 2 35" xfId="16843" xr:uid="{06CD7807-605A-417D-A928-C4EF7BE7F908}"/>
    <cellStyle name="Separador de milhares 2 35 3" xfId="16844" xr:uid="{016F98E0-09AB-4E36-BD20-F06ED80FD29A}"/>
    <cellStyle name="Separador de milhares 2 35 5" xfId="16845" xr:uid="{3366081F-53EE-41FA-B915-B4AD72C8866D}"/>
    <cellStyle name="Separador de milhares 2 36" xfId="16846" xr:uid="{307B623E-5322-4543-9FFA-92387FB71AD6}"/>
    <cellStyle name="Separador de milhares 2 36 3" xfId="16847" xr:uid="{A7BB3208-7C2A-406C-880C-C2C42B0E9B93}"/>
    <cellStyle name="Separador de milhares 2 36 5" xfId="16848" xr:uid="{1438B124-D355-4540-B45F-8B2229C539CF}"/>
    <cellStyle name="Separador de milhares 2 37" xfId="16849" xr:uid="{17678B1E-D15D-4FEE-B741-2FB21BA6FDBE}"/>
    <cellStyle name="Separador de milhares 2 37 3" xfId="16850" xr:uid="{15FFAE33-1838-4AC6-B8E1-BD2212B97B57}"/>
    <cellStyle name="Separador de milhares 2 37 5" xfId="16851" xr:uid="{D3550FE6-2767-4016-8B63-23400089EE42}"/>
    <cellStyle name="Separador de milhares 2 37 6" xfId="16852" xr:uid="{B86397E0-3F45-48D4-8B00-D783B4B17AFE}"/>
    <cellStyle name="Separador de milhares 2 38 2" xfId="16853" xr:uid="{FDA78D2A-B930-40B2-A959-9E5A6BBF0352}"/>
    <cellStyle name="Separador de milhares 2 38 4" xfId="16854" xr:uid="{408E2FEA-0D7A-4BD3-8B09-2C385027C24F}"/>
    <cellStyle name="Separador de milhares 2 38 6" xfId="16855" xr:uid="{96D6A18D-CD4F-4790-80C7-8D60E091F821}"/>
    <cellStyle name="Separador de milhares 2 39 2" xfId="16856" xr:uid="{973FEBD1-AC0C-4486-98DB-3AAF791BE430}"/>
    <cellStyle name="Separador de milhares 2 39 4" xfId="16857" xr:uid="{7A4B0854-6CF3-4ECD-94FC-D286A2B5F49A}"/>
    <cellStyle name="Separador de milhares 2 39 6" xfId="16858" xr:uid="{2CA0A814-7466-4328-99EF-1BB7BD1A1742}"/>
    <cellStyle name="Separador de milhares 2 4 13" xfId="16859" xr:uid="{4F23D37B-BAB5-4919-9097-0FECAB4CE6E9}"/>
    <cellStyle name="Separador de milhares 2 4 2 2" xfId="16860" xr:uid="{8B4D924B-6800-4943-8F84-7125593680B4}"/>
    <cellStyle name="Separador de milhares 2 4 2 4" xfId="16861" xr:uid="{6BB325A8-D40C-4EDB-8E35-DF2BC6369A86}"/>
    <cellStyle name="Separador de milhares 2 4 2 6" xfId="16862" xr:uid="{D9EB1D6A-7129-4EB4-AD8F-75B89CA77207}"/>
    <cellStyle name="Separador de milhares 2 4 3 3" xfId="16863" xr:uid="{22BA1634-E2A1-4B95-B16C-1EF047A0BD8C}"/>
    <cellStyle name="Separador de milhares 2 4 3 5" xfId="16864" xr:uid="{4C952127-CAD1-4837-9ED3-C2638A7D72A0}"/>
    <cellStyle name="Separador de milhares 2 4 4" xfId="16865" xr:uid="{7BE76175-9DB0-4844-ABD6-5C9A37F654F1}"/>
    <cellStyle name="Separador de milhares 2 4 4 3" xfId="16866" xr:uid="{3DFF1D2C-C219-423E-81E7-067330DE01A7}"/>
    <cellStyle name="Separador de milhares 2 4 4 5" xfId="16867" xr:uid="{D94C4A83-BC5C-4C03-8FF5-C0B63D06F5A0}"/>
    <cellStyle name="Separador de milhares 2 4 5 2" xfId="16868" xr:uid="{BD8139E2-7E2F-461C-86F4-1506CD25ECCC}"/>
    <cellStyle name="Separador de milhares 2 4 5 4" xfId="16869" xr:uid="{E24D2051-A7F9-40E6-9E49-39AE408B3FE1}"/>
    <cellStyle name="Separador de milhares 2 4 5 6" xfId="16870" xr:uid="{E387058C-5248-4016-AE60-AAF619088135}"/>
    <cellStyle name="Separador de milhares 2 4 6 3" xfId="16871" xr:uid="{145A9D8B-0758-4953-9611-AFAD182DC101}"/>
    <cellStyle name="Separador de milhares 2 4 6 5" xfId="16872" xr:uid="{F302F055-503C-45CC-BD6E-A51C99922E31}"/>
    <cellStyle name="Separador de milhares 2 4 6 6" xfId="16873" xr:uid="{53730DF8-56C9-4A46-A9AE-16A0F46D4127}"/>
    <cellStyle name="Separador de milhares 2 4 7" xfId="16874" xr:uid="{53AD4A33-D188-4427-9E5B-4082A443726B}"/>
    <cellStyle name="Separador de milhares 2 4 7 3" xfId="16875" xr:uid="{9BF74FDB-3E77-4CB3-8673-3A25600B60B3}"/>
    <cellStyle name="Separador de milhares 2 4 7 5" xfId="16876" xr:uid="{70DDB361-6DFC-41F9-89D0-05328372EB3D}"/>
    <cellStyle name="Separador de milhares 2 4 8" xfId="16877" xr:uid="{F2337AEC-B209-45EF-8EEF-F8AB42AB6752}"/>
    <cellStyle name="Separador de milhares 2 4 8 3" xfId="16878" xr:uid="{D9394E7E-FA62-461C-88F8-5A5FBCC21852}"/>
    <cellStyle name="Separador de milhares 2 4 8 5" xfId="16879" xr:uid="{AB2428BA-38F3-47F9-8B34-1D93FFB78CF1}"/>
    <cellStyle name="Separador de milhares 2 4 9" xfId="16880" xr:uid="{47799807-423B-41BE-A0D9-02BFEE2134E8}"/>
    <cellStyle name="Separador de milhares 2 40 3" xfId="16881" xr:uid="{9C63DE12-D7C6-4D7B-8ABD-73A4881E9D45}"/>
    <cellStyle name="Separador de milhares 2 40 5" xfId="16882" xr:uid="{0F1B2E64-0BF5-44FA-9EB0-B9309C950D61}"/>
    <cellStyle name="Separador de milhares 2 41" xfId="16883" xr:uid="{47C34F03-A6B8-436A-9B7F-DDA77B71FE44}"/>
    <cellStyle name="Separador de milhares 2 43" xfId="16884" xr:uid="{AABE9C7A-E3FF-436E-8468-05806D099DFB}"/>
    <cellStyle name="Separador de milhares 2 45" xfId="16885" xr:uid="{22E90912-CE18-4BBC-A1C8-E5A74EF40202}"/>
    <cellStyle name="Separador de milhares 2 5 13" xfId="16886" xr:uid="{6518D498-8820-49C1-9FB9-54CE3A816048}"/>
    <cellStyle name="Separador de milhares 2 5 2 2" xfId="16887" xr:uid="{C7E67FFE-7F9B-4AAB-BF68-3BB9584D7092}"/>
    <cellStyle name="Separador de milhares 2 5 2 5" xfId="16888" xr:uid="{C3FA9914-0699-4671-ACDA-5A4480537ACC}"/>
    <cellStyle name="Separador de milhares 2 5 3" xfId="16889" xr:uid="{B653D9C0-44F7-4FA0-9CED-63A09A6E4400}"/>
    <cellStyle name="Separador de milhares 2 5 3 4" xfId="16890" xr:uid="{8B8BC5EE-C25F-45FA-83D6-AA54DA3C9DC0}"/>
    <cellStyle name="Separador de milhares 2 5 3 6" xfId="16891" xr:uid="{75DA3C28-9D16-4144-A375-62628D5F5337}"/>
    <cellStyle name="Separador de milhares 2 5 4 2" xfId="16892" xr:uid="{19DE54C6-D94B-47F4-A4D1-1B5BC4D1B715}"/>
    <cellStyle name="Separador de milhares 2 5 4 4" xfId="16893" xr:uid="{05951295-A303-43C2-A8EE-2BB48FFCA627}"/>
    <cellStyle name="Separador de milhares 2 5 4 6" xfId="16894" xr:uid="{AAEDD736-6207-41EC-A19D-87AA7A7355F8}"/>
    <cellStyle name="Separador de milhares 2 5 5 3" xfId="16895" xr:uid="{E6378963-6702-44D7-B2D2-5FBF10BFF157}"/>
    <cellStyle name="Separador de milhares 2 5 5 5" xfId="16896" xr:uid="{D3201C0C-AAD2-4C7F-8ABE-262EA95E9D69}"/>
    <cellStyle name="Separador de milhares 2 5 6" xfId="16897" xr:uid="{673FD099-3D24-4278-A1B1-2C8BE14A9F5F}"/>
    <cellStyle name="Separador de milhares 2 5 6 4" xfId="16898" xr:uid="{70FE4962-D784-42DB-AC5A-0EA8F43D8A21}"/>
    <cellStyle name="Separador de milhares 2 5 6 6" xfId="16899" xr:uid="{B93E740E-C22C-463A-828E-905F28169160}"/>
    <cellStyle name="Separador de milhares 2 5 7 2" xfId="16900" xr:uid="{4BD6C003-4BF6-4A0D-97A6-A8E758291E98}"/>
    <cellStyle name="Separador de milhares 2 5 7 4" xfId="16901" xr:uid="{618B7DDE-1B28-4FD0-B1FA-FAB27EA2A187}"/>
    <cellStyle name="Separador de milhares 2 5 7 6" xfId="16902" xr:uid="{D32B176D-0C91-4550-A981-A7684DAA4C80}"/>
    <cellStyle name="Separador de milhares 2 5 8 3" xfId="16903" xr:uid="{D30137C6-0861-4D09-BBF2-8F5D46D3031C}"/>
    <cellStyle name="Separador de milhares 2 5 8 5" xfId="16904" xr:uid="{1BC9A761-3916-4AEA-B8E3-C1827788C432}"/>
    <cellStyle name="Separador de milhares 2 5 9" xfId="16905" xr:uid="{5A095A0C-594D-4191-B73C-97A58A1113BA}"/>
    <cellStyle name="Separador de milhares 2 6 11" xfId="16906" xr:uid="{61FC7E2A-8270-467F-9F10-9E68FD43F4A6}"/>
    <cellStyle name="Separador de milhares 2 6 13" xfId="16907" xr:uid="{71F9EECC-8019-46CC-8839-A093DB76DE68}"/>
    <cellStyle name="Separador de milhares 2 6 2" xfId="16908" xr:uid="{7AD19DAB-C09A-4669-A061-80E73F5F1EBB}"/>
    <cellStyle name="Separador de milhares 2 6 2 5" xfId="16909" xr:uid="{328E5D3A-6876-4A79-94B2-6DEB5EDB023C}"/>
    <cellStyle name="Separador de milhares 2 6 3" xfId="16910" xr:uid="{3E8FF0E9-ED5B-48E9-A99E-DFD0CCC36AEB}"/>
    <cellStyle name="Separador de milhares 2 6 3 3" xfId="16911" xr:uid="{39111A43-5F52-4C66-B6CE-5D39BB6BCA3B}"/>
    <cellStyle name="Separador de milhares 2 6 3 5" xfId="16912" xr:uid="{652B7BE9-62A3-4CEA-AF68-AFA4C7162F6D}"/>
    <cellStyle name="Separador de milhares 2 6 4" xfId="16913" xr:uid="{55ACBE54-4859-433D-B608-C8C4FD7C0916}"/>
    <cellStyle name="Separador de milhares 2 6 4 3" xfId="16914" xr:uid="{17B7BBC1-BBD4-4E44-8D88-462EBD71E1D3}"/>
    <cellStyle name="Separador de milhares 2 6 4 6" xfId="16915" xr:uid="{FA643BE9-3B04-43B1-A6F7-F5983DF04B0E}"/>
    <cellStyle name="Separador de milhares 2 6 5 2" xfId="16916" xr:uid="{88035292-3C5E-4E50-BCFD-7D916F19CAD4}"/>
    <cellStyle name="Separador de milhares 2 6 5 4" xfId="16917" xr:uid="{A1ED4E1F-EE5B-4BA9-BCC5-4530D04C4CB6}"/>
    <cellStyle name="Separador de milhares 2 6 6" xfId="16918" xr:uid="{416F7535-D6AA-4570-847C-654736E7AA85}"/>
    <cellStyle name="Separador de milhares 2 6 6 3" xfId="16919" xr:uid="{D49753F3-9198-4111-9AF5-772F8250861B}"/>
    <cellStyle name="Separador de milhares 2 6 6 5" xfId="16920" xr:uid="{D9392F96-2DF3-4DC4-91B2-7F6607F763AA}"/>
    <cellStyle name="Separador de milhares 2 6 7" xfId="16921" xr:uid="{10C3F25F-A163-43CF-876E-B42AC8FA2418}"/>
    <cellStyle name="Separador de milhares 2 6 7 3" xfId="16922" xr:uid="{A3469345-A5CD-4D62-AF6B-C651DF6E7CA9}"/>
    <cellStyle name="Separador de milhares 2 6 7 5" xfId="16923" xr:uid="{97CA4949-F52D-4355-B1E9-B70962F566DD}"/>
    <cellStyle name="Separador de milhares 2 6 8 2" xfId="16924" xr:uid="{077513A0-E288-4CCB-A393-D949333ED5AE}"/>
    <cellStyle name="Separador de milhares 2 6 8 4" xfId="16925" xr:uid="{AEC1D285-EA04-4A6E-B41E-CCD021663D87}"/>
    <cellStyle name="Separador de milhares 2 6 8 6" xfId="16926" xr:uid="{7F5BD8E9-B9C7-43AC-865B-244D1C19C060}"/>
    <cellStyle name="Separador de milhares 2 7" xfId="16927" xr:uid="{93AC638C-BA03-4217-B121-685D5E7EE020}"/>
    <cellStyle name="Separador de milhares 2 7 11" xfId="16928" xr:uid="{219D7325-4E59-424E-B458-D365EBF56B28}"/>
    <cellStyle name="Separador de milhares 2 7 14" xfId="16929" xr:uid="{06446C0C-6332-4554-BC52-485285B6F45A}"/>
    <cellStyle name="Separador de milhares 2 7 2 2" xfId="16930" xr:uid="{B2651D1B-D4D6-4476-8C70-C5E62BC9D210}"/>
    <cellStyle name="Separador de milhares 2 7 2 4" xfId="16931" xr:uid="{6B7D7219-B104-45FC-A272-38998ED6845A}"/>
    <cellStyle name="Separador de milhares 2 7 2 6" xfId="16932" xr:uid="{B358E1DA-606B-4CC4-A41E-489B68F7B24E}"/>
    <cellStyle name="Separador de milhares 2 7 3 2" xfId="16933" xr:uid="{0068D5B5-58D0-4337-BD7C-2A34981E4489}"/>
    <cellStyle name="Separador de milhares 2 7 3 5" xfId="16934" xr:uid="{3400ACA7-7084-4FA2-A47D-89C5AF319D0D}"/>
    <cellStyle name="Separador de milhares 2 7 3 6" xfId="16935" xr:uid="{B614C2F9-A047-4E89-B29C-8E1D97FF9E17}"/>
    <cellStyle name="Separador de milhares 2 7 4" xfId="16936" xr:uid="{0B46B0F4-A008-4D2C-BD03-371BD10D00DE}"/>
    <cellStyle name="Separador de milhares 2 7 4 3" xfId="16937" xr:uid="{58627F0D-477D-4C6A-B510-7E07ECB7F4F8}"/>
    <cellStyle name="Separador de milhares 2 7 4 6" xfId="16938" xr:uid="{D3138328-86C2-4E07-89B8-4D5DF1A510DC}"/>
    <cellStyle name="Separador de milhares 2 7 5 2" xfId="16939" xr:uid="{D25DE20F-CB99-4083-99E8-713BF977111A}"/>
    <cellStyle name="Separador de milhares 2 7 5 5" xfId="16940" xr:uid="{A0C17942-3452-44BD-930F-FE8BAE8359B0}"/>
    <cellStyle name="Separador de milhares 2 7 6" xfId="16941" xr:uid="{70DBF2F8-D596-4C06-96AA-06ADF34F5DDD}"/>
    <cellStyle name="Separador de milhares 2 7 6 3" xfId="16942" xr:uid="{4D1B8DFC-FB9B-4992-9CB6-7EBB8F231BCC}"/>
    <cellStyle name="Separador de milhares 2 7 6 5" xfId="16943" xr:uid="{E1E07C4D-45D6-40B8-BFF4-949B13E4D741}"/>
    <cellStyle name="Separador de milhares 2 7 7" xfId="16944" xr:uid="{0CA8F3F0-A4E2-41C6-B353-7B36A64355BA}"/>
    <cellStyle name="Separador de milhares 2 7 7 4" xfId="16945" xr:uid="{96E97DBF-B454-428E-91D4-C88328E2E54B}"/>
    <cellStyle name="Separador de milhares 2 7 7 6" xfId="16946" xr:uid="{D3792C41-1A73-4B13-812C-5461F7327C34}"/>
    <cellStyle name="Separador de milhares 2 7 8 2" xfId="16947" xr:uid="{5953A29C-6FB7-43C6-8407-E66165AE0C5E}"/>
    <cellStyle name="Separador de milhares 2 7 8 4" xfId="16948" xr:uid="{10889D1C-EAFA-4BAA-9C8F-AB77E5FAB157}"/>
    <cellStyle name="Separador de milhares 2 7 8 6" xfId="16949" xr:uid="{6EEC7849-ABDB-4F9A-9548-044B54634150}"/>
    <cellStyle name="Separador de milhares 2 8" xfId="16950" xr:uid="{0C22E27B-BF8F-467F-BF1F-2027B281B2E1}"/>
    <cellStyle name="Separador de milhares 2 8 12" xfId="16951" xr:uid="{7885D894-726E-4CA9-A748-71C9234750EE}"/>
    <cellStyle name="Separador de milhares 2 8 2" xfId="16952" xr:uid="{596FAD95-ABF6-4D7B-8D3C-73CF3F7DFED6}"/>
    <cellStyle name="Separador de milhares 2 8 2 3" xfId="16953" xr:uid="{31BAE5F0-38F4-4A0D-B986-D5BCCA1A4BDB}"/>
    <cellStyle name="Separador de milhares 2 8 2 5" xfId="16954" xr:uid="{CA546E5B-AB6C-42E6-B053-5E1187A31825}"/>
    <cellStyle name="Separador de milhares 2 8 2 7" xfId="16955" xr:uid="{16C956EB-70E2-4ECF-AE99-D6E4CDF3AE2E}"/>
    <cellStyle name="Separador de milhares 2 8 3 3" xfId="16956" xr:uid="{0FD51C7E-1EFE-4158-A21C-49F594738AA9}"/>
    <cellStyle name="Separador de milhares 2 8 3 5" xfId="16957" xr:uid="{60825B17-1C94-42B1-8035-ACE13E3B11FF}"/>
    <cellStyle name="Separador de milhares 2 8 4" xfId="16958" xr:uid="{95F0485F-C95D-487A-BFC2-21F07A9E8FBE}"/>
    <cellStyle name="Separador de milhares 2 8 4 3" xfId="16959" xr:uid="{E0160DCA-D267-4409-9DAE-C362329D97BF}"/>
    <cellStyle name="Separador de milhares 2 8 4 6" xfId="16960" xr:uid="{C7FC4CDC-41F6-4540-A6DF-DFF3F0BD0C15}"/>
    <cellStyle name="Separador de milhares 2 8 5 2" xfId="16961" xr:uid="{51DDBE0F-035D-49D1-8EFF-37B6B8C87A58}"/>
    <cellStyle name="Separador de milhares 2 8 5 4" xfId="16962" xr:uid="{2B2306F6-E704-4555-B6E0-03B2FC95751C}"/>
    <cellStyle name="Separador de milhares 2 8 5 6" xfId="16963" xr:uid="{6260AB86-8382-450C-B6EB-D286C951E393}"/>
    <cellStyle name="Separador de milhares 2 8 6 2" xfId="16964" xr:uid="{6A5BB83C-4DAB-4A96-9C8C-8ED83B737804}"/>
    <cellStyle name="Separador de milhares 2 8 6 4" xfId="16965" xr:uid="{E6BF7447-6FBD-4DD7-A8BB-81ECEBEC9671}"/>
    <cellStyle name="Separador de milhares 2 8 7 2" xfId="16966" xr:uid="{9B2803FF-FBAB-455E-BD29-344AACE7F0B2}"/>
    <cellStyle name="Separador de milhares 2 8 7 4" xfId="16967" xr:uid="{AE8B7929-2952-499C-869C-49931B30CE18}"/>
    <cellStyle name="Separador de milhares 2 8 7 6" xfId="16968" xr:uid="{B4EA8DB6-20C3-4759-B3DA-018A375E3E32}"/>
    <cellStyle name="Separador de milhares 2 8 8 2" xfId="16969" xr:uid="{D1ABC688-7475-4129-92AE-5654AA6D71A7}"/>
    <cellStyle name="Separador de milhares 2 8 8 4" xfId="16970" xr:uid="{B66EB898-A4AE-403F-9DAF-DF3A559D8E5F}"/>
    <cellStyle name="Separador de milhares 2 8 8 6" xfId="16971" xr:uid="{71293F28-B9B3-432B-BF4B-595DB0751DB3}"/>
    <cellStyle name="Separador de milhares 2 9 10" xfId="16972" xr:uid="{8BA75EF1-73D9-46CC-853C-0199065D56B1}"/>
    <cellStyle name="Separador de milhares 2 9 11" xfId="16973" xr:uid="{1529041C-07EC-474A-B3C4-093802D2B9EF}"/>
    <cellStyle name="Separador de milhares 2 9 13" xfId="16974" xr:uid="{67D2F8F4-44DF-4501-BD6A-ADAEFAE20907}"/>
    <cellStyle name="Separador de milhares 2 9 2 2" xfId="16975" xr:uid="{06F34140-58F5-4A15-AE9C-885A3E9CC98C}"/>
    <cellStyle name="Separador de milhares 2 9 2 5" xfId="16976" xr:uid="{2CFFEA7E-C471-4F22-A4CF-813685FEBE9C}"/>
    <cellStyle name="Separador de milhares 2 9 3" xfId="16977" xr:uid="{846F66A3-60C9-437B-9B43-A84F9A239404}"/>
    <cellStyle name="Separador de milhares 2 9 3 3" xfId="16978" xr:uid="{1A31E760-5A2D-43B6-9514-5B9B704B3789}"/>
    <cellStyle name="Separador de milhares 2 9 3 5" xfId="16979" xr:uid="{CAB0A87F-353B-4F2D-8E6C-E2334097FAB9}"/>
    <cellStyle name="Separador de milhares 2 9 3 6" xfId="16980" xr:uid="{21AE4FB8-573C-4825-A2D7-8FDDDD3A6693}"/>
    <cellStyle name="Separador de milhares 2 9 4" xfId="16981" xr:uid="{EA4C9E1F-C598-4F4D-909B-59082AD63F73}"/>
    <cellStyle name="Separador de milhares 2 9 4 4" xfId="16982" xr:uid="{25CF9B48-79A1-4169-ABE3-A44F6B73B387}"/>
    <cellStyle name="Separador de milhares 2 9 4 6" xfId="16983" xr:uid="{27C570E2-6AB2-4A3F-B6B0-E86FDF31B7E3}"/>
    <cellStyle name="Separador de milhares 2 9 5" xfId="16984" xr:uid="{433E87B9-19DD-49E9-B3E9-FE31B81BBFDF}"/>
    <cellStyle name="Separador de milhares 2 9 5 3" xfId="16985" xr:uid="{BA9B1937-538F-47D2-89A7-C310E62F72C3}"/>
    <cellStyle name="Separador de milhares 2 9 5 5" xfId="16986" xr:uid="{B4746A85-015F-49D7-9488-8F1471913D27}"/>
    <cellStyle name="Separador de milhares 2 9 6" xfId="16987" xr:uid="{A6818677-8FC7-40B8-954E-604F16FFC6ED}"/>
    <cellStyle name="Separador de milhares 2 9 6 3" xfId="16988" xr:uid="{A0B3D9D8-E53C-4002-B4CE-2653E11087F0}"/>
    <cellStyle name="Separador de milhares 2 9 6 5" xfId="16989" xr:uid="{70F3DA82-CF92-49B1-A3B3-14B8513E2613}"/>
    <cellStyle name="Separador de milhares 2 9 7" xfId="16990" xr:uid="{74CBDA66-17E8-4789-B5C7-E53A0865579C}"/>
    <cellStyle name="Separador de milhares 2 9 7 4" xfId="16991" xr:uid="{71C923E7-08FB-48F5-940C-0689F32142C5}"/>
    <cellStyle name="Separador de milhares 2 9 7 6" xfId="16992" xr:uid="{2766FAF5-67BB-4F09-A91B-07BDDE41AD37}"/>
    <cellStyle name="Separador de milhares 2 9 8" xfId="16993" xr:uid="{988C4224-4B2E-444C-A929-53422E97D16C}"/>
    <cellStyle name="Separador de milhares 2 9 8 4" xfId="16994" xr:uid="{3451CD04-28D3-4726-9E54-5E784696978B}"/>
    <cellStyle name="Separador de milhares 2 9 8 6" xfId="16995" xr:uid="{FEEFE137-D496-4A36-9691-594CFE3C15BE}"/>
    <cellStyle name="Separador de milhares 23" xfId="16996" xr:uid="{78A47673-D8A1-4256-8D09-2D65265398F3}"/>
    <cellStyle name="Separador de milhares 3" xfId="348" xr:uid="{924C353E-BCD9-45E3-A1FD-01B8D6DF4FE9}"/>
    <cellStyle name="Separador de milhares 3 10" xfId="16997" xr:uid="{F2D666F4-618C-457C-9C31-223C4C537974}"/>
    <cellStyle name="Separador de milhares 3 11" xfId="16998" xr:uid="{E39C044E-0911-4688-B58E-E6B0AEF40F09}"/>
    <cellStyle name="Separador de milhares 3 12" xfId="16999" xr:uid="{7E6AF5CF-26ED-488F-A457-F6622C198C73}"/>
    <cellStyle name="Separador de milhares 3 15" xfId="17000" xr:uid="{8CD4E10E-863F-4D73-911E-AE928954F6A9}"/>
    <cellStyle name="Separador de milhares 3 16" xfId="17001" xr:uid="{C95DA027-A391-4DCA-A183-2E84192C445D}"/>
    <cellStyle name="Separador de milhares 3 18" xfId="17002" xr:uid="{28BF2389-ADC6-42F0-8644-0BC2C33207FD}"/>
    <cellStyle name="Separador de milhares 3 2" xfId="397" xr:uid="{DC3E855B-95A7-4ACA-9786-7EDEA0D08E6A}"/>
    <cellStyle name="Separador de milhares 3 2 2" xfId="17003" xr:uid="{505EE069-68B3-497F-B888-BC16931C74EE}"/>
    <cellStyle name="Separador de milhares 3 2 2 3" xfId="17004" xr:uid="{DC958510-B559-4DB3-8A26-260FB8893524}"/>
    <cellStyle name="Separador de milhares 3 2 3" xfId="17005" xr:uid="{C54F12AE-F411-4386-BA82-342AC5AD3695}"/>
    <cellStyle name="Separador de milhares 3 2 5" xfId="17304" xr:uid="{0A094676-82A9-4523-B355-194D501D5C1F}"/>
    <cellStyle name="Separador de milhares 3 20" xfId="17006" xr:uid="{D51ED617-0639-4115-81AE-53D30384333D}"/>
    <cellStyle name="Separador de milhares 3 21" xfId="17007" xr:uid="{5F3A76ED-1855-48CE-A2D1-2D426C76D320}"/>
    <cellStyle name="Separador de milhares 3 23" xfId="17008" xr:uid="{CEE3F473-B34B-4DB9-816A-52A429A760D0}"/>
    <cellStyle name="Separador de milhares 3 24" xfId="17009" xr:uid="{CCC28309-519A-4294-B85E-0EBD1CB73135}"/>
    <cellStyle name="Separador de milhares 3 25" xfId="17010" xr:uid="{3B887FD4-DF6A-4E77-A8A8-FE2F1031CA06}"/>
    <cellStyle name="Separador de milhares 3 26" xfId="17011" xr:uid="{4F89D432-F4DA-4A2D-ACE2-5EF64293DE47}"/>
    <cellStyle name="Separador de milhares 3 27" xfId="17012" xr:uid="{38BE4EAE-0DA8-412D-9945-5FC324FD705A}"/>
    <cellStyle name="Separador de milhares 3 28" xfId="17013" xr:uid="{BACFC87E-1963-4976-BA54-BA297588B88E}"/>
    <cellStyle name="Separador de milhares 3 3" xfId="398" xr:uid="{A508BCBD-91E9-499B-85A9-BBC291C32BBF}"/>
    <cellStyle name="Separador de milhares 3 3 2" xfId="17305" xr:uid="{1060EA4F-9DBA-4FA9-BA7A-762451F50B10}"/>
    <cellStyle name="Separador de milhares 3 30" xfId="17014" xr:uid="{F2C8B352-9CA7-49F3-8136-88CF89847BD3}"/>
    <cellStyle name="Separador de milhares 3 32" xfId="17015" xr:uid="{EBBBC0BE-AD9D-4C94-9C66-1140DB0EE853}"/>
    <cellStyle name="Separador de milhares 3 34" xfId="17016" xr:uid="{53DCA6BC-3D75-46C3-A42C-08E0AE679614}"/>
    <cellStyle name="Separador de milhares 3 37" xfId="17017" xr:uid="{E7FCE1A4-C3EF-457B-AE48-2150B5F642B3}"/>
    <cellStyle name="Separador de milhares 3 4" xfId="399" xr:uid="{67315F08-2DB3-47E1-90E8-BB961E82F7F2}"/>
    <cellStyle name="Separador de milhares 3 40" xfId="17018" xr:uid="{B0D9E78F-D6F4-4B6F-9458-155BE0FBB041}"/>
    <cellStyle name="Separador de milhares 3 42" xfId="17019" xr:uid="{81D1CB6A-E71B-4F92-AE29-FFA3E28DE636}"/>
    <cellStyle name="Separador de milhares 3 45" xfId="17020" xr:uid="{297BB287-4927-4B33-8690-6916A86C48A2}"/>
    <cellStyle name="Separador de milhares 3 46" xfId="17021" xr:uid="{EBAA7817-D2BF-48B3-867D-307D7F5B3E0B}"/>
    <cellStyle name="Separador de milhares 3 47" xfId="17022" xr:uid="{24FCD0E2-0842-44FA-AE61-AA69FD36C7F7}"/>
    <cellStyle name="Separador de milhares 3 48" xfId="17023" xr:uid="{EA095C76-634A-451E-8C52-23CE1E885713}"/>
    <cellStyle name="Separador de milhares 3 49" xfId="17303" xr:uid="{A95B3376-53FA-4510-8C84-BA01E8337AAA}"/>
    <cellStyle name="Separador de milhares 3 5" xfId="400" xr:uid="{131E1DA5-C44E-4F15-B867-4EB3323425AC}"/>
    <cellStyle name="Separador de milhares 3 5 2 2" xfId="738" xr:uid="{287B17A7-BFFC-4CA7-BB32-39B56C2EABA1}"/>
    <cellStyle name="Separador de milhares 3 5 2 2 2" xfId="896" xr:uid="{A4CBC280-E7D1-4D65-8C02-366AC6C1BE1D}"/>
    <cellStyle name="Separador de milhares 3 5 2 2 3" xfId="17335" xr:uid="{3922EC72-C603-4FEF-805E-858032F57CD6}"/>
    <cellStyle name="Separador de milhares 3 5 2 3 2" xfId="17336" xr:uid="{27208125-2953-424A-A69A-BCE1FBA2425F}"/>
    <cellStyle name="Separador de milhares 3 5 2 4" xfId="857" xr:uid="{D3DC24A5-C9D9-416F-82CC-BF27880EE112}"/>
    <cellStyle name="Separador de milhares 3 5 2 5" xfId="820" xr:uid="{614CDB54-CECA-4FEA-8065-50AEBF2435D0}"/>
    <cellStyle name="Separador de milhares 3 5 2 6" xfId="17306" xr:uid="{029DD38E-2A4B-41C4-9FAC-BAC931937747}"/>
    <cellStyle name="Separador de milhares 3 5 3" xfId="705" xr:uid="{2AF10710-F35C-4D0C-B038-B360CD77B571}"/>
    <cellStyle name="Separador de milhares 3 5 3 3" xfId="17337" xr:uid="{55C50500-5528-4F83-8387-ABC96148C1F5}"/>
    <cellStyle name="Separador de milhares 3 5 4 2" xfId="17338" xr:uid="{527EC126-5C66-43B4-B5F8-6B2CE7CA6966}"/>
    <cellStyle name="Separador de milhares 3 5 6" xfId="788" xr:uid="{979EF44F-5549-4E48-B391-524BECD766E9}"/>
    <cellStyle name="Separador de milhares 3 7" xfId="17024" xr:uid="{EE8B2B14-50C7-45E6-B060-4D526844DB2F}"/>
    <cellStyle name="Separador de milhares 3 9" xfId="17025" xr:uid="{1059DE45-82AC-4BEF-9487-1666548AE3ED}"/>
    <cellStyle name="Separador de milhares 4 10" xfId="17026" xr:uid="{9E411968-1351-430E-8F2B-6563401D5942}"/>
    <cellStyle name="Separador de milhares 4 10 2 2" xfId="17027" xr:uid="{5C1ABBCB-D921-48EE-A8CC-3ADF2BBB6A63}"/>
    <cellStyle name="Separador de milhares 4 10 3" xfId="17028" xr:uid="{1E2F1B0B-2B4B-458B-82B0-4B1A3AE35486}"/>
    <cellStyle name="Separador de milhares 4 10 3 3" xfId="17029" xr:uid="{41B627C6-9F57-4422-9A8E-74C843B15BEC}"/>
    <cellStyle name="Separador de milhares 4 10 4" xfId="17030" xr:uid="{86212839-89E6-437B-8F86-2F22B8338771}"/>
    <cellStyle name="Separador de milhares 4 11" xfId="17031" xr:uid="{0363DE3E-B990-41DA-8841-F67DAF1FC0FE}"/>
    <cellStyle name="Separador de milhares 4 11 2 3" xfId="17032" xr:uid="{4F293C3B-AED6-4DAC-8F87-21797B03E8A3}"/>
    <cellStyle name="Separador de milhares 4 11 3" xfId="17033" xr:uid="{149570D6-B7C1-4DDB-A0FE-44F24F402F63}"/>
    <cellStyle name="Separador de milhares 4 11 3 3" xfId="17034" xr:uid="{25633A2A-B5F2-4B46-A138-09330E7BB5AF}"/>
    <cellStyle name="Separador de milhares 4 11 4" xfId="17035" xr:uid="{3B5AEFD3-80AA-48F3-B4F5-DE3A33BC5912}"/>
    <cellStyle name="Separador de milhares 4 11 6" xfId="17036" xr:uid="{32BDC40E-6EFD-4E6B-863D-82221F549C6F}"/>
    <cellStyle name="Separador de milhares 4 12 2" xfId="17037" xr:uid="{D69DCFB0-0F43-48B9-AC7D-09743E98C86F}"/>
    <cellStyle name="Separador de milhares 4 12 2 3" xfId="17038" xr:uid="{F9CBBEDB-3BC4-442F-9A6C-BC5559EFCC73}"/>
    <cellStyle name="Separador de milhares 4 12 3 4" xfId="17039" xr:uid="{B5D954C0-7C01-418A-8572-276938533D8A}"/>
    <cellStyle name="Separador de milhares 4 13 2" xfId="17040" xr:uid="{7D770066-B509-45FB-913F-2F72536455F3}"/>
    <cellStyle name="Separador de milhares 4 13 3" xfId="17041" xr:uid="{0323DB4D-BD96-48B7-A7A4-F4285945B70F}"/>
    <cellStyle name="Separador de milhares 4 13 4" xfId="17042" xr:uid="{95122544-6CE1-4BF1-9770-70A2F4ED08B1}"/>
    <cellStyle name="Separador de milhares 4 14 2 2" xfId="17043" xr:uid="{113F580D-54BB-411E-B041-B11205A1FB4D}"/>
    <cellStyle name="Separador de milhares 4 14 3" xfId="17044" xr:uid="{7CD71627-6106-4303-A76C-719331EF7FDC}"/>
    <cellStyle name="Separador de milhares 4 14 3 3" xfId="17045" xr:uid="{3635BAC6-17AF-465F-B2F4-E7FFB786AF24}"/>
    <cellStyle name="Separador de milhares 4 14 5" xfId="17046" xr:uid="{D77ACFFC-265B-4DFC-967B-468726EF3C7B}"/>
    <cellStyle name="Separador de milhares 4 15 3 2" xfId="17047" xr:uid="{5A91DCB1-5FAD-4003-B2C9-D0BB0B0ED72A}"/>
    <cellStyle name="Separador de milhares 4 16 2 3" xfId="17048" xr:uid="{98D640A9-DE31-4B09-850A-2CF7816D37B5}"/>
    <cellStyle name="Separador de milhares 4 17" xfId="17049" xr:uid="{6FE561AD-304A-49A2-AD96-CBA9412C1568}"/>
    <cellStyle name="Separador de milhares 4 17 2 4" xfId="17050" xr:uid="{F20FEE92-7949-4CD7-A9D1-21A6A5250739}"/>
    <cellStyle name="Separador de milhares 4 18 2 3" xfId="17051" xr:uid="{A40AA9D1-7F34-4384-AC0D-C8A05FD2F654}"/>
    <cellStyle name="Separador de milhares 4 18 6" xfId="17052" xr:uid="{570729A3-1078-44E0-B54C-8C77EBF47D90}"/>
    <cellStyle name="Separador de milhares 4 2" xfId="401" xr:uid="{91BE34AB-D2E9-4D16-934A-BB7485ED1C1F}"/>
    <cellStyle name="Separador de milhares 4 2 11 3 2" xfId="17053" xr:uid="{9CF24CF7-5928-4917-ABF0-DFB2C7DF4BAF}"/>
    <cellStyle name="Separador de milhares 4 2 14" xfId="17054" xr:uid="{88D8BC2A-D942-4440-881B-554D9D0AFC71}"/>
    <cellStyle name="Separador de milhares 4 2 19 3" xfId="17055" xr:uid="{B86021F6-AA39-4EFA-8296-647272A1ED88}"/>
    <cellStyle name="Separador de milhares 4 2 2 3 2" xfId="17056" xr:uid="{F2F5DAAF-8ECC-4BA0-AA0E-74367108DB40}"/>
    <cellStyle name="Separador de milhares 4 2 4 3 2" xfId="17057" xr:uid="{236476BE-84AC-487E-8F87-CCB172A54302}"/>
    <cellStyle name="Separador de milhares 4 2 5 3 4" xfId="17058" xr:uid="{14CF5C07-E144-4D53-AF79-2D7E600E38A1}"/>
    <cellStyle name="Separador de milhares 4 2 6 3" xfId="17059" xr:uid="{4D2DEA01-EE80-47F9-B1EC-A882C24DC12C}"/>
    <cellStyle name="Separador de milhares 4 2 6 5" xfId="17060" xr:uid="{E781A9B4-754E-4E45-A9BF-1386F2D42609}"/>
    <cellStyle name="Separador de milhares 4 2 7 2 2" xfId="17061" xr:uid="{D3682BE7-C860-4D7E-A685-92DD2224C1C7}"/>
    <cellStyle name="Separador de milhares 4 2 7 3 2" xfId="17062" xr:uid="{8419DC80-3969-4E92-A573-054CBCDFEBE5}"/>
    <cellStyle name="Separador de milhares 4 2 7 4" xfId="17063" xr:uid="{B502A13F-C5D1-46AA-AC5D-FC9D5A69FA2C}"/>
    <cellStyle name="Separador de milhares 4 2 7 6" xfId="17064" xr:uid="{1FD1CCD7-962C-43E0-956D-640BB0CBEA43}"/>
    <cellStyle name="Separador de milhares 4 2 8 2" xfId="17065" xr:uid="{164BFCA9-D9C0-4EAC-8CB0-8F7430AF161A}"/>
    <cellStyle name="Separador de milhares 4 2 8 3" xfId="17066" xr:uid="{D81C2851-616C-4D54-BD10-28143B6E7EF7}"/>
    <cellStyle name="Separador de milhares 4 2 8 3 4" xfId="17067" xr:uid="{600AB6F2-CAB5-429B-A87F-D9FB7AC69617}"/>
    <cellStyle name="Separador de milhares 4 2 8 4" xfId="17068" xr:uid="{A290ADB8-F7C2-4C2E-BB05-2E0496DFDE6B}"/>
    <cellStyle name="Separador de milhares 4 2 8 5" xfId="17069" xr:uid="{8AD6578D-FAE6-4004-9FE4-15848995E0B8}"/>
    <cellStyle name="Separador de milhares 4 2 8 6" xfId="17070" xr:uid="{ACB90444-35CB-4F14-A8F5-72BE6297B541}"/>
    <cellStyle name="Separador de milhares 4 2 9" xfId="17071" xr:uid="{564F8D69-015F-4C2C-95E3-E6871882DC2F}"/>
    <cellStyle name="Separador de milhares 4 2 9 2 2" xfId="17072" xr:uid="{F3A65D7C-03E5-43EB-859E-3EFB226E083B}"/>
    <cellStyle name="Separador de milhares 4 2 9 2 4" xfId="17073" xr:uid="{F3996D1B-B0CA-48EE-B9BD-E925DAF60E77}"/>
    <cellStyle name="Separador de milhares 4 2 9 3 2" xfId="17074" xr:uid="{D667A2E4-C5F5-457E-8CF9-48D7455E9E4D}"/>
    <cellStyle name="Separador de milhares 4 2 9 3 3" xfId="17075" xr:uid="{01A360EA-A09D-4B66-9B81-80C520964252}"/>
    <cellStyle name="Separador de milhares 4 2 9 3 4" xfId="17076" xr:uid="{7762A5AC-B41C-43A4-87FB-0B80F88E03CD}"/>
    <cellStyle name="Separador de milhares 4 2 9 4" xfId="17077" xr:uid="{44DAEA17-30A1-4E7E-B8D2-9E85DD5BF572}"/>
    <cellStyle name="Separador de milhares 4 2 9 6" xfId="17078" xr:uid="{58411F9D-5B03-4E40-BAE5-59BD94A0002C}"/>
    <cellStyle name="Separador de milhares 4 20 2" xfId="17079" xr:uid="{5607DDA9-22AF-4941-A89C-EAE8A4E555A2}"/>
    <cellStyle name="Separador de milhares 4 20 4" xfId="17080" xr:uid="{63B6CDB6-A80E-4ECD-9C78-FB3A58F7EE06}"/>
    <cellStyle name="Separador de milhares 4 21 2" xfId="17081" xr:uid="{375B5934-F48C-41FD-97FB-F9D2B67C087F}"/>
    <cellStyle name="Separador de milhares 4 21 4" xfId="17082" xr:uid="{CF3D1C9D-BF87-4813-BD9B-5435B825D275}"/>
    <cellStyle name="Separador de milhares 4 22 2" xfId="17083" xr:uid="{726A2490-A97A-4372-8AAB-05A582A8919D}"/>
    <cellStyle name="Separador de milhares 4 22 4" xfId="17084" xr:uid="{922CDED0-9BB1-4935-B7A0-92A5AFBCA99D}"/>
    <cellStyle name="Separador de milhares 4 24" xfId="17085" xr:uid="{E934AE7E-65B2-42D4-AA86-8CA3A2E560EC}"/>
    <cellStyle name="Separador de milhares 4 26" xfId="17307" xr:uid="{39FB60F3-02E0-4B27-820F-6C0F733EAA2F}"/>
    <cellStyle name="Separador de milhares 4 3 10" xfId="17086" xr:uid="{3C6EDB22-F06D-40FF-8D52-11D9DE492EA1}"/>
    <cellStyle name="Separador de milhares 4 3 10 2 2" xfId="17087" xr:uid="{14765F6F-A47C-4F1C-90CA-412AEF1F343D}"/>
    <cellStyle name="Separador de milhares 4 3 10 2 4" xfId="17088" xr:uid="{1B0E4E46-AE61-42AE-B1B2-8AD09EE968A1}"/>
    <cellStyle name="Separador de milhares 4 3 10 3 2" xfId="17089" xr:uid="{6A9662AA-37AC-4680-9A3B-2E399C6E0C3C}"/>
    <cellStyle name="Separador de milhares 4 3 10 3 4" xfId="17090" xr:uid="{56FAC67C-3345-4C9E-8036-526D4E424C9C}"/>
    <cellStyle name="Separador de milhares 4 3 10 5" xfId="17091" xr:uid="{A7545F32-8B7D-4E00-BE15-9DF8A6A13A4E}"/>
    <cellStyle name="Separador de milhares 4 3 11" xfId="17092" xr:uid="{FE3A29A2-85E3-41B6-BDFA-D28297D8CFEB}"/>
    <cellStyle name="Separador de milhares 4 3 11 2 2" xfId="17093" xr:uid="{D277F433-282E-48A4-89B6-C587D0961614}"/>
    <cellStyle name="Separador de milhares 4 3 11 2 4" xfId="17094" xr:uid="{C15EC203-5E00-46E4-987D-4653C0DC108A}"/>
    <cellStyle name="Separador de milhares 4 3 11 3 2" xfId="17095" xr:uid="{FA62848E-82E2-4376-A37A-78D9E6F33D2D}"/>
    <cellStyle name="Separador de milhares 4 3 11 3 4" xfId="17096" xr:uid="{739DD71F-45E8-44AF-ABA6-9CDB6C2311AE}"/>
    <cellStyle name="Separador de milhares 4 3 11 5" xfId="17097" xr:uid="{4595D094-9922-4D1B-8CFB-F2811382EAB9}"/>
    <cellStyle name="Separador de milhares 4 3 12" xfId="17098" xr:uid="{63D0280C-D304-46F6-9178-7C585A4E2A8A}"/>
    <cellStyle name="Separador de milhares 4 3 12 2 2" xfId="17099" xr:uid="{C03A5ADD-09ED-4CDD-A98B-D93ECBD65C7C}"/>
    <cellStyle name="Separador de milhares 4 3 12 2 4" xfId="17100" xr:uid="{C8315299-698D-48EE-B55D-B2116663DC52}"/>
    <cellStyle name="Separador de milhares 4 3 12 3 2" xfId="17101" xr:uid="{FB7CF22D-11AC-498A-8623-D6BF6794A2CF}"/>
    <cellStyle name="Separador de milhares 4 3 12 3 4" xfId="17102" xr:uid="{B56B6572-6008-4316-9C91-234A69B51E22}"/>
    <cellStyle name="Separador de milhares 4 3 12 5" xfId="17103" xr:uid="{0F578EAE-1EDA-4B39-A697-688CF4755F7F}"/>
    <cellStyle name="Separador de milhares 4 3 13" xfId="17104" xr:uid="{6ADA395B-5A3D-49F5-937F-0CD2210E95CC}"/>
    <cellStyle name="Separador de milhares 4 3 13 2 2" xfId="17105" xr:uid="{CF37FCBE-DAAD-4DE8-98DB-2030E26D234F}"/>
    <cellStyle name="Separador de milhares 4 3 13 2 4" xfId="17106" xr:uid="{7B6AABEE-C84B-4F3D-9891-E4633E840995}"/>
    <cellStyle name="Separador de milhares 4 3 13 3 2" xfId="17107" xr:uid="{9C6C683B-22BB-4514-A624-086BD41FD12A}"/>
    <cellStyle name="Separador de milhares 4 3 13 3 4" xfId="17108" xr:uid="{98E6ABB0-8820-4A37-8716-547CD18BD90A}"/>
    <cellStyle name="Separador de milhares 4 3 13 5" xfId="17109" xr:uid="{749A3DD4-7FFF-4280-B238-EE49F9A376D6}"/>
    <cellStyle name="Separador de milhares 4 3 14" xfId="17110" xr:uid="{54298B66-097D-4FE4-A198-C4920C168115}"/>
    <cellStyle name="Separador de milhares 4 3 14 2 2" xfId="17111" xr:uid="{A9A05295-4B46-488D-9911-87D2A7C21AD3}"/>
    <cellStyle name="Separador de milhares 4 3 14 2 4" xfId="17112" xr:uid="{1D047B33-8701-4496-B174-9896C03ACD67}"/>
    <cellStyle name="Separador de milhares 4 3 14 3 2" xfId="17113" xr:uid="{72D5A8AC-ABFB-45D3-8A41-0EB39B0A8568}"/>
    <cellStyle name="Separador de milhares 4 3 14 3 4" xfId="17114" xr:uid="{20AAF2A7-4FE3-4BD8-8FC0-38C000386BEC}"/>
    <cellStyle name="Separador de milhares 4 3 14 5" xfId="17115" xr:uid="{4263309C-3A9B-46D6-B037-CB2654883B6D}"/>
    <cellStyle name="Separador de milhares 4 3 15" xfId="17116" xr:uid="{3F8C8556-2D1B-4955-BA37-760E37BBCAE1}"/>
    <cellStyle name="Separador de milhares 4 3 15 2 2" xfId="17117" xr:uid="{86066E94-0FE5-429A-A460-49375D25FD41}"/>
    <cellStyle name="Separador de milhares 4 3 15 2 4" xfId="17118" xr:uid="{015AE7B2-5566-446A-BDC8-3BC97241FC29}"/>
    <cellStyle name="Separador de milhares 4 3 15 3 2" xfId="17119" xr:uid="{3760B336-81F7-4923-BCBD-74BC5BB8ADD5}"/>
    <cellStyle name="Separador de milhares 4 3 15 3 4" xfId="17120" xr:uid="{A7DC03EE-041E-41C5-9050-7B917EE9B77E}"/>
    <cellStyle name="Separador de milhares 4 3 15 5" xfId="17121" xr:uid="{F259B152-4540-4961-B3FC-E0C3ABF08D0B}"/>
    <cellStyle name="Separador de milhares 4 3 16" xfId="17122" xr:uid="{5CC4B944-48BF-4185-B80A-998A3FBA29E9}"/>
    <cellStyle name="Separador de milhares 4 3 16 2 2" xfId="17123" xr:uid="{E480F157-AEE5-4D73-9785-EC16A777955D}"/>
    <cellStyle name="Separador de milhares 4 3 16 2 4" xfId="17124" xr:uid="{BD8CA7B0-EA31-4BC7-A772-8A5FD8D37C33}"/>
    <cellStyle name="Separador de milhares 4 3 16 3" xfId="17125" xr:uid="{EC37C7EC-4E51-4539-8E54-F3ABD87BA0D3}"/>
    <cellStyle name="Separador de milhares 4 3 16 3 2" xfId="17126" xr:uid="{A6B88183-1C2F-4CDA-B1DB-5F4C8E75728B}"/>
    <cellStyle name="Separador de milhares 4 3 16 3 3" xfId="17127" xr:uid="{860A31F0-72DA-4156-B27B-86F4C89FC9A1}"/>
    <cellStyle name="Separador de milhares 4 3 16 3 4" xfId="17128" xr:uid="{546AFC0B-0424-4351-8E19-7972A19211C0}"/>
    <cellStyle name="Separador de milhares 4 3 16 4" xfId="17129" xr:uid="{E9C22B6E-AC4B-4B0F-8060-D7C5CEB34FC0}"/>
    <cellStyle name="Separador de milhares 4 3 16 5" xfId="17130" xr:uid="{785A9EA3-4138-4374-84D9-79B4245E56DD}"/>
    <cellStyle name="Separador de milhares 4 3 16 6" xfId="17131" xr:uid="{0B5A484C-2874-4008-A1AA-DC7FD826B83D}"/>
    <cellStyle name="Separador de milhares 4 3 17" xfId="17132" xr:uid="{5F39A8BE-4B71-4A4F-B41F-265B746B2BB8}"/>
    <cellStyle name="Separador de milhares 4 3 17 2" xfId="17133" xr:uid="{F6CA6063-122A-46CC-9133-AB124EBB4D7B}"/>
    <cellStyle name="Separador de milhares 4 3 17 2 2" xfId="17134" xr:uid="{79AFE68E-39C3-4E34-AA70-560EC1569874}"/>
    <cellStyle name="Separador de milhares 4 3 17 2 4" xfId="17135" xr:uid="{2381FE5D-3A00-41A2-A559-36662D973A4E}"/>
    <cellStyle name="Separador de milhares 4 3 17 3 2" xfId="17136" xr:uid="{C1DFF8FC-15FB-4A34-A7A8-FFD36F3070A4}"/>
    <cellStyle name="Separador de milhares 4 3 17 3 4" xfId="17137" xr:uid="{34880C9B-F858-48C5-9F76-AC2E25A9711C}"/>
    <cellStyle name="Separador de milhares 4 3 17 5" xfId="17138" xr:uid="{C826E7B5-1754-44BA-BB74-349AC1E77E75}"/>
    <cellStyle name="Separador de milhares 4 3 18" xfId="17139" xr:uid="{0E7ED38B-7259-4D3B-8091-3A56D9C55F78}"/>
    <cellStyle name="Separador de milhares 4 3 18 3" xfId="17140" xr:uid="{F3C32E99-789B-4340-80E4-242E74C17ABA}"/>
    <cellStyle name="Separador de milhares 4 3 19" xfId="17141" xr:uid="{017DEFDC-4A91-4405-A98C-6A637985F19D}"/>
    <cellStyle name="Separador de milhares 4 3 19 3" xfId="17142" xr:uid="{50135B2D-2C2F-4585-9CFD-464BECECDE49}"/>
    <cellStyle name="Separador de milhares 4 3 2" xfId="739" xr:uid="{44E2941E-9713-4AC1-9605-91AEBF8407C0}"/>
    <cellStyle name="Separador de milhares 4 3 2 2 2" xfId="17143" xr:uid="{F8377E86-DC9B-484B-B430-0496972C7EBE}"/>
    <cellStyle name="Separador de milhares 4 3 2 2 4" xfId="17144" xr:uid="{53A3E415-BCC8-466C-9CC2-A4BA56236E06}"/>
    <cellStyle name="Separador de milhares 4 3 2 3 2" xfId="17145" xr:uid="{F1DF8F1B-999C-4D69-9DAC-20EAB68FE30A}"/>
    <cellStyle name="Separador de milhares 4 3 2 3 4" xfId="17146" xr:uid="{4FE1B4AC-8B34-4C67-AA29-C3650CE834F2}"/>
    <cellStyle name="Separador de milhares 4 3 2 5" xfId="17147" xr:uid="{7FDE0820-FD20-4728-B6C2-07405EAF03A9}"/>
    <cellStyle name="Separador de milhares 4 3 2 7" xfId="17339" xr:uid="{0AB8A3A7-58E0-4D58-9EAF-622B9384E0A7}"/>
    <cellStyle name="Separador de milhares 4 3 20 2" xfId="17148" xr:uid="{7B7FEF48-4B28-46DB-9B5A-7FA489B0714A}"/>
    <cellStyle name="Separador de milhares 4 3 20 4" xfId="17149" xr:uid="{3C86E67A-D63D-4B4D-8DDF-30C90AACB963}"/>
    <cellStyle name="Separador de milhares 4 3 22" xfId="17150" xr:uid="{D3CEBE37-CBDF-4FBD-B840-61C6B4FDDC0B}"/>
    <cellStyle name="Separador de milhares 4 3 24" xfId="17308" xr:uid="{606C3927-22EF-4CD3-807C-69FCD1A8482A}"/>
    <cellStyle name="Separador de milhares 4 3 3 2" xfId="17151" xr:uid="{8A6431C1-23EB-4647-A8B1-4ABFD62A0331}"/>
    <cellStyle name="Separador de milhares 4 3 3 2 3" xfId="17152" xr:uid="{287597B4-1540-46C9-A5E0-EE32F654C7FB}"/>
    <cellStyle name="Separador de milhares 4 3 3 3" xfId="17153" xr:uid="{3876EFBB-DCD8-4432-A1AC-AE56D5761D2D}"/>
    <cellStyle name="Separador de milhares 4 3 3 3 3" xfId="17154" xr:uid="{88A916BE-827E-4FBB-8CDF-C1A3B1E1C06F}"/>
    <cellStyle name="Separador de milhares 4 3 3 4" xfId="17155" xr:uid="{6A1E56D2-787D-4B58-A34D-A255B3A802F9}"/>
    <cellStyle name="Separador de milhares 4 3 3 6" xfId="17156" xr:uid="{1BBC782B-4A1E-43C0-94CA-C1A55D305A71}"/>
    <cellStyle name="Separador de milhares 4 3 4" xfId="858" xr:uid="{1BC9BE64-A67A-444B-81BE-88F597BF6499}"/>
    <cellStyle name="Separador de milhares 4 3 4 2 2" xfId="17157" xr:uid="{B862103A-FEB3-41BE-B65F-CA826101B378}"/>
    <cellStyle name="Separador de milhares 4 3 4 2 4" xfId="17158" xr:uid="{EE97DB37-E880-439D-ADC4-16A9D0A87321}"/>
    <cellStyle name="Separador de milhares 4 3 4 3 2" xfId="17159" xr:uid="{EBBCA545-09A1-41B9-8754-1CA22ADA44BE}"/>
    <cellStyle name="Separador de milhares 4 3 4 3 4" xfId="17160" xr:uid="{02BA2EF2-C9DE-4496-8162-033A5E5B3832}"/>
    <cellStyle name="Separador de milhares 4 3 4 5" xfId="17161" xr:uid="{C8C0F596-A608-4BB6-B361-85E5B51E6875}"/>
    <cellStyle name="Separador de milhares 4 3 5" xfId="821" xr:uid="{38E5EC1E-6AB2-4178-8E16-9F4330D24B3B}"/>
    <cellStyle name="Separador de milhares 4 3 5 2 2" xfId="17162" xr:uid="{13A5DC53-7B67-459A-B67E-6F9DB915D40E}"/>
    <cellStyle name="Separador de milhares 4 3 5 2 4" xfId="17163" xr:uid="{A63DF3B1-4569-4D0C-9A73-C3CDE49B96BF}"/>
    <cellStyle name="Separador de milhares 4 3 5 3 2" xfId="17164" xr:uid="{5261B0EC-187E-4205-830B-86985231D188}"/>
    <cellStyle name="Separador de milhares 4 3 5 3 4" xfId="17165" xr:uid="{382E54ED-FE26-4F9B-B821-40FF796944DC}"/>
    <cellStyle name="Separador de milhares 4 3 5 5" xfId="17166" xr:uid="{86EBC360-F267-4EBD-94FC-CA973F4045AA}"/>
    <cellStyle name="Separador de milhares 4 3 6" xfId="17167" xr:uid="{F076A233-AB91-4A38-8AD3-9359289929F7}"/>
    <cellStyle name="Separador de milhares 4 3 6 2 2" xfId="17168" xr:uid="{AC0F4904-5FB3-4F55-86BD-FBCE6CB44557}"/>
    <cellStyle name="Separador de milhares 4 3 6 2 4" xfId="17169" xr:uid="{D0569280-84DD-40AC-AC1F-8AEFCF86EFAE}"/>
    <cellStyle name="Separador de milhares 4 3 6 3 2" xfId="17170" xr:uid="{0E1A5591-5C7F-463C-8E95-11C6574A1D66}"/>
    <cellStyle name="Separador de milhares 4 3 6 3 4" xfId="17171" xr:uid="{DC055F98-DEF0-4E6E-BDEE-FB93A469686F}"/>
    <cellStyle name="Separador de milhares 4 3 6 5" xfId="17172" xr:uid="{85898658-1397-4F0F-B158-CAB33B0EC889}"/>
    <cellStyle name="Separador de milhares 4 3 7" xfId="17173" xr:uid="{E07D15C4-2679-4811-B2A1-0D2629F3D584}"/>
    <cellStyle name="Separador de milhares 4 3 7 2 2" xfId="17174" xr:uid="{93175067-3643-4C65-8AA5-F40320E2C18A}"/>
    <cellStyle name="Separador de milhares 4 3 7 2 4" xfId="17175" xr:uid="{8AB1DB11-CE12-426E-8C44-EB7C0BCF8B04}"/>
    <cellStyle name="Separador de milhares 4 3 7 3 2" xfId="17176" xr:uid="{C551AC6B-85D7-4401-8CC3-27F6261D6909}"/>
    <cellStyle name="Separador de milhares 4 3 7 3 4" xfId="17177" xr:uid="{052FAE21-306A-4939-9CDB-9C62F626B95D}"/>
    <cellStyle name="Separador de milhares 4 3 7 4" xfId="17178" xr:uid="{1E38AE48-0476-47ED-8F82-D8200324D108}"/>
    <cellStyle name="Separador de milhares 4 3 7 5" xfId="17179" xr:uid="{FC5D51CE-DF7D-4AFB-BD55-0A2B1CB77D63}"/>
    <cellStyle name="Separador de milhares 4 3 7 6" xfId="17180" xr:uid="{7D0F1B8A-9EC4-4D29-AF1C-5FBE564945CB}"/>
    <cellStyle name="Separador de milhares 4 3 8" xfId="17181" xr:uid="{7923FDA0-01B2-4F89-B94D-F82F2658AEEF}"/>
    <cellStyle name="Separador de milhares 4 3 8 2" xfId="17182" xr:uid="{919CEA94-15D0-4949-9924-6B296CA5A679}"/>
    <cellStyle name="Separador de milhares 4 3 8 2 2" xfId="17183" xr:uid="{EB684DD1-4E9B-45CD-A731-92AC5A15A786}"/>
    <cellStyle name="Separador de milhares 4 3 8 2 3" xfId="17184" xr:uid="{B779ABB0-7D2E-4F22-99E5-52446883F846}"/>
    <cellStyle name="Separador de milhares 4 3 8 2 4" xfId="17185" xr:uid="{31DD1D8D-82A3-450C-9748-DCDEA616B525}"/>
    <cellStyle name="Separador de milhares 4 3 8 3" xfId="17186" xr:uid="{9529A15B-3AB4-4E92-A92A-E58776D954C2}"/>
    <cellStyle name="Separador de milhares 4 3 8 3 2" xfId="17187" xr:uid="{1E783503-1BDB-4E45-AB38-D225A42039D6}"/>
    <cellStyle name="Separador de milhares 4 3 8 3 4" xfId="17188" xr:uid="{28A1401D-3563-44AA-9E75-1454BFDD6FC9}"/>
    <cellStyle name="Separador de milhares 4 3 8 5" xfId="17189" xr:uid="{36D60F25-5D70-4835-963A-BED3350FB5B0}"/>
    <cellStyle name="Separador de milhares 4 3 9" xfId="17190" xr:uid="{77D94C95-BC2D-477C-851A-F02983601A3C}"/>
    <cellStyle name="Separador de milhares 4 3 9 2 2" xfId="17191" xr:uid="{51AEF0A7-47A7-4F22-81AA-2991372BD263}"/>
    <cellStyle name="Separador de milhares 4 3 9 2 4" xfId="17192" xr:uid="{D7AF67B7-6322-4B31-9AAE-92AEA2AB12D7}"/>
    <cellStyle name="Separador de milhares 4 3 9 3 2" xfId="17193" xr:uid="{569CC909-A5D8-45B4-A7EE-EFF979A25CE0}"/>
    <cellStyle name="Separador de milhares 4 3 9 3 4" xfId="17194" xr:uid="{03ADF80C-B780-4975-A853-CCC719E61CAF}"/>
    <cellStyle name="Separador de milhares 4 3 9 5" xfId="17195" xr:uid="{68E4666A-2D84-4C04-9943-C390048954F0}"/>
    <cellStyle name="Separador de milhares 4 4" xfId="706" xr:uid="{2BFE8941-3E0C-4160-819D-10D9F94DB088}"/>
    <cellStyle name="Separador de milhares 4 4 2 2" xfId="17196" xr:uid="{1D9CADB0-019C-411A-BBD5-EA0EA0E0EADE}"/>
    <cellStyle name="Separador de milhares 4 4 2 4" xfId="17197" xr:uid="{700A9C45-A7C3-461A-800E-8AA4E35A2A58}"/>
    <cellStyle name="Separador de milhares 4 4 3 2" xfId="17198" xr:uid="{50C7A97B-3227-4A65-AE06-B592F8E6D4DB}"/>
    <cellStyle name="Separador de milhares 4 4 3 4" xfId="17199" xr:uid="{2A5A0EA6-8F34-43C3-B9C4-363A153E7DC7}"/>
    <cellStyle name="Separador de milhares 4 4 5" xfId="17200" xr:uid="{B47F71A3-B5FC-4405-B74F-02DAB4A6311F}"/>
    <cellStyle name="Separador de milhares 4 4 7" xfId="17340" xr:uid="{EAEAC9F3-CD74-4D5A-994B-2C1541C66C9A}"/>
    <cellStyle name="Separador de milhares 4 5 2" xfId="17201" xr:uid="{DAC05503-C05F-4855-A768-40A09671A274}"/>
    <cellStyle name="Separador de milhares 4 5 2 3" xfId="17202" xr:uid="{1AA2F518-34B6-4865-8AC8-A8CFF1D8BC19}"/>
    <cellStyle name="Separador de milhares 4 5 3" xfId="17203" xr:uid="{D608FCBC-9212-4F82-90E8-8448CBB060DA}"/>
    <cellStyle name="Separador de milhares 4 5 3 3" xfId="17204" xr:uid="{8A027490-4F53-46E6-ABD1-8158A8CE1EBB}"/>
    <cellStyle name="Separador de milhares 4 5 6" xfId="17205" xr:uid="{5F4E0970-03A6-4495-A9A3-A238D81DE30A}"/>
    <cellStyle name="Separador de milhares 4 6" xfId="897" xr:uid="{689223DC-BC01-46ED-8AB0-2014388A3751}"/>
    <cellStyle name="Separador de milhares 4 6 2 2" xfId="17206" xr:uid="{BF45323D-009F-447A-B924-A91E0D3C5005}"/>
    <cellStyle name="Separador de milhares 4 6 2 4" xfId="17207" xr:uid="{6A7FA027-7FA9-49E9-9797-68D0D375EDE3}"/>
    <cellStyle name="Separador de milhares 4 6 3 2" xfId="17208" xr:uid="{76DC7958-66FD-4100-A1EE-175498B7761F}"/>
    <cellStyle name="Separador de milhares 4 6 5" xfId="17209" xr:uid="{11F31E32-870A-4D3B-95AB-74AD53FCFB00}"/>
    <cellStyle name="Separador de milhares 4 6 7" xfId="17341" xr:uid="{359D5CA1-34A6-4143-B6B1-2C4142405976}"/>
    <cellStyle name="Separador de milhares 4 7 2 3" xfId="17210" xr:uid="{EF5C79D2-D414-4BEB-A6A4-074CED6F459C}"/>
    <cellStyle name="Separador de milhares 4 7 3" xfId="17211" xr:uid="{86F9F751-EDD6-48A3-B382-726419A706F5}"/>
    <cellStyle name="Separador de milhares 4 7 3 3" xfId="17212" xr:uid="{D3E65879-73DD-4C06-97C8-B57E68ACF507}"/>
    <cellStyle name="Separador de milhares 4 7 4" xfId="17213" xr:uid="{DD667D15-FB40-4E58-9C19-175AEA03146C}"/>
    <cellStyle name="Separador de milhares 4 7 6" xfId="17214" xr:uid="{7D2A288A-5B02-4E6C-A05E-60A538FE65F7}"/>
    <cellStyle name="Separador de milhares 4 8 2" xfId="17215" xr:uid="{9185DDFE-92C1-435E-801A-BD4BC59FB8E8}"/>
    <cellStyle name="Separador de milhares 4 8 2 3" xfId="17216" xr:uid="{2B28FE15-F983-4601-926E-894D6C99CEFC}"/>
    <cellStyle name="Separador de milhares 4 8 3 3" xfId="17217" xr:uid="{98CA0021-6667-45BB-9E0F-576A2C4D9E19}"/>
    <cellStyle name="Separador de milhares 4 8 4" xfId="17218" xr:uid="{BF25E3F0-7AEC-4AA6-B762-E6133C819A11}"/>
    <cellStyle name="Separador de milhares 4 8 6" xfId="17219" xr:uid="{DDF27024-C1BD-477E-924F-795F1EA94150}"/>
    <cellStyle name="Separador de milhares 4 9 2" xfId="17220" xr:uid="{9D49E9CA-09E6-428E-AE4C-E39348060BC1}"/>
    <cellStyle name="Separador de milhares 4 9 2 3" xfId="17221" xr:uid="{82342A42-A707-4239-A0D3-78EC969FBA22}"/>
    <cellStyle name="Separador de milhares 4 9 3" xfId="17222" xr:uid="{02EBF095-E37A-4011-8693-E98F131F4B0E}"/>
    <cellStyle name="Separador de milhares 4 9 3 3" xfId="17223" xr:uid="{2B3E503B-8CCA-4BE0-AC16-70AB5D8A8CA0}"/>
    <cellStyle name="Separador de milhares 4 9 4" xfId="17224" xr:uid="{B2863F9B-AA43-46AE-A0BE-477BBAD4856A}"/>
    <cellStyle name="Separador de milhares 4 9 6" xfId="17225" xr:uid="{5474B71B-3BB6-4D36-989A-E86C783077F4}"/>
    <cellStyle name="Separador de milhares 5 3 2 2" xfId="898" xr:uid="{40FDC9F6-1D06-4160-B4C2-0BF7382E2EDE}"/>
    <cellStyle name="Separador de milhares 5 4" xfId="707" xr:uid="{6B7D6818-7114-4084-BED9-1103EC34EEBD}"/>
    <cellStyle name="Separador de milhares 5 4 2" xfId="899" xr:uid="{9DCF8B2E-D239-4BBB-ABBD-BDB248136F42}"/>
    <cellStyle name="Separador de milhares 5 5" xfId="900" xr:uid="{5722F5C7-B5EB-4E97-A35B-3A4CCFB38BF8}"/>
    <cellStyle name="Separador de milhares 5 5 2" xfId="17342" xr:uid="{8C53F21A-4DFB-4045-B4F4-82AD754CFDAC}"/>
    <cellStyle name="Separador de milhares 5 8" xfId="17309" xr:uid="{5B9B047F-608E-4E0A-9F18-595596ABFB2D}"/>
    <cellStyle name="Separador de milhares 6 2" xfId="544" xr:uid="{CBB38B84-B7D2-4980-930D-79F6C4E9F2CD}"/>
    <cellStyle name="Separador de milhares 6 3" xfId="17226" xr:uid="{B3AEF609-E7E3-4D89-B239-3772DB3E90C0}"/>
    <cellStyle name="Separador de milhares 7" xfId="402" xr:uid="{16CF5BFA-C172-44C7-85F7-611C3EDE6680}"/>
    <cellStyle name="Separador de milhares 7 4" xfId="17227" xr:uid="{4A84C4BE-48AA-4908-B6A5-6B2496013BCF}"/>
    <cellStyle name="Separador de milhares 8" xfId="403" xr:uid="{EF64D5BA-15DF-4129-9544-8D0E42B2238E}"/>
    <cellStyle name="Separador de milhares 8 3" xfId="17228" xr:uid="{A3DB2439-8BF6-47F6-8464-AB1B9D6EDF67}"/>
    <cellStyle name="Separador de milhares 9 2" xfId="644" xr:uid="{525BDC67-43E6-45ED-A470-2CF384973D69}"/>
    <cellStyle name="Separador de milhares 9 3" xfId="17229" xr:uid="{7C5A8F3A-8B02-4802-990C-E15E31BC480D}"/>
    <cellStyle name="Separador de milhares 9 5" xfId="17230" xr:uid="{44C18FFC-ADD7-472F-A56B-41058C8AB2AC}"/>
    <cellStyle name="Shaded" xfId="349" xr:uid="{B86D635D-191C-4B48-8564-96CCF7CBF82C}"/>
    <cellStyle name="Sheet Title" xfId="17231" xr:uid="{076F47CA-49BB-4DBA-A224-29B4969F1CF1}"/>
    <cellStyle name="Standard format" xfId="404" xr:uid="{ABAB4A77-1D59-4A66-A99C-6B921B14E77C}"/>
    <cellStyle name="Standard format 2 2" xfId="740" xr:uid="{51D540ED-2998-462D-B472-EDBFC2415DBF}"/>
    <cellStyle name="Standard format 2 2 4" xfId="780" xr:uid="{D4BF4713-82CE-4D95-B614-F415978EC01E}"/>
    <cellStyle name="Standard format 2 5" xfId="760" xr:uid="{D2312247-301B-4661-B3DB-18C615B67CDC}"/>
    <cellStyle name="Standard format 3" xfId="708" xr:uid="{68A1DBE1-EB28-48F8-BFAF-BD7E4457591A}"/>
    <cellStyle name="Standard format 3 3" xfId="918" xr:uid="{C4B6C650-F2D4-4646-A0F1-95BA1C3C7670}"/>
    <cellStyle name="Standard format 4" xfId="811" xr:uid="{39399678-EF6E-4484-982D-6887201CAD8C}"/>
    <cellStyle name="STA-TI - Style4" xfId="17232" xr:uid="{EFE913E9-408F-4CAC-A14E-58F15500E957}"/>
    <cellStyle name="Style 1" xfId="350" xr:uid="{A7888FB6-FBB5-419F-BD75-A8D5F7783819}"/>
    <cellStyle name="Style 1 3" xfId="17233" xr:uid="{F00B738B-597F-48AF-9E24-23B3D30F6379}"/>
    <cellStyle name="Style 23" xfId="17234" xr:uid="{6DC45CEA-DA1A-4D26-BA51-A8B46AF0E1E1}"/>
    <cellStyle name="STYLE1 - Style1 2" xfId="405" xr:uid="{D2E08B1E-0DBB-46BF-9787-1E45B8395C35}"/>
    <cellStyle name="STYLE1 - Style1 4" xfId="17235" xr:uid="{1CAD7AA2-B5D3-469A-A19D-5B15CFEF8021}"/>
    <cellStyle name="STYLE1 - Style1 6" xfId="17236" xr:uid="{4FC98191-2B3F-48EC-9B80-B993811A5C84}"/>
    <cellStyle name="STYLE1 - Style1 8" xfId="17237" xr:uid="{AA6C3951-9EF2-4573-8458-4A34B1215697}"/>
    <cellStyle name="STYLE2 - Style2 2" xfId="406" xr:uid="{8BA24985-4730-4A8D-9D72-F3C0352343A8}"/>
    <cellStyle name="STYLE2 - Style2 4" xfId="17238" xr:uid="{42FE0B35-29F2-43BD-8525-09FC7FE6C08E}"/>
    <cellStyle name="STYLE2 - Style2 6" xfId="17239" xr:uid="{6AD1478A-43C4-4255-A428-0A78E956F8BC}"/>
    <cellStyle name="STYLE2 - Style2 8" xfId="17240" xr:uid="{A168C50D-4A76-4E12-916B-90824C691639}"/>
    <cellStyle name="STYLE2 - Style2_COELCE CVA SRE (4)" xfId="17241" xr:uid="{9029B203-9B58-4634-9421-277599264721}"/>
    <cellStyle name="STYLE3 - Style3 10" xfId="17242" xr:uid="{B9BDD7AA-F78A-497F-A8E4-AA89102517C7}"/>
    <cellStyle name="STYLE3 - Style3 3" xfId="17243" xr:uid="{0D88F1CC-071D-4598-9547-915BE6049D9D}"/>
    <cellStyle name="STYLE3 - Style3 5" xfId="17244" xr:uid="{CFBF64FD-DBEF-4BAD-A228-288188FE11DD}"/>
    <cellStyle name="STYLE3 - Style3 8" xfId="17245" xr:uid="{FBD74EA5-78B2-4CCE-93AE-42697CC56228}"/>
    <cellStyle name="STYLE3 - Style3_COELCE CVA SRE (4)" xfId="17246" xr:uid="{15B6F361-75C3-4DA1-B14B-9D37E33B88A7}"/>
    <cellStyle name="STYLE4 - Style4 10" xfId="17247" xr:uid="{95CE8105-1BCF-4524-A8E8-C8A849D406EF}"/>
    <cellStyle name="STYLE4 - Style4 3" xfId="17248" xr:uid="{7BE0B965-1CDA-4371-96D9-1CD68EBB9F3C}"/>
    <cellStyle name="STYLE4 - Style4 5" xfId="17249" xr:uid="{C5743798-FA3C-44A9-9A74-AB220067019B}"/>
    <cellStyle name="STYLE4 - Style4 7" xfId="17250" xr:uid="{34505AF1-A56E-47AA-8E9E-EAD33DC1CC1F}"/>
    <cellStyle name="STYLE4 - Style4 9" xfId="17251" xr:uid="{C436E5DA-6218-492C-B000-4274D2621E21}"/>
    <cellStyle name="sub-to - Style3" xfId="17252" xr:uid="{82617EE9-423D-4B40-8CDE-11830B2CBDDE}"/>
    <cellStyle name="Sum %of HV" xfId="351" xr:uid="{8BDB023F-8A02-46E4-B353-113E6300BB67}"/>
    <cellStyle name="t" xfId="17253" xr:uid="{2A76B881-D2A0-4A31-9214-3F56AD4445D2}"/>
    <cellStyle name="Table Head" xfId="17254" xr:uid="{ABE8DAC2-F224-4D0D-BFB5-15D3E28DF117}"/>
    <cellStyle name="Table Head Green" xfId="17255" xr:uid="{C65E39FE-A076-47CF-872C-C3DC72F52250}"/>
    <cellStyle name="Table Units" xfId="17256" xr:uid="{16C23F3B-54C1-439C-8AA8-F12C8E73E7B2}"/>
    <cellStyle name="Text" xfId="17257" xr:uid="{BDE1E2DA-3CD7-42BA-AAA2-14D8D20760B4}"/>
    <cellStyle name="Text Indent A 2" xfId="407" xr:uid="{8083DE4B-048A-41B6-B122-A95B1AB6A327}"/>
    <cellStyle name="Text Indent A_IRT_Planilha Básica_ v2010_CERRP" xfId="657" xr:uid="{29671FCF-2B41-4A89-B2A9-C1830C5461D1}"/>
    <cellStyle name="Text Indent B 2" xfId="408" xr:uid="{B98011F3-72B7-4F05-9666-508A09F0B9A8}"/>
    <cellStyle name="Text Indent B_IRT_Planilha Básica_ v2010_CERRP" xfId="658" xr:uid="{7C6D0BAE-4C20-4C5A-9A0C-8E99A25D1660}"/>
    <cellStyle name="Text Indent C 3" xfId="17258" xr:uid="{3CC5E778-243E-432E-BB37-D0E96035F4D4}"/>
    <cellStyle name="Texto de advertencia" xfId="409" xr:uid="{5A438085-F412-4995-95AC-82ACB1A64700}"/>
    <cellStyle name="Texto de Aviso 3" xfId="659" xr:uid="{8A7A4405-E25A-41E6-ABD1-33730896FF66}"/>
    <cellStyle name="Texto de Aviso 5" xfId="352" xr:uid="{98FA02A2-B3D6-4A4B-965E-F5F1869FADDC}"/>
    <cellStyle name="Texto Explicativo 11" xfId="353" xr:uid="{4274D9C7-F643-4C54-8253-138AEFC5738F}"/>
    <cellStyle name="Texto explicativo 2 2" xfId="17259" xr:uid="{EA1768B1-570E-4978-8A8A-7802A96ED72C}"/>
    <cellStyle name="Texto explicativo 3 2" xfId="17260" xr:uid="{8AA101E4-F5AE-44C2-8659-8E804EAD064F}"/>
    <cellStyle name="Texto explicativo 4 2" xfId="17261" xr:uid="{20BC5F78-0DC0-48C5-A655-548208F62180}"/>
    <cellStyle name="Texto explicativo 6" xfId="17262" xr:uid="{BF81AFB3-D3AD-46E2-8102-3E16DE53323B}"/>
    <cellStyle name="Texto explicativo 9" xfId="17263" xr:uid="{BDC75DB5-E92A-412F-A8AC-AC2C964A1856}"/>
    <cellStyle name="Thousands (0) 2" xfId="17264" xr:uid="{4D6A57FD-8EE1-4341-B990-68668F73CE45}"/>
    <cellStyle name="Thousands (1)" xfId="354" xr:uid="{C9AFC946-0E9C-4A8C-990D-034C3DF06189}"/>
    <cellStyle name="Thousands (1) 3 2" xfId="17265" xr:uid="{FE1A5CF0-62DF-4D03-AF66-7642DDF1547E}"/>
    <cellStyle name="Times New Roman" xfId="17266" xr:uid="{3E17917C-4266-4352-A1EE-03174518CA0C}"/>
    <cellStyle name="Título" xfId="2" builtinId="15" customBuiltin="1"/>
    <cellStyle name="Título 1 4 2" xfId="17267" xr:uid="{043F96CE-583E-44F4-B712-E0466A54C914}"/>
    <cellStyle name="Título 1 9" xfId="17268" xr:uid="{AAC81697-51E9-45EF-AFC6-573B053E763C}"/>
    <cellStyle name="Título 13" xfId="17269" xr:uid="{4E470D2A-F8B7-4242-BA1A-C5410B75B717}"/>
    <cellStyle name="Título 2 8" xfId="17270" xr:uid="{48736B54-F702-4241-AC7B-5D40E6935465}"/>
    <cellStyle name="Total 2 4" xfId="763" xr:uid="{F00DE4B8-7349-43D5-88E3-7DAC8B0132A5}"/>
    <cellStyle name="Total 4 2" xfId="725" xr:uid="{F3D2A920-E080-4436-8F45-9A52DB254709}"/>
    <cellStyle name="totalbalan" xfId="355" xr:uid="{E7D83648-BD17-488C-8D6B-04854229383F}"/>
    <cellStyle name="UNIDAGSDate 2" xfId="17271" xr:uid="{4A83D184-C80A-4DDC-83F6-E07F056FF158}"/>
    <cellStyle name="Unprot" xfId="356" xr:uid="{AE9A6F0D-7F88-4F02-9D37-0DA084027B3B}"/>
    <cellStyle name="Unprot$" xfId="357" xr:uid="{50AB975A-7E6F-4FF4-A4E7-A6A14C56ACA3}"/>
    <cellStyle name="Update" xfId="17272" xr:uid="{AE63759F-64C0-429C-96BE-7B37AF786FCA}"/>
    <cellStyle name="Vírgula" xfId="4" builtinId="3"/>
  </cellStyles>
  <dxfs count="52">
    <dxf>
      <numFmt numFmtId="0" formatCode="General"/>
    </dxf>
    <dxf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</dxf>
    <dxf>
      <numFmt numFmtId="0" formatCode="General"/>
    </dxf>
    <dxf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name val="Calibri"/>
        <scheme val="minor"/>
      </font>
    </dxf>
    <dxf>
      <font>
        <strike val="0"/>
        <outline val="0"/>
        <shadow val="0"/>
        <u val="none"/>
        <vertAlign val="baseline"/>
        <name val="Calibri"/>
        <scheme val="minor"/>
      </font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name val="Calibri"/>
        <scheme val="minor"/>
      </font>
    </dxf>
    <dxf>
      <font>
        <strike val="0"/>
        <outline val="0"/>
        <shadow val="0"/>
        <u val="none"/>
        <vertAlign val="baseline"/>
        <name val="Calibri"/>
        <scheme val="minor"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scheme val="minor"/>
      </font>
    </dxf>
    <dxf>
      <font>
        <strike val="0"/>
        <outline val="0"/>
        <shadow val="0"/>
        <u val="none"/>
        <vertAlign val="baseline"/>
        <name val="Calibri"/>
        <scheme val="minor"/>
      </font>
    </dxf>
    <dxf>
      <font>
        <strike val="0"/>
        <outline val="0"/>
        <shadow val="0"/>
        <u val="none"/>
        <vertAlign val="baseline"/>
        <name val="Calibri"/>
        <scheme val="minor"/>
      </font>
      <numFmt numFmtId="168" formatCode="_-\ #,##0.00_-;\-\ #,##0.00_-;_-\ &quot;-&quot;??_-;_-@_-"/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_-\ #,##0.00_-;\-\ #,##0.00_-;_-\ &quot;-&quot;??_-;_-@_-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 style="thin">
          <color theme="0" tint="-0.1499679555650502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indexed="64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indexed="64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right" vertical="center" textRotation="0" wrapText="0" indent="0" justifyLastLine="0" shrinkToFit="0" readingOrder="0"/>
      <border diagonalUp="0" diagonalDown="0">
        <left/>
        <right/>
        <top/>
        <bottom style="thin">
          <color theme="0" tint="-0.1499679555650502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font>
        <strike val="0"/>
        <outline val="0"/>
        <shadow val="0"/>
        <u val="none"/>
        <vertAlign val="baseline"/>
        <name val="Calibri"/>
        <scheme val="minor"/>
      </font>
    </dxf>
    <dxf>
      <font>
        <strike val="0"/>
        <outline val="0"/>
        <shadow val="0"/>
        <u val="none"/>
        <vertAlign val="baseline"/>
        <name val="Calibri"/>
        <scheme val="minor"/>
      </font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name val="Calibri"/>
        <scheme val="minor"/>
      </font>
    </dxf>
    <dxf>
      <font>
        <strike val="0"/>
        <outline val="0"/>
        <shadow val="0"/>
        <u val="none"/>
        <vertAlign val="baseline"/>
        <name val="Calibri"/>
        <scheme val="minor"/>
      </font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name val="Calibri"/>
        <scheme val="minor"/>
      </font>
    </dxf>
    <dxf>
      <font>
        <strike val="0"/>
        <outline val="0"/>
        <shadow val="0"/>
        <u val="none"/>
        <vertAlign val="baseline"/>
        <name val="Calibri"/>
        <scheme val="minor"/>
      </font>
    </dxf>
    <dxf>
      <font>
        <strike val="0"/>
        <outline val="0"/>
        <shadow val="0"/>
        <u val="none"/>
        <vertAlign val="baseline"/>
        <name val="Calibri"/>
        <scheme val="minor"/>
      </font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name val="Calibri"/>
        <scheme val="minor"/>
      </font>
    </dxf>
    <dxf>
      <font>
        <strike val="0"/>
        <outline val="0"/>
        <shadow val="0"/>
        <u val="none"/>
        <vertAlign val="baseline"/>
        <name val="Calibri"/>
        <scheme val="minor"/>
      </font>
    </dxf>
    <dxf>
      <numFmt numFmtId="27" formatCode="dd/mm/yyyy\ hh:mm"/>
    </dxf>
    <dxf>
      <numFmt numFmtId="27" formatCode="dd/mm/yyyy\ hh:mm"/>
    </dxf>
    <dxf>
      <numFmt numFmtId="2" formatCode="0.00"/>
    </dxf>
    <dxf>
      <font>
        <b/>
        <i val="0"/>
        <strike val="0"/>
        <color theme="0"/>
      </font>
      <fill>
        <patternFill>
          <bgColor theme="3"/>
        </patternFill>
      </fill>
    </dxf>
    <dxf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theme="3"/>
      </font>
    </dxf>
  </dxfs>
  <tableStyles count="4" defaultTableStyle="TableStyleMedium2" defaultPivotStyle="PivotStyleLight16">
    <tableStyle name="Estilo de Tabela 1" pivot="0" count="1" xr9:uid="{A02E643A-4239-41D5-904B-3C28F145D096}">
      <tableStyleElement type="headerRow" dxfId="51"/>
    </tableStyle>
    <tableStyle name="Invisible" pivot="0" table="0" count="0" xr9:uid="{F5D48AC9-4BBF-40EE-9815-7B6CB44D9A2C}"/>
    <tableStyle name="Padrão" pivot="0" count="1" xr9:uid="{8938FF50-4F06-4A3B-B6EA-4CA7387BA46E}">
      <tableStyleElement type="headerRow" dxfId="50"/>
    </tableStyle>
    <tableStyle name="Padrão 2" pivot="0" count="2" xr9:uid="{F491E304-78A3-413C-A66F-D9B73CB6850C}">
      <tableStyleElement type="wholeTable" dxfId="49"/>
      <tableStyleElement type="headerRow" dxfId="48"/>
    </tableStyle>
  </tableStyles>
  <colors>
    <mruColors>
      <color rgb="FF4A7DBA"/>
      <color rgb="FFADCCFF"/>
      <color rgb="FFE6E6FF"/>
      <color rgb="FFF8F192"/>
      <color rgb="FFCC3333"/>
      <color rgb="FFCC0000"/>
      <color rgb="FFD09CCC"/>
      <color rgb="FFA698AE"/>
      <color rgb="FFE75F7F"/>
      <color rgb="FFCC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pt-BR"/>
              <a:t>Composição da Receita</a:t>
            </a:r>
          </a:p>
        </c:rich>
      </c:tx>
      <c:layout>
        <c:manualLayout>
          <c:xMode val="edge"/>
          <c:yMode val="edge"/>
          <c:x val="0.28557258467691582"/>
          <c:y val="3.1239248940036452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ofPieChart>
        <c:ofPieType val="bar"/>
        <c:varyColors val="1"/>
        <c:ser>
          <c:idx val="0"/>
          <c:order val="0"/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gradFill rotWithShape="0">
                <a:gsLst>
                  <a:gs pos="0">
                    <a:srgbClr val="FFCC00"/>
                  </a:gs>
                  <a:gs pos="100000">
                    <a:srgbClr val="FFCC00">
                      <a:gamma/>
                      <a:shade val="46275"/>
                      <a:invGamma/>
                    </a:srgbClr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ACA1-4561-818E-B679AC41BF83}"/>
              </c:ext>
            </c:extLst>
          </c:dPt>
          <c:dPt>
            <c:idx val="1"/>
            <c:bubble3D val="0"/>
            <c:spPr>
              <a:gradFill rotWithShape="0">
                <a:gsLst>
                  <a:gs pos="0">
                    <a:srgbClr val="008080"/>
                  </a:gs>
                  <a:gs pos="50000">
                    <a:srgbClr val="008080">
                      <a:gamma/>
                      <a:shade val="46275"/>
                      <a:invGamma/>
                    </a:srgbClr>
                  </a:gs>
                  <a:gs pos="100000">
                    <a:srgbClr val="00808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ACA1-4561-818E-B679AC41BF83}"/>
              </c:ext>
            </c:extLst>
          </c:dPt>
          <c:dLbls>
            <c:dLbl>
              <c:idx val="0"/>
              <c:layout>
                <c:manualLayout>
                  <c:x val="4.9483233441886543E-3"/>
                  <c:y val="-0.24211094358747731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CA1-4561-818E-B679AC41BF83}"/>
                </c:ext>
              </c:extLst>
            </c:dLbl>
            <c:dLbl>
              <c:idx val="1"/>
              <c:layout>
                <c:manualLayout>
                  <c:x val="1.0818075650186687E-2"/>
                  <c:y val="6.71577201410441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A1-4561-818E-B679AC41BF83}"/>
                </c:ext>
              </c:extLst>
            </c:dLbl>
            <c:dLbl>
              <c:idx val="2"/>
              <c:layout>
                <c:manualLayout>
                  <c:x val="-4.5548115515060446E-3"/>
                  <c:y val="8.277734962228022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A1-4561-818E-B679AC41BF83}"/>
                </c:ext>
              </c:extLst>
            </c:dLbl>
            <c:dLbl>
              <c:idx val="3"/>
              <c:layout>
                <c:manualLayout>
                  <c:x val="2.5282159047174242E-2"/>
                  <c:y val="-0.2559813702753398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CA1-4561-818E-B679AC41BF83}"/>
                </c:ext>
              </c:extLst>
            </c:dLbl>
            <c:dLbl>
              <c:idx val="4"/>
              <c:layout>
                <c:manualLayout>
                  <c:x val="2.5282159047174152E-2"/>
                  <c:y val="-8.41654459817357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A1-4561-818E-B679AC41BF83}"/>
                </c:ext>
              </c:extLst>
            </c:dLbl>
            <c:dLbl>
              <c:idx val="5"/>
              <c:layout>
                <c:manualLayout>
                  <c:x val="1.6358014277714564E-2"/>
                  <c:y val="3.217265259911821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A1-4561-818E-B679AC41BF8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A1-4561-818E-B679AC41BF83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333399"/>
                    </a:solidFill>
                    <a:latin typeface="Arial Narrow"/>
                    <a:ea typeface="Arial Narrow"/>
                    <a:cs typeface="Arial Narrow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A1-4561-818E-B679AC41BF83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ACA1-4561-818E-B679AC41BF83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ACA1-4561-818E-B679AC41BF83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ACA1-4561-818E-B679AC41BF83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ACA1-4561-818E-B679AC41BF83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ACA1-4561-818E-B679AC41BF83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ACA1-4561-818E-B679AC41BF83}"/>
            </c:ext>
          </c:extLst>
        </c:ser>
        <c:dLbls>
          <c:showLegendKey val="0"/>
          <c:showVal val="1"/>
          <c:showCatName val="1"/>
          <c:showSerName val="0"/>
          <c:showPercent val="1"/>
          <c:showBubbleSize val="0"/>
          <c:showLeaderLines val="1"/>
        </c:dLbls>
        <c:gapWidth val="100"/>
        <c:splitType val="pos"/>
        <c:splitPos val="3"/>
        <c:secondPieSize val="75"/>
        <c:serLines>
          <c:spPr>
            <a:ln w="3175">
              <a:solidFill>
                <a:srgbClr val="000000"/>
              </a:solidFill>
              <a:prstDash val="solid"/>
            </a:ln>
          </c:spPr>
        </c:serLines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1465" r="0.75000000000001465" t="1" header="0.49212598500003435" footer="0.4921259850000343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pt-BR"/>
              <a:t>Composição da Receita</a:t>
            </a:r>
          </a:p>
        </c:rich>
      </c:tx>
      <c:layout>
        <c:manualLayout>
          <c:xMode val="edge"/>
          <c:yMode val="edge"/>
          <c:x val="0.28557258467691582"/>
          <c:y val="3.1239248940036452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ofPieChart>
        <c:ofPieType val="bar"/>
        <c:varyColors val="1"/>
        <c:ser>
          <c:idx val="0"/>
          <c:order val="0"/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gradFill rotWithShape="0">
                <a:gsLst>
                  <a:gs pos="0">
                    <a:srgbClr val="FFCC00"/>
                  </a:gs>
                  <a:gs pos="100000">
                    <a:srgbClr val="FFCC00">
                      <a:gamma/>
                      <a:shade val="46275"/>
                      <a:invGamma/>
                    </a:srgbClr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24DD-4A6A-9575-C627D9705DF6}"/>
              </c:ext>
            </c:extLst>
          </c:dPt>
          <c:dPt>
            <c:idx val="1"/>
            <c:bubble3D val="0"/>
            <c:spPr>
              <a:gradFill rotWithShape="0">
                <a:gsLst>
                  <a:gs pos="0">
                    <a:srgbClr val="008080"/>
                  </a:gs>
                  <a:gs pos="50000">
                    <a:srgbClr val="008080">
                      <a:gamma/>
                      <a:shade val="46275"/>
                      <a:invGamma/>
                    </a:srgbClr>
                  </a:gs>
                  <a:gs pos="100000">
                    <a:srgbClr val="00808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24DD-4A6A-9575-C627D9705DF6}"/>
              </c:ext>
            </c:extLst>
          </c:dPt>
          <c:dLbls>
            <c:dLbl>
              <c:idx val="0"/>
              <c:layout>
                <c:manualLayout>
                  <c:x val="4.9483233441886543E-3"/>
                  <c:y val="-0.24211094358747731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4DD-4A6A-9575-C627D9705DF6}"/>
                </c:ext>
              </c:extLst>
            </c:dLbl>
            <c:dLbl>
              <c:idx val="1"/>
              <c:layout>
                <c:manualLayout>
                  <c:x val="1.0818075650186687E-2"/>
                  <c:y val="6.71577201410441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DD-4A6A-9575-C627D9705DF6}"/>
                </c:ext>
              </c:extLst>
            </c:dLbl>
            <c:dLbl>
              <c:idx val="2"/>
              <c:layout>
                <c:manualLayout>
                  <c:x val="-4.5548115515060446E-3"/>
                  <c:y val="8.277734962228022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4DD-4A6A-9575-C627D9705DF6}"/>
                </c:ext>
              </c:extLst>
            </c:dLbl>
            <c:dLbl>
              <c:idx val="3"/>
              <c:layout>
                <c:manualLayout>
                  <c:x val="2.5282159047174242E-2"/>
                  <c:y val="-0.2559813702753398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4DD-4A6A-9575-C627D9705DF6}"/>
                </c:ext>
              </c:extLst>
            </c:dLbl>
            <c:dLbl>
              <c:idx val="4"/>
              <c:layout>
                <c:manualLayout>
                  <c:x val="2.5282159047174152E-2"/>
                  <c:y val="-8.41654459817357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4DD-4A6A-9575-C627D9705DF6}"/>
                </c:ext>
              </c:extLst>
            </c:dLbl>
            <c:dLbl>
              <c:idx val="5"/>
              <c:layout>
                <c:manualLayout>
                  <c:x val="1.6358014277714564E-2"/>
                  <c:y val="3.217265259911821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4DD-4A6A-9575-C627D9705DF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DD-4A6A-9575-C627D9705DF6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333399"/>
                    </a:solidFill>
                    <a:latin typeface="Arial Narrow"/>
                    <a:ea typeface="Arial Narrow"/>
                    <a:cs typeface="Arial Narrow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4DD-4A6A-9575-C627D9705DF6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24DD-4A6A-9575-C627D9705DF6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24DD-4A6A-9575-C627D9705DF6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24DD-4A6A-9575-C627D9705DF6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24DD-4A6A-9575-C627D9705DF6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24DD-4A6A-9575-C627D9705DF6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24DD-4A6A-9575-C627D9705DF6}"/>
            </c:ext>
          </c:extLst>
        </c:ser>
        <c:dLbls>
          <c:showLegendKey val="0"/>
          <c:showVal val="1"/>
          <c:showCatName val="1"/>
          <c:showSerName val="0"/>
          <c:showPercent val="1"/>
          <c:showBubbleSize val="0"/>
          <c:showLeaderLines val="1"/>
        </c:dLbls>
        <c:gapWidth val="100"/>
        <c:splitType val="pos"/>
        <c:splitPos val="3"/>
        <c:secondPieSize val="75"/>
        <c:serLines>
          <c:spPr>
            <a:ln w="3175">
              <a:solidFill>
                <a:srgbClr val="000000"/>
              </a:solidFill>
              <a:prstDash val="solid"/>
            </a:ln>
          </c:spPr>
        </c:serLines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1465" r="0.75000000000001465" t="1" header="0.49212598500003435" footer="0.4921259850000343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pt-BR"/>
              <a:t>Composição da Receita</a:t>
            </a:r>
          </a:p>
        </c:rich>
      </c:tx>
      <c:layout>
        <c:manualLayout>
          <c:xMode val="edge"/>
          <c:yMode val="edge"/>
          <c:x val="0.28557258467691582"/>
          <c:y val="3.1239248940036452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ofPieChart>
        <c:ofPieType val="bar"/>
        <c:varyColors val="1"/>
        <c:ser>
          <c:idx val="0"/>
          <c:order val="0"/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gradFill rotWithShape="0">
                <a:gsLst>
                  <a:gs pos="0">
                    <a:srgbClr val="FFCC00"/>
                  </a:gs>
                  <a:gs pos="100000">
                    <a:srgbClr val="FFCC00">
                      <a:gamma/>
                      <a:shade val="46275"/>
                      <a:invGamma/>
                    </a:srgbClr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6ECA-42F7-A3E3-230B894DBC4C}"/>
              </c:ext>
            </c:extLst>
          </c:dPt>
          <c:dPt>
            <c:idx val="1"/>
            <c:bubble3D val="0"/>
            <c:spPr>
              <a:gradFill rotWithShape="0">
                <a:gsLst>
                  <a:gs pos="0">
                    <a:srgbClr val="008080"/>
                  </a:gs>
                  <a:gs pos="50000">
                    <a:srgbClr val="008080">
                      <a:gamma/>
                      <a:shade val="46275"/>
                      <a:invGamma/>
                    </a:srgbClr>
                  </a:gs>
                  <a:gs pos="100000">
                    <a:srgbClr val="00808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6ECA-42F7-A3E3-230B894DBC4C}"/>
              </c:ext>
            </c:extLst>
          </c:dPt>
          <c:dLbls>
            <c:dLbl>
              <c:idx val="0"/>
              <c:layout>
                <c:manualLayout>
                  <c:x val="4.9483233441886586E-3"/>
                  <c:y val="-0.2421109435874774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ECA-42F7-A3E3-230B894DBC4C}"/>
                </c:ext>
              </c:extLst>
            </c:dLbl>
            <c:dLbl>
              <c:idx val="1"/>
              <c:layout>
                <c:manualLayout>
                  <c:x val="1.0818075650186687E-2"/>
                  <c:y val="6.71577201410441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ECA-42F7-A3E3-230B894DBC4C}"/>
                </c:ext>
              </c:extLst>
            </c:dLbl>
            <c:dLbl>
              <c:idx val="2"/>
              <c:layout>
                <c:manualLayout>
                  <c:x val="-4.5548115515060446E-3"/>
                  <c:y val="8.277734962228022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ECA-42F7-A3E3-230B894DBC4C}"/>
                </c:ext>
              </c:extLst>
            </c:dLbl>
            <c:dLbl>
              <c:idx val="3"/>
              <c:layout>
                <c:manualLayout>
                  <c:x val="2.5282159047174242E-2"/>
                  <c:y val="-0.2559813702753398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ECA-42F7-A3E3-230B894DBC4C}"/>
                </c:ext>
              </c:extLst>
            </c:dLbl>
            <c:dLbl>
              <c:idx val="4"/>
              <c:layout>
                <c:manualLayout>
                  <c:x val="2.5282159047174152E-2"/>
                  <c:y val="-8.41654459817357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ECA-42F7-A3E3-230B894DBC4C}"/>
                </c:ext>
              </c:extLst>
            </c:dLbl>
            <c:dLbl>
              <c:idx val="5"/>
              <c:layout>
                <c:manualLayout>
                  <c:x val="1.6358014277714564E-2"/>
                  <c:y val="3.217265259911821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ECA-42F7-A3E3-230B894DBC4C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ECA-42F7-A3E3-230B894DBC4C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333399"/>
                    </a:solidFill>
                    <a:latin typeface="Arial Narrow"/>
                    <a:ea typeface="Arial Narrow"/>
                    <a:cs typeface="Arial Narrow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ECA-42F7-A3E3-230B894DBC4C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6ECA-42F7-A3E3-230B894DBC4C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6ECA-42F7-A3E3-230B894DBC4C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6ECA-42F7-A3E3-230B894DBC4C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6ECA-42F7-A3E3-230B894DBC4C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6ECA-42F7-A3E3-230B894DBC4C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6ECA-42F7-A3E3-230B894DBC4C}"/>
            </c:ext>
          </c:extLst>
        </c:ser>
        <c:dLbls>
          <c:showLegendKey val="0"/>
          <c:showVal val="1"/>
          <c:showCatName val="1"/>
          <c:showSerName val="0"/>
          <c:showPercent val="1"/>
          <c:showBubbleSize val="0"/>
          <c:showLeaderLines val="1"/>
        </c:dLbls>
        <c:gapWidth val="100"/>
        <c:splitType val="pos"/>
        <c:splitPos val="3"/>
        <c:secondPieSize val="75"/>
        <c:serLines>
          <c:spPr>
            <a:ln w="3175">
              <a:solidFill>
                <a:srgbClr val="000000"/>
              </a:solidFill>
              <a:prstDash val="solid"/>
            </a:ln>
          </c:spPr>
        </c:serLines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1465" r="0.75000000000001465" t="1" header="0.49212598500003446" footer="0.4921259850000344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pt-BR"/>
              <a:t>Composição da Receita</a:t>
            </a:r>
          </a:p>
        </c:rich>
      </c:tx>
      <c:layout>
        <c:manualLayout>
          <c:xMode val="edge"/>
          <c:yMode val="edge"/>
          <c:x val="0.28557258467691582"/>
          <c:y val="3.1239248940036452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ofPieChart>
        <c:ofPieType val="bar"/>
        <c:varyColors val="1"/>
        <c:ser>
          <c:idx val="0"/>
          <c:order val="0"/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gradFill rotWithShape="0">
                <a:gsLst>
                  <a:gs pos="0">
                    <a:srgbClr val="FFCC00"/>
                  </a:gs>
                  <a:gs pos="100000">
                    <a:srgbClr val="FFCC00">
                      <a:gamma/>
                      <a:shade val="46275"/>
                      <a:invGamma/>
                    </a:srgbClr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4C29-4BE1-87A5-D9B22DA0CF02}"/>
              </c:ext>
            </c:extLst>
          </c:dPt>
          <c:dPt>
            <c:idx val="1"/>
            <c:bubble3D val="0"/>
            <c:spPr>
              <a:gradFill rotWithShape="0">
                <a:gsLst>
                  <a:gs pos="0">
                    <a:srgbClr val="008080"/>
                  </a:gs>
                  <a:gs pos="50000">
                    <a:srgbClr val="008080">
                      <a:gamma/>
                      <a:shade val="46275"/>
                      <a:invGamma/>
                    </a:srgbClr>
                  </a:gs>
                  <a:gs pos="100000">
                    <a:srgbClr val="00808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4C29-4BE1-87A5-D9B22DA0CF02}"/>
              </c:ext>
            </c:extLst>
          </c:dPt>
          <c:dLbls>
            <c:dLbl>
              <c:idx val="0"/>
              <c:layout>
                <c:manualLayout>
                  <c:x val="4.9483233441886586E-3"/>
                  <c:y val="-0.2421109435874774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C29-4BE1-87A5-D9B22DA0CF02}"/>
                </c:ext>
              </c:extLst>
            </c:dLbl>
            <c:dLbl>
              <c:idx val="1"/>
              <c:layout>
                <c:manualLayout>
                  <c:x val="1.0818075650186687E-2"/>
                  <c:y val="6.71577201410441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29-4BE1-87A5-D9B22DA0CF02}"/>
                </c:ext>
              </c:extLst>
            </c:dLbl>
            <c:dLbl>
              <c:idx val="2"/>
              <c:layout>
                <c:manualLayout>
                  <c:x val="-4.5548115515060446E-3"/>
                  <c:y val="8.277734962228022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29-4BE1-87A5-D9B22DA0CF02}"/>
                </c:ext>
              </c:extLst>
            </c:dLbl>
            <c:dLbl>
              <c:idx val="3"/>
              <c:layout>
                <c:manualLayout>
                  <c:x val="2.5282159047174242E-2"/>
                  <c:y val="-0.2559813702753398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C29-4BE1-87A5-D9B22DA0CF02}"/>
                </c:ext>
              </c:extLst>
            </c:dLbl>
            <c:dLbl>
              <c:idx val="4"/>
              <c:layout>
                <c:manualLayout>
                  <c:x val="2.5282159047174152E-2"/>
                  <c:y val="-8.41654459817357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29-4BE1-87A5-D9B22DA0CF02}"/>
                </c:ext>
              </c:extLst>
            </c:dLbl>
            <c:dLbl>
              <c:idx val="5"/>
              <c:layout>
                <c:manualLayout>
                  <c:x val="1.6358014277714564E-2"/>
                  <c:y val="3.217265259911821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29-4BE1-87A5-D9B22DA0CF02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29-4BE1-87A5-D9B22DA0CF02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333399"/>
                    </a:solidFill>
                    <a:latin typeface="Arial Narrow"/>
                    <a:ea typeface="Arial Narrow"/>
                    <a:cs typeface="Arial Narrow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29-4BE1-87A5-D9B22DA0CF02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4C29-4BE1-87A5-D9B22DA0CF02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4C29-4BE1-87A5-D9B22DA0CF02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4C29-4BE1-87A5-D9B22DA0CF02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4C29-4BE1-87A5-D9B22DA0CF02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4C29-4BE1-87A5-D9B22DA0CF02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4C29-4BE1-87A5-D9B22DA0CF02}"/>
            </c:ext>
          </c:extLst>
        </c:ser>
        <c:dLbls>
          <c:showLegendKey val="0"/>
          <c:showVal val="1"/>
          <c:showCatName val="1"/>
          <c:showSerName val="0"/>
          <c:showPercent val="1"/>
          <c:showBubbleSize val="0"/>
          <c:showLeaderLines val="1"/>
        </c:dLbls>
        <c:gapWidth val="100"/>
        <c:splitType val="pos"/>
        <c:splitPos val="3"/>
        <c:secondPieSize val="75"/>
        <c:serLines>
          <c:spPr>
            <a:ln w="3175">
              <a:solidFill>
                <a:srgbClr val="000000"/>
              </a:solidFill>
              <a:prstDash val="solid"/>
            </a:ln>
          </c:spPr>
        </c:serLines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1465" r="0.75000000000001465" t="1" header="0.49212598500003446" footer="0.4921259850000344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pt-BR"/>
              <a:t>Composição da Receita</a:t>
            </a:r>
          </a:p>
        </c:rich>
      </c:tx>
      <c:layout>
        <c:manualLayout>
          <c:xMode val="edge"/>
          <c:yMode val="edge"/>
          <c:x val="0.28557258467691582"/>
          <c:y val="3.1239248940036452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ofPieChart>
        <c:ofPieType val="bar"/>
        <c:varyColors val="1"/>
        <c:ser>
          <c:idx val="0"/>
          <c:order val="0"/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gradFill rotWithShape="0">
                <a:gsLst>
                  <a:gs pos="0">
                    <a:srgbClr val="FFCC00"/>
                  </a:gs>
                  <a:gs pos="100000">
                    <a:srgbClr val="FFCC00">
                      <a:gamma/>
                      <a:shade val="46275"/>
                      <a:invGamma/>
                    </a:srgbClr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0B47-452D-9931-68417DB15316}"/>
              </c:ext>
            </c:extLst>
          </c:dPt>
          <c:dPt>
            <c:idx val="1"/>
            <c:bubble3D val="0"/>
            <c:spPr>
              <a:gradFill rotWithShape="0">
                <a:gsLst>
                  <a:gs pos="0">
                    <a:srgbClr val="008080"/>
                  </a:gs>
                  <a:gs pos="50000">
                    <a:srgbClr val="008080">
                      <a:gamma/>
                      <a:shade val="46275"/>
                      <a:invGamma/>
                    </a:srgbClr>
                  </a:gs>
                  <a:gs pos="100000">
                    <a:srgbClr val="00808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0B47-452D-9931-68417DB15316}"/>
              </c:ext>
            </c:extLst>
          </c:dPt>
          <c:dLbls>
            <c:dLbl>
              <c:idx val="0"/>
              <c:layout>
                <c:manualLayout>
                  <c:x val="4.9483233441886543E-3"/>
                  <c:y val="-0.24211094358747731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B47-452D-9931-68417DB15316}"/>
                </c:ext>
              </c:extLst>
            </c:dLbl>
            <c:dLbl>
              <c:idx val="1"/>
              <c:layout>
                <c:manualLayout>
                  <c:x val="1.0818075650186687E-2"/>
                  <c:y val="6.71577201410441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B47-452D-9931-68417DB15316}"/>
                </c:ext>
              </c:extLst>
            </c:dLbl>
            <c:dLbl>
              <c:idx val="2"/>
              <c:layout>
                <c:manualLayout>
                  <c:x val="-4.5548115515060446E-3"/>
                  <c:y val="8.277734962228022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B47-452D-9931-68417DB15316}"/>
                </c:ext>
              </c:extLst>
            </c:dLbl>
            <c:dLbl>
              <c:idx val="3"/>
              <c:layout>
                <c:manualLayout>
                  <c:x val="2.5282159047174242E-2"/>
                  <c:y val="-0.2559813702753398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B47-452D-9931-68417DB15316}"/>
                </c:ext>
              </c:extLst>
            </c:dLbl>
            <c:dLbl>
              <c:idx val="4"/>
              <c:layout>
                <c:manualLayout>
                  <c:x val="2.5282159047174152E-2"/>
                  <c:y val="-8.41654459817357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B47-452D-9931-68417DB15316}"/>
                </c:ext>
              </c:extLst>
            </c:dLbl>
            <c:dLbl>
              <c:idx val="5"/>
              <c:layout>
                <c:manualLayout>
                  <c:x val="1.6358014277714564E-2"/>
                  <c:y val="3.217265259911821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B47-452D-9931-68417DB1531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B47-452D-9931-68417DB15316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333399"/>
                    </a:solidFill>
                    <a:latin typeface="Arial Narrow"/>
                    <a:ea typeface="Arial Narrow"/>
                    <a:cs typeface="Arial Narrow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B47-452D-9931-68417DB15316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0B47-452D-9931-68417DB15316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0B47-452D-9931-68417DB15316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0B47-452D-9931-68417DB15316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0B47-452D-9931-68417DB15316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0B47-452D-9931-68417DB15316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0B47-452D-9931-68417DB15316}"/>
            </c:ext>
          </c:extLst>
        </c:ser>
        <c:dLbls>
          <c:showLegendKey val="0"/>
          <c:showVal val="1"/>
          <c:showCatName val="1"/>
          <c:showSerName val="0"/>
          <c:showPercent val="1"/>
          <c:showBubbleSize val="0"/>
          <c:showLeaderLines val="1"/>
        </c:dLbls>
        <c:gapWidth val="100"/>
        <c:splitType val="pos"/>
        <c:splitPos val="3"/>
        <c:secondPieSize val="75"/>
        <c:serLines>
          <c:spPr>
            <a:ln w="3175">
              <a:solidFill>
                <a:srgbClr val="000000"/>
              </a:solidFill>
              <a:prstDash val="solid"/>
            </a:ln>
          </c:spPr>
        </c:serLines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1465" r="0.75000000000001465" t="1" header="0.49212598500003435" footer="0.4921259850000343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pt-BR"/>
              <a:t>Composição da Receita</a:t>
            </a:r>
          </a:p>
        </c:rich>
      </c:tx>
      <c:layout>
        <c:manualLayout>
          <c:xMode val="edge"/>
          <c:yMode val="edge"/>
          <c:x val="0.28557258467691582"/>
          <c:y val="3.1239248940036452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ofPieChart>
        <c:ofPieType val="bar"/>
        <c:varyColors val="1"/>
        <c:ser>
          <c:idx val="0"/>
          <c:order val="0"/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gradFill rotWithShape="0">
                <a:gsLst>
                  <a:gs pos="0">
                    <a:srgbClr val="FFCC00"/>
                  </a:gs>
                  <a:gs pos="100000">
                    <a:srgbClr val="FFCC00">
                      <a:gamma/>
                      <a:shade val="46275"/>
                      <a:invGamma/>
                    </a:srgbClr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41DA-415B-A1B8-5E91312C2845}"/>
              </c:ext>
            </c:extLst>
          </c:dPt>
          <c:dPt>
            <c:idx val="1"/>
            <c:bubble3D val="0"/>
            <c:spPr>
              <a:gradFill rotWithShape="0">
                <a:gsLst>
                  <a:gs pos="0">
                    <a:srgbClr val="008080"/>
                  </a:gs>
                  <a:gs pos="50000">
                    <a:srgbClr val="008080">
                      <a:gamma/>
                      <a:shade val="46275"/>
                      <a:invGamma/>
                    </a:srgbClr>
                  </a:gs>
                  <a:gs pos="100000">
                    <a:srgbClr val="00808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41DA-415B-A1B8-5E91312C2845}"/>
              </c:ext>
            </c:extLst>
          </c:dPt>
          <c:dLbls>
            <c:dLbl>
              <c:idx val="0"/>
              <c:layout>
                <c:manualLayout>
                  <c:x val="4.9483233441886543E-3"/>
                  <c:y val="-0.24211094358747731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1DA-415B-A1B8-5E91312C2845}"/>
                </c:ext>
              </c:extLst>
            </c:dLbl>
            <c:dLbl>
              <c:idx val="1"/>
              <c:layout>
                <c:manualLayout>
                  <c:x val="1.0818075650186687E-2"/>
                  <c:y val="6.71577201410441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1DA-415B-A1B8-5E91312C2845}"/>
                </c:ext>
              </c:extLst>
            </c:dLbl>
            <c:dLbl>
              <c:idx val="2"/>
              <c:layout>
                <c:manualLayout>
                  <c:x val="-4.5548115515060446E-3"/>
                  <c:y val="8.277734962228022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1DA-415B-A1B8-5E91312C2845}"/>
                </c:ext>
              </c:extLst>
            </c:dLbl>
            <c:dLbl>
              <c:idx val="3"/>
              <c:layout>
                <c:manualLayout>
                  <c:x val="2.5282159047174242E-2"/>
                  <c:y val="-0.2559813702753398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1DA-415B-A1B8-5E91312C2845}"/>
                </c:ext>
              </c:extLst>
            </c:dLbl>
            <c:dLbl>
              <c:idx val="4"/>
              <c:layout>
                <c:manualLayout>
                  <c:x val="2.5282159047174152E-2"/>
                  <c:y val="-8.41654459817357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1DA-415B-A1B8-5E91312C2845}"/>
                </c:ext>
              </c:extLst>
            </c:dLbl>
            <c:dLbl>
              <c:idx val="5"/>
              <c:layout>
                <c:manualLayout>
                  <c:x val="1.6358014277714564E-2"/>
                  <c:y val="3.217265259911821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1DA-415B-A1B8-5E91312C284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1DA-415B-A1B8-5E91312C2845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333399"/>
                    </a:solidFill>
                    <a:latin typeface="Arial Narrow"/>
                    <a:ea typeface="Arial Narrow"/>
                    <a:cs typeface="Arial Narrow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1DA-415B-A1B8-5E91312C2845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41DA-415B-A1B8-5E91312C2845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41DA-415B-A1B8-5E91312C2845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41DA-415B-A1B8-5E91312C2845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41DA-415B-A1B8-5E91312C2845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41DA-415B-A1B8-5E91312C2845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41DA-415B-A1B8-5E91312C2845}"/>
            </c:ext>
          </c:extLst>
        </c:ser>
        <c:dLbls>
          <c:showLegendKey val="0"/>
          <c:showVal val="1"/>
          <c:showCatName val="1"/>
          <c:showSerName val="0"/>
          <c:showPercent val="1"/>
          <c:showBubbleSize val="0"/>
          <c:showLeaderLines val="1"/>
        </c:dLbls>
        <c:gapWidth val="100"/>
        <c:splitType val="pos"/>
        <c:splitPos val="3"/>
        <c:secondPieSize val="75"/>
        <c:serLines>
          <c:spPr>
            <a:ln w="3175">
              <a:solidFill>
                <a:srgbClr val="000000"/>
              </a:solidFill>
              <a:prstDash val="solid"/>
            </a:ln>
          </c:spPr>
        </c:serLines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1465" r="0.75000000000001465" t="1" header="0.49212598500003435" footer="0.4921259850000343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pt-BR"/>
              <a:t>Composição da Receita</a:t>
            </a:r>
          </a:p>
        </c:rich>
      </c:tx>
      <c:layout>
        <c:manualLayout>
          <c:xMode val="edge"/>
          <c:yMode val="edge"/>
          <c:x val="0.28557258467691582"/>
          <c:y val="3.1239248940036452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ofPieChart>
        <c:ofPieType val="bar"/>
        <c:varyColors val="1"/>
        <c:ser>
          <c:idx val="0"/>
          <c:order val="0"/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gradFill rotWithShape="0">
                <a:gsLst>
                  <a:gs pos="0">
                    <a:srgbClr val="FFCC00"/>
                  </a:gs>
                  <a:gs pos="100000">
                    <a:srgbClr val="FFCC00">
                      <a:gamma/>
                      <a:shade val="46275"/>
                      <a:invGamma/>
                    </a:srgbClr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31DA-4ADC-AC36-D7EFE6DF59FA}"/>
              </c:ext>
            </c:extLst>
          </c:dPt>
          <c:dPt>
            <c:idx val="1"/>
            <c:bubble3D val="0"/>
            <c:spPr>
              <a:gradFill rotWithShape="0">
                <a:gsLst>
                  <a:gs pos="0">
                    <a:srgbClr val="008080"/>
                  </a:gs>
                  <a:gs pos="50000">
                    <a:srgbClr val="008080">
                      <a:gamma/>
                      <a:shade val="46275"/>
                      <a:invGamma/>
                    </a:srgbClr>
                  </a:gs>
                  <a:gs pos="100000">
                    <a:srgbClr val="00808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31DA-4ADC-AC36-D7EFE6DF59FA}"/>
              </c:ext>
            </c:extLst>
          </c:dPt>
          <c:dLbls>
            <c:dLbl>
              <c:idx val="0"/>
              <c:layout>
                <c:manualLayout>
                  <c:x val="4.9483233441886586E-3"/>
                  <c:y val="-0.2421109435874774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1DA-4ADC-AC36-D7EFE6DF59FA}"/>
                </c:ext>
              </c:extLst>
            </c:dLbl>
            <c:dLbl>
              <c:idx val="1"/>
              <c:layout>
                <c:manualLayout>
                  <c:x val="1.0818075650186687E-2"/>
                  <c:y val="6.71577201410441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DA-4ADC-AC36-D7EFE6DF59FA}"/>
                </c:ext>
              </c:extLst>
            </c:dLbl>
            <c:dLbl>
              <c:idx val="2"/>
              <c:layout>
                <c:manualLayout>
                  <c:x val="-4.5548115515060446E-3"/>
                  <c:y val="8.277734962228022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DA-4ADC-AC36-D7EFE6DF59FA}"/>
                </c:ext>
              </c:extLst>
            </c:dLbl>
            <c:dLbl>
              <c:idx val="3"/>
              <c:layout>
                <c:manualLayout>
                  <c:x val="2.5282159047174242E-2"/>
                  <c:y val="-0.2559813702753398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1DA-4ADC-AC36-D7EFE6DF59FA}"/>
                </c:ext>
              </c:extLst>
            </c:dLbl>
            <c:dLbl>
              <c:idx val="4"/>
              <c:layout>
                <c:manualLayout>
                  <c:x val="2.5282159047174152E-2"/>
                  <c:y val="-8.41654459817357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DA-4ADC-AC36-D7EFE6DF59FA}"/>
                </c:ext>
              </c:extLst>
            </c:dLbl>
            <c:dLbl>
              <c:idx val="5"/>
              <c:layout>
                <c:manualLayout>
                  <c:x val="1.6358014277714564E-2"/>
                  <c:y val="3.217265259911821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DA-4ADC-AC36-D7EFE6DF59FA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DA-4ADC-AC36-D7EFE6DF59FA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333399"/>
                    </a:solidFill>
                    <a:latin typeface="Arial Narrow"/>
                    <a:ea typeface="Arial Narrow"/>
                    <a:cs typeface="Arial Narrow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1DA-4ADC-AC36-D7EFE6DF59FA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31DA-4ADC-AC36-D7EFE6DF59FA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31DA-4ADC-AC36-D7EFE6DF59FA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31DA-4ADC-AC36-D7EFE6DF59FA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31DA-4ADC-AC36-D7EFE6DF59FA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31DA-4ADC-AC36-D7EFE6DF59FA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31DA-4ADC-AC36-D7EFE6DF59FA}"/>
            </c:ext>
          </c:extLst>
        </c:ser>
        <c:dLbls>
          <c:showLegendKey val="0"/>
          <c:showVal val="1"/>
          <c:showCatName val="1"/>
          <c:showSerName val="0"/>
          <c:showPercent val="1"/>
          <c:showBubbleSize val="0"/>
          <c:showLeaderLines val="1"/>
        </c:dLbls>
        <c:gapWidth val="100"/>
        <c:splitType val="pos"/>
        <c:splitPos val="3"/>
        <c:secondPieSize val="75"/>
        <c:serLines>
          <c:spPr>
            <a:ln w="3175">
              <a:solidFill>
                <a:srgbClr val="000000"/>
              </a:solidFill>
              <a:prstDash val="solid"/>
            </a:ln>
          </c:spPr>
        </c:serLines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1465" r="0.75000000000001465" t="1" header="0.49212598500003446" footer="0.49212598500003446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pt-BR"/>
              <a:t>Composição da Receita</a:t>
            </a:r>
          </a:p>
        </c:rich>
      </c:tx>
      <c:layout>
        <c:manualLayout>
          <c:xMode val="edge"/>
          <c:yMode val="edge"/>
          <c:x val="0.28557258467691582"/>
          <c:y val="3.1239248940036452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ofPieChart>
        <c:ofPieType val="bar"/>
        <c:varyColors val="1"/>
        <c:ser>
          <c:idx val="0"/>
          <c:order val="0"/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gradFill rotWithShape="0">
                <a:gsLst>
                  <a:gs pos="0">
                    <a:srgbClr val="FFCC00"/>
                  </a:gs>
                  <a:gs pos="100000">
                    <a:srgbClr val="FFCC00">
                      <a:gamma/>
                      <a:shade val="46275"/>
                      <a:invGamma/>
                    </a:srgbClr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1ED1-4C81-A932-AECE1BE7F62F}"/>
              </c:ext>
            </c:extLst>
          </c:dPt>
          <c:dPt>
            <c:idx val="1"/>
            <c:bubble3D val="0"/>
            <c:spPr>
              <a:gradFill rotWithShape="0">
                <a:gsLst>
                  <a:gs pos="0">
                    <a:srgbClr val="008080"/>
                  </a:gs>
                  <a:gs pos="50000">
                    <a:srgbClr val="008080">
                      <a:gamma/>
                      <a:shade val="46275"/>
                      <a:invGamma/>
                    </a:srgbClr>
                  </a:gs>
                  <a:gs pos="100000">
                    <a:srgbClr val="00808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1ED1-4C81-A932-AECE1BE7F62F}"/>
              </c:ext>
            </c:extLst>
          </c:dPt>
          <c:dLbls>
            <c:dLbl>
              <c:idx val="0"/>
              <c:layout>
                <c:manualLayout>
                  <c:x val="4.9483233441886586E-3"/>
                  <c:y val="-0.2421109435874774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ED1-4C81-A932-AECE1BE7F62F}"/>
                </c:ext>
              </c:extLst>
            </c:dLbl>
            <c:dLbl>
              <c:idx val="1"/>
              <c:layout>
                <c:manualLayout>
                  <c:x val="1.0818075650186687E-2"/>
                  <c:y val="6.71577201410441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ED1-4C81-A932-AECE1BE7F62F}"/>
                </c:ext>
              </c:extLst>
            </c:dLbl>
            <c:dLbl>
              <c:idx val="2"/>
              <c:layout>
                <c:manualLayout>
                  <c:x val="-4.5548115515060446E-3"/>
                  <c:y val="8.277734962228022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ED1-4C81-A932-AECE1BE7F62F}"/>
                </c:ext>
              </c:extLst>
            </c:dLbl>
            <c:dLbl>
              <c:idx val="3"/>
              <c:layout>
                <c:manualLayout>
                  <c:x val="2.5282159047174242E-2"/>
                  <c:y val="-0.2559813702753398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ED1-4C81-A932-AECE1BE7F62F}"/>
                </c:ext>
              </c:extLst>
            </c:dLbl>
            <c:dLbl>
              <c:idx val="4"/>
              <c:layout>
                <c:manualLayout>
                  <c:x val="2.5282159047174152E-2"/>
                  <c:y val="-8.41654459817357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ED1-4C81-A932-AECE1BE7F62F}"/>
                </c:ext>
              </c:extLst>
            </c:dLbl>
            <c:dLbl>
              <c:idx val="5"/>
              <c:layout>
                <c:manualLayout>
                  <c:x val="1.6358014277714564E-2"/>
                  <c:y val="3.217265259911821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ED1-4C81-A932-AECE1BE7F62F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ED1-4C81-A932-AECE1BE7F62F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333399"/>
                    </a:solidFill>
                    <a:latin typeface="Arial Narrow"/>
                    <a:ea typeface="Arial Narrow"/>
                    <a:cs typeface="Arial Narrow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ED1-4C81-A932-AECE1BE7F62F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1ED1-4C81-A932-AECE1BE7F62F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1ED1-4C81-A932-AECE1BE7F62F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1ED1-4C81-A932-AECE1BE7F62F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1ED1-4C81-A932-AECE1BE7F62F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1ED1-4C81-A932-AECE1BE7F62F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1ED1-4C81-A932-AECE1BE7F62F}"/>
            </c:ext>
          </c:extLst>
        </c:ser>
        <c:dLbls>
          <c:showLegendKey val="0"/>
          <c:showVal val="1"/>
          <c:showCatName val="1"/>
          <c:showSerName val="0"/>
          <c:showPercent val="1"/>
          <c:showBubbleSize val="0"/>
          <c:showLeaderLines val="1"/>
        </c:dLbls>
        <c:gapWidth val="100"/>
        <c:splitType val="pos"/>
        <c:splitPos val="3"/>
        <c:secondPieSize val="75"/>
        <c:serLines>
          <c:spPr>
            <a:ln w="3175">
              <a:solidFill>
                <a:srgbClr val="000000"/>
              </a:solidFill>
              <a:prstDash val="solid"/>
            </a:ln>
          </c:spPr>
        </c:serLines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1465" r="0.75000000000001465" t="1" header="0.49212598500003446" footer="0.49212598500003446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pt-BR"/>
              <a:t>Composição da Receita</a:t>
            </a:r>
          </a:p>
        </c:rich>
      </c:tx>
      <c:layout>
        <c:manualLayout>
          <c:xMode val="edge"/>
          <c:yMode val="edge"/>
          <c:x val="0.28557258467691582"/>
          <c:y val="3.1239248940036452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ofPieChart>
        <c:ofPieType val="bar"/>
        <c:varyColors val="1"/>
        <c:ser>
          <c:idx val="0"/>
          <c:order val="0"/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gradFill rotWithShape="0">
                <a:gsLst>
                  <a:gs pos="0">
                    <a:srgbClr val="FFCC00"/>
                  </a:gs>
                  <a:gs pos="100000">
                    <a:srgbClr val="FFCC00">
                      <a:gamma/>
                      <a:shade val="46275"/>
                      <a:invGamma/>
                    </a:srgbClr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081C-4B20-AFB5-FC0AAE982DB2}"/>
              </c:ext>
            </c:extLst>
          </c:dPt>
          <c:dPt>
            <c:idx val="1"/>
            <c:bubble3D val="0"/>
            <c:spPr>
              <a:gradFill rotWithShape="0">
                <a:gsLst>
                  <a:gs pos="0">
                    <a:srgbClr val="008080"/>
                  </a:gs>
                  <a:gs pos="50000">
                    <a:srgbClr val="008080">
                      <a:gamma/>
                      <a:shade val="46275"/>
                      <a:invGamma/>
                    </a:srgbClr>
                  </a:gs>
                  <a:gs pos="100000">
                    <a:srgbClr val="00808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081C-4B20-AFB5-FC0AAE982DB2}"/>
              </c:ext>
            </c:extLst>
          </c:dPt>
          <c:dLbls>
            <c:dLbl>
              <c:idx val="0"/>
              <c:layout>
                <c:manualLayout>
                  <c:x val="4.9483233441886543E-3"/>
                  <c:y val="-0.24211094358747731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1C-4B20-AFB5-FC0AAE982DB2}"/>
                </c:ext>
              </c:extLst>
            </c:dLbl>
            <c:dLbl>
              <c:idx val="1"/>
              <c:layout>
                <c:manualLayout>
                  <c:x val="1.0818075650186687E-2"/>
                  <c:y val="6.71577201410441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1C-4B20-AFB5-FC0AAE982DB2}"/>
                </c:ext>
              </c:extLst>
            </c:dLbl>
            <c:dLbl>
              <c:idx val="2"/>
              <c:layout>
                <c:manualLayout>
                  <c:x val="-4.5548115515060446E-3"/>
                  <c:y val="8.277734962228022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81C-4B20-AFB5-FC0AAE982DB2}"/>
                </c:ext>
              </c:extLst>
            </c:dLbl>
            <c:dLbl>
              <c:idx val="3"/>
              <c:layout>
                <c:manualLayout>
                  <c:x val="2.5282159047174242E-2"/>
                  <c:y val="-0.2559813702753398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81C-4B20-AFB5-FC0AAE982DB2}"/>
                </c:ext>
              </c:extLst>
            </c:dLbl>
            <c:dLbl>
              <c:idx val="4"/>
              <c:layout>
                <c:manualLayout>
                  <c:x val="2.5282159047174152E-2"/>
                  <c:y val="-8.41654459817357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81C-4B20-AFB5-FC0AAE982DB2}"/>
                </c:ext>
              </c:extLst>
            </c:dLbl>
            <c:dLbl>
              <c:idx val="5"/>
              <c:layout>
                <c:manualLayout>
                  <c:x val="1.6358014277714564E-2"/>
                  <c:y val="3.217265259911821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1C-4B20-AFB5-FC0AAE982DB2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81C-4B20-AFB5-FC0AAE982DB2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333399"/>
                    </a:solidFill>
                    <a:latin typeface="Arial Narrow"/>
                    <a:ea typeface="Arial Narrow"/>
                    <a:cs typeface="Arial Narrow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81C-4B20-AFB5-FC0AAE982DB2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081C-4B20-AFB5-FC0AAE982DB2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081C-4B20-AFB5-FC0AAE982DB2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081C-4B20-AFB5-FC0AAE982DB2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081C-4B20-AFB5-FC0AAE982DB2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081C-4B20-AFB5-FC0AAE982DB2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081C-4B20-AFB5-FC0AAE982DB2}"/>
            </c:ext>
          </c:extLst>
        </c:ser>
        <c:dLbls>
          <c:showLegendKey val="0"/>
          <c:showVal val="1"/>
          <c:showCatName val="1"/>
          <c:showSerName val="0"/>
          <c:showPercent val="1"/>
          <c:showBubbleSize val="0"/>
          <c:showLeaderLines val="1"/>
        </c:dLbls>
        <c:gapWidth val="100"/>
        <c:splitType val="pos"/>
        <c:splitPos val="3"/>
        <c:secondPieSize val="75"/>
        <c:serLines>
          <c:spPr>
            <a:ln w="3175">
              <a:solidFill>
                <a:srgbClr val="000000"/>
              </a:solidFill>
              <a:prstDash val="solid"/>
            </a:ln>
          </c:spPr>
        </c:serLines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1465" r="0.75000000000001465" t="1" header="0.49212598500003435" footer="0.4921259850000343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pt-BR"/>
              <a:t>Composição da Receita</a:t>
            </a:r>
          </a:p>
        </c:rich>
      </c:tx>
      <c:layout>
        <c:manualLayout>
          <c:xMode val="edge"/>
          <c:yMode val="edge"/>
          <c:x val="0.28557258467691582"/>
          <c:y val="3.1239248940036452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ofPieChart>
        <c:ofPieType val="bar"/>
        <c:varyColors val="1"/>
        <c:ser>
          <c:idx val="0"/>
          <c:order val="0"/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gradFill rotWithShape="0">
                <a:gsLst>
                  <a:gs pos="0">
                    <a:srgbClr val="FFCC00"/>
                  </a:gs>
                  <a:gs pos="100000">
                    <a:srgbClr val="FFCC00">
                      <a:gamma/>
                      <a:shade val="46275"/>
                      <a:invGamma/>
                    </a:srgbClr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8B6-40E6-A3E4-5A0CDE32ABA8}"/>
              </c:ext>
            </c:extLst>
          </c:dPt>
          <c:dPt>
            <c:idx val="1"/>
            <c:bubble3D val="0"/>
            <c:spPr>
              <a:gradFill rotWithShape="0">
                <a:gsLst>
                  <a:gs pos="0">
                    <a:srgbClr val="008080"/>
                  </a:gs>
                  <a:gs pos="50000">
                    <a:srgbClr val="008080">
                      <a:gamma/>
                      <a:shade val="46275"/>
                      <a:invGamma/>
                    </a:srgbClr>
                  </a:gs>
                  <a:gs pos="100000">
                    <a:srgbClr val="00808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D8B6-40E6-A3E4-5A0CDE32ABA8}"/>
              </c:ext>
            </c:extLst>
          </c:dPt>
          <c:dLbls>
            <c:dLbl>
              <c:idx val="0"/>
              <c:layout>
                <c:manualLayout>
                  <c:x val="4.9483233441886543E-3"/>
                  <c:y val="-0.24211094358747731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B6-40E6-A3E4-5A0CDE32ABA8}"/>
                </c:ext>
              </c:extLst>
            </c:dLbl>
            <c:dLbl>
              <c:idx val="1"/>
              <c:layout>
                <c:manualLayout>
                  <c:x val="1.0818075650186687E-2"/>
                  <c:y val="6.71577201410441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B6-40E6-A3E4-5A0CDE32ABA8}"/>
                </c:ext>
              </c:extLst>
            </c:dLbl>
            <c:dLbl>
              <c:idx val="2"/>
              <c:layout>
                <c:manualLayout>
                  <c:x val="-4.5548115515060446E-3"/>
                  <c:y val="8.277734962228022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B6-40E6-A3E4-5A0CDE32ABA8}"/>
                </c:ext>
              </c:extLst>
            </c:dLbl>
            <c:dLbl>
              <c:idx val="3"/>
              <c:layout>
                <c:manualLayout>
                  <c:x val="2.5282159047174242E-2"/>
                  <c:y val="-0.2559813702753398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B6-40E6-A3E4-5A0CDE32ABA8}"/>
                </c:ext>
              </c:extLst>
            </c:dLbl>
            <c:dLbl>
              <c:idx val="4"/>
              <c:layout>
                <c:manualLayout>
                  <c:x val="2.5282159047174152E-2"/>
                  <c:y val="-8.41654459817357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B6-40E6-A3E4-5A0CDE32ABA8}"/>
                </c:ext>
              </c:extLst>
            </c:dLbl>
            <c:dLbl>
              <c:idx val="5"/>
              <c:layout>
                <c:manualLayout>
                  <c:x val="1.6358014277714564E-2"/>
                  <c:y val="3.217265259911821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B6-40E6-A3E4-5A0CDE32ABA8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B6-40E6-A3E4-5A0CDE32ABA8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333399"/>
                    </a:solidFill>
                    <a:latin typeface="Arial Narrow"/>
                    <a:ea typeface="Arial Narrow"/>
                    <a:cs typeface="Arial Narrow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B6-40E6-A3E4-5A0CDE32ABA8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D8B6-40E6-A3E4-5A0CDE32ABA8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D8B6-40E6-A3E4-5A0CDE32ABA8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D8B6-40E6-A3E4-5A0CDE32ABA8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D8B6-40E6-A3E4-5A0CDE32ABA8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D8B6-40E6-A3E4-5A0CDE32ABA8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D8B6-40E6-A3E4-5A0CDE32ABA8}"/>
            </c:ext>
          </c:extLst>
        </c:ser>
        <c:dLbls>
          <c:showLegendKey val="0"/>
          <c:showVal val="1"/>
          <c:showCatName val="1"/>
          <c:showSerName val="0"/>
          <c:showPercent val="1"/>
          <c:showBubbleSize val="0"/>
          <c:showLeaderLines val="1"/>
        </c:dLbls>
        <c:gapWidth val="100"/>
        <c:splitType val="pos"/>
        <c:splitPos val="3"/>
        <c:secondPieSize val="75"/>
        <c:serLines>
          <c:spPr>
            <a:ln w="3175">
              <a:solidFill>
                <a:srgbClr val="000000"/>
              </a:solidFill>
              <a:prstDash val="solid"/>
            </a:ln>
          </c:spPr>
        </c:serLines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1465" r="0.75000000000001465" t="1" header="0.49212598500003435" footer="0.4921259850000343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pt-BR"/>
              <a:t>Composição da Receita</a:t>
            </a:r>
          </a:p>
        </c:rich>
      </c:tx>
      <c:layout>
        <c:manualLayout>
          <c:xMode val="edge"/>
          <c:yMode val="edge"/>
          <c:x val="0.28557258467691582"/>
          <c:y val="3.1239248940036452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ofPieChart>
        <c:ofPieType val="bar"/>
        <c:varyColors val="1"/>
        <c:ser>
          <c:idx val="0"/>
          <c:order val="0"/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gradFill rotWithShape="0">
                <a:gsLst>
                  <a:gs pos="0">
                    <a:srgbClr val="FFCC00"/>
                  </a:gs>
                  <a:gs pos="100000">
                    <a:srgbClr val="FFCC00">
                      <a:gamma/>
                      <a:shade val="46275"/>
                      <a:invGamma/>
                    </a:srgbClr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761A-4F01-ADA1-D098A53DABB3}"/>
              </c:ext>
            </c:extLst>
          </c:dPt>
          <c:dPt>
            <c:idx val="1"/>
            <c:bubble3D val="0"/>
            <c:spPr>
              <a:gradFill rotWithShape="0">
                <a:gsLst>
                  <a:gs pos="0">
                    <a:srgbClr val="008080"/>
                  </a:gs>
                  <a:gs pos="50000">
                    <a:srgbClr val="008080">
                      <a:gamma/>
                      <a:shade val="46275"/>
                      <a:invGamma/>
                    </a:srgbClr>
                  </a:gs>
                  <a:gs pos="100000">
                    <a:srgbClr val="00808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761A-4F01-ADA1-D098A53DABB3}"/>
              </c:ext>
            </c:extLst>
          </c:dPt>
          <c:dLbls>
            <c:dLbl>
              <c:idx val="0"/>
              <c:layout>
                <c:manualLayout>
                  <c:x val="4.9483233441886586E-3"/>
                  <c:y val="-0.2421109435874774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61A-4F01-ADA1-D098A53DABB3}"/>
                </c:ext>
              </c:extLst>
            </c:dLbl>
            <c:dLbl>
              <c:idx val="1"/>
              <c:layout>
                <c:manualLayout>
                  <c:x val="1.0818075650186687E-2"/>
                  <c:y val="6.71577201410441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61A-4F01-ADA1-D098A53DABB3}"/>
                </c:ext>
              </c:extLst>
            </c:dLbl>
            <c:dLbl>
              <c:idx val="2"/>
              <c:layout>
                <c:manualLayout>
                  <c:x val="-4.5548115515060446E-3"/>
                  <c:y val="8.277734962228022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61A-4F01-ADA1-D098A53DABB3}"/>
                </c:ext>
              </c:extLst>
            </c:dLbl>
            <c:dLbl>
              <c:idx val="3"/>
              <c:layout>
                <c:manualLayout>
                  <c:x val="2.5282159047174242E-2"/>
                  <c:y val="-0.2559813702753398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61A-4F01-ADA1-D098A53DABB3}"/>
                </c:ext>
              </c:extLst>
            </c:dLbl>
            <c:dLbl>
              <c:idx val="4"/>
              <c:layout>
                <c:manualLayout>
                  <c:x val="2.5282159047174152E-2"/>
                  <c:y val="-8.41654459817357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61A-4F01-ADA1-D098A53DABB3}"/>
                </c:ext>
              </c:extLst>
            </c:dLbl>
            <c:dLbl>
              <c:idx val="5"/>
              <c:layout>
                <c:manualLayout>
                  <c:x val="1.6358014277714564E-2"/>
                  <c:y val="3.217265259911821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61A-4F01-ADA1-D098A53DABB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61A-4F01-ADA1-D098A53DABB3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333399"/>
                    </a:solidFill>
                    <a:latin typeface="Arial Narrow"/>
                    <a:ea typeface="Arial Narrow"/>
                    <a:cs typeface="Arial Narrow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61A-4F01-ADA1-D098A53DABB3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761A-4F01-ADA1-D098A53DABB3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761A-4F01-ADA1-D098A53DABB3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761A-4F01-ADA1-D098A53DABB3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761A-4F01-ADA1-D098A53DABB3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761A-4F01-ADA1-D098A53DABB3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761A-4F01-ADA1-D098A53DABB3}"/>
            </c:ext>
          </c:extLst>
        </c:ser>
        <c:dLbls>
          <c:showLegendKey val="0"/>
          <c:showVal val="1"/>
          <c:showCatName val="1"/>
          <c:showSerName val="0"/>
          <c:showPercent val="1"/>
          <c:showBubbleSize val="0"/>
          <c:showLeaderLines val="1"/>
        </c:dLbls>
        <c:gapWidth val="100"/>
        <c:splitType val="pos"/>
        <c:splitPos val="3"/>
        <c:secondPieSize val="75"/>
        <c:serLines>
          <c:spPr>
            <a:ln w="3175">
              <a:solidFill>
                <a:srgbClr val="000000"/>
              </a:solidFill>
              <a:prstDash val="solid"/>
            </a:ln>
          </c:spPr>
        </c:serLines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1465" r="0.75000000000001465" t="1" header="0.49212598500003446" footer="0.49212598500003446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pt-BR"/>
              <a:t>Composição da Receita</a:t>
            </a:r>
          </a:p>
        </c:rich>
      </c:tx>
      <c:layout>
        <c:manualLayout>
          <c:xMode val="edge"/>
          <c:yMode val="edge"/>
          <c:x val="0.28557258467691582"/>
          <c:y val="3.1239248940036452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ofPieChart>
        <c:ofPieType val="bar"/>
        <c:varyColors val="1"/>
        <c:ser>
          <c:idx val="0"/>
          <c:order val="0"/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gradFill rotWithShape="0">
                <a:gsLst>
                  <a:gs pos="0">
                    <a:srgbClr val="FFCC00"/>
                  </a:gs>
                  <a:gs pos="100000">
                    <a:srgbClr val="FFCC00">
                      <a:gamma/>
                      <a:shade val="46275"/>
                      <a:invGamma/>
                    </a:srgbClr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A888-413E-B0F4-0F2808DA661D}"/>
              </c:ext>
            </c:extLst>
          </c:dPt>
          <c:dPt>
            <c:idx val="1"/>
            <c:bubble3D val="0"/>
            <c:spPr>
              <a:gradFill rotWithShape="0">
                <a:gsLst>
                  <a:gs pos="0">
                    <a:srgbClr val="008080"/>
                  </a:gs>
                  <a:gs pos="50000">
                    <a:srgbClr val="008080">
                      <a:gamma/>
                      <a:shade val="46275"/>
                      <a:invGamma/>
                    </a:srgbClr>
                  </a:gs>
                  <a:gs pos="100000">
                    <a:srgbClr val="00808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A888-413E-B0F4-0F2808DA661D}"/>
              </c:ext>
            </c:extLst>
          </c:dPt>
          <c:dLbls>
            <c:dLbl>
              <c:idx val="0"/>
              <c:layout>
                <c:manualLayout>
                  <c:x val="4.9483233441886586E-3"/>
                  <c:y val="-0.2421109435874774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88-413E-B0F4-0F2808DA661D}"/>
                </c:ext>
              </c:extLst>
            </c:dLbl>
            <c:dLbl>
              <c:idx val="1"/>
              <c:layout>
                <c:manualLayout>
                  <c:x val="1.0818075650186687E-2"/>
                  <c:y val="6.71577201410441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888-413E-B0F4-0F2808DA661D}"/>
                </c:ext>
              </c:extLst>
            </c:dLbl>
            <c:dLbl>
              <c:idx val="2"/>
              <c:layout>
                <c:manualLayout>
                  <c:x val="-4.5548115515060446E-3"/>
                  <c:y val="8.277734962228022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888-413E-B0F4-0F2808DA661D}"/>
                </c:ext>
              </c:extLst>
            </c:dLbl>
            <c:dLbl>
              <c:idx val="3"/>
              <c:layout>
                <c:manualLayout>
                  <c:x val="2.5282159047174242E-2"/>
                  <c:y val="-0.2559813702753398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888-413E-B0F4-0F2808DA661D}"/>
                </c:ext>
              </c:extLst>
            </c:dLbl>
            <c:dLbl>
              <c:idx val="4"/>
              <c:layout>
                <c:manualLayout>
                  <c:x val="2.5282159047174152E-2"/>
                  <c:y val="-8.41654459817357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888-413E-B0F4-0F2808DA661D}"/>
                </c:ext>
              </c:extLst>
            </c:dLbl>
            <c:dLbl>
              <c:idx val="5"/>
              <c:layout>
                <c:manualLayout>
                  <c:x val="1.6358014277714564E-2"/>
                  <c:y val="3.217265259911821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888-413E-B0F4-0F2808DA661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888-413E-B0F4-0F2808DA661D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333399"/>
                    </a:solidFill>
                    <a:latin typeface="Arial Narrow"/>
                    <a:ea typeface="Arial Narrow"/>
                    <a:cs typeface="Arial Narrow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888-413E-B0F4-0F2808DA661D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A888-413E-B0F4-0F2808DA661D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A888-413E-B0F4-0F2808DA661D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A888-413E-B0F4-0F2808DA661D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A888-413E-B0F4-0F2808DA661D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A888-413E-B0F4-0F2808DA661D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A888-413E-B0F4-0F2808DA661D}"/>
            </c:ext>
          </c:extLst>
        </c:ser>
        <c:dLbls>
          <c:showLegendKey val="0"/>
          <c:showVal val="1"/>
          <c:showCatName val="1"/>
          <c:showSerName val="0"/>
          <c:showPercent val="1"/>
          <c:showBubbleSize val="0"/>
          <c:showLeaderLines val="1"/>
        </c:dLbls>
        <c:gapWidth val="100"/>
        <c:splitType val="pos"/>
        <c:splitPos val="3"/>
        <c:secondPieSize val="75"/>
        <c:serLines>
          <c:spPr>
            <a:ln w="3175">
              <a:solidFill>
                <a:srgbClr val="000000"/>
              </a:solidFill>
              <a:prstDash val="solid"/>
            </a:ln>
          </c:spPr>
        </c:serLines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1465" r="0.75000000000001465" t="1" header="0.49212598500003446" footer="0.49212598500003446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pt-BR"/>
              <a:t>Composição da Receita</a:t>
            </a:r>
          </a:p>
        </c:rich>
      </c:tx>
      <c:layout>
        <c:manualLayout>
          <c:xMode val="edge"/>
          <c:yMode val="edge"/>
          <c:x val="0.28557258467691582"/>
          <c:y val="3.1239248940036452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ofPieChart>
        <c:ofPieType val="bar"/>
        <c:varyColors val="1"/>
        <c:ser>
          <c:idx val="0"/>
          <c:order val="0"/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gradFill rotWithShape="0">
                <a:gsLst>
                  <a:gs pos="0">
                    <a:srgbClr val="FFCC00"/>
                  </a:gs>
                  <a:gs pos="100000">
                    <a:srgbClr val="FFCC00">
                      <a:gamma/>
                      <a:shade val="46275"/>
                      <a:invGamma/>
                    </a:srgbClr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2954-4910-A6D8-76060FCF146E}"/>
              </c:ext>
            </c:extLst>
          </c:dPt>
          <c:dPt>
            <c:idx val="1"/>
            <c:bubble3D val="0"/>
            <c:spPr>
              <a:gradFill rotWithShape="0">
                <a:gsLst>
                  <a:gs pos="0">
                    <a:srgbClr val="008080"/>
                  </a:gs>
                  <a:gs pos="50000">
                    <a:srgbClr val="008080">
                      <a:gamma/>
                      <a:shade val="46275"/>
                      <a:invGamma/>
                    </a:srgbClr>
                  </a:gs>
                  <a:gs pos="100000">
                    <a:srgbClr val="00808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2954-4910-A6D8-76060FCF146E}"/>
              </c:ext>
            </c:extLst>
          </c:dPt>
          <c:dLbls>
            <c:dLbl>
              <c:idx val="0"/>
              <c:layout>
                <c:manualLayout>
                  <c:x val="4.9483233441886543E-3"/>
                  <c:y val="-0.24211094358747731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954-4910-A6D8-76060FCF146E}"/>
                </c:ext>
              </c:extLst>
            </c:dLbl>
            <c:dLbl>
              <c:idx val="1"/>
              <c:layout>
                <c:manualLayout>
                  <c:x val="1.0818075650186687E-2"/>
                  <c:y val="6.71577201410441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954-4910-A6D8-76060FCF146E}"/>
                </c:ext>
              </c:extLst>
            </c:dLbl>
            <c:dLbl>
              <c:idx val="2"/>
              <c:layout>
                <c:manualLayout>
                  <c:x val="-4.5548115515060446E-3"/>
                  <c:y val="8.277734962228022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954-4910-A6D8-76060FCF146E}"/>
                </c:ext>
              </c:extLst>
            </c:dLbl>
            <c:dLbl>
              <c:idx val="3"/>
              <c:layout>
                <c:manualLayout>
                  <c:x val="2.5282159047174242E-2"/>
                  <c:y val="-0.2559813702753398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954-4910-A6D8-76060FCF146E}"/>
                </c:ext>
              </c:extLst>
            </c:dLbl>
            <c:dLbl>
              <c:idx val="4"/>
              <c:layout>
                <c:manualLayout>
                  <c:x val="2.5282159047174152E-2"/>
                  <c:y val="-8.41654459817357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954-4910-A6D8-76060FCF146E}"/>
                </c:ext>
              </c:extLst>
            </c:dLbl>
            <c:dLbl>
              <c:idx val="5"/>
              <c:layout>
                <c:manualLayout>
                  <c:x val="1.6358014277714564E-2"/>
                  <c:y val="3.217265259911821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954-4910-A6D8-76060FCF146E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954-4910-A6D8-76060FCF146E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333399"/>
                    </a:solidFill>
                    <a:latin typeface="Arial Narrow"/>
                    <a:ea typeface="Arial Narrow"/>
                    <a:cs typeface="Arial Narrow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954-4910-A6D8-76060FCF146E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2954-4910-A6D8-76060FCF146E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2954-4910-A6D8-76060FCF146E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2954-4910-A6D8-76060FCF146E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2954-4910-A6D8-76060FCF146E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2954-4910-A6D8-76060FCF146E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2954-4910-A6D8-76060FCF146E}"/>
            </c:ext>
          </c:extLst>
        </c:ser>
        <c:dLbls>
          <c:showLegendKey val="0"/>
          <c:showVal val="1"/>
          <c:showCatName val="1"/>
          <c:showSerName val="0"/>
          <c:showPercent val="1"/>
          <c:showBubbleSize val="0"/>
          <c:showLeaderLines val="1"/>
        </c:dLbls>
        <c:gapWidth val="100"/>
        <c:splitType val="pos"/>
        <c:splitPos val="3"/>
        <c:secondPieSize val="75"/>
        <c:serLines>
          <c:spPr>
            <a:ln w="3175">
              <a:solidFill>
                <a:srgbClr val="000000"/>
              </a:solidFill>
              <a:prstDash val="solid"/>
            </a:ln>
          </c:spPr>
        </c:serLines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1465" r="0.75000000000001465" t="1" header="0.49212598500003435" footer="0.4921259850000343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pt-BR"/>
              <a:t>Composição da Receita</a:t>
            </a:r>
          </a:p>
        </c:rich>
      </c:tx>
      <c:layout>
        <c:manualLayout>
          <c:xMode val="edge"/>
          <c:yMode val="edge"/>
          <c:x val="0.28557258467691582"/>
          <c:y val="3.1239248940036452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ofPieChart>
        <c:ofPieType val="bar"/>
        <c:varyColors val="1"/>
        <c:ser>
          <c:idx val="0"/>
          <c:order val="0"/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gradFill rotWithShape="0">
                <a:gsLst>
                  <a:gs pos="0">
                    <a:srgbClr val="FFCC00"/>
                  </a:gs>
                  <a:gs pos="100000">
                    <a:srgbClr val="FFCC00">
                      <a:gamma/>
                      <a:shade val="46275"/>
                      <a:invGamma/>
                    </a:srgbClr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4AD2-44A2-923D-3075E9471BCE}"/>
              </c:ext>
            </c:extLst>
          </c:dPt>
          <c:dPt>
            <c:idx val="1"/>
            <c:bubble3D val="0"/>
            <c:spPr>
              <a:gradFill rotWithShape="0">
                <a:gsLst>
                  <a:gs pos="0">
                    <a:srgbClr val="008080"/>
                  </a:gs>
                  <a:gs pos="50000">
                    <a:srgbClr val="008080">
                      <a:gamma/>
                      <a:shade val="46275"/>
                      <a:invGamma/>
                    </a:srgbClr>
                  </a:gs>
                  <a:gs pos="100000">
                    <a:srgbClr val="00808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4AD2-44A2-923D-3075E9471BCE}"/>
              </c:ext>
            </c:extLst>
          </c:dPt>
          <c:dLbls>
            <c:dLbl>
              <c:idx val="0"/>
              <c:layout>
                <c:manualLayout>
                  <c:x val="4.9483233441886543E-3"/>
                  <c:y val="-0.24211094358747731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AD2-44A2-923D-3075E9471BCE}"/>
                </c:ext>
              </c:extLst>
            </c:dLbl>
            <c:dLbl>
              <c:idx val="1"/>
              <c:layout>
                <c:manualLayout>
                  <c:x val="1.0818075650186687E-2"/>
                  <c:y val="6.71577201410441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AD2-44A2-923D-3075E9471BCE}"/>
                </c:ext>
              </c:extLst>
            </c:dLbl>
            <c:dLbl>
              <c:idx val="2"/>
              <c:layout>
                <c:manualLayout>
                  <c:x val="-4.5548115515060446E-3"/>
                  <c:y val="8.277734962228022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AD2-44A2-923D-3075E9471BCE}"/>
                </c:ext>
              </c:extLst>
            </c:dLbl>
            <c:dLbl>
              <c:idx val="3"/>
              <c:layout>
                <c:manualLayout>
                  <c:x val="2.5282159047174242E-2"/>
                  <c:y val="-0.2559813702753398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AD2-44A2-923D-3075E9471BCE}"/>
                </c:ext>
              </c:extLst>
            </c:dLbl>
            <c:dLbl>
              <c:idx val="4"/>
              <c:layout>
                <c:manualLayout>
                  <c:x val="2.5282159047174152E-2"/>
                  <c:y val="-8.41654459817357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AD2-44A2-923D-3075E9471BCE}"/>
                </c:ext>
              </c:extLst>
            </c:dLbl>
            <c:dLbl>
              <c:idx val="5"/>
              <c:layout>
                <c:manualLayout>
                  <c:x val="1.6358014277714564E-2"/>
                  <c:y val="3.217265259911821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AD2-44A2-923D-3075E9471BCE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AD2-44A2-923D-3075E9471BCE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333399"/>
                    </a:solidFill>
                    <a:latin typeface="Arial Narrow"/>
                    <a:ea typeface="Arial Narrow"/>
                    <a:cs typeface="Arial Narrow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AD2-44A2-923D-3075E9471BCE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4AD2-44A2-923D-3075E9471BCE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4AD2-44A2-923D-3075E9471BCE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4AD2-44A2-923D-3075E9471BCE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4AD2-44A2-923D-3075E9471BCE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4AD2-44A2-923D-3075E9471BCE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4AD2-44A2-923D-3075E9471BCE}"/>
            </c:ext>
          </c:extLst>
        </c:ser>
        <c:dLbls>
          <c:showLegendKey val="0"/>
          <c:showVal val="1"/>
          <c:showCatName val="1"/>
          <c:showSerName val="0"/>
          <c:showPercent val="1"/>
          <c:showBubbleSize val="0"/>
          <c:showLeaderLines val="1"/>
        </c:dLbls>
        <c:gapWidth val="100"/>
        <c:splitType val="pos"/>
        <c:splitPos val="3"/>
        <c:secondPieSize val="75"/>
        <c:serLines>
          <c:spPr>
            <a:ln w="3175">
              <a:solidFill>
                <a:srgbClr val="000000"/>
              </a:solidFill>
              <a:prstDash val="solid"/>
            </a:ln>
          </c:spPr>
        </c:serLines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1465" r="0.75000000000001465" t="1" header="0.49212598500003435" footer="0.4921259850000343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pt-BR"/>
              <a:t>Composição da Receita</a:t>
            </a:r>
          </a:p>
        </c:rich>
      </c:tx>
      <c:layout>
        <c:manualLayout>
          <c:xMode val="edge"/>
          <c:yMode val="edge"/>
          <c:x val="0.28557258467691582"/>
          <c:y val="3.1239248940036452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ofPieChart>
        <c:ofPieType val="bar"/>
        <c:varyColors val="1"/>
        <c:ser>
          <c:idx val="0"/>
          <c:order val="0"/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gradFill rotWithShape="0">
                <a:gsLst>
                  <a:gs pos="0">
                    <a:srgbClr val="FFCC00"/>
                  </a:gs>
                  <a:gs pos="100000">
                    <a:srgbClr val="FFCC00">
                      <a:gamma/>
                      <a:shade val="46275"/>
                      <a:invGamma/>
                    </a:srgbClr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0A3E-4717-A96C-DD8B51C978A8}"/>
              </c:ext>
            </c:extLst>
          </c:dPt>
          <c:dPt>
            <c:idx val="1"/>
            <c:bubble3D val="0"/>
            <c:spPr>
              <a:gradFill rotWithShape="0">
                <a:gsLst>
                  <a:gs pos="0">
                    <a:srgbClr val="008080"/>
                  </a:gs>
                  <a:gs pos="50000">
                    <a:srgbClr val="008080">
                      <a:gamma/>
                      <a:shade val="46275"/>
                      <a:invGamma/>
                    </a:srgbClr>
                  </a:gs>
                  <a:gs pos="100000">
                    <a:srgbClr val="00808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0A3E-4717-A96C-DD8B51C978A8}"/>
              </c:ext>
            </c:extLst>
          </c:dPt>
          <c:dLbls>
            <c:dLbl>
              <c:idx val="0"/>
              <c:layout>
                <c:manualLayout>
                  <c:x val="4.9483233441886586E-3"/>
                  <c:y val="-0.2421109435874774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A3E-4717-A96C-DD8B51C978A8}"/>
                </c:ext>
              </c:extLst>
            </c:dLbl>
            <c:dLbl>
              <c:idx val="1"/>
              <c:layout>
                <c:manualLayout>
                  <c:x val="1.0818075650186687E-2"/>
                  <c:y val="6.71577201410441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3E-4717-A96C-DD8B51C978A8}"/>
                </c:ext>
              </c:extLst>
            </c:dLbl>
            <c:dLbl>
              <c:idx val="2"/>
              <c:layout>
                <c:manualLayout>
                  <c:x val="-4.5548115515060446E-3"/>
                  <c:y val="8.277734962228022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3E-4717-A96C-DD8B51C978A8}"/>
                </c:ext>
              </c:extLst>
            </c:dLbl>
            <c:dLbl>
              <c:idx val="3"/>
              <c:layout>
                <c:manualLayout>
                  <c:x val="2.5282159047174242E-2"/>
                  <c:y val="-0.2559813702753398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A3E-4717-A96C-DD8B51C978A8}"/>
                </c:ext>
              </c:extLst>
            </c:dLbl>
            <c:dLbl>
              <c:idx val="4"/>
              <c:layout>
                <c:manualLayout>
                  <c:x val="2.5282159047174152E-2"/>
                  <c:y val="-8.41654459817357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3E-4717-A96C-DD8B51C978A8}"/>
                </c:ext>
              </c:extLst>
            </c:dLbl>
            <c:dLbl>
              <c:idx val="5"/>
              <c:layout>
                <c:manualLayout>
                  <c:x val="1.6358014277714564E-2"/>
                  <c:y val="3.217265259911821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3E-4717-A96C-DD8B51C978A8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3E-4717-A96C-DD8B51C978A8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333399"/>
                    </a:solidFill>
                    <a:latin typeface="Arial Narrow"/>
                    <a:ea typeface="Arial Narrow"/>
                    <a:cs typeface="Arial Narrow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A3E-4717-A96C-DD8B51C978A8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0A3E-4717-A96C-DD8B51C978A8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0A3E-4717-A96C-DD8B51C978A8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0A3E-4717-A96C-DD8B51C978A8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0A3E-4717-A96C-DD8B51C978A8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0A3E-4717-A96C-DD8B51C978A8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0A3E-4717-A96C-DD8B51C978A8}"/>
            </c:ext>
          </c:extLst>
        </c:ser>
        <c:dLbls>
          <c:showLegendKey val="0"/>
          <c:showVal val="1"/>
          <c:showCatName val="1"/>
          <c:showSerName val="0"/>
          <c:showPercent val="1"/>
          <c:showBubbleSize val="0"/>
          <c:showLeaderLines val="1"/>
        </c:dLbls>
        <c:gapWidth val="100"/>
        <c:splitType val="pos"/>
        <c:splitPos val="3"/>
        <c:secondPieSize val="75"/>
        <c:serLines>
          <c:spPr>
            <a:ln w="3175">
              <a:solidFill>
                <a:srgbClr val="000000"/>
              </a:solidFill>
              <a:prstDash val="solid"/>
            </a:ln>
          </c:spPr>
        </c:serLines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1465" r="0.75000000000001465" t="1" header="0.49212598500003446" footer="0.49212598500003446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pt-BR"/>
              <a:t>Composição da Receita</a:t>
            </a:r>
          </a:p>
        </c:rich>
      </c:tx>
      <c:layout>
        <c:manualLayout>
          <c:xMode val="edge"/>
          <c:yMode val="edge"/>
          <c:x val="0.28557258467691582"/>
          <c:y val="3.1239248940036452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ofPieChart>
        <c:ofPieType val="bar"/>
        <c:varyColors val="1"/>
        <c:ser>
          <c:idx val="0"/>
          <c:order val="0"/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gradFill rotWithShape="0">
                <a:gsLst>
                  <a:gs pos="0">
                    <a:srgbClr val="FFCC00"/>
                  </a:gs>
                  <a:gs pos="100000">
                    <a:srgbClr val="FFCC00">
                      <a:gamma/>
                      <a:shade val="46275"/>
                      <a:invGamma/>
                    </a:srgbClr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ABFC-4419-A487-36A6565AB97E}"/>
              </c:ext>
            </c:extLst>
          </c:dPt>
          <c:dPt>
            <c:idx val="1"/>
            <c:bubble3D val="0"/>
            <c:spPr>
              <a:gradFill rotWithShape="0">
                <a:gsLst>
                  <a:gs pos="0">
                    <a:srgbClr val="008080"/>
                  </a:gs>
                  <a:gs pos="50000">
                    <a:srgbClr val="008080">
                      <a:gamma/>
                      <a:shade val="46275"/>
                      <a:invGamma/>
                    </a:srgbClr>
                  </a:gs>
                  <a:gs pos="100000">
                    <a:srgbClr val="00808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ABFC-4419-A487-36A6565AB97E}"/>
              </c:ext>
            </c:extLst>
          </c:dPt>
          <c:dLbls>
            <c:dLbl>
              <c:idx val="0"/>
              <c:layout>
                <c:manualLayout>
                  <c:x val="4.9483233441886586E-3"/>
                  <c:y val="-0.2421109435874774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BFC-4419-A487-36A6565AB97E}"/>
                </c:ext>
              </c:extLst>
            </c:dLbl>
            <c:dLbl>
              <c:idx val="1"/>
              <c:layout>
                <c:manualLayout>
                  <c:x val="1.0818075650186687E-2"/>
                  <c:y val="6.71577201410441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BFC-4419-A487-36A6565AB97E}"/>
                </c:ext>
              </c:extLst>
            </c:dLbl>
            <c:dLbl>
              <c:idx val="2"/>
              <c:layout>
                <c:manualLayout>
                  <c:x val="-4.5548115515060446E-3"/>
                  <c:y val="8.277734962228022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BFC-4419-A487-36A6565AB97E}"/>
                </c:ext>
              </c:extLst>
            </c:dLbl>
            <c:dLbl>
              <c:idx val="3"/>
              <c:layout>
                <c:manualLayout>
                  <c:x val="2.5282159047174242E-2"/>
                  <c:y val="-0.2559813702753398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BFC-4419-A487-36A6565AB97E}"/>
                </c:ext>
              </c:extLst>
            </c:dLbl>
            <c:dLbl>
              <c:idx val="4"/>
              <c:layout>
                <c:manualLayout>
                  <c:x val="2.5282159047174152E-2"/>
                  <c:y val="-8.41654459817357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BFC-4419-A487-36A6565AB97E}"/>
                </c:ext>
              </c:extLst>
            </c:dLbl>
            <c:dLbl>
              <c:idx val="5"/>
              <c:layout>
                <c:manualLayout>
                  <c:x val="1.6358014277714564E-2"/>
                  <c:y val="3.217265259911821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BFC-4419-A487-36A6565AB97E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BFC-4419-A487-36A6565AB97E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333399"/>
                    </a:solidFill>
                    <a:latin typeface="Arial Narrow"/>
                    <a:ea typeface="Arial Narrow"/>
                    <a:cs typeface="Arial Narrow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BFC-4419-A487-36A6565AB97E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ABFC-4419-A487-36A6565AB97E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ABFC-4419-A487-36A6565AB97E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ABFC-4419-A487-36A6565AB97E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ABFC-4419-A487-36A6565AB97E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ABFC-4419-A487-36A6565AB97E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ABFC-4419-A487-36A6565AB97E}"/>
            </c:ext>
          </c:extLst>
        </c:ser>
        <c:dLbls>
          <c:showLegendKey val="0"/>
          <c:showVal val="1"/>
          <c:showCatName val="1"/>
          <c:showSerName val="0"/>
          <c:showPercent val="1"/>
          <c:showBubbleSize val="0"/>
          <c:showLeaderLines val="1"/>
        </c:dLbls>
        <c:gapWidth val="100"/>
        <c:splitType val="pos"/>
        <c:splitPos val="3"/>
        <c:secondPieSize val="75"/>
        <c:serLines>
          <c:spPr>
            <a:ln w="3175">
              <a:solidFill>
                <a:srgbClr val="000000"/>
              </a:solidFill>
              <a:prstDash val="solid"/>
            </a:ln>
          </c:spPr>
        </c:serLines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1465" r="0.75000000000001465" t="1" header="0.49212598500003446" footer="0.49212598500003446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pt-BR"/>
              <a:t>Composição da Receita</a:t>
            </a:r>
          </a:p>
        </c:rich>
      </c:tx>
      <c:layout>
        <c:manualLayout>
          <c:xMode val="edge"/>
          <c:yMode val="edge"/>
          <c:x val="0.28557258467691582"/>
          <c:y val="3.1239248940036452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ofPieChart>
        <c:ofPieType val="bar"/>
        <c:varyColors val="1"/>
        <c:ser>
          <c:idx val="0"/>
          <c:order val="0"/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gradFill rotWithShape="0">
                <a:gsLst>
                  <a:gs pos="0">
                    <a:srgbClr val="FFCC00"/>
                  </a:gs>
                  <a:gs pos="100000">
                    <a:srgbClr val="FFCC00">
                      <a:gamma/>
                      <a:shade val="46275"/>
                      <a:invGamma/>
                    </a:srgbClr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62F3-4B1A-88FE-7FBDF7184BE4}"/>
              </c:ext>
            </c:extLst>
          </c:dPt>
          <c:dPt>
            <c:idx val="1"/>
            <c:bubble3D val="0"/>
            <c:spPr>
              <a:gradFill rotWithShape="0">
                <a:gsLst>
                  <a:gs pos="0">
                    <a:srgbClr val="008080"/>
                  </a:gs>
                  <a:gs pos="50000">
                    <a:srgbClr val="008080">
                      <a:gamma/>
                      <a:shade val="46275"/>
                      <a:invGamma/>
                    </a:srgbClr>
                  </a:gs>
                  <a:gs pos="100000">
                    <a:srgbClr val="00808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62F3-4B1A-88FE-7FBDF7184BE4}"/>
              </c:ext>
            </c:extLst>
          </c:dPt>
          <c:dLbls>
            <c:dLbl>
              <c:idx val="0"/>
              <c:layout>
                <c:manualLayout>
                  <c:x val="4.9483233441886543E-3"/>
                  <c:y val="-0.24211094358747731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2F3-4B1A-88FE-7FBDF7184BE4}"/>
                </c:ext>
              </c:extLst>
            </c:dLbl>
            <c:dLbl>
              <c:idx val="1"/>
              <c:layout>
                <c:manualLayout>
                  <c:x val="1.0818075650186687E-2"/>
                  <c:y val="6.71577201410441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F3-4B1A-88FE-7FBDF7184BE4}"/>
                </c:ext>
              </c:extLst>
            </c:dLbl>
            <c:dLbl>
              <c:idx val="2"/>
              <c:layout>
                <c:manualLayout>
                  <c:x val="-4.5548115515060446E-3"/>
                  <c:y val="8.277734962228022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F3-4B1A-88FE-7FBDF7184BE4}"/>
                </c:ext>
              </c:extLst>
            </c:dLbl>
            <c:dLbl>
              <c:idx val="3"/>
              <c:layout>
                <c:manualLayout>
                  <c:x val="2.5282159047174242E-2"/>
                  <c:y val="-0.2559813702753398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2F3-4B1A-88FE-7FBDF7184BE4}"/>
                </c:ext>
              </c:extLst>
            </c:dLbl>
            <c:dLbl>
              <c:idx val="4"/>
              <c:layout>
                <c:manualLayout>
                  <c:x val="2.5282159047174152E-2"/>
                  <c:y val="-8.41654459817357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F3-4B1A-88FE-7FBDF7184BE4}"/>
                </c:ext>
              </c:extLst>
            </c:dLbl>
            <c:dLbl>
              <c:idx val="5"/>
              <c:layout>
                <c:manualLayout>
                  <c:x val="1.6358014277714564E-2"/>
                  <c:y val="3.217265259911821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F3-4B1A-88FE-7FBDF7184BE4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F3-4B1A-88FE-7FBDF7184BE4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333399"/>
                    </a:solidFill>
                    <a:latin typeface="Arial Narrow"/>
                    <a:ea typeface="Arial Narrow"/>
                    <a:cs typeface="Arial Narrow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2F3-4B1A-88FE-7FBDF7184BE4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62F3-4B1A-88FE-7FBDF7184BE4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62F3-4B1A-88FE-7FBDF7184BE4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62F3-4B1A-88FE-7FBDF7184BE4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62F3-4B1A-88FE-7FBDF7184BE4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62F3-4B1A-88FE-7FBDF7184BE4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62F3-4B1A-88FE-7FBDF7184BE4}"/>
            </c:ext>
          </c:extLst>
        </c:ser>
        <c:dLbls>
          <c:showLegendKey val="0"/>
          <c:showVal val="1"/>
          <c:showCatName val="1"/>
          <c:showSerName val="0"/>
          <c:showPercent val="1"/>
          <c:showBubbleSize val="0"/>
          <c:showLeaderLines val="1"/>
        </c:dLbls>
        <c:gapWidth val="100"/>
        <c:splitType val="pos"/>
        <c:splitPos val="3"/>
        <c:secondPieSize val="75"/>
        <c:serLines>
          <c:spPr>
            <a:ln w="3175">
              <a:solidFill>
                <a:srgbClr val="000000"/>
              </a:solidFill>
              <a:prstDash val="solid"/>
            </a:ln>
          </c:spPr>
        </c:serLines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1465" r="0.75000000000001465" t="1" header="0.49212598500003435" footer="0.4921259850000343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pt-BR"/>
              <a:t>Composição da Receita</a:t>
            </a:r>
          </a:p>
        </c:rich>
      </c:tx>
      <c:layout>
        <c:manualLayout>
          <c:xMode val="edge"/>
          <c:yMode val="edge"/>
          <c:x val="0.28557258467691582"/>
          <c:y val="3.1239248940036452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ofPieChart>
        <c:ofPieType val="bar"/>
        <c:varyColors val="1"/>
        <c:ser>
          <c:idx val="0"/>
          <c:order val="0"/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gradFill rotWithShape="0">
                <a:gsLst>
                  <a:gs pos="0">
                    <a:srgbClr val="FFCC00"/>
                  </a:gs>
                  <a:gs pos="100000">
                    <a:srgbClr val="FFCC00">
                      <a:gamma/>
                      <a:shade val="46275"/>
                      <a:invGamma/>
                    </a:srgbClr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144C-4F09-90C7-891CA67FAAA7}"/>
              </c:ext>
            </c:extLst>
          </c:dPt>
          <c:dPt>
            <c:idx val="1"/>
            <c:bubble3D val="0"/>
            <c:spPr>
              <a:gradFill rotWithShape="0">
                <a:gsLst>
                  <a:gs pos="0">
                    <a:srgbClr val="008080"/>
                  </a:gs>
                  <a:gs pos="50000">
                    <a:srgbClr val="008080">
                      <a:gamma/>
                      <a:shade val="46275"/>
                      <a:invGamma/>
                    </a:srgbClr>
                  </a:gs>
                  <a:gs pos="100000">
                    <a:srgbClr val="00808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144C-4F09-90C7-891CA67FAAA7}"/>
              </c:ext>
            </c:extLst>
          </c:dPt>
          <c:dLbls>
            <c:dLbl>
              <c:idx val="0"/>
              <c:layout>
                <c:manualLayout>
                  <c:x val="4.9483233441886543E-3"/>
                  <c:y val="-0.24211094358747731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44C-4F09-90C7-891CA67FAAA7}"/>
                </c:ext>
              </c:extLst>
            </c:dLbl>
            <c:dLbl>
              <c:idx val="1"/>
              <c:layout>
                <c:manualLayout>
                  <c:x val="1.0818075650186687E-2"/>
                  <c:y val="6.71577201410441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4C-4F09-90C7-891CA67FAAA7}"/>
                </c:ext>
              </c:extLst>
            </c:dLbl>
            <c:dLbl>
              <c:idx val="2"/>
              <c:layout>
                <c:manualLayout>
                  <c:x val="-4.5548115515060446E-3"/>
                  <c:y val="8.277734962228022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4C-4F09-90C7-891CA67FAAA7}"/>
                </c:ext>
              </c:extLst>
            </c:dLbl>
            <c:dLbl>
              <c:idx val="3"/>
              <c:layout>
                <c:manualLayout>
                  <c:x val="2.5282159047174242E-2"/>
                  <c:y val="-0.2559813702753398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44C-4F09-90C7-891CA67FAAA7}"/>
                </c:ext>
              </c:extLst>
            </c:dLbl>
            <c:dLbl>
              <c:idx val="4"/>
              <c:layout>
                <c:manualLayout>
                  <c:x val="2.5282159047174152E-2"/>
                  <c:y val="-8.41654459817357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4C-4F09-90C7-891CA67FAAA7}"/>
                </c:ext>
              </c:extLst>
            </c:dLbl>
            <c:dLbl>
              <c:idx val="5"/>
              <c:layout>
                <c:manualLayout>
                  <c:x val="1.6358014277714564E-2"/>
                  <c:y val="3.217265259911821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4C-4F09-90C7-891CA67FAAA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4C-4F09-90C7-891CA67FAAA7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333399"/>
                    </a:solidFill>
                    <a:latin typeface="Arial Narrow"/>
                    <a:ea typeface="Arial Narrow"/>
                    <a:cs typeface="Arial Narrow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4C-4F09-90C7-891CA67FAAA7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144C-4F09-90C7-891CA67FAAA7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144C-4F09-90C7-891CA67FAAA7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144C-4F09-90C7-891CA67FAAA7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144C-4F09-90C7-891CA67FAAA7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144C-4F09-90C7-891CA67FAAA7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144C-4F09-90C7-891CA67FAAA7}"/>
            </c:ext>
          </c:extLst>
        </c:ser>
        <c:dLbls>
          <c:showLegendKey val="0"/>
          <c:showVal val="1"/>
          <c:showCatName val="1"/>
          <c:showSerName val="0"/>
          <c:showPercent val="1"/>
          <c:showBubbleSize val="0"/>
          <c:showLeaderLines val="1"/>
        </c:dLbls>
        <c:gapWidth val="100"/>
        <c:splitType val="pos"/>
        <c:splitPos val="3"/>
        <c:secondPieSize val="75"/>
        <c:serLines>
          <c:spPr>
            <a:ln w="3175">
              <a:solidFill>
                <a:srgbClr val="000000"/>
              </a:solidFill>
              <a:prstDash val="solid"/>
            </a:ln>
          </c:spPr>
        </c:serLines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1465" r="0.75000000000001465" t="1" header="0.49212598500003435" footer="0.4921259850000343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pt-BR"/>
              <a:t>Composição da Receita</a:t>
            </a:r>
          </a:p>
        </c:rich>
      </c:tx>
      <c:layout>
        <c:manualLayout>
          <c:xMode val="edge"/>
          <c:yMode val="edge"/>
          <c:x val="0.28557258467691582"/>
          <c:y val="3.1239248940036452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ofPieChart>
        <c:ofPieType val="bar"/>
        <c:varyColors val="1"/>
        <c:ser>
          <c:idx val="0"/>
          <c:order val="0"/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gradFill rotWithShape="0">
                <a:gsLst>
                  <a:gs pos="0">
                    <a:srgbClr val="FFCC00"/>
                  </a:gs>
                  <a:gs pos="100000">
                    <a:srgbClr val="FFCC00">
                      <a:gamma/>
                      <a:shade val="46275"/>
                      <a:invGamma/>
                    </a:srgbClr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095-4EFC-BA0C-E8148FEBC5DC}"/>
              </c:ext>
            </c:extLst>
          </c:dPt>
          <c:dPt>
            <c:idx val="1"/>
            <c:bubble3D val="0"/>
            <c:spPr>
              <a:gradFill rotWithShape="0">
                <a:gsLst>
                  <a:gs pos="0">
                    <a:srgbClr val="008080"/>
                  </a:gs>
                  <a:gs pos="50000">
                    <a:srgbClr val="008080">
                      <a:gamma/>
                      <a:shade val="46275"/>
                      <a:invGamma/>
                    </a:srgbClr>
                  </a:gs>
                  <a:gs pos="100000">
                    <a:srgbClr val="00808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095-4EFC-BA0C-E8148FEBC5DC}"/>
              </c:ext>
            </c:extLst>
          </c:dPt>
          <c:dLbls>
            <c:dLbl>
              <c:idx val="0"/>
              <c:layout>
                <c:manualLayout>
                  <c:x val="4.9483233441886586E-3"/>
                  <c:y val="-0.2421109435874774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095-4EFC-BA0C-E8148FEBC5DC}"/>
                </c:ext>
              </c:extLst>
            </c:dLbl>
            <c:dLbl>
              <c:idx val="1"/>
              <c:layout>
                <c:manualLayout>
                  <c:x val="1.0818075650186687E-2"/>
                  <c:y val="6.71577201410441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95-4EFC-BA0C-E8148FEBC5DC}"/>
                </c:ext>
              </c:extLst>
            </c:dLbl>
            <c:dLbl>
              <c:idx val="2"/>
              <c:layout>
                <c:manualLayout>
                  <c:x val="-4.5548115515060446E-3"/>
                  <c:y val="8.277734962228022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095-4EFC-BA0C-E8148FEBC5DC}"/>
                </c:ext>
              </c:extLst>
            </c:dLbl>
            <c:dLbl>
              <c:idx val="3"/>
              <c:layout>
                <c:manualLayout>
                  <c:x val="2.5282159047174242E-2"/>
                  <c:y val="-0.2559813702753398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095-4EFC-BA0C-E8148FEBC5DC}"/>
                </c:ext>
              </c:extLst>
            </c:dLbl>
            <c:dLbl>
              <c:idx val="4"/>
              <c:layout>
                <c:manualLayout>
                  <c:x val="2.5282159047174152E-2"/>
                  <c:y val="-8.41654459817357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095-4EFC-BA0C-E8148FEBC5DC}"/>
                </c:ext>
              </c:extLst>
            </c:dLbl>
            <c:dLbl>
              <c:idx val="5"/>
              <c:layout>
                <c:manualLayout>
                  <c:x val="1.6358014277714564E-2"/>
                  <c:y val="3.217265259911821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095-4EFC-BA0C-E8148FEBC5DC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095-4EFC-BA0C-E8148FEBC5DC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333399"/>
                    </a:solidFill>
                    <a:latin typeface="Arial Narrow"/>
                    <a:ea typeface="Arial Narrow"/>
                    <a:cs typeface="Arial Narrow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095-4EFC-BA0C-E8148FEBC5DC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8095-4EFC-BA0C-E8148FEBC5DC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8095-4EFC-BA0C-E8148FEBC5DC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8095-4EFC-BA0C-E8148FEBC5DC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8095-4EFC-BA0C-E8148FEBC5DC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8095-4EFC-BA0C-E8148FEBC5DC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8095-4EFC-BA0C-E8148FEBC5DC}"/>
            </c:ext>
          </c:extLst>
        </c:ser>
        <c:dLbls>
          <c:showLegendKey val="0"/>
          <c:showVal val="1"/>
          <c:showCatName val="1"/>
          <c:showSerName val="0"/>
          <c:showPercent val="1"/>
          <c:showBubbleSize val="0"/>
          <c:showLeaderLines val="1"/>
        </c:dLbls>
        <c:gapWidth val="100"/>
        <c:splitType val="pos"/>
        <c:splitPos val="3"/>
        <c:secondPieSize val="75"/>
        <c:serLines>
          <c:spPr>
            <a:ln w="3175">
              <a:solidFill>
                <a:srgbClr val="000000"/>
              </a:solidFill>
              <a:prstDash val="solid"/>
            </a:ln>
          </c:spPr>
        </c:serLines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1465" r="0.75000000000001465" t="1" header="0.49212598500003446" footer="0.49212598500003446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pt-BR"/>
              <a:t>Composição da Receita</a:t>
            </a:r>
          </a:p>
        </c:rich>
      </c:tx>
      <c:layout>
        <c:manualLayout>
          <c:xMode val="edge"/>
          <c:yMode val="edge"/>
          <c:x val="0.28557258467691582"/>
          <c:y val="3.1239248940036452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ofPieChart>
        <c:ofPieType val="bar"/>
        <c:varyColors val="1"/>
        <c:ser>
          <c:idx val="0"/>
          <c:order val="0"/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gradFill rotWithShape="0">
                <a:gsLst>
                  <a:gs pos="0">
                    <a:srgbClr val="FFCC00"/>
                  </a:gs>
                  <a:gs pos="100000">
                    <a:srgbClr val="FFCC00">
                      <a:gamma/>
                      <a:shade val="46275"/>
                      <a:invGamma/>
                    </a:srgbClr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E627-4766-A8AC-F4C2F7319149}"/>
              </c:ext>
            </c:extLst>
          </c:dPt>
          <c:dPt>
            <c:idx val="1"/>
            <c:bubble3D val="0"/>
            <c:spPr>
              <a:gradFill rotWithShape="0">
                <a:gsLst>
                  <a:gs pos="0">
                    <a:srgbClr val="008080"/>
                  </a:gs>
                  <a:gs pos="50000">
                    <a:srgbClr val="008080">
                      <a:gamma/>
                      <a:shade val="46275"/>
                      <a:invGamma/>
                    </a:srgbClr>
                  </a:gs>
                  <a:gs pos="100000">
                    <a:srgbClr val="00808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E627-4766-A8AC-F4C2F7319149}"/>
              </c:ext>
            </c:extLst>
          </c:dPt>
          <c:dLbls>
            <c:dLbl>
              <c:idx val="0"/>
              <c:layout>
                <c:manualLayout>
                  <c:x val="4.9483233441886586E-3"/>
                  <c:y val="-0.2421109435874774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627-4766-A8AC-F4C2F7319149}"/>
                </c:ext>
              </c:extLst>
            </c:dLbl>
            <c:dLbl>
              <c:idx val="1"/>
              <c:layout>
                <c:manualLayout>
                  <c:x val="1.0818075650186687E-2"/>
                  <c:y val="6.71577201410441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27-4766-A8AC-F4C2F7319149}"/>
                </c:ext>
              </c:extLst>
            </c:dLbl>
            <c:dLbl>
              <c:idx val="2"/>
              <c:layout>
                <c:manualLayout>
                  <c:x val="-4.5548115515060446E-3"/>
                  <c:y val="8.277734962228022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27-4766-A8AC-F4C2F7319149}"/>
                </c:ext>
              </c:extLst>
            </c:dLbl>
            <c:dLbl>
              <c:idx val="3"/>
              <c:layout>
                <c:manualLayout>
                  <c:x val="2.5282159047174242E-2"/>
                  <c:y val="-0.2559813702753398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627-4766-A8AC-F4C2F7319149}"/>
                </c:ext>
              </c:extLst>
            </c:dLbl>
            <c:dLbl>
              <c:idx val="4"/>
              <c:layout>
                <c:manualLayout>
                  <c:x val="2.5282159047174152E-2"/>
                  <c:y val="-8.41654459817357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627-4766-A8AC-F4C2F7319149}"/>
                </c:ext>
              </c:extLst>
            </c:dLbl>
            <c:dLbl>
              <c:idx val="5"/>
              <c:layout>
                <c:manualLayout>
                  <c:x val="1.6358014277714564E-2"/>
                  <c:y val="3.217265259911821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27-4766-A8AC-F4C2F7319149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627-4766-A8AC-F4C2F7319149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333399"/>
                    </a:solidFill>
                    <a:latin typeface="Arial Narrow"/>
                    <a:ea typeface="Arial Narrow"/>
                    <a:cs typeface="Arial Narrow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627-4766-A8AC-F4C2F7319149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E627-4766-A8AC-F4C2F7319149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E627-4766-A8AC-F4C2F7319149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E627-4766-A8AC-F4C2F7319149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E627-4766-A8AC-F4C2F7319149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E627-4766-A8AC-F4C2F7319149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E627-4766-A8AC-F4C2F7319149}"/>
            </c:ext>
          </c:extLst>
        </c:ser>
        <c:dLbls>
          <c:showLegendKey val="0"/>
          <c:showVal val="1"/>
          <c:showCatName val="1"/>
          <c:showSerName val="0"/>
          <c:showPercent val="1"/>
          <c:showBubbleSize val="0"/>
          <c:showLeaderLines val="1"/>
        </c:dLbls>
        <c:gapWidth val="100"/>
        <c:splitType val="pos"/>
        <c:splitPos val="3"/>
        <c:secondPieSize val="75"/>
        <c:serLines>
          <c:spPr>
            <a:ln w="3175">
              <a:solidFill>
                <a:srgbClr val="000000"/>
              </a:solidFill>
              <a:prstDash val="solid"/>
            </a:ln>
          </c:spPr>
        </c:serLines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1465" r="0.75000000000001465" t="1" header="0.49212598500003446" footer="0.49212598500003446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pt-BR"/>
              <a:t>Composição da Receita</a:t>
            </a:r>
          </a:p>
        </c:rich>
      </c:tx>
      <c:layout>
        <c:manualLayout>
          <c:xMode val="edge"/>
          <c:yMode val="edge"/>
          <c:x val="0.28557258467691582"/>
          <c:y val="3.1239248940036452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ofPieChart>
        <c:ofPieType val="bar"/>
        <c:varyColors val="1"/>
        <c:ser>
          <c:idx val="0"/>
          <c:order val="0"/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gradFill rotWithShape="0">
                <a:gsLst>
                  <a:gs pos="0">
                    <a:srgbClr val="FFCC00"/>
                  </a:gs>
                  <a:gs pos="100000">
                    <a:srgbClr val="FFCC00">
                      <a:gamma/>
                      <a:shade val="46275"/>
                      <a:invGamma/>
                    </a:srgbClr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A1D0-4A9D-A5B8-3A1D0B0F5E50}"/>
              </c:ext>
            </c:extLst>
          </c:dPt>
          <c:dPt>
            <c:idx val="1"/>
            <c:bubble3D val="0"/>
            <c:spPr>
              <a:gradFill rotWithShape="0">
                <a:gsLst>
                  <a:gs pos="0">
                    <a:srgbClr val="008080"/>
                  </a:gs>
                  <a:gs pos="50000">
                    <a:srgbClr val="008080">
                      <a:gamma/>
                      <a:shade val="46275"/>
                      <a:invGamma/>
                    </a:srgbClr>
                  </a:gs>
                  <a:gs pos="100000">
                    <a:srgbClr val="00808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A1D0-4A9D-A5B8-3A1D0B0F5E50}"/>
              </c:ext>
            </c:extLst>
          </c:dPt>
          <c:dLbls>
            <c:dLbl>
              <c:idx val="0"/>
              <c:layout>
                <c:manualLayout>
                  <c:x val="4.9483233441886543E-3"/>
                  <c:y val="-0.24211094358747731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1D0-4A9D-A5B8-3A1D0B0F5E50}"/>
                </c:ext>
              </c:extLst>
            </c:dLbl>
            <c:dLbl>
              <c:idx val="1"/>
              <c:layout>
                <c:manualLayout>
                  <c:x val="1.0818075650186687E-2"/>
                  <c:y val="6.71577201410441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D0-4A9D-A5B8-3A1D0B0F5E50}"/>
                </c:ext>
              </c:extLst>
            </c:dLbl>
            <c:dLbl>
              <c:idx val="2"/>
              <c:layout>
                <c:manualLayout>
                  <c:x val="-4.5548115515060446E-3"/>
                  <c:y val="8.277734962228022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D0-4A9D-A5B8-3A1D0B0F5E50}"/>
                </c:ext>
              </c:extLst>
            </c:dLbl>
            <c:dLbl>
              <c:idx val="3"/>
              <c:layout>
                <c:manualLayout>
                  <c:x val="2.5282159047174242E-2"/>
                  <c:y val="-0.2559813702753398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1D0-4A9D-A5B8-3A1D0B0F5E50}"/>
                </c:ext>
              </c:extLst>
            </c:dLbl>
            <c:dLbl>
              <c:idx val="4"/>
              <c:layout>
                <c:manualLayout>
                  <c:x val="2.5282159047174152E-2"/>
                  <c:y val="-8.41654459817357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D0-4A9D-A5B8-3A1D0B0F5E50}"/>
                </c:ext>
              </c:extLst>
            </c:dLbl>
            <c:dLbl>
              <c:idx val="5"/>
              <c:layout>
                <c:manualLayout>
                  <c:x val="1.6358014277714564E-2"/>
                  <c:y val="3.217265259911821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D0-4A9D-A5B8-3A1D0B0F5E50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D0-4A9D-A5B8-3A1D0B0F5E50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333399"/>
                    </a:solidFill>
                    <a:latin typeface="Arial Narrow"/>
                    <a:ea typeface="Arial Narrow"/>
                    <a:cs typeface="Arial Narrow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1D0-4A9D-A5B8-3A1D0B0F5E50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A1D0-4A9D-A5B8-3A1D0B0F5E50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A1D0-4A9D-A5B8-3A1D0B0F5E50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A1D0-4A9D-A5B8-3A1D0B0F5E50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A1D0-4A9D-A5B8-3A1D0B0F5E50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A1D0-4A9D-A5B8-3A1D0B0F5E50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A1D0-4A9D-A5B8-3A1D0B0F5E50}"/>
            </c:ext>
          </c:extLst>
        </c:ser>
        <c:dLbls>
          <c:showLegendKey val="0"/>
          <c:showVal val="1"/>
          <c:showCatName val="1"/>
          <c:showSerName val="0"/>
          <c:showPercent val="1"/>
          <c:showBubbleSize val="0"/>
          <c:showLeaderLines val="1"/>
        </c:dLbls>
        <c:gapWidth val="100"/>
        <c:splitType val="pos"/>
        <c:splitPos val="3"/>
        <c:secondPieSize val="75"/>
        <c:serLines>
          <c:spPr>
            <a:ln w="3175">
              <a:solidFill>
                <a:srgbClr val="000000"/>
              </a:solidFill>
              <a:prstDash val="solid"/>
            </a:ln>
          </c:spPr>
        </c:serLines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1465" r="0.75000000000001465" t="1" header="0.49212598500003435" footer="0.4921259850000343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pt-BR"/>
              <a:t>Composição da Receita</a:t>
            </a:r>
          </a:p>
        </c:rich>
      </c:tx>
      <c:layout>
        <c:manualLayout>
          <c:xMode val="edge"/>
          <c:yMode val="edge"/>
          <c:x val="0.28557258467691582"/>
          <c:y val="3.1239248940036452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ofPieChart>
        <c:ofPieType val="bar"/>
        <c:varyColors val="1"/>
        <c:ser>
          <c:idx val="0"/>
          <c:order val="0"/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gradFill rotWithShape="0">
                <a:gsLst>
                  <a:gs pos="0">
                    <a:srgbClr val="FFCC00"/>
                  </a:gs>
                  <a:gs pos="100000">
                    <a:srgbClr val="FFCC00">
                      <a:gamma/>
                      <a:shade val="46275"/>
                      <a:invGamma/>
                    </a:srgbClr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F44D-45D0-A348-6C1973C6FC09}"/>
              </c:ext>
            </c:extLst>
          </c:dPt>
          <c:dPt>
            <c:idx val="1"/>
            <c:bubble3D val="0"/>
            <c:spPr>
              <a:gradFill rotWithShape="0">
                <a:gsLst>
                  <a:gs pos="0">
                    <a:srgbClr val="008080"/>
                  </a:gs>
                  <a:gs pos="50000">
                    <a:srgbClr val="008080">
                      <a:gamma/>
                      <a:shade val="46275"/>
                      <a:invGamma/>
                    </a:srgbClr>
                  </a:gs>
                  <a:gs pos="100000">
                    <a:srgbClr val="00808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F44D-45D0-A348-6C1973C6FC09}"/>
              </c:ext>
            </c:extLst>
          </c:dPt>
          <c:dLbls>
            <c:dLbl>
              <c:idx val="0"/>
              <c:layout>
                <c:manualLayout>
                  <c:x val="4.9483233441886543E-3"/>
                  <c:y val="-0.24211094358747731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44D-45D0-A348-6C1973C6FC09}"/>
                </c:ext>
              </c:extLst>
            </c:dLbl>
            <c:dLbl>
              <c:idx val="1"/>
              <c:layout>
                <c:manualLayout>
                  <c:x val="1.0818075650186687E-2"/>
                  <c:y val="6.71577201410441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4D-45D0-A348-6C1973C6FC09}"/>
                </c:ext>
              </c:extLst>
            </c:dLbl>
            <c:dLbl>
              <c:idx val="2"/>
              <c:layout>
                <c:manualLayout>
                  <c:x val="-4.5548115515060446E-3"/>
                  <c:y val="8.277734962228022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4D-45D0-A348-6C1973C6FC09}"/>
                </c:ext>
              </c:extLst>
            </c:dLbl>
            <c:dLbl>
              <c:idx val="3"/>
              <c:layout>
                <c:manualLayout>
                  <c:x val="2.5282159047174242E-2"/>
                  <c:y val="-0.2559813702753398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44D-45D0-A348-6C1973C6FC09}"/>
                </c:ext>
              </c:extLst>
            </c:dLbl>
            <c:dLbl>
              <c:idx val="4"/>
              <c:layout>
                <c:manualLayout>
                  <c:x val="2.5282159047174152E-2"/>
                  <c:y val="-8.41654459817357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4D-45D0-A348-6C1973C6FC09}"/>
                </c:ext>
              </c:extLst>
            </c:dLbl>
            <c:dLbl>
              <c:idx val="5"/>
              <c:layout>
                <c:manualLayout>
                  <c:x val="1.6358014277714564E-2"/>
                  <c:y val="3.217265259911821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4D-45D0-A348-6C1973C6FC09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4D-45D0-A348-6C1973C6FC09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333399"/>
                    </a:solidFill>
                    <a:latin typeface="Arial Narrow"/>
                    <a:ea typeface="Arial Narrow"/>
                    <a:cs typeface="Arial Narrow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4D-45D0-A348-6C1973C6FC09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F44D-45D0-A348-6C1973C6FC09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F44D-45D0-A348-6C1973C6FC09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F44D-45D0-A348-6C1973C6FC09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F44D-45D0-A348-6C1973C6FC09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F44D-45D0-A348-6C1973C6FC09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F44D-45D0-A348-6C1973C6FC09}"/>
            </c:ext>
          </c:extLst>
        </c:ser>
        <c:dLbls>
          <c:showLegendKey val="0"/>
          <c:showVal val="1"/>
          <c:showCatName val="1"/>
          <c:showSerName val="0"/>
          <c:showPercent val="1"/>
          <c:showBubbleSize val="0"/>
          <c:showLeaderLines val="1"/>
        </c:dLbls>
        <c:gapWidth val="100"/>
        <c:splitType val="pos"/>
        <c:splitPos val="3"/>
        <c:secondPieSize val="75"/>
        <c:serLines>
          <c:spPr>
            <a:ln w="3175">
              <a:solidFill>
                <a:srgbClr val="000000"/>
              </a:solidFill>
              <a:prstDash val="solid"/>
            </a:ln>
          </c:spPr>
        </c:serLines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1465" r="0.75000000000001465" t="1" header="0.49212598500003435" footer="0.4921259850000343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pt-BR"/>
              <a:t>Composição da Receita</a:t>
            </a:r>
          </a:p>
        </c:rich>
      </c:tx>
      <c:layout>
        <c:manualLayout>
          <c:xMode val="edge"/>
          <c:yMode val="edge"/>
          <c:x val="0.28557258467691582"/>
          <c:y val="3.1239248940036452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ofPieChart>
        <c:ofPieType val="bar"/>
        <c:varyColors val="1"/>
        <c:ser>
          <c:idx val="0"/>
          <c:order val="0"/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gradFill rotWithShape="0">
                <a:gsLst>
                  <a:gs pos="0">
                    <a:srgbClr val="FFCC00"/>
                  </a:gs>
                  <a:gs pos="100000">
                    <a:srgbClr val="FFCC00">
                      <a:gamma/>
                      <a:shade val="46275"/>
                      <a:invGamma/>
                    </a:srgbClr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B71-405F-A045-EFEE5E6971B3}"/>
              </c:ext>
            </c:extLst>
          </c:dPt>
          <c:dPt>
            <c:idx val="1"/>
            <c:bubble3D val="0"/>
            <c:spPr>
              <a:gradFill rotWithShape="0">
                <a:gsLst>
                  <a:gs pos="0">
                    <a:srgbClr val="008080"/>
                  </a:gs>
                  <a:gs pos="50000">
                    <a:srgbClr val="008080">
                      <a:gamma/>
                      <a:shade val="46275"/>
                      <a:invGamma/>
                    </a:srgbClr>
                  </a:gs>
                  <a:gs pos="100000">
                    <a:srgbClr val="00808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B71-405F-A045-EFEE5E6971B3}"/>
              </c:ext>
            </c:extLst>
          </c:dPt>
          <c:dLbls>
            <c:dLbl>
              <c:idx val="0"/>
              <c:layout>
                <c:manualLayout>
                  <c:x val="4.9483233441886586E-3"/>
                  <c:y val="-0.2421109435874774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B71-405F-A045-EFEE5E6971B3}"/>
                </c:ext>
              </c:extLst>
            </c:dLbl>
            <c:dLbl>
              <c:idx val="1"/>
              <c:layout>
                <c:manualLayout>
                  <c:x val="1.0818075650186687E-2"/>
                  <c:y val="6.71577201410441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B71-405F-A045-EFEE5E6971B3}"/>
                </c:ext>
              </c:extLst>
            </c:dLbl>
            <c:dLbl>
              <c:idx val="2"/>
              <c:layout>
                <c:manualLayout>
                  <c:x val="-4.5548115515060446E-3"/>
                  <c:y val="8.277734962228022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B71-405F-A045-EFEE5E6971B3}"/>
                </c:ext>
              </c:extLst>
            </c:dLbl>
            <c:dLbl>
              <c:idx val="3"/>
              <c:layout>
                <c:manualLayout>
                  <c:x val="2.5282159047174242E-2"/>
                  <c:y val="-0.2559813702753398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71-405F-A045-EFEE5E6971B3}"/>
                </c:ext>
              </c:extLst>
            </c:dLbl>
            <c:dLbl>
              <c:idx val="4"/>
              <c:layout>
                <c:manualLayout>
                  <c:x val="2.5282159047174152E-2"/>
                  <c:y val="-8.41654459817357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71-405F-A045-EFEE5E6971B3}"/>
                </c:ext>
              </c:extLst>
            </c:dLbl>
            <c:dLbl>
              <c:idx val="5"/>
              <c:layout>
                <c:manualLayout>
                  <c:x val="1.6358014277714564E-2"/>
                  <c:y val="3.217265259911821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B71-405F-A045-EFEE5E6971B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B71-405F-A045-EFEE5E6971B3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333399"/>
                    </a:solidFill>
                    <a:latin typeface="Arial Narrow"/>
                    <a:ea typeface="Arial Narrow"/>
                    <a:cs typeface="Arial Narrow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B71-405F-A045-EFEE5E6971B3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9B71-405F-A045-EFEE5E6971B3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9B71-405F-A045-EFEE5E6971B3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9B71-405F-A045-EFEE5E6971B3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9B71-405F-A045-EFEE5E6971B3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9B71-405F-A045-EFEE5E6971B3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9B71-405F-A045-EFEE5E6971B3}"/>
            </c:ext>
          </c:extLst>
        </c:ser>
        <c:dLbls>
          <c:showLegendKey val="0"/>
          <c:showVal val="1"/>
          <c:showCatName val="1"/>
          <c:showSerName val="0"/>
          <c:showPercent val="1"/>
          <c:showBubbleSize val="0"/>
          <c:showLeaderLines val="1"/>
        </c:dLbls>
        <c:gapWidth val="100"/>
        <c:splitType val="pos"/>
        <c:splitPos val="3"/>
        <c:secondPieSize val="75"/>
        <c:serLines>
          <c:spPr>
            <a:ln w="3175">
              <a:solidFill>
                <a:srgbClr val="000000"/>
              </a:solidFill>
              <a:prstDash val="solid"/>
            </a:ln>
          </c:spPr>
        </c:serLines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1465" r="0.75000000000001465" t="1" header="0.49212598500003446" footer="0.49212598500003446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pt-BR"/>
              <a:t>Composição da Receita</a:t>
            </a:r>
          </a:p>
        </c:rich>
      </c:tx>
      <c:layout>
        <c:manualLayout>
          <c:xMode val="edge"/>
          <c:yMode val="edge"/>
          <c:x val="0.28557258467691582"/>
          <c:y val="3.1239248940036452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ofPieChart>
        <c:ofPieType val="bar"/>
        <c:varyColors val="1"/>
        <c:ser>
          <c:idx val="0"/>
          <c:order val="0"/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gradFill rotWithShape="0">
                <a:gsLst>
                  <a:gs pos="0">
                    <a:srgbClr val="FFCC00"/>
                  </a:gs>
                  <a:gs pos="100000">
                    <a:srgbClr val="FFCC00">
                      <a:gamma/>
                      <a:shade val="46275"/>
                      <a:invGamma/>
                    </a:srgbClr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8D4-439A-B717-14F985BB21D6}"/>
              </c:ext>
            </c:extLst>
          </c:dPt>
          <c:dPt>
            <c:idx val="1"/>
            <c:bubble3D val="0"/>
            <c:spPr>
              <a:gradFill rotWithShape="0">
                <a:gsLst>
                  <a:gs pos="0">
                    <a:srgbClr val="008080"/>
                  </a:gs>
                  <a:gs pos="50000">
                    <a:srgbClr val="008080">
                      <a:gamma/>
                      <a:shade val="46275"/>
                      <a:invGamma/>
                    </a:srgbClr>
                  </a:gs>
                  <a:gs pos="100000">
                    <a:srgbClr val="00808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8D4-439A-B717-14F985BB21D6}"/>
              </c:ext>
            </c:extLst>
          </c:dPt>
          <c:dLbls>
            <c:dLbl>
              <c:idx val="0"/>
              <c:layout>
                <c:manualLayout>
                  <c:x val="4.9483233441886586E-3"/>
                  <c:y val="-0.2421109435874774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8D4-439A-B717-14F985BB21D6}"/>
                </c:ext>
              </c:extLst>
            </c:dLbl>
            <c:dLbl>
              <c:idx val="1"/>
              <c:layout>
                <c:manualLayout>
                  <c:x val="1.0818075650186687E-2"/>
                  <c:y val="6.71577201410441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D4-439A-B717-14F985BB21D6}"/>
                </c:ext>
              </c:extLst>
            </c:dLbl>
            <c:dLbl>
              <c:idx val="2"/>
              <c:layout>
                <c:manualLayout>
                  <c:x val="-4.5548115515060446E-3"/>
                  <c:y val="8.277734962228022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D4-439A-B717-14F985BB21D6}"/>
                </c:ext>
              </c:extLst>
            </c:dLbl>
            <c:dLbl>
              <c:idx val="3"/>
              <c:layout>
                <c:manualLayout>
                  <c:x val="2.5282159047174242E-2"/>
                  <c:y val="-0.2559813702753398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8D4-439A-B717-14F985BB21D6}"/>
                </c:ext>
              </c:extLst>
            </c:dLbl>
            <c:dLbl>
              <c:idx val="4"/>
              <c:layout>
                <c:manualLayout>
                  <c:x val="2.5282159047174152E-2"/>
                  <c:y val="-8.41654459817357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D4-439A-B717-14F985BB21D6}"/>
                </c:ext>
              </c:extLst>
            </c:dLbl>
            <c:dLbl>
              <c:idx val="5"/>
              <c:layout>
                <c:manualLayout>
                  <c:x val="1.6358014277714564E-2"/>
                  <c:y val="3.217265259911821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D4-439A-B717-14F985BB21D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D4-439A-B717-14F985BB21D6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333399"/>
                    </a:solidFill>
                    <a:latin typeface="Arial Narrow"/>
                    <a:ea typeface="Arial Narrow"/>
                    <a:cs typeface="Arial Narrow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D4-439A-B717-14F985BB21D6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98D4-439A-B717-14F985BB21D6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98D4-439A-B717-14F985BB21D6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98D4-439A-B717-14F985BB21D6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98D4-439A-B717-14F985BB21D6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98D4-439A-B717-14F985BB21D6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98D4-439A-B717-14F985BB21D6}"/>
            </c:ext>
          </c:extLst>
        </c:ser>
        <c:dLbls>
          <c:showLegendKey val="0"/>
          <c:showVal val="1"/>
          <c:showCatName val="1"/>
          <c:showSerName val="0"/>
          <c:showPercent val="1"/>
          <c:showBubbleSize val="0"/>
          <c:showLeaderLines val="1"/>
        </c:dLbls>
        <c:gapWidth val="100"/>
        <c:splitType val="pos"/>
        <c:splitPos val="3"/>
        <c:secondPieSize val="75"/>
        <c:serLines>
          <c:spPr>
            <a:ln w="3175">
              <a:solidFill>
                <a:srgbClr val="000000"/>
              </a:solidFill>
              <a:prstDash val="solid"/>
            </a:ln>
          </c:spPr>
        </c:serLines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1465" r="0.75000000000001465" t="1" header="0.49212598500003446" footer="0.49212598500003446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pt-BR"/>
              <a:t>Composição da Receita</a:t>
            </a:r>
          </a:p>
        </c:rich>
      </c:tx>
      <c:layout>
        <c:manualLayout>
          <c:xMode val="edge"/>
          <c:yMode val="edge"/>
          <c:x val="0.28557258467691582"/>
          <c:y val="3.1239248940036452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ofPieChart>
        <c:ofPieType val="bar"/>
        <c:varyColors val="1"/>
        <c:ser>
          <c:idx val="0"/>
          <c:order val="0"/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gradFill rotWithShape="0">
                <a:gsLst>
                  <a:gs pos="0">
                    <a:srgbClr val="FFCC00"/>
                  </a:gs>
                  <a:gs pos="100000">
                    <a:srgbClr val="FFCC00">
                      <a:gamma/>
                      <a:shade val="46275"/>
                      <a:invGamma/>
                    </a:srgbClr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04D3-4FDB-BB4A-CD9E0AC8CDBC}"/>
              </c:ext>
            </c:extLst>
          </c:dPt>
          <c:dPt>
            <c:idx val="1"/>
            <c:bubble3D val="0"/>
            <c:spPr>
              <a:gradFill rotWithShape="0">
                <a:gsLst>
                  <a:gs pos="0">
                    <a:srgbClr val="008080"/>
                  </a:gs>
                  <a:gs pos="50000">
                    <a:srgbClr val="008080">
                      <a:gamma/>
                      <a:shade val="46275"/>
                      <a:invGamma/>
                    </a:srgbClr>
                  </a:gs>
                  <a:gs pos="100000">
                    <a:srgbClr val="00808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04D3-4FDB-BB4A-CD9E0AC8CDBC}"/>
              </c:ext>
            </c:extLst>
          </c:dPt>
          <c:dLbls>
            <c:dLbl>
              <c:idx val="0"/>
              <c:layout>
                <c:manualLayout>
                  <c:x val="4.9483233441886543E-3"/>
                  <c:y val="-0.24211094358747731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4D3-4FDB-BB4A-CD9E0AC8CDBC}"/>
                </c:ext>
              </c:extLst>
            </c:dLbl>
            <c:dLbl>
              <c:idx val="1"/>
              <c:layout>
                <c:manualLayout>
                  <c:x val="1.0818075650186687E-2"/>
                  <c:y val="6.71577201410441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4D3-4FDB-BB4A-CD9E0AC8CDBC}"/>
                </c:ext>
              </c:extLst>
            </c:dLbl>
            <c:dLbl>
              <c:idx val="2"/>
              <c:layout>
                <c:manualLayout>
                  <c:x val="-4.5548115515060446E-3"/>
                  <c:y val="8.277734962228022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4D3-4FDB-BB4A-CD9E0AC8CDBC}"/>
                </c:ext>
              </c:extLst>
            </c:dLbl>
            <c:dLbl>
              <c:idx val="3"/>
              <c:layout>
                <c:manualLayout>
                  <c:x val="2.5282159047174242E-2"/>
                  <c:y val="-0.2559813702753398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4D3-4FDB-BB4A-CD9E0AC8CDBC}"/>
                </c:ext>
              </c:extLst>
            </c:dLbl>
            <c:dLbl>
              <c:idx val="4"/>
              <c:layout>
                <c:manualLayout>
                  <c:x val="2.5282159047174152E-2"/>
                  <c:y val="-8.41654459817357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4D3-4FDB-BB4A-CD9E0AC8CDBC}"/>
                </c:ext>
              </c:extLst>
            </c:dLbl>
            <c:dLbl>
              <c:idx val="5"/>
              <c:layout>
                <c:manualLayout>
                  <c:x val="1.6358014277714564E-2"/>
                  <c:y val="3.217265259911821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4D3-4FDB-BB4A-CD9E0AC8CDBC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4D3-4FDB-BB4A-CD9E0AC8CDBC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333399"/>
                    </a:solidFill>
                    <a:latin typeface="Arial Narrow"/>
                    <a:ea typeface="Arial Narrow"/>
                    <a:cs typeface="Arial Narrow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4D3-4FDB-BB4A-CD9E0AC8CDBC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04D3-4FDB-BB4A-CD9E0AC8CDBC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04D3-4FDB-BB4A-CD9E0AC8CDBC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04D3-4FDB-BB4A-CD9E0AC8CDBC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04D3-4FDB-BB4A-CD9E0AC8CDBC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04D3-4FDB-BB4A-CD9E0AC8CDBC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04D3-4FDB-BB4A-CD9E0AC8CDBC}"/>
            </c:ext>
          </c:extLst>
        </c:ser>
        <c:dLbls>
          <c:showLegendKey val="0"/>
          <c:showVal val="1"/>
          <c:showCatName val="1"/>
          <c:showSerName val="0"/>
          <c:showPercent val="1"/>
          <c:showBubbleSize val="0"/>
          <c:showLeaderLines val="1"/>
        </c:dLbls>
        <c:gapWidth val="100"/>
        <c:splitType val="pos"/>
        <c:splitPos val="3"/>
        <c:secondPieSize val="75"/>
        <c:serLines>
          <c:spPr>
            <a:ln w="3175">
              <a:solidFill>
                <a:srgbClr val="000000"/>
              </a:solidFill>
              <a:prstDash val="solid"/>
            </a:ln>
          </c:spPr>
        </c:serLines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1465" r="0.75000000000001465" t="1" header="0.49212598500003435" footer="0.4921259850000343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pt-BR"/>
              <a:t>Composição da Receita</a:t>
            </a:r>
          </a:p>
        </c:rich>
      </c:tx>
      <c:layout>
        <c:manualLayout>
          <c:xMode val="edge"/>
          <c:yMode val="edge"/>
          <c:x val="0.28557258467691582"/>
          <c:y val="3.1239248940036452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ofPieChart>
        <c:ofPieType val="bar"/>
        <c:varyColors val="1"/>
        <c:ser>
          <c:idx val="0"/>
          <c:order val="0"/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gradFill rotWithShape="0">
                <a:gsLst>
                  <a:gs pos="0">
                    <a:srgbClr val="FFCC00"/>
                  </a:gs>
                  <a:gs pos="100000">
                    <a:srgbClr val="FFCC00">
                      <a:gamma/>
                      <a:shade val="46275"/>
                      <a:invGamma/>
                    </a:srgbClr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6602-4A5B-8DB2-77D5F76D081A}"/>
              </c:ext>
            </c:extLst>
          </c:dPt>
          <c:dPt>
            <c:idx val="1"/>
            <c:bubble3D val="0"/>
            <c:spPr>
              <a:gradFill rotWithShape="0">
                <a:gsLst>
                  <a:gs pos="0">
                    <a:srgbClr val="008080"/>
                  </a:gs>
                  <a:gs pos="50000">
                    <a:srgbClr val="008080">
                      <a:gamma/>
                      <a:shade val="46275"/>
                      <a:invGamma/>
                    </a:srgbClr>
                  </a:gs>
                  <a:gs pos="100000">
                    <a:srgbClr val="00808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6602-4A5B-8DB2-77D5F76D081A}"/>
              </c:ext>
            </c:extLst>
          </c:dPt>
          <c:dLbls>
            <c:dLbl>
              <c:idx val="0"/>
              <c:layout>
                <c:manualLayout>
                  <c:x val="4.9483233441886543E-3"/>
                  <c:y val="-0.24211094358747731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602-4A5B-8DB2-77D5F76D081A}"/>
                </c:ext>
              </c:extLst>
            </c:dLbl>
            <c:dLbl>
              <c:idx val="1"/>
              <c:layout>
                <c:manualLayout>
                  <c:x val="1.0818075650186687E-2"/>
                  <c:y val="6.71577201410441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02-4A5B-8DB2-77D5F76D081A}"/>
                </c:ext>
              </c:extLst>
            </c:dLbl>
            <c:dLbl>
              <c:idx val="2"/>
              <c:layout>
                <c:manualLayout>
                  <c:x val="-4.5548115515060446E-3"/>
                  <c:y val="8.277734962228022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02-4A5B-8DB2-77D5F76D081A}"/>
                </c:ext>
              </c:extLst>
            </c:dLbl>
            <c:dLbl>
              <c:idx val="3"/>
              <c:layout>
                <c:manualLayout>
                  <c:x val="2.5282159047174242E-2"/>
                  <c:y val="-0.2559813702753398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602-4A5B-8DB2-77D5F76D081A}"/>
                </c:ext>
              </c:extLst>
            </c:dLbl>
            <c:dLbl>
              <c:idx val="4"/>
              <c:layout>
                <c:manualLayout>
                  <c:x val="2.5282159047174152E-2"/>
                  <c:y val="-8.41654459817357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02-4A5B-8DB2-77D5F76D081A}"/>
                </c:ext>
              </c:extLst>
            </c:dLbl>
            <c:dLbl>
              <c:idx val="5"/>
              <c:layout>
                <c:manualLayout>
                  <c:x val="1.6358014277714564E-2"/>
                  <c:y val="3.217265259911821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02-4A5B-8DB2-77D5F76D081A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02-4A5B-8DB2-77D5F76D081A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333399"/>
                    </a:solidFill>
                    <a:latin typeface="Arial Narrow"/>
                    <a:ea typeface="Arial Narrow"/>
                    <a:cs typeface="Arial Narrow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02-4A5B-8DB2-77D5F76D081A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6602-4A5B-8DB2-77D5F76D081A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6602-4A5B-8DB2-77D5F76D081A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6602-4A5B-8DB2-77D5F76D081A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6602-4A5B-8DB2-77D5F76D081A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6602-4A5B-8DB2-77D5F76D081A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6602-4A5B-8DB2-77D5F76D081A}"/>
            </c:ext>
          </c:extLst>
        </c:ser>
        <c:dLbls>
          <c:showLegendKey val="0"/>
          <c:showVal val="1"/>
          <c:showCatName val="1"/>
          <c:showSerName val="0"/>
          <c:showPercent val="1"/>
          <c:showBubbleSize val="0"/>
          <c:showLeaderLines val="1"/>
        </c:dLbls>
        <c:gapWidth val="100"/>
        <c:splitType val="pos"/>
        <c:splitPos val="3"/>
        <c:secondPieSize val="75"/>
        <c:serLines>
          <c:spPr>
            <a:ln w="3175">
              <a:solidFill>
                <a:srgbClr val="000000"/>
              </a:solidFill>
              <a:prstDash val="solid"/>
            </a:ln>
          </c:spPr>
        </c:serLines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1465" r="0.75000000000001465" t="1" header="0.49212598500003435" footer="0.4921259850000343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pt-BR"/>
              <a:t>Composição da Receita</a:t>
            </a:r>
          </a:p>
        </c:rich>
      </c:tx>
      <c:layout>
        <c:manualLayout>
          <c:xMode val="edge"/>
          <c:yMode val="edge"/>
          <c:x val="0.28557258467691582"/>
          <c:y val="3.1239248940036452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ofPieChart>
        <c:ofPieType val="bar"/>
        <c:varyColors val="1"/>
        <c:ser>
          <c:idx val="0"/>
          <c:order val="0"/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gradFill rotWithShape="0">
                <a:gsLst>
                  <a:gs pos="0">
                    <a:srgbClr val="FFCC00"/>
                  </a:gs>
                  <a:gs pos="100000">
                    <a:srgbClr val="FFCC00">
                      <a:gamma/>
                      <a:shade val="46275"/>
                      <a:invGamma/>
                    </a:srgbClr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6B74-4F78-A5B8-E872B9C086B6}"/>
              </c:ext>
            </c:extLst>
          </c:dPt>
          <c:dPt>
            <c:idx val="1"/>
            <c:bubble3D val="0"/>
            <c:spPr>
              <a:gradFill rotWithShape="0">
                <a:gsLst>
                  <a:gs pos="0">
                    <a:srgbClr val="008080"/>
                  </a:gs>
                  <a:gs pos="50000">
                    <a:srgbClr val="008080">
                      <a:gamma/>
                      <a:shade val="46275"/>
                      <a:invGamma/>
                    </a:srgbClr>
                  </a:gs>
                  <a:gs pos="100000">
                    <a:srgbClr val="00808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6B74-4F78-A5B8-E872B9C086B6}"/>
              </c:ext>
            </c:extLst>
          </c:dPt>
          <c:dLbls>
            <c:dLbl>
              <c:idx val="0"/>
              <c:layout>
                <c:manualLayout>
                  <c:x val="4.9483233441886586E-3"/>
                  <c:y val="-0.2421109435874774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B74-4F78-A5B8-E872B9C086B6}"/>
                </c:ext>
              </c:extLst>
            </c:dLbl>
            <c:dLbl>
              <c:idx val="1"/>
              <c:layout>
                <c:manualLayout>
                  <c:x val="1.0818075650186687E-2"/>
                  <c:y val="6.71577201410441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B74-4F78-A5B8-E872B9C086B6}"/>
                </c:ext>
              </c:extLst>
            </c:dLbl>
            <c:dLbl>
              <c:idx val="2"/>
              <c:layout>
                <c:manualLayout>
                  <c:x val="-4.5548115515060446E-3"/>
                  <c:y val="8.277734962228022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B74-4F78-A5B8-E872B9C086B6}"/>
                </c:ext>
              </c:extLst>
            </c:dLbl>
            <c:dLbl>
              <c:idx val="3"/>
              <c:layout>
                <c:manualLayout>
                  <c:x val="2.5282159047174242E-2"/>
                  <c:y val="-0.2559813702753398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B74-4F78-A5B8-E872B9C086B6}"/>
                </c:ext>
              </c:extLst>
            </c:dLbl>
            <c:dLbl>
              <c:idx val="4"/>
              <c:layout>
                <c:manualLayout>
                  <c:x val="2.5282159047174152E-2"/>
                  <c:y val="-8.41654459817357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B74-4F78-A5B8-E872B9C086B6}"/>
                </c:ext>
              </c:extLst>
            </c:dLbl>
            <c:dLbl>
              <c:idx val="5"/>
              <c:layout>
                <c:manualLayout>
                  <c:x val="1.6358014277714564E-2"/>
                  <c:y val="3.217265259911821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B74-4F78-A5B8-E872B9C086B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B74-4F78-A5B8-E872B9C086B6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333399"/>
                    </a:solidFill>
                    <a:latin typeface="Arial Narrow"/>
                    <a:ea typeface="Arial Narrow"/>
                    <a:cs typeface="Arial Narrow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B74-4F78-A5B8-E872B9C086B6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6B74-4F78-A5B8-E872B9C086B6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6B74-4F78-A5B8-E872B9C086B6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6B74-4F78-A5B8-E872B9C086B6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6B74-4F78-A5B8-E872B9C086B6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6B74-4F78-A5B8-E872B9C086B6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6B74-4F78-A5B8-E872B9C086B6}"/>
            </c:ext>
          </c:extLst>
        </c:ser>
        <c:dLbls>
          <c:showLegendKey val="0"/>
          <c:showVal val="1"/>
          <c:showCatName val="1"/>
          <c:showSerName val="0"/>
          <c:showPercent val="1"/>
          <c:showBubbleSize val="0"/>
          <c:showLeaderLines val="1"/>
        </c:dLbls>
        <c:gapWidth val="100"/>
        <c:splitType val="pos"/>
        <c:splitPos val="3"/>
        <c:secondPieSize val="75"/>
        <c:serLines>
          <c:spPr>
            <a:ln w="3175">
              <a:solidFill>
                <a:srgbClr val="000000"/>
              </a:solidFill>
              <a:prstDash val="solid"/>
            </a:ln>
          </c:spPr>
        </c:serLines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1465" r="0.75000000000001465" t="1" header="0.49212598500003446" footer="0.49212598500003446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pt-BR"/>
              <a:t>Composição da Receita</a:t>
            </a:r>
          </a:p>
        </c:rich>
      </c:tx>
      <c:layout>
        <c:manualLayout>
          <c:xMode val="edge"/>
          <c:yMode val="edge"/>
          <c:x val="0.28557258467691582"/>
          <c:y val="3.1239248940036452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ofPieChart>
        <c:ofPieType val="bar"/>
        <c:varyColors val="1"/>
        <c:ser>
          <c:idx val="0"/>
          <c:order val="0"/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gradFill rotWithShape="0">
                <a:gsLst>
                  <a:gs pos="0">
                    <a:srgbClr val="FFCC00"/>
                  </a:gs>
                  <a:gs pos="100000">
                    <a:srgbClr val="FFCC00">
                      <a:gamma/>
                      <a:shade val="46275"/>
                      <a:invGamma/>
                    </a:srgbClr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E285-4A5E-840B-EDCE7DF8F33A}"/>
              </c:ext>
            </c:extLst>
          </c:dPt>
          <c:dPt>
            <c:idx val="1"/>
            <c:bubble3D val="0"/>
            <c:spPr>
              <a:gradFill rotWithShape="0">
                <a:gsLst>
                  <a:gs pos="0">
                    <a:srgbClr val="008080"/>
                  </a:gs>
                  <a:gs pos="50000">
                    <a:srgbClr val="008080">
                      <a:gamma/>
                      <a:shade val="46275"/>
                      <a:invGamma/>
                    </a:srgbClr>
                  </a:gs>
                  <a:gs pos="100000">
                    <a:srgbClr val="00808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E285-4A5E-840B-EDCE7DF8F33A}"/>
              </c:ext>
            </c:extLst>
          </c:dPt>
          <c:dLbls>
            <c:dLbl>
              <c:idx val="0"/>
              <c:layout>
                <c:manualLayout>
                  <c:x val="4.9483233441886586E-3"/>
                  <c:y val="-0.2421109435874774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285-4A5E-840B-EDCE7DF8F33A}"/>
                </c:ext>
              </c:extLst>
            </c:dLbl>
            <c:dLbl>
              <c:idx val="1"/>
              <c:layout>
                <c:manualLayout>
                  <c:x val="1.0818075650186687E-2"/>
                  <c:y val="6.71577201410441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85-4A5E-840B-EDCE7DF8F33A}"/>
                </c:ext>
              </c:extLst>
            </c:dLbl>
            <c:dLbl>
              <c:idx val="2"/>
              <c:layout>
                <c:manualLayout>
                  <c:x val="-4.5548115515060446E-3"/>
                  <c:y val="8.277734962228022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285-4A5E-840B-EDCE7DF8F33A}"/>
                </c:ext>
              </c:extLst>
            </c:dLbl>
            <c:dLbl>
              <c:idx val="3"/>
              <c:layout>
                <c:manualLayout>
                  <c:x val="2.5282159047174242E-2"/>
                  <c:y val="-0.2559813702753398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285-4A5E-840B-EDCE7DF8F33A}"/>
                </c:ext>
              </c:extLst>
            </c:dLbl>
            <c:dLbl>
              <c:idx val="4"/>
              <c:layout>
                <c:manualLayout>
                  <c:x val="2.5282159047174152E-2"/>
                  <c:y val="-8.41654459817357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285-4A5E-840B-EDCE7DF8F33A}"/>
                </c:ext>
              </c:extLst>
            </c:dLbl>
            <c:dLbl>
              <c:idx val="5"/>
              <c:layout>
                <c:manualLayout>
                  <c:x val="1.6358014277714564E-2"/>
                  <c:y val="3.217265259911821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285-4A5E-840B-EDCE7DF8F33A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285-4A5E-840B-EDCE7DF8F33A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333399"/>
                    </a:solidFill>
                    <a:latin typeface="Arial Narrow"/>
                    <a:ea typeface="Arial Narrow"/>
                    <a:cs typeface="Arial Narrow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285-4A5E-840B-EDCE7DF8F33A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E285-4A5E-840B-EDCE7DF8F33A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E285-4A5E-840B-EDCE7DF8F33A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E285-4A5E-840B-EDCE7DF8F33A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E285-4A5E-840B-EDCE7DF8F33A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E285-4A5E-840B-EDCE7DF8F33A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Encargos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E285-4A5E-840B-EDCE7DF8F33A}"/>
            </c:ext>
          </c:extLst>
        </c:ser>
        <c:dLbls>
          <c:showLegendKey val="0"/>
          <c:showVal val="1"/>
          <c:showCatName val="1"/>
          <c:showSerName val="0"/>
          <c:showPercent val="1"/>
          <c:showBubbleSize val="0"/>
          <c:showLeaderLines val="1"/>
        </c:dLbls>
        <c:gapWidth val="100"/>
        <c:splitType val="pos"/>
        <c:splitPos val="3"/>
        <c:secondPieSize val="75"/>
        <c:serLines>
          <c:spPr>
            <a:ln w="3175">
              <a:solidFill>
                <a:srgbClr val="000000"/>
              </a:solidFill>
              <a:prstDash val="solid"/>
            </a:ln>
          </c:spPr>
        </c:serLines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1465" r="0.75000000000001465" t="1" header="0.49212598500003446" footer="0.49212598500003446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852090814828005E-2"/>
          <c:y val="7.8877290310899489E-2"/>
          <c:w val="0.93973174277061688"/>
          <c:h val="0.7852281468317599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GRÁFICOS!$F$5</c:f>
              <c:strCache>
                <c:ptCount val="1"/>
                <c:pt idx="0">
                  <c:v>B1-Permissionária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Lbl>
              <c:idx val="11"/>
              <c:layout>
                <c:manualLayout>
                  <c:x val="-5.8581913613726362E-3"/>
                  <c:y val="-1.88818278204033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CD-452A-8E08-BE20B37305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GRÁFICOS!$E$6:$E$56</c:f>
              <c:strCache>
                <c:ptCount val="3"/>
                <c:pt idx="0">
                  <c:v>Ceprag (Celesc-Dis)</c:v>
                </c:pt>
                <c:pt idx="1">
                  <c:v>Coopersul (CEEE Equatorial)</c:v>
                </c:pt>
                <c:pt idx="2">
                  <c:v>Coopernorte (CEEE Equatorial)</c:v>
                </c:pt>
              </c:strCache>
            </c:strRef>
          </c:cat>
          <c:val>
            <c:numRef>
              <c:f>GRÁFICOS!$F$6:$F$56</c:f>
              <c:numCache>
                <c:formatCode>_(* #,##0.00_);_(* \(#,##0.00\);_(* "-"??_);_(@_)</c:formatCode>
                <c:ptCount val="3"/>
                <c:pt idx="0">
                  <c:v>672.13</c:v>
                </c:pt>
                <c:pt idx="1">
                  <c:v>741.18</c:v>
                </c:pt>
                <c:pt idx="2">
                  <c:v>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37-41F0-A304-E0DEDC55ECE6}"/>
            </c:ext>
          </c:extLst>
        </c:ser>
        <c:ser>
          <c:idx val="2"/>
          <c:order val="1"/>
          <c:tx>
            <c:strRef>
              <c:f>GRÁFICOS!$G$5</c:f>
              <c:strCache>
                <c:ptCount val="1"/>
                <c:pt idx="0">
                  <c:v>B1- Supridora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6261-4D9C-BD61-2AE97AA4F20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GRÁFICOS!$E$6:$E$56</c:f>
              <c:strCache>
                <c:ptCount val="3"/>
                <c:pt idx="0">
                  <c:v>Ceprag (Celesc-Dis)</c:v>
                </c:pt>
                <c:pt idx="1">
                  <c:v>Coopersul (CEEE Equatorial)</c:v>
                </c:pt>
                <c:pt idx="2">
                  <c:v>Coopernorte (CEEE Equatorial)</c:v>
                </c:pt>
              </c:strCache>
            </c:strRef>
          </c:cat>
          <c:val>
            <c:numRef>
              <c:f>GRÁFICOS!$G$6:$G$56</c:f>
              <c:numCache>
                <c:formatCode>_(* #,##0.00_);_(* \(#,##0.00\);_(* "-"??_);_(@_)</c:formatCode>
                <c:ptCount val="3"/>
                <c:pt idx="0">
                  <c:v>592.96601584686096</c:v>
                </c:pt>
                <c:pt idx="1">
                  <c:v>643.05226155716105</c:v>
                </c:pt>
                <c:pt idx="2">
                  <c:v>643.05226155716105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37-41F0-A304-E0DEDC55E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5918816"/>
        <c:axId val="365918424"/>
      </c:barChart>
      <c:catAx>
        <c:axId val="3659188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5918424"/>
        <c:crosses val="autoZero"/>
        <c:auto val="1"/>
        <c:lblAlgn val="ctr"/>
        <c:lblOffset val="100"/>
        <c:noMultiLvlLbl val="0"/>
      </c:catAx>
      <c:valAx>
        <c:axId val="365918424"/>
        <c:scaling>
          <c:orientation val="minMax"/>
        </c:scaling>
        <c:delete val="1"/>
        <c:axPos val="l"/>
        <c:numFmt formatCode="#,##0.00" sourceLinked="0"/>
        <c:majorTickMark val="cross"/>
        <c:minorTickMark val="none"/>
        <c:tickLblPos val="nextTo"/>
        <c:crossAx val="36591881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layout>
        <c:manualLayout>
          <c:xMode val="edge"/>
          <c:yMode val="edge"/>
          <c:x val="0.61681824272441144"/>
          <c:y val="3.4461212100956026E-2"/>
          <c:w val="0.34966882462722831"/>
          <c:h val="4.31439692475865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GRÁFICOS!$D$100</c:f>
              <c:strCache>
                <c:ptCount val="1"/>
                <c:pt idx="0">
                  <c:v>Custo de Energia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accen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GRÁFICOS!$C$101:$C$152</c:f>
              <c:strCache>
                <c:ptCount val="3"/>
                <c:pt idx="0">
                  <c:v>Ceprag</c:v>
                </c:pt>
                <c:pt idx="1">
                  <c:v>Coopersul</c:v>
                </c:pt>
                <c:pt idx="2">
                  <c:v>Coopernorte</c:v>
                </c:pt>
              </c:strCache>
            </c:strRef>
          </c:cat>
          <c:val>
            <c:numRef>
              <c:f>GRÁFICOS!$D$101:$D$152</c:f>
              <c:numCache>
                <c:formatCode>0.0%</c:formatCode>
                <c:ptCount val="3"/>
                <c:pt idx="0">
                  <c:v>0.21724077576734777</c:v>
                </c:pt>
                <c:pt idx="1">
                  <c:v>0.25750151027790463</c:v>
                </c:pt>
                <c:pt idx="2">
                  <c:v>0.169267289788395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5-4DF9-BA38-4B2105B87421}"/>
            </c:ext>
          </c:extLst>
        </c:ser>
        <c:ser>
          <c:idx val="1"/>
          <c:order val="1"/>
          <c:tx>
            <c:strRef>
              <c:f>GRÁFICOS!$E$100</c:f>
              <c:strCache>
                <c:ptCount val="1"/>
                <c:pt idx="0">
                  <c:v>Custo de Transmissão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accen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GRÁFICOS!$C$101:$C$152</c:f>
              <c:strCache>
                <c:ptCount val="3"/>
                <c:pt idx="0">
                  <c:v>Ceprag</c:v>
                </c:pt>
                <c:pt idx="1">
                  <c:v>Coopersul</c:v>
                </c:pt>
                <c:pt idx="2">
                  <c:v>Coopernorte</c:v>
                </c:pt>
              </c:strCache>
            </c:strRef>
          </c:cat>
          <c:val>
            <c:numRef>
              <c:f>GRÁFICOS!$E$101:$E$152</c:f>
              <c:numCache>
                <c:formatCode>0.0%</c:formatCode>
                <c:ptCount val="3"/>
                <c:pt idx="0">
                  <c:v>0.13323823460700876</c:v>
                </c:pt>
                <c:pt idx="1">
                  <c:v>0.17061064026194342</c:v>
                </c:pt>
                <c:pt idx="2">
                  <c:v>0.14943844316571692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05-4DF9-BA38-4B2105B87421}"/>
            </c:ext>
          </c:extLst>
        </c:ser>
        <c:ser>
          <c:idx val="2"/>
          <c:order val="2"/>
          <c:tx>
            <c:strRef>
              <c:f>GRÁFICOS!$F$100</c:f>
              <c:strCache>
                <c:ptCount val="1"/>
                <c:pt idx="0">
                  <c:v>Encargos Setoriais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solidFill>
                <a:schemeClr val="accen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GRÁFICOS!$C$101:$C$152</c:f>
              <c:strCache>
                <c:ptCount val="3"/>
                <c:pt idx="0">
                  <c:v>Ceprag</c:v>
                </c:pt>
                <c:pt idx="1">
                  <c:v>Coopersul</c:v>
                </c:pt>
                <c:pt idx="2">
                  <c:v>Coopernorte</c:v>
                </c:pt>
              </c:strCache>
            </c:strRef>
          </c:cat>
          <c:val>
            <c:numRef>
              <c:f>GRÁFICOS!$F$101:$F$152</c:f>
              <c:numCache>
                <c:formatCode>0.0%</c:formatCode>
                <c:ptCount val="3"/>
                <c:pt idx="0">
                  <c:v>0.14956717072886921</c:v>
                </c:pt>
                <c:pt idx="1">
                  <c:v>8.4343677012077872E-2</c:v>
                </c:pt>
                <c:pt idx="2">
                  <c:v>8.2594326047084624E-2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05-4DF9-BA38-4B2105B87421}"/>
            </c:ext>
          </c:extLst>
        </c:ser>
        <c:ser>
          <c:idx val="3"/>
          <c:order val="3"/>
          <c:tx>
            <c:strRef>
              <c:f>GRÁFICOS!$G$100</c:f>
              <c:strCache>
                <c:ptCount val="1"/>
                <c:pt idx="0">
                  <c:v>Custo de Distribuição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Calibri" panose="020F0502020204030204" pitchFamily="34" charset="0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GRÁFICOS!$C$101:$C$152</c:f>
              <c:strCache>
                <c:ptCount val="3"/>
                <c:pt idx="0">
                  <c:v>Ceprag</c:v>
                </c:pt>
                <c:pt idx="1">
                  <c:v>Coopersul</c:v>
                </c:pt>
                <c:pt idx="2">
                  <c:v>Coopernorte</c:v>
                </c:pt>
              </c:strCache>
            </c:strRef>
          </c:cat>
          <c:val>
            <c:numRef>
              <c:f>GRÁFICOS!$G$101:$G$152</c:f>
              <c:numCache>
                <c:formatCode>0.0%</c:formatCode>
                <c:ptCount val="3"/>
                <c:pt idx="0">
                  <c:v>0.49995381889677432</c:v>
                </c:pt>
                <c:pt idx="1">
                  <c:v>0.48754417244807419</c:v>
                </c:pt>
                <c:pt idx="2">
                  <c:v>0.59869994099880353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05-4DF9-BA38-4B2105B8742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365920384"/>
        <c:axId val="365916072"/>
      </c:barChart>
      <c:catAx>
        <c:axId val="36592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5916072"/>
        <c:crosses val="autoZero"/>
        <c:auto val="1"/>
        <c:lblAlgn val="ctr"/>
        <c:lblOffset val="100"/>
        <c:noMultiLvlLbl val="0"/>
      </c:catAx>
      <c:valAx>
        <c:axId val="365916072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365920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81610191506624E-2"/>
          <c:y val="9.2466537768188223E-2"/>
          <c:w val="0.94072308558382145"/>
          <c:h val="0.7633137261265069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GRÁFICOS!$K$100</c:f>
              <c:strCache>
                <c:ptCount val="1"/>
                <c:pt idx="0">
                  <c:v>Custo de Energia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accen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GRÁFICOS!$J$101:$J$152</c:f>
              <c:strCache>
                <c:ptCount val="3"/>
                <c:pt idx="0">
                  <c:v>Ceprag</c:v>
                </c:pt>
                <c:pt idx="1">
                  <c:v>Coopersul</c:v>
                </c:pt>
                <c:pt idx="2">
                  <c:v>Coopernorte</c:v>
                </c:pt>
              </c:strCache>
            </c:strRef>
          </c:cat>
          <c:val>
            <c:numRef>
              <c:f>GRÁFICOS!$K$101:$K$152</c:f>
              <c:numCache>
                <c:formatCode>0.0%</c:formatCode>
                <c:ptCount val="3"/>
                <c:pt idx="0">
                  <c:v>0.19265907899017301</c:v>
                </c:pt>
                <c:pt idx="1">
                  <c:v>0.21941048427489904</c:v>
                </c:pt>
                <c:pt idx="2">
                  <c:v>0.14706606130308131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4F-4F13-95D0-1BB149A3C9A5}"/>
            </c:ext>
          </c:extLst>
        </c:ser>
        <c:ser>
          <c:idx val="1"/>
          <c:order val="1"/>
          <c:tx>
            <c:strRef>
              <c:f>GRÁFICOS!$L$100</c:f>
              <c:strCache>
                <c:ptCount val="1"/>
                <c:pt idx="0">
                  <c:v>Custo de Transmissão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accen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GRÁFICOS!$J$101:$J$152</c:f>
              <c:strCache>
                <c:ptCount val="3"/>
                <c:pt idx="0">
                  <c:v>Ceprag</c:v>
                </c:pt>
                <c:pt idx="1">
                  <c:v>Coopersul</c:v>
                </c:pt>
                <c:pt idx="2">
                  <c:v>Coopernorte</c:v>
                </c:pt>
              </c:strCache>
            </c:strRef>
          </c:cat>
          <c:val>
            <c:numRef>
              <c:f>GRÁFICOS!$L$101:$L$152</c:f>
              <c:numCache>
                <c:formatCode>0.0%</c:formatCode>
                <c:ptCount val="3"/>
                <c:pt idx="0">
                  <c:v>0.11816177453331092</c:v>
                </c:pt>
                <c:pt idx="1">
                  <c:v>0.14537298504355861</c:v>
                </c:pt>
                <c:pt idx="2">
                  <c:v>0.12983798152094667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4F-4F13-95D0-1BB149A3C9A5}"/>
            </c:ext>
          </c:extLst>
        </c:ser>
        <c:ser>
          <c:idx val="2"/>
          <c:order val="2"/>
          <c:tx>
            <c:strRef>
              <c:f>GRÁFICOS!$M$100</c:f>
              <c:strCache>
                <c:ptCount val="1"/>
                <c:pt idx="0">
                  <c:v>Encargos Setoriais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solidFill>
                <a:schemeClr val="accen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GRÁFICOS!$J$101:$J$152</c:f>
              <c:strCache>
                <c:ptCount val="3"/>
                <c:pt idx="0">
                  <c:v>Ceprag</c:v>
                </c:pt>
                <c:pt idx="1">
                  <c:v>Coopersul</c:v>
                </c:pt>
                <c:pt idx="2">
                  <c:v>Coopernorte</c:v>
                </c:pt>
              </c:strCache>
            </c:strRef>
          </c:cat>
          <c:val>
            <c:numRef>
              <c:f>GRÁFICOS!$M$101:$M$152</c:f>
              <c:numCache>
                <c:formatCode>0.0%</c:formatCode>
                <c:ptCount val="3"/>
                <c:pt idx="0">
                  <c:v>0.13264302365891753</c:v>
                </c:pt>
                <c:pt idx="1">
                  <c:v>7.1867100891072344E-2</c:v>
                </c:pt>
                <c:pt idx="2">
                  <c:v>7.1761190439761036E-2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4F-4F13-95D0-1BB149A3C9A5}"/>
            </c:ext>
          </c:extLst>
        </c:ser>
        <c:ser>
          <c:idx val="3"/>
          <c:order val="3"/>
          <c:tx>
            <c:strRef>
              <c:f>GRÁFICOS!$N$100</c:f>
              <c:strCache>
                <c:ptCount val="1"/>
                <c:pt idx="0">
                  <c:v>Custo de Distribuição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GRÁFICOS!$J$101:$J$152</c:f>
              <c:strCache>
                <c:ptCount val="3"/>
                <c:pt idx="0">
                  <c:v>Ceprag</c:v>
                </c:pt>
                <c:pt idx="1">
                  <c:v>Coopersul</c:v>
                </c:pt>
                <c:pt idx="2">
                  <c:v>Coopernorte</c:v>
                </c:pt>
              </c:strCache>
            </c:strRef>
          </c:cat>
          <c:val>
            <c:numRef>
              <c:f>GRÁFICOS!$N$101:$N$152</c:f>
              <c:numCache>
                <c:formatCode>0.0%</c:formatCode>
                <c:ptCount val="3"/>
                <c:pt idx="0">
                  <c:v>0.44338196614352959</c:v>
                </c:pt>
                <c:pt idx="1">
                  <c:v>0.41542398282164861</c:v>
                </c:pt>
                <c:pt idx="2">
                  <c:v>0.52017399424987909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4F-4F13-95D0-1BB149A3C9A5}"/>
            </c:ext>
          </c:extLst>
        </c:ser>
        <c:ser>
          <c:idx val="4"/>
          <c:order val="4"/>
          <c:tx>
            <c:strRef>
              <c:f>GRÁFICOS!$O$100</c:f>
              <c:strCache>
                <c:ptCount val="1"/>
                <c:pt idx="0">
                  <c:v>PIS/COFINS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accent1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3.4665322907840322E-2"/>
                  <c:y val="-1.830699727376615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F4F-4F13-95D0-1BB149A3C9A5}"/>
                </c:ext>
              </c:extLst>
            </c:dLbl>
            <c:dLbl>
              <c:idx val="1"/>
              <c:layout>
                <c:manualLayout>
                  <c:x val="1.3153780338015426E-3"/>
                  <c:y val="-1.2620207664807285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F4F-4F13-95D0-1BB149A3C9A5}"/>
                </c:ext>
              </c:extLst>
            </c:dLbl>
            <c:dLbl>
              <c:idx val="2"/>
              <c:layout>
                <c:manualLayout>
                  <c:x val="3.3707591754479203E-2"/>
                  <c:y val="-2.266885187791529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4F-4F13-95D0-1BB149A3C9A5}"/>
                </c:ext>
              </c:extLst>
            </c:dLbl>
            <c:dLbl>
              <c:idx val="3"/>
              <c:layout>
                <c:manualLayout>
                  <c:x val="3.5034496784949021E-2"/>
                  <c:y val="-3.0019506402681911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4F-4F13-95D0-1BB149A3C9A5}"/>
                </c:ext>
              </c:extLst>
            </c:dLbl>
            <c:dLbl>
              <c:idx val="4"/>
              <c:layout>
                <c:manualLayout>
                  <c:x val="3.0787828854221037E-2"/>
                  <c:y val="-1.2786086376321749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4F-4F13-95D0-1BB149A3C9A5}"/>
                </c:ext>
              </c:extLst>
            </c:dLbl>
            <c:dLbl>
              <c:idx val="5"/>
              <c:layout>
                <c:manualLayout>
                  <c:x val="3.0320033264585648E-2"/>
                  <c:y val="-4.4556502011456759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4F-4F13-95D0-1BB149A3C9A5}"/>
                </c:ext>
              </c:extLst>
            </c:dLbl>
            <c:dLbl>
              <c:idx val="6"/>
              <c:layout>
                <c:manualLayout>
                  <c:x val="3.0234341573012739E-2"/>
                  <c:y val="2.227825100572812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F4F-4F13-95D0-1BB149A3C9A5}"/>
                </c:ext>
              </c:extLst>
            </c:dLbl>
            <c:dLbl>
              <c:idx val="7"/>
              <c:layout>
                <c:manualLayout>
                  <c:x val="2.8979111488844217E-2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F4F-4F13-95D0-1BB149A3C9A5}"/>
                </c:ext>
              </c:extLst>
            </c:dLbl>
            <c:dLbl>
              <c:idx val="8"/>
              <c:layout>
                <c:manualLayout>
                  <c:x val="3.1341316135429245E-2"/>
                  <c:y val="-4.4556502011456759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F4F-4F13-95D0-1BB149A3C9A5}"/>
                </c:ext>
              </c:extLst>
            </c:dLbl>
            <c:dLbl>
              <c:idx val="9"/>
              <c:layout>
                <c:manualLayout>
                  <c:x val="2.9618280438070618E-2"/>
                  <c:y val="-2.0421186231780974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F4F-4F13-95D0-1BB149A3C9A5}"/>
                </c:ext>
              </c:extLst>
            </c:dLbl>
            <c:dLbl>
              <c:idx val="10"/>
              <c:layout>
                <c:manualLayout>
                  <c:x val="2.9618280438070691E-2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F4F-4F13-95D0-1BB149A3C9A5}"/>
                </c:ext>
              </c:extLst>
            </c:dLbl>
            <c:dLbl>
              <c:idx val="11"/>
              <c:layout>
                <c:manualLayout>
                  <c:x val="2.4511680362541262E-2"/>
                  <c:y val="-4.4555830121600576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F4F-4F13-95D0-1BB149A3C9A5}"/>
                </c:ext>
              </c:extLst>
            </c:dLbl>
            <c:dLbl>
              <c:idx val="12"/>
              <c:layout>
                <c:manualLayout>
                  <c:x val="2.9618280438070691E-2"/>
                  <c:y val="2.0421186231780974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F4F-4F13-95D0-1BB149A3C9A5}"/>
                </c:ext>
              </c:extLst>
            </c:dLbl>
            <c:dLbl>
              <c:idx val="13"/>
              <c:layout>
                <c:manualLayout>
                  <c:x val="2.9532598770052241E-2"/>
                  <c:y val="-3.3516224989686809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F4F-4F13-95D0-1BB149A3C9A5}"/>
                </c:ext>
              </c:extLst>
            </c:dLbl>
            <c:dLbl>
              <c:idx val="14"/>
              <c:layout>
                <c:manualLayout>
                  <c:x val="2.9766545983377392E-2"/>
                  <c:y val="-2.2278251005728379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F4F-4F13-95D0-1BB149A3C9A5}"/>
                </c:ext>
              </c:extLst>
            </c:dLbl>
            <c:dLbl>
              <c:idx val="15"/>
              <c:layout>
                <c:manualLayout>
                  <c:x val="2.7727538374212157E-2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F4F-4F13-95D0-1BB149A3C9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GRÁFICOS!$J$101:$J$152</c:f>
              <c:strCache>
                <c:ptCount val="3"/>
                <c:pt idx="0">
                  <c:v>Ceprag</c:v>
                </c:pt>
                <c:pt idx="1">
                  <c:v>Coopersul</c:v>
                </c:pt>
                <c:pt idx="2">
                  <c:v>Coopernorte</c:v>
                </c:pt>
              </c:strCache>
            </c:strRef>
          </c:cat>
          <c:val>
            <c:numRef>
              <c:f>GRÁFICOS!$O$101:$O$152</c:f>
              <c:numCache>
                <c:formatCode>0.0%</c:formatCode>
                <c:ptCount val="3"/>
                <c:pt idx="0">
                  <c:v>1.93281109854064E-4</c:v>
                </c:pt>
                <c:pt idx="1">
                  <c:v>3.9279186772239502E-2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4F-4F13-95D0-1BB149A3C9A5}"/>
            </c:ext>
          </c:extLst>
        </c:ser>
        <c:ser>
          <c:idx val="5"/>
          <c:order val="5"/>
          <c:tx>
            <c:strRef>
              <c:f>GRÁFICOS!$P$100</c:f>
              <c:strCache>
                <c:ptCount val="1"/>
                <c:pt idx="0">
                  <c:v>ICMS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GRÁFICOS!$J$101:$J$152</c:f>
              <c:strCache>
                <c:ptCount val="3"/>
                <c:pt idx="0">
                  <c:v>Ceprag</c:v>
                </c:pt>
                <c:pt idx="1">
                  <c:v>Coopersul</c:v>
                </c:pt>
                <c:pt idx="2">
                  <c:v>Coopernorte</c:v>
                </c:pt>
              </c:strCache>
            </c:strRef>
          </c:cat>
          <c:val>
            <c:numRef>
              <c:f>GRÁFICOS!$P$101:$P$152</c:f>
              <c:numCache>
                <c:formatCode>0.0%</c:formatCode>
                <c:ptCount val="3"/>
                <c:pt idx="0">
                  <c:v>0.112960875564215</c:v>
                </c:pt>
                <c:pt idx="1">
                  <c:v>0.108646260196582</c:v>
                </c:pt>
                <c:pt idx="2">
                  <c:v>0.13116077248633201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F4F-4F13-95D0-1BB149A3C9A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365920776"/>
        <c:axId val="365916856"/>
      </c:barChart>
      <c:catAx>
        <c:axId val="365920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5916856"/>
        <c:crosses val="autoZero"/>
        <c:auto val="1"/>
        <c:lblAlgn val="ctr"/>
        <c:lblOffset val="100"/>
        <c:noMultiLvlLbl val="0"/>
      </c:catAx>
      <c:valAx>
        <c:axId val="365916856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365920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255211539282743"/>
          <c:y val="0.91210492361449325"/>
          <c:w val="0.74004620023123791"/>
          <c:h val="6.95328292477134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12" dropStyle="combo" dx="22" fmlaLink="$C$9" fmlaRange="Bastidores!$L$2:$L$13" noThreeD="1" sel="12" val="0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6350</xdr:colOff>
          <xdr:row>9</xdr:row>
          <xdr:rowOff>0</xdr:rowOff>
        </xdr:to>
        <xdr:sp macro="" textlink="">
          <xdr:nvSpPr>
            <xdr:cNvPr id="12289" name="Drop Dow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1479550</xdr:colOff>
          <xdr:row>1</xdr:row>
          <xdr:rowOff>107950</xdr:rowOff>
        </xdr:from>
        <xdr:to>
          <xdr:col>5</xdr:col>
          <xdr:colOff>539750</xdr:colOff>
          <xdr:row>6</xdr:row>
          <xdr:rowOff>57150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2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Extrair Dados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46</xdr:row>
      <xdr:rowOff>0</xdr:rowOff>
    </xdr:from>
    <xdr:to>
      <xdr:col>5</xdr:col>
      <xdr:colOff>0</xdr:colOff>
      <xdr:row>46</xdr:row>
      <xdr:rowOff>0</xdr:rowOff>
    </xdr:to>
    <xdr:graphicFrame macro="">
      <xdr:nvGraphicFramePr>
        <xdr:cNvPr id="2" name="Chart 44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46</xdr:row>
      <xdr:rowOff>0</xdr:rowOff>
    </xdr:to>
    <xdr:graphicFrame macro="">
      <xdr:nvGraphicFramePr>
        <xdr:cNvPr id="3" name="Chart 4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46</xdr:row>
      <xdr:rowOff>0</xdr:rowOff>
    </xdr:to>
    <xdr:graphicFrame macro="">
      <xdr:nvGraphicFramePr>
        <xdr:cNvPr id="4" name="Chart 44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46</xdr:row>
      <xdr:rowOff>0</xdr:rowOff>
    </xdr:to>
    <xdr:graphicFrame macro="">
      <xdr:nvGraphicFramePr>
        <xdr:cNvPr id="5" name="Chart 4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0</xdr:colOff>
      <xdr:row>58</xdr:row>
      <xdr:rowOff>0</xdr:rowOff>
    </xdr:from>
    <xdr:to>
      <xdr:col>13</xdr:col>
      <xdr:colOff>0</xdr:colOff>
      <xdr:row>58</xdr:row>
      <xdr:rowOff>0</xdr:rowOff>
    </xdr:to>
    <xdr:graphicFrame macro="">
      <xdr:nvGraphicFramePr>
        <xdr:cNvPr id="6" name="Chart 44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0</xdr:colOff>
      <xdr:row>58</xdr:row>
      <xdr:rowOff>0</xdr:rowOff>
    </xdr:from>
    <xdr:to>
      <xdr:col>13</xdr:col>
      <xdr:colOff>0</xdr:colOff>
      <xdr:row>58</xdr:row>
      <xdr:rowOff>0</xdr:rowOff>
    </xdr:to>
    <xdr:graphicFrame macro="">
      <xdr:nvGraphicFramePr>
        <xdr:cNvPr id="7" name="Chart 44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58</xdr:row>
      <xdr:rowOff>0</xdr:rowOff>
    </xdr:from>
    <xdr:to>
      <xdr:col>13</xdr:col>
      <xdr:colOff>0</xdr:colOff>
      <xdr:row>58</xdr:row>
      <xdr:rowOff>0</xdr:rowOff>
    </xdr:to>
    <xdr:graphicFrame macro="">
      <xdr:nvGraphicFramePr>
        <xdr:cNvPr id="8" name="Chart 44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58</xdr:row>
      <xdr:rowOff>0</xdr:rowOff>
    </xdr:from>
    <xdr:to>
      <xdr:col>13</xdr:col>
      <xdr:colOff>0</xdr:colOff>
      <xdr:row>58</xdr:row>
      <xdr:rowOff>0</xdr:rowOff>
    </xdr:to>
    <xdr:graphicFrame macro="">
      <xdr:nvGraphicFramePr>
        <xdr:cNvPr id="9" name="Chart 44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0</xdr:colOff>
      <xdr:row>37</xdr:row>
      <xdr:rowOff>0</xdr:rowOff>
    </xdr:from>
    <xdr:to>
      <xdr:col>4</xdr:col>
      <xdr:colOff>0</xdr:colOff>
      <xdr:row>37</xdr:row>
      <xdr:rowOff>0</xdr:rowOff>
    </xdr:to>
    <xdr:graphicFrame macro="">
      <xdr:nvGraphicFramePr>
        <xdr:cNvPr id="18" name="Chart 44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0</xdr:colOff>
      <xdr:row>37</xdr:row>
      <xdr:rowOff>0</xdr:rowOff>
    </xdr:from>
    <xdr:to>
      <xdr:col>4</xdr:col>
      <xdr:colOff>0</xdr:colOff>
      <xdr:row>37</xdr:row>
      <xdr:rowOff>0</xdr:rowOff>
    </xdr:to>
    <xdr:graphicFrame macro="">
      <xdr:nvGraphicFramePr>
        <xdr:cNvPr id="19" name="Chart 44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0</xdr:colOff>
      <xdr:row>37</xdr:row>
      <xdr:rowOff>0</xdr:rowOff>
    </xdr:from>
    <xdr:to>
      <xdr:col>4</xdr:col>
      <xdr:colOff>0</xdr:colOff>
      <xdr:row>37</xdr:row>
      <xdr:rowOff>0</xdr:rowOff>
    </xdr:to>
    <xdr:graphicFrame macro="">
      <xdr:nvGraphicFramePr>
        <xdr:cNvPr id="20" name="Chart 44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0</xdr:colOff>
      <xdr:row>37</xdr:row>
      <xdr:rowOff>0</xdr:rowOff>
    </xdr:from>
    <xdr:to>
      <xdr:col>4</xdr:col>
      <xdr:colOff>0</xdr:colOff>
      <xdr:row>37</xdr:row>
      <xdr:rowOff>0</xdr:rowOff>
    </xdr:to>
    <xdr:graphicFrame macro="">
      <xdr:nvGraphicFramePr>
        <xdr:cNvPr id="21" name="Chart 44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37</xdr:row>
      <xdr:rowOff>0</xdr:rowOff>
    </xdr:to>
    <xdr:graphicFrame macro="">
      <xdr:nvGraphicFramePr>
        <xdr:cNvPr id="22" name="Chart 44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37</xdr:row>
      <xdr:rowOff>0</xdr:rowOff>
    </xdr:to>
    <xdr:graphicFrame macro="">
      <xdr:nvGraphicFramePr>
        <xdr:cNvPr id="23" name="Chart 44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37</xdr:row>
      <xdr:rowOff>0</xdr:rowOff>
    </xdr:to>
    <xdr:graphicFrame macro="">
      <xdr:nvGraphicFramePr>
        <xdr:cNvPr id="24" name="Chart 44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37</xdr:row>
      <xdr:rowOff>0</xdr:rowOff>
    </xdr:to>
    <xdr:graphicFrame macro="">
      <xdr:nvGraphicFramePr>
        <xdr:cNvPr id="25" name="Chart 4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12</xdr:col>
      <xdr:colOff>0</xdr:colOff>
      <xdr:row>46</xdr:row>
      <xdr:rowOff>0</xdr:rowOff>
    </xdr:from>
    <xdr:to>
      <xdr:col>13</xdr:col>
      <xdr:colOff>0</xdr:colOff>
      <xdr:row>46</xdr:row>
      <xdr:rowOff>0</xdr:rowOff>
    </xdr:to>
    <xdr:graphicFrame macro="">
      <xdr:nvGraphicFramePr>
        <xdr:cNvPr id="26" name="Chart 44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0</xdr:colOff>
      <xdr:row>46</xdr:row>
      <xdr:rowOff>0</xdr:rowOff>
    </xdr:from>
    <xdr:to>
      <xdr:col>13</xdr:col>
      <xdr:colOff>0</xdr:colOff>
      <xdr:row>46</xdr:row>
      <xdr:rowOff>0</xdr:rowOff>
    </xdr:to>
    <xdr:graphicFrame macro="">
      <xdr:nvGraphicFramePr>
        <xdr:cNvPr id="27" name="Chart 44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12</xdr:col>
      <xdr:colOff>0</xdr:colOff>
      <xdr:row>46</xdr:row>
      <xdr:rowOff>0</xdr:rowOff>
    </xdr:from>
    <xdr:to>
      <xdr:col>13</xdr:col>
      <xdr:colOff>0</xdr:colOff>
      <xdr:row>46</xdr:row>
      <xdr:rowOff>0</xdr:rowOff>
    </xdr:to>
    <xdr:graphicFrame macro="">
      <xdr:nvGraphicFramePr>
        <xdr:cNvPr id="28" name="Chart 44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12</xdr:col>
      <xdr:colOff>0</xdr:colOff>
      <xdr:row>46</xdr:row>
      <xdr:rowOff>0</xdr:rowOff>
    </xdr:from>
    <xdr:to>
      <xdr:col>13</xdr:col>
      <xdr:colOff>0</xdr:colOff>
      <xdr:row>46</xdr:row>
      <xdr:rowOff>0</xdr:rowOff>
    </xdr:to>
    <xdr:graphicFrame macro="">
      <xdr:nvGraphicFramePr>
        <xdr:cNvPr id="29" name="Chart 44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11</xdr:col>
      <xdr:colOff>0</xdr:colOff>
      <xdr:row>37</xdr:row>
      <xdr:rowOff>0</xdr:rowOff>
    </xdr:from>
    <xdr:to>
      <xdr:col>12</xdr:col>
      <xdr:colOff>0</xdr:colOff>
      <xdr:row>37</xdr:row>
      <xdr:rowOff>0</xdr:rowOff>
    </xdr:to>
    <xdr:graphicFrame macro="">
      <xdr:nvGraphicFramePr>
        <xdr:cNvPr id="30" name="Chart 44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11</xdr:col>
      <xdr:colOff>0</xdr:colOff>
      <xdr:row>37</xdr:row>
      <xdr:rowOff>0</xdr:rowOff>
    </xdr:from>
    <xdr:to>
      <xdr:col>12</xdr:col>
      <xdr:colOff>0</xdr:colOff>
      <xdr:row>37</xdr:row>
      <xdr:rowOff>0</xdr:rowOff>
    </xdr:to>
    <xdr:graphicFrame macro="">
      <xdr:nvGraphicFramePr>
        <xdr:cNvPr id="31" name="Chart 44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11</xdr:col>
      <xdr:colOff>0</xdr:colOff>
      <xdr:row>37</xdr:row>
      <xdr:rowOff>0</xdr:rowOff>
    </xdr:from>
    <xdr:to>
      <xdr:col>12</xdr:col>
      <xdr:colOff>0</xdr:colOff>
      <xdr:row>37</xdr:row>
      <xdr:rowOff>0</xdr:rowOff>
    </xdr:to>
    <xdr:graphicFrame macro="">
      <xdr:nvGraphicFramePr>
        <xdr:cNvPr id="32" name="Chart 44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</xdr:col>
      <xdr:colOff>0</xdr:colOff>
      <xdr:row>37</xdr:row>
      <xdr:rowOff>0</xdr:rowOff>
    </xdr:from>
    <xdr:to>
      <xdr:col>12</xdr:col>
      <xdr:colOff>0</xdr:colOff>
      <xdr:row>37</xdr:row>
      <xdr:rowOff>0</xdr:rowOff>
    </xdr:to>
    <xdr:graphicFrame macro="">
      <xdr:nvGraphicFramePr>
        <xdr:cNvPr id="33" name="Chart 44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12</xdr:col>
      <xdr:colOff>0</xdr:colOff>
      <xdr:row>37</xdr:row>
      <xdr:rowOff>0</xdr:rowOff>
    </xdr:from>
    <xdr:to>
      <xdr:col>13</xdr:col>
      <xdr:colOff>0</xdr:colOff>
      <xdr:row>37</xdr:row>
      <xdr:rowOff>0</xdr:rowOff>
    </xdr:to>
    <xdr:graphicFrame macro="">
      <xdr:nvGraphicFramePr>
        <xdr:cNvPr id="34" name="Chart 44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12</xdr:col>
      <xdr:colOff>0</xdr:colOff>
      <xdr:row>37</xdr:row>
      <xdr:rowOff>0</xdr:rowOff>
    </xdr:from>
    <xdr:to>
      <xdr:col>13</xdr:col>
      <xdr:colOff>0</xdr:colOff>
      <xdr:row>37</xdr:row>
      <xdr:rowOff>0</xdr:rowOff>
    </xdr:to>
    <xdr:graphicFrame macro="">
      <xdr:nvGraphicFramePr>
        <xdr:cNvPr id="35" name="Chart 4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12</xdr:col>
      <xdr:colOff>0</xdr:colOff>
      <xdr:row>37</xdr:row>
      <xdr:rowOff>0</xdr:rowOff>
    </xdr:from>
    <xdr:to>
      <xdr:col>13</xdr:col>
      <xdr:colOff>0</xdr:colOff>
      <xdr:row>37</xdr:row>
      <xdr:rowOff>0</xdr:rowOff>
    </xdr:to>
    <xdr:graphicFrame macro="">
      <xdr:nvGraphicFramePr>
        <xdr:cNvPr id="36" name="Chart 44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12</xdr:col>
      <xdr:colOff>0</xdr:colOff>
      <xdr:row>37</xdr:row>
      <xdr:rowOff>0</xdr:rowOff>
    </xdr:from>
    <xdr:to>
      <xdr:col>13</xdr:col>
      <xdr:colOff>0</xdr:colOff>
      <xdr:row>37</xdr:row>
      <xdr:rowOff>0</xdr:rowOff>
    </xdr:to>
    <xdr:graphicFrame macro="">
      <xdr:nvGraphicFramePr>
        <xdr:cNvPr id="37" name="Chart 44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1264995</xdr:colOff>
      <xdr:row>58</xdr:row>
      <xdr:rowOff>22289</xdr:rowOff>
    </xdr:from>
    <xdr:to>
      <xdr:col>15</xdr:col>
      <xdr:colOff>598318</xdr:colOff>
      <xdr:row>98</xdr:row>
      <xdr:rowOff>50074</xdr:rowOff>
    </xdr:to>
    <xdr:graphicFrame macro="">
      <xdr:nvGraphicFramePr>
        <xdr:cNvPr id="2" name="Graphb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606948</xdr:colOff>
      <xdr:row>153</xdr:row>
      <xdr:rowOff>24870</xdr:rowOff>
    </xdr:from>
    <xdr:to>
      <xdr:col>16</xdr:col>
      <xdr:colOff>784410</xdr:colOff>
      <xdr:row>192</xdr:row>
      <xdr:rowOff>179294</xdr:rowOff>
    </xdr:to>
    <xdr:graphicFrame macro="">
      <xdr:nvGraphicFramePr>
        <xdr:cNvPr id="3" name="Graphreq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167712</xdr:colOff>
      <xdr:row>203</xdr:row>
      <xdr:rowOff>17064</xdr:rowOff>
    </xdr:from>
    <xdr:to>
      <xdr:col>18</xdr:col>
      <xdr:colOff>750793</xdr:colOff>
      <xdr:row>246</xdr:row>
      <xdr:rowOff>0</xdr:rowOff>
    </xdr:to>
    <xdr:graphicFrame macro="">
      <xdr:nvGraphicFramePr>
        <xdr:cNvPr id="4" name="Graphreqimp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A36E1E0-864F-4B6B-B7B9-B3BC9FE2C6A5}" name="Banco" displayName="Banco" ref="A1:S10000" totalsRowShown="0">
  <autoFilter ref="A1:S10000" xr:uid="{0A36E1E0-864F-4B6B-B7B9-B3BC9FE2C6A5}"/>
  <tableColumns count="19">
    <tableColumn id="1" xr3:uid="{5949856D-5E67-492C-9A82-92347F138ABA}" name="Coluna1"/>
    <tableColumn id="2" xr3:uid="{BABBC3D9-63F3-443C-BC8F-AC02B877F329}" name="sigla"/>
    <tableColumn id="3" xr3:uid="{ED43041C-072F-4606-9BEA-CB7E6A5DB4DD}" name="Ano"/>
    <tableColumn id="4" xr3:uid="{1EB474F5-CDF0-462F-BE55-24EFE4C4194C}" name="IdAgente"/>
    <tableColumn id="5" xr3:uid="{6630DAC0-2EA8-46C6-B8CC-B54C9EA4A05A}" name="idSREAg"/>
    <tableColumn id="6" xr3:uid="{24D9FDBD-3362-449E-BD90-EB18ABBF8384}" name="id_natureza_dado"/>
    <tableColumn id="7" xr3:uid="{42B6E912-C423-4BF5-8F46-3067B40A7772}" name="id_detalhe_natureza"/>
    <tableColumn id="8" xr3:uid="{A36A74D4-4271-4226-824A-353E5F1E04A6}" name="idDet1"/>
    <tableColumn id="9" xr3:uid="{333F8C50-E873-4AF1-B5BE-C67D5F884650}" name="idDet2"/>
    <tableColumn id="10" xr3:uid="{9D711EC0-2D1A-4820-914B-0EC3CEEA7D7C}" name="idDet3"/>
    <tableColumn id="11" xr3:uid="{395D2E51-C123-4E6E-86C5-DF7126F630E2}" name="id_grupo_tarifa"/>
    <tableColumn id="12" xr3:uid="{BCB9F155-09F2-45DA-B220-07428570CBCB}" name="id_detalhe_grupo_tarifa"/>
    <tableColumn id="13" xr3:uid="{D6079A6A-F698-4B3A-B9B9-3BEF740C31B7}" name="id_tipo_tarifa"/>
    <tableColumn id="14" xr3:uid="{7D83E16A-C451-4ADE-B045-7EBBBE750159}" name="id_subgrupo"/>
    <tableColumn id="15" xr3:uid="{0BFCE35B-5D49-4E86-9D85-BD80FCC1107B}" name="id_posto"/>
    <tableColumn id="16" xr3:uid="{39B2BB55-AB3B-47D4-9A47-B332D4B4EC5D}" name="id_unidade"/>
    <tableColumn id="17" xr3:uid="{5389440F-0C37-4ABD-956D-86BA1A12F35F}" name="id_UC"/>
    <tableColumn id="18" xr3:uid="{F3D618B8-4B06-42C0-BC80-92A37A768FB2}" name="valor" dataDxfId="47"/>
    <tableColumn id="19" xr3:uid="{E1092CF3-9E56-433E-ABAC-E4DF312C419D}" name="DatadeRegistr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AC664E6-5814-4938-8877-A23120B89422}" name="financeiro" displayName="financeiro" ref="AG1:AY10000" totalsRowShown="0">
  <tableColumns count="19">
    <tableColumn id="1" xr3:uid="{C105C09F-8957-4C98-9A84-2275A72F3C20}" name="sigla"/>
    <tableColumn id="2" xr3:uid="{AEA38F5F-6952-4F6A-8110-C59993506B26}" name="Ano"/>
    <tableColumn id="3" xr3:uid="{A60CC719-D6E7-40D0-8CA7-EA3B0B8BE58B}" name="IdAgente"/>
    <tableColumn id="4" xr3:uid="{48FCE9FA-6317-4AF8-84E3-B2A3C150F3D7}" name="idSREAg"/>
    <tableColumn id="5" xr3:uid="{0B762D09-AC40-4ABC-BF39-61873014EB95}" name="id_natureza_dado"/>
    <tableColumn id="6" xr3:uid="{109C48B1-E16B-4F3B-A9A3-959AC14D3F48}" name="id_detalhe_natureza"/>
    <tableColumn id="7" xr3:uid="{7E90B66C-BE22-4E47-B073-03963B980FD6}" name="idDet1"/>
    <tableColumn id="8" xr3:uid="{F93949ED-9A31-4E07-8297-E476013F0115}" name="idDet2"/>
    <tableColumn id="9" xr3:uid="{E7F7F30D-387A-42F8-BAC4-5783EF3505D1}" name="idDet3"/>
    <tableColumn id="10" xr3:uid="{5F1687A6-F08E-4622-9516-0922237526EE}" name="id_grupo_tarifa"/>
    <tableColumn id="11" xr3:uid="{E8E98771-A0F0-4CE0-9BDF-54961B77C232}" name="id_detalhe_grupo_tarifa"/>
    <tableColumn id="12" xr3:uid="{7DC98B40-FFD9-4A17-99DF-11F36A9CE5F7}" name="id_tipo_tarifa"/>
    <tableColumn id="13" xr3:uid="{7F099857-C7F0-4A97-BB71-689B9885FA89}" name="id_subgrupo"/>
    <tableColumn id="14" xr3:uid="{ACF0B882-249C-4B78-B37B-E5EBE14B6F18}" name="id_posto"/>
    <tableColumn id="15" xr3:uid="{14E08033-486D-4B6A-9061-6652B991E940}" name="id_unidade"/>
    <tableColumn id="16" xr3:uid="{3FC378B4-218D-4B9C-B4D5-0BEBAC3552BD}" name="id_UC"/>
    <tableColumn id="17" xr3:uid="{59E4CBEF-6E31-4115-BF5D-02B8B1913895}" name="valor"/>
    <tableColumn id="18" xr3:uid="{6F87153B-5009-49AF-A124-D848C047D96C}" name="DatadeRegistro" dataDxfId="46"/>
    <tableColumn id="19" xr3:uid="{967241C0-C8F5-45DF-B691-2FA78928016D}" name="DatadeRegistro2" dataDxfId="45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filtroefeto1" displayName="filtroefeto1" ref="B4:B56" totalsRowShown="0" headerRowDxfId="44" dataDxfId="43">
  <autoFilter ref="B4:B56" xr:uid="{00000000-0009-0000-0100-000006000000}">
    <filterColumn colId="0">
      <filters>
        <filter val="5345"/>
        <filter val="5346"/>
        <filter val="5367"/>
      </filters>
    </filterColumn>
  </autoFilter>
  <tableColumns count="1">
    <tableColumn id="1" xr3:uid="{00000000-0010-0000-0300-000001000000}" name="filtro" dataDxfId="42">
      <calculatedColumnFormula>filrocalculo1[[#This Row],[filtro]]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4000000}" name="Tabela14" displayName="Tabela14" ref="BJ61:BL140" totalsRowShown="0" headerRowDxfId="41" dataDxfId="40" dataCellStyle="Vírgula">
  <autoFilter ref="BJ61:BL140" xr:uid="{00000000-0009-0000-0100-00000E000000}">
    <filterColumn colId="0">
      <filters>
        <filter val="1"/>
      </filters>
    </filterColumn>
  </autoFilter>
  <tableColumns count="3">
    <tableColumn id="1" xr3:uid="{00000000-0010-0000-0400-000001000000}" name="Coluna1" dataDxfId="39" dataCellStyle="Vírgula">
      <calculatedColumnFormula>SUM(I62:BH62)</calculatedColumnFormula>
    </tableColumn>
    <tableColumn id="2" xr3:uid="{00000000-0010-0000-0400-000002000000}" name="Coluna2" dataDxfId="38" dataCellStyle="Vírgula"/>
    <tableColumn id="3" xr3:uid="{00000000-0010-0000-0400-000003000000}" name="Coluna3" dataDxfId="37" dataCellStyle="Vírgula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filtro1" displayName="filtro1" ref="B15:B68" totalsRowShown="0" headerRowDxfId="36" dataDxfId="35">
  <autoFilter ref="B15:B68" xr:uid="{00000000-0009-0000-0100-000002000000}">
    <filterColumn colId="0">
      <filters>
        <filter val="VERDADEIRO"/>
      </filters>
    </filterColumn>
  </autoFilter>
  <tableColumns count="1">
    <tableColumn id="1" xr3:uid="{00000000-0010-0000-0200-000001000000}" name="filtro" dataDxfId="34">
      <calculatedColumnFormula>C16=$E$13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filtroPB2" displayName="filtroPB2" ref="B5:D57" totalsRowShown="0" headerRowDxfId="33" dataDxfId="32">
  <autoFilter ref="B5:D57" xr:uid="{00000000-000C-0000-FFFF-FFFF07000000}">
    <filterColumn colId="1">
      <filters>
        <filter val="5345"/>
        <filter val="5346"/>
        <filter val="5367"/>
      </filters>
    </filterColumn>
  </autoFilter>
  <tableColumns count="3">
    <tableColumn id="1" xr3:uid="{00000000-0010-0000-0700-000001000000}" name="Coluna3" dataDxfId="31"/>
    <tableColumn id="3" xr3:uid="{692B6A9C-E493-4104-804C-C8BF718E757B}" name="Coluna2" dataDxfId="30">
      <calculatedColumnFormula>IFERROR(VLOOKUP(D6,CAPA!$C$12:$C$32,1,FALSE),"NO SELECT")</calculatedColumnFormula>
    </tableColumn>
    <tableColumn id="2" xr3:uid="{365E36D1-3BA7-4578-95B2-722D7CC13463}" name="Coluna1" dataDxfId="29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filrocalculo1" displayName="filrocalculo1" ref="B4:B56" totalsRowShown="0" headerRowDxfId="28" dataDxfId="27">
  <autoFilter ref="B4:B56" xr:uid="{00000000-0009-0000-0100-000007000000}">
    <filterColumn colId="0">
      <filters>
        <filter val="5345"/>
        <filter val="5346"/>
        <filter val="5367"/>
      </filters>
    </filterColumn>
  </autoFilter>
  <tableColumns count="1">
    <tableColumn id="1" xr3:uid="{00000000-0010-0000-0500-000001000000}" name="filtro" dataDxfId="26">
      <calculatedColumnFormula>IFERROR(VLOOKUP(A5,CAPA!$C$12:$C$32,1,FALSE),"NO SELECT")</calculatedColumnFormula>
    </tableColumn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erro" displayName="erro" ref="AM4:AW56" totalsRowShown="0" headerRowDxfId="25" dataDxfId="24">
  <tableColumns count="11">
    <tableColumn id="2" xr3:uid="{AF64B93F-C966-40E6-A18B-FBD466AD56A9}" name="Permissionária" dataDxfId="23"/>
    <tableColumn id="1" xr3:uid="{B4E8E086-43E3-48B5-8CEF-CC480FAB6D3C}" name="Geração Própria (MWh)" dataDxfId="22">
      <calculatedColumnFormula>SUMIFS(Banco[valor],Banco[IdAgente],A5,Banco[id_natureza_dado],1,Banco[id_detalhe_natureza],1,Banco[idDet1],6,Banco[idDet2],999999,Banco[idDet3],999,Banco[id_grupo_tarifa],2,Banco[id_detalhe_grupo_tarifa],999,Banco[id_tipo_tarifa],9,Banco[id_subgrupo],99,Banco[id_posto],9,Banco[id_unidade],2,Banco[id_UC],99999)</calculatedColumnFormula>
    </tableColumn>
    <tableColumn id="9" xr3:uid="{D7A91F70-B599-4682-8D4F-59D3901DC714}" name="Angra" dataDxfId="21">
      <calculatedColumnFormula>SUMIFS(Banco[valor],Banco[IdAgente],A5,Banco[id_natureza_dado],1,Banco[id_detalhe_natureza],1,Banco[idDet1],8,Banco[idDet2],999999,Banco[idDet3],999,Banco[id_grupo_tarifa],2,Banco[id_detalhe_grupo_tarifa],999,Banco[id_tipo_tarifa],9,Banco[id_subgrupo],99,Banco[id_posto],9,Banco[id_unidade],2,Banco[id_UC],99999)</calculatedColumnFormula>
    </tableColumn>
    <tableColumn id="8" xr3:uid="{66D92C43-5CBA-4FF9-A9C6-3399D5B3DD16}" name="CCGF" dataDxfId="20">
      <calculatedColumnFormula>SUMIFS(Banco[valor],Banco[IdAgente],A5,Banco[id_natureza_dado],1,Banco[id_detalhe_natureza],1,Banco[idDet1],17,Banco[idDet2],999999,Banco[idDet3],999,Banco[id_grupo_tarifa],2,Banco[id_detalhe_grupo_tarifa],999,Banco[id_tipo_tarifa],9,Banco[id_subgrupo],99,Banco[id_posto],9,Banco[id_unidade],2,Banco[id_UC],0)</calculatedColumnFormula>
    </tableColumn>
    <tableColumn id="3" xr3:uid="{F48E8E4A-977A-4AEE-82A9-921219C49C54}" name="Proinfa (MWh)" dataDxfId="19">
      <calculatedColumnFormula>SUMIFS(Banco[valor],Banco[IdAgente],A5,Banco[id_natureza_dado],1,Banco[id_detalhe_natureza],1,Banco[idDet1],4,Banco[idDet2],999999,Banco[idDet3],999,Banco[id_grupo_tarifa],2,Banco[id_detalhe_grupo_tarifa],999,Banco[id_tipo_tarifa],9,Banco[id_subgrupo],99,Banco[id_posto],9,Banco[id_unidade],2,Banco[id_UC],99999)</calculatedColumnFormula>
    </tableColumn>
    <tableColumn id="10" xr3:uid="{88327646-5487-4FC7-B2B1-41EF09683F80}" name="Contratos no ACL (MWh)" dataDxfId="18" dataCellStyle="Vírgula">
      <calculatedColumnFormula>SUMIFS(Banco[valor],Banco[IdAgente],A5,Banco[id_natureza_dado],1,Banco[id_detalhe_natureza],1,Banco[idDet1],70,Banco[idDet2],999999,Banco[idDet3],999,Banco[id_grupo_tarifa],2,Banco[id_detalhe_grupo_tarifa],999,Banco[id_tipo_tarifa],9,Banco[id_subgrupo],99,Banco[id_posto],9,Banco[id_unidade],2,Banco[id_UC],99999)</calculatedColumnFormula>
    </tableColumn>
    <tableColumn id="4" xr3:uid="{6C09CBBA-7550-47FA-A23E-178D4FA03CEE}" name="Suprimento (MWh)" dataDxfId="17">
      <calculatedColumnFormula>SUMIFS(Banco[valor],Banco[IdAgente],A5,Banco[id_natureza_dado],1,Banco[id_detalhe_natureza],1,Banco[idDet1],71,Banco[idDet2],999999,Banco[idDet3],999,Banco[id_grupo_tarifa],2,Banco[id_detalhe_grupo_tarifa],999,Banco[id_tipo_tarifa],9,Banco[id_subgrupo],99,Banco[id_posto],9,Banco[id_unidade],2,Banco[id_UC],99999)</calculatedColumnFormula>
    </tableColumn>
    <tableColumn id="5" xr3:uid="{44CC5ED2-AD17-4B2C-865F-AAFF11D0B72D}" name="Compra de Energia (MWh)" dataDxfId="16">
      <calculatedColumnFormula>SUMIFS(Banco[valor],Banco[IdAgente],A5,Banco[id_natureza_dado],1,Banco[id_detalhe_natureza],1,Banco[idDet1],51,Banco[idDet2],55,Banco[idDet3],999,Banco[id_grupo_tarifa],2,Banco[id_detalhe_grupo_tarifa],999,Banco[id_tipo_tarifa],9,Banco[id_subgrupo],99,Banco[id_posto],9,Banco[id_unidade],2,Banco[id_UC],99999)</calculatedColumnFormula>
    </tableColumn>
    <tableColumn id="6" xr3:uid="{C74AED04-FBAF-4575-A1EC-4D6808BE4C46}" name="Tarifa Média (R$/MWh)" dataDxfId="15">
      <calculatedColumnFormula>SUMIFS(Banco[valor],Banco[IdAgente],A5,Banco[id_natureza_dado],1,Banco[id_detalhe_natureza],1,Banco[idDet1],51,Banco[idDet2],150,Banco[idDet3],999,Banco[id_grupo_tarifa],2,Banco[id_detalhe_grupo_tarifa],999,Banco[id_tipo_tarifa],9,Banco[id_subgrupo],99,Banco[id_posto],9,Banco[id_unidade],5,Banco[id_UC],99999)</calculatedColumnFormula>
    </tableColumn>
    <tableColumn id="7" xr3:uid="{DD8D774B-A97D-4224-94A6-90095E35FDE3}" name="Despesa (R$)" dataDxfId="14">
      <calculatedColumnFormula>AT5*AU5</calculatedColumnFormula>
    </tableColumn>
    <tableColumn id="11" xr3:uid="{00C54811-E8FE-4A97-AF4A-51F4138453E0}" name="Coluna1" dataDxfId="13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2AB37BB-1815-440F-8934-6DD77AA79681}" name="Tabela9" displayName="Tabela9" ref="A7:B45" totalsRowShown="0" headerRowDxfId="12" dataCellStyle="Moeda">
  <autoFilter ref="A7:B45" xr:uid="{82AB37BB-1815-440F-8934-6DD77AA79681}"/>
  <tableColumns count="2">
    <tableColumn id="1" xr3:uid="{582C56BD-5BF9-4D44-847D-02A85DF20D4A}" name="filtro" dataCellStyle="Vírgula">
      <calculatedColumnFormula>SUM(E8:BD8)</calculatedColumnFormula>
    </tableColumn>
    <tableColumn id="2" xr3:uid="{E4A25B38-7768-4DEF-907D-0E4AE9516E5C}" name="Coluna1" dataDxfId="11" dataCellStyle="Moeda">
      <calculatedColumnFormula>IF(SUM(E8:BD8)&lt;&gt;0,1,0)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filtrosub1" displayName="filtrosub1" ref="A6:A58" totalsRowShown="0" headerRowDxfId="10" dataDxfId="9">
  <autoFilter ref="A6:A58" xr:uid="{00000000-0009-0000-0100-00000A000000}">
    <filterColumn colId="0">
      <customFilters>
        <customFilter operator="notEqual" val="NO SELECT"/>
      </customFilters>
    </filterColumn>
  </autoFilter>
  <tableColumns count="1">
    <tableColumn id="1" xr3:uid="{00000000-0010-0000-0900-000001000000}" name="filtro" dataDxfId="8">
      <calculatedColumnFormula>Efeito!B5</calculatedColumnFormula>
    </tableColumn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filtrodesconto1" displayName="filtrodesconto1" ref="D4:D81" totalsRowShown="0" headerRowDxfId="7" dataDxfId="6">
  <autoFilter ref="D4:D81" xr:uid="{00000000-0009-0000-0100-00000C000000}">
    <filterColumn colId="0">
      <filters>
        <filter val="5345"/>
        <filter val="5346"/>
        <filter val="5367"/>
      </filters>
    </filterColumn>
  </autoFilter>
  <tableColumns count="1">
    <tableColumn id="1" xr3:uid="{00000000-0010-0000-0A00-000001000000}" name="filtro" dataDxfId="5">
      <calculatedColumnFormula>A5=Fatos!$E$13</calculatedColumnFormula>
    </tableColumn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B000000}" name="filtrograf1" displayName="filtrograf1" ref="B5:B58" totalsRowCount="1" tableBorderDxfId="4">
  <autoFilter ref="B5:B57" xr:uid="{00000000-000C-0000-FFFF-FFFF0B000000}">
    <filterColumn colId="0">
      <filters>
        <filter val="5345"/>
        <filter val="5346"/>
        <filter val="5367"/>
      </filters>
    </filterColumn>
  </autoFilter>
  <tableColumns count="1">
    <tableColumn id="1" xr3:uid="{00000000-0010-0000-0B00-000001000000}" name="Permissionária" dataDxfId="3" totalsRowDxfId="2">
      <calculatedColumnFormula>VLOOKUP(C6,Efeito!$A$5:$B$56,2,FALSE)</calculatedColumnFormula>
    </tableColumn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filtrofgraf2" displayName="filtrofgraf2" ref="B100:B152" totalsRowShown="0" tableBorderDxfId="1">
  <autoFilter ref="B100:B152" xr:uid="{00000000-0009-0000-0100-00000D000000}">
    <filterColumn colId="0">
      <filters>
        <filter val="5345"/>
        <filter val="5346"/>
        <filter val="5367"/>
      </filters>
    </filterColumn>
  </autoFilter>
  <tableColumns count="1">
    <tableColumn id="1" xr3:uid="{00000000-0010-0000-0C00-000001000000}" name="filtro" dataDxfId="0">
      <calculatedColumnFormula>Efeito!B5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portalrelatorios.aneel.gov.br/luznatarifa/basestarifas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52CFF-B70E-447D-B2B6-6B895155B170}">
  <sheetPr codeName="Planilha16"/>
  <dimension ref="A1:L53"/>
  <sheetViews>
    <sheetView workbookViewId="0">
      <selection activeCell="M24" sqref="M24"/>
    </sheetView>
  </sheetViews>
  <sheetFormatPr defaultRowHeight="14.5"/>
  <cols>
    <col min="1" max="1" width="21.453125" bestFit="1" customWidth="1"/>
    <col min="2" max="2" width="9.54296875" bestFit="1" customWidth="1"/>
    <col min="5" max="5" width="16.08984375" customWidth="1"/>
    <col min="6" max="6" width="15.08984375" bestFit="1" customWidth="1"/>
    <col min="9" max="9" width="18.08984375" customWidth="1"/>
    <col min="12" max="12" width="10.453125" bestFit="1" customWidth="1"/>
  </cols>
  <sheetData>
    <row r="1" spans="1:12">
      <c r="A1" t="s">
        <v>444</v>
      </c>
      <c r="B1" t="s">
        <v>442</v>
      </c>
      <c r="C1" t="s">
        <v>443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102</v>
      </c>
      <c r="J1" t="s">
        <v>365</v>
      </c>
    </row>
    <row r="2" spans="1:12">
      <c r="A2">
        <f>COUNTIF(C$2:$D2,C2)</f>
        <v>1</v>
      </c>
      <c r="B2" t="str">
        <f t="shared" ref="B2:B33" si="0">CONCATENATE(C2,"-",A2)</f>
        <v>4-1</v>
      </c>
      <c r="C2">
        <f>SMALL(H2:$I$53,1)</f>
        <v>4</v>
      </c>
      <c r="D2">
        <v>6603</v>
      </c>
      <c r="E2" t="s">
        <v>370</v>
      </c>
      <c r="F2" t="s">
        <v>215</v>
      </c>
      <c r="G2">
        <v>29</v>
      </c>
      <c r="H2">
        <v>4</v>
      </c>
      <c r="I2" s="243">
        <f>DATE(CAPA!$C$8,Bastidores!H2,Bastidores!G2)</f>
        <v>45045</v>
      </c>
      <c r="J2">
        <v>6603</v>
      </c>
      <c r="L2" t="s">
        <v>371</v>
      </c>
    </row>
    <row r="3" spans="1:12">
      <c r="A3">
        <f>COUNTIF(C$2:$D3,C3)</f>
        <v>2</v>
      </c>
      <c r="B3" t="str">
        <f t="shared" si="0"/>
        <v>4-2</v>
      </c>
      <c r="C3">
        <f>SMALL(H3:$I$53,1)</f>
        <v>4</v>
      </c>
      <c r="D3">
        <v>5279</v>
      </c>
      <c r="E3" t="s">
        <v>372</v>
      </c>
      <c r="F3" t="s">
        <v>213</v>
      </c>
      <c r="G3">
        <v>29</v>
      </c>
      <c r="H3">
        <v>4</v>
      </c>
      <c r="I3" s="243">
        <f>DATE(CAPA!$C$8,Bastidores!H3,Bastidores!G3)</f>
        <v>45045</v>
      </c>
      <c r="J3">
        <v>5279</v>
      </c>
      <c r="L3" t="s">
        <v>373</v>
      </c>
    </row>
    <row r="4" spans="1:12">
      <c r="A4">
        <f>COUNTIF(C$2:$D4,C4)</f>
        <v>3</v>
      </c>
      <c r="B4" t="str">
        <f t="shared" si="0"/>
        <v>4-3</v>
      </c>
      <c r="C4">
        <f>SMALL(H4:$I$53,1)</f>
        <v>4</v>
      </c>
      <c r="D4">
        <v>5274</v>
      </c>
      <c r="E4" t="s">
        <v>374</v>
      </c>
      <c r="F4" t="s">
        <v>162</v>
      </c>
      <c r="G4">
        <v>29</v>
      </c>
      <c r="H4">
        <v>4</v>
      </c>
      <c r="I4" s="243">
        <f>DATE(CAPA!$C$8,Bastidores!H4,Bastidores!G4)</f>
        <v>45045</v>
      </c>
      <c r="J4">
        <v>5274</v>
      </c>
      <c r="L4" t="s">
        <v>375</v>
      </c>
    </row>
    <row r="5" spans="1:12">
      <c r="A5">
        <f>COUNTIF(C$2:$D5,C5)</f>
        <v>4</v>
      </c>
      <c r="B5" t="str">
        <f t="shared" si="0"/>
        <v>4-4</v>
      </c>
      <c r="C5">
        <f>SMALL(H5:$I$53,1)</f>
        <v>4</v>
      </c>
      <c r="D5">
        <v>5378</v>
      </c>
      <c r="E5" t="s">
        <v>376</v>
      </c>
      <c r="F5" t="s">
        <v>171</v>
      </c>
      <c r="G5">
        <v>29</v>
      </c>
      <c r="H5">
        <v>4</v>
      </c>
      <c r="I5" s="243">
        <f>DATE(CAPA!$C$8,Bastidores!H5,Bastidores!G5)</f>
        <v>45045</v>
      </c>
      <c r="J5">
        <v>5378</v>
      </c>
      <c r="L5" t="s">
        <v>377</v>
      </c>
    </row>
    <row r="6" spans="1:12">
      <c r="A6">
        <f>COUNTIF(C$2:$D6,C6)</f>
        <v>1</v>
      </c>
      <c r="B6" t="str">
        <f t="shared" si="0"/>
        <v>5-1</v>
      </c>
      <c r="C6">
        <f>SMALL(H6:$I$53,1)</f>
        <v>5</v>
      </c>
      <c r="D6">
        <v>7467</v>
      </c>
      <c r="E6" t="s">
        <v>378</v>
      </c>
      <c r="F6" t="s">
        <v>286</v>
      </c>
      <c r="G6">
        <v>29</v>
      </c>
      <c r="H6">
        <v>5</v>
      </c>
      <c r="I6" s="243">
        <f>DATE(CAPA!$C$8,Bastidores!H6,Bastidores!G6)</f>
        <v>45075</v>
      </c>
      <c r="J6">
        <v>7467</v>
      </c>
      <c r="L6" t="s">
        <v>379</v>
      </c>
    </row>
    <row r="7" spans="1:12">
      <c r="A7">
        <f>COUNTIF(C$2:$D7,C7)</f>
        <v>2</v>
      </c>
      <c r="B7" t="str">
        <f t="shared" si="0"/>
        <v>5-2</v>
      </c>
      <c r="C7">
        <f>SMALL(H7:$I$53,1)</f>
        <v>5</v>
      </c>
      <c r="D7">
        <v>5377</v>
      </c>
      <c r="E7" t="s">
        <v>380</v>
      </c>
      <c r="F7" t="s">
        <v>159</v>
      </c>
      <c r="G7">
        <v>29</v>
      </c>
      <c r="H7">
        <v>5</v>
      </c>
      <c r="I7" s="243">
        <f>DATE(CAPA!$C$8,Bastidores!H7,Bastidores!G7)</f>
        <v>45075</v>
      </c>
      <c r="J7">
        <v>5377</v>
      </c>
      <c r="L7" t="s">
        <v>381</v>
      </c>
    </row>
    <row r="8" spans="1:12">
      <c r="A8">
        <f>COUNTIF(C$2:$D8,C8)</f>
        <v>3</v>
      </c>
      <c r="B8" t="str">
        <f t="shared" si="0"/>
        <v>5-3</v>
      </c>
      <c r="C8">
        <f>SMALL(H8:$I$53,1)</f>
        <v>5</v>
      </c>
      <c r="D8">
        <v>5384</v>
      </c>
      <c r="E8" t="s">
        <v>382</v>
      </c>
      <c r="F8" t="s">
        <v>186</v>
      </c>
      <c r="G8">
        <v>29</v>
      </c>
      <c r="H8">
        <v>5</v>
      </c>
      <c r="I8" s="243">
        <f>DATE(CAPA!$C$8,Bastidores!H8,Bastidores!G8)</f>
        <v>45075</v>
      </c>
      <c r="J8">
        <v>5384</v>
      </c>
      <c r="L8" t="s">
        <v>383</v>
      </c>
    </row>
    <row r="9" spans="1:12">
      <c r="A9">
        <f>COUNTIF(C$2:$D9,C9)</f>
        <v>4</v>
      </c>
      <c r="B9" t="str">
        <f t="shared" si="0"/>
        <v>5-4</v>
      </c>
      <c r="C9">
        <f>SMALL(H9:$I$53,1)</f>
        <v>5</v>
      </c>
      <c r="D9">
        <v>5385</v>
      </c>
      <c r="E9" t="s">
        <v>384</v>
      </c>
      <c r="F9" t="s">
        <v>189</v>
      </c>
      <c r="G9">
        <v>29</v>
      </c>
      <c r="H9">
        <v>5</v>
      </c>
      <c r="I9" s="243">
        <f>DATE(CAPA!$C$8,Bastidores!H9,Bastidores!G9)</f>
        <v>45075</v>
      </c>
      <c r="J9">
        <v>5385</v>
      </c>
      <c r="L9" t="s">
        <v>385</v>
      </c>
    </row>
    <row r="10" spans="1:12">
      <c r="A10">
        <f>COUNTIF(C$2:$D10,C10)</f>
        <v>1</v>
      </c>
      <c r="B10" t="str">
        <f t="shared" si="0"/>
        <v>7-1</v>
      </c>
      <c r="C10">
        <f>SMALL(H10:$I$53,1)</f>
        <v>7</v>
      </c>
      <c r="D10">
        <v>11825</v>
      </c>
      <c r="E10" t="s">
        <v>386</v>
      </c>
      <c r="F10" t="s">
        <v>387</v>
      </c>
      <c r="G10">
        <v>30</v>
      </c>
      <c r="H10">
        <v>7</v>
      </c>
      <c r="I10" s="243">
        <f>DATE(CAPA!$C$8,Bastidores!H10,Bastidores!G10)</f>
        <v>45137</v>
      </c>
      <c r="J10">
        <v>11825</v>
      </c>
      <c r="L10" t="s">
        <v>388</v>
      </c>
    </row>
    <row r="11" spans="1:12">
      <c r="A11">
        <f>COUNTIF(C$2:$D11,C11)</f>
        <v>2</v>
      </c>
      <c r="B11" t="str">
        <f t="shared" si="0"/>
        <v>7-2</v>
      </c>
      <c r="C11">
        <f>SMALL(H11:$I$53,1)</f>
        <v>7</v>
      </c>
      <c r="D11">
        <v>5343</v>
      </c>
      <c r="E11" t="s">
        <v>389</v>
      </c>
      <c r="F11" t="s">
        <v>390</v>
      </c>
      <c r="G11">
        <v>30</v>
      </c>
      <c r="H11">
        <v>7</v>
      </c>
      <c r="I11" s="243">
        <f>DATE(CAPA!$C$8,Bastidores!H11,Bastidores!G11)</f>
        <v>45137</v>
      </c>
      <c r="J11">
        <v>5343</v>
      </c>
      <c r="L11" t="s">
        <v>391</v>
      </c>
    </row>
    <row r="12" spans="1:12">
      <c r="A12">
        <f>COUNTIF(C$2:$D12,C12)</f>
        <v>3</v>
      </c>
      <c r="B12" t="str">
        <f t="shared" si="0"/>
        <v>7-3</v>
      </c>
      <c r="C12">
        <f>SMALL(H12:$I$53,1)</f>
        <v>7</v>
      </c>
      <c r="D12">
        <v>4248</v>
      </c>
      <c r="E12" t="s">
        <v>392</v>
      </c>
      <c r="F12" t="s">
        <v>393</v>
      </c>
      <c r="G12">
        <v>30</v>
      </c>
      <c r="H12">
        <v>7</v>
      </c>
      <c r="I12" s="243">
        <f>DATE(CAPA!$C$8,Bastidores!H12,Bastidores!G12)</f>
        <v>45137</v>
      </c>
      <c r="J12">
        <v>4248</v>
      </c>
      <c r="L12" t="s">
        <v>394</v>
      </c>
    </row>
    <row r="13" spans="1:12">
      <c r="A13">
        <f>COUNTIF(C$2:$D13,C13)</f>
        <v>4</v>
      </c>
      <c r="B13" t="str">
        <f t="shared" si="0"/>
        <v>7-4</v>
      </c>
      <c r="C13">
        <f>SMALL(H13:$I$53,1)</f>
        <v>7</v>
      </c>
      <c r="D13">
        <v>504</v>
      </c>
      <c r="E13" t="s">
        <v>395</v>
      </c>
      <c r="F13" t="s">
        <v>396</v>
      </c>
      <c r="G13">
        <v>30</v>
      </c>
      <c r="H13">
        <v>7</v>
      </c>
      <c r="I13" s="243">
        <f>DATE(CAPA!$C$8,Bastidores!H13,Bastidores!G13)</f>
        <v>45137</v>
      </c>
      <c r="J13">
        <v>504</v>
      </c>
      <c r="L13" t="s">
        <v>397</v>
      </c>
    </row>
    <row r="14" spans="1:12">
      <c r="A14">
        <f>COUNTIF(C$2:$D14,C14)</f>
        <v>5</v>
      </c>
      <c r="B14" t="str">
        <f t="shared" si="0"/>
        <v>7-5</v>
      </c>
      <c r="C14">
        <f>SMALL(H14:$I$53,1)</f>
        <v>7</v>
      </c>
      <c r="D14">
        <v>2763</v>
      </c>
      <c r="E14" t="s">
        <v>398</v>
      </c>
      <c r="F14" t="s">
        <v>165</v>
      </c>
      <c r="G14">
        <v>30</v>
      </c>
      <c r="H14">
        <v>7</v>
      </c>
      <c r="I14" s="243">
        <f>DATE(CAPA!$C$8,Bastidores!H14,Bastidores!G14)</f>
        <v>45137</v>
      </c>
      <c r="J14">
        <v>2763</v>
      </c>
    </row>
    <row r="15" spans="1:12">
      <c r="A15">
        <f>COUNTIF(C$2:$D15,C15)</f>
        <v>6</v>
      </c>
      <c r="B15" t="str">
        <f t="shared" si="0"/>
        <v>7-6</v>
      </c>
      <c r="C15">
        <f>SMALL(H15:$I$53,1)</f>
        <v>7</v>
      </c>
      <c r="D15">
        <v>5382</v>
      </c>
      <c r="E15" t="s">
        <v>399</v>
      </c>
      <c r="F15" t="s">
        <v>174</v>
      </c>
      <c r="G15">
        <v>30</v>
      </c>
      <c r="H15">
        <v>7</v>
      </c>
      <c r="I15" s="243">
        <f>DATE(CAPA!$C$8,Bastidores!H15,Bastidores!G15)</f>
        <v>45137</v>
      </c>
      <c r="J15">
        <v>5382</v>
      </c>
    </row>
    <row r="16" spans="1:12">
      <c r="A16">
        <f>COUNTIF(C$2:$D16,C16)</f>
        <v>7</v>
      </c>
      <c r="B16" t="str">
        <f t="shared" si="0"/>
        <v>7-7</v>
      </c>
      <c r="C16">
        <f>SMALL(H16:$I$53,1)</f>
        <v>7</v>
      </c>
      <c r="D16">
        <v>2381</v>
      </c>
      <c r="E16" t="s">
        <v>400</v>
      </c>
      <c r="F16" t="s">
        <v>180</v>
      </c>
      <c r="G16">
        <v>30</v>
      </c>
      <c r="H16">
        <v>7</v>
      </c>
      <c r="I16" s="243">
        <f>DATE(CAPA!$C$8,Bastidores!H16,Bastidores!G16)</f>
        <v>45137</v>
      </c>
      <c r="J16">
        <v>2381</v>
      </c>
    </row>
    <row r="17" spans="1:10">
      <c r="A17">
        <f>COUNTIF(C$2:$D17,C17)</f>
        <v>8</v>
      </c>
      <c r="B17" t="str">
        <f t="shared" si="0"/>
        <v>7-8</v>
      </c>
      <c r="C17">
        <f>SMALL(H17:$I$53,1)</f>
        <v>7</v>
      </c>
      <c r="D17">
        <v>6609</v>
      </c>
      <c r="E17" t="s">
        <v>401</v>
      </c>
      <c r="F17" t="s">
        <v>183</v>
      </c>
      <c r="G17">
        <v>30</v>
      </c>
      <c r="H17">
        <v>7</v>
      </c>
      <c r="I17" s="243">
        <f>DATE(CAPA!$C$8,Bastidores!H17,Bastidores!G17)</f>
        <v>45137</v>
      </c>
      <c r="J17">
        <v>6609</v>
      </c>
    </row>
    <row r="18" spans="1:10">
      <c r="A18">
        <f>COUNTIF(C$2:$D18,C18)</f>
        <v>9</v>
      </c>
      <c r="B18" t="str">
        <f t="shared" si="0"/>
        <v>7-9</v>
      </c>
      <c r="C18">
        <f>SMALL(H18:$I$53,1)</f>
        <v>7</v>
      </c>
      <c r="D18">
        <v>3223</v>
      </c>
      <c r="E18" t="s">
        <v>402</v>
      </c>
      <c r="F18" t="s">
        <v>192</v>
      </c>
      <c r="G18">
        <v>30</v>
      </c>
      <c r="H18">
        <v>7</v>
      </c>
      <c r="I18" s="243">
        <f>DATE(CAPA!$C$8,Bastidores!H18,Bastidores!G18)</f>
        <v>45137</v>
      </c>
      <c r="J18">
        <v>3223</v>
      </c>
    </row>
    <row r="19" spans="1:10">
      <c r="A19">
        <f>COUNTIF(C$2:$D19,C19)</f>
        <v>10</v>
      </c>
      <c r="B19" t="str">
        <f t="shared" si="0"/>
        <v>7-10</v>
      </c>
      <c r="C19">
        <f>SMALL(H19:$I$53,1)</f>
        <v>7</v>
      </c>
      <c r="D19">
        <v>7371</v>
      </c>
      <c r="E19" t="s">
        <v>550</v>
      </c>
      <c r="F19" t="s">
        <v>195</v>
      </c>
      <c r="G19">
        <v>30</v>
      </c>
      <c r="H19">
        <v>7</v>
      </c>
      <c r="I19" s="243">
        <f>DATE(CAPA!$C$8,Bastidores!H19,Bastidores!G19)</f>
        <v>45137</v>
      </c>
      <c r="J19">
        <v>7371</v>
      </c>
    </row>
    <row r="20" spans="1:10">
      <c r="A20">
        <f>COUNTIF(C$2:$D20,C20)</f>
        <v>11</v>
      </c>
      <c r="B20" t="str">
        <f t="shared" si="0"/>
        <v>7-11</v>
      </c>
      <c r="C20">
        <f>SMALL(H20:$I$53,1)</f>
        <v>7</v>
      </c>
      <c r="D20">
        <v>527</v>
      </c>
      <c r="E20" t="s">
        <v>403</v>
      </c>
      <c r="F20" t="s">
        <v>404</v>
      </c>
      <c r="G20">
        <v>30</v>
      </c>
      <c r="H20">
        <v>7</v>
      </c>
      <c r="I20" s="243">
        <f>DATE(CAPA!$C$8,Bastidores!H20,Bastidores!G20)</f>
        <v>45137</v>
      </c>
      <c r="J20">
        <v>527</v>
      </c>
    </row>
    <row r="21" spans="1:10">
      <c r="A21">
        <f>COUNTIF(C$2:$D21,C21)</f>
        <v>12</v>
      </c>
      <c r="B21" t="str">
        <f t="shared" si="0"/>
        <v>7-12</v>
      </c>
      <c r="C21">
        <f>SMALL(H21:$I$53,1)</f>
        <v>7</v>
      </c>
      <c r="D21">
        <v>3627</v>
      </c>
      <c r="E21" t="s">
        <v>405</v>
      </c>
      <c r="F21" t="s">
        <v>201</v>
      </c>
      <c r="G21">
        <v>30</v>
      </c>
      <c r="H21">
        <v>7</v>
      </c>
      <c r="I21" s="243">
        <f>DATE(CAPA!$C$8,Bastidores!H21,Bastidores!G21)</f>
        <v>45137</v>
      </c>
      <c r="J21">
        <v>3627</v>
      </c>
    </row>
    <row r="22" spans="1:10">
      <c r="A22">
        <f>COUNTIF(C$2:$D22,C22)</f>
        <v>13</v>
      </c>
      <c r="B22" t="str">
        <f t="shared" si="0"/>
        <v>7-13</v>
      </c>
      <c r="C22">
        <f>SMALL(H22:$I$53,1)</f>
        <v>7</v>
      </c>
      <c r="D22">
        <v>2351</v>
      </c>
      <c r="E22" t="s">
        <v>406</v>
      </c>
      <c r="F22" t="s">
        <v>204</v>
      </c>
      <c r="G22">
        <v>30</v>
      </c>
      <c r="H22">
        <v>7</v>
      </c>
      <c r="I22" s="243">
        <f>DATE(CAPA!$C$8,Bastidores!H22,Bastidores!G22)</f>
        <v>45137</v>
      </c>
      <c r="J22">
        <v>2351</v>
      </c>
    </row>
    <row r="23" spans="1:10">
      <c r="A23">
        <f>COUNTIF(C$2:$D23,C23)</f>
        <v>14</v>
      </c>
      <c r="B23" t="str">
        <f t="shared" si="0"/>
        <v>7-14</v>
      </c>
      <c r="C23">
        <f>SMALL(H23:$I$53,1)</f>
        <v>7</v>
      </c>
      <c r="D23">
        <v>598</v>
      </c>
      <c r="E23" t="s">
        <v>407</v>
      </c>
      <c r="F23" t="s">
        <v>207</v>
      </c>
      <c r="G23">
        <v>30</v>
      </c>
      <c r="H23">
        <v>7</v>
      </c>
      <c r="I23" s="243">
        <f>DATE(CAPA!$C$8,Bastidores!H23,Bastidores!G23)</f>
        <v>45137</v>
      </c>
      <c r="J23">
        <v>598</v>
      </c>
    </row>
    <row r="24" spans="1:10">
      <c r="A24">
        <f>COUNTIF(C$2:$D24,C24)</f>
        <v>15</v>
      </c>
      <c r="B24" t="str">
        <f t="shared" si="0"/>
        <v>7-15</v>
      </c>
      <c r="C24">
        <f>SMALL(H24:$I$53,1)</f>
        <v>7</v>
      </c>
      <c r="D24">
        <v>2783</v>
      </c>
      <c r="E24" t="s">
        <v>408</v>
      </c>
      <c r="F24" t="s">
        <v>210</v>
      </c>
      <c r="G24">
        <v>30</v>
      </c>
      <c r="H24">
        <v>7</v>
      </c>
      <c r="I24" s="243">
        <f>DATE(CAPA!$C$8,Bastidores!H24,Bastidores!G24)</f>
        <v>45137</v>
      </c>
      <c r="J24">
        <v>2783</v>
      </c>
    </row>
    <row r="25" spans="1:10">
      <c r="A25">
        <f>COUNTIF(C$2:$D25,C25)</f>
        <v>1</v>
      </c>
      <c r="B25" t="str">
        <f t="shared" si="0"/>
        <v>9-1</v>
      </c>
      <c r="C25">
        <f>SMALL(H25:$I$53,1)</f>
        <v>9</v>
      </c>
      <c r="D25">
        <v>5366</v>
      </c>
      <c r="E25" t="s">
        <v>409</v>
      </c>
      <c r="F25" t="s">
        <v>51</v>
      </c>
      <c r="G25">
        <v>30</v>
      </c>
      <c r="H25">
        <v>9</v>
      </c>
      <c r="I25" s="243">
        <f>DATE(CAPA!$C$8,Bastidores!H25,Bastidores!G25)</f>
        <v>45199</v>
      </c>
      <c r="J25">
        <v>5366</v>
      </c>
    </row>
    <row r="26" spans="1:10">
      <c r="A26">
        <f>COUNTIF(C$2:$D26,C26)</f>
        <v>2</v>
      </c>
      <c r="B26" t="str">
        <f t="shared" si="0"/>
        <v>9-2</v>
      </c>
      <c r="C26">
        <f>SMALL(H26:$I$53,1)</f>
        <v>9</v>
      </c>
      <c r="D26">
        <v>5356</v>
      </c>
      <c r="E26" t="s">
        <v>410</v>
      </c>
      <c r="F26" t="s">
        <v>353</v>
      </c>
      <c r="G26">
        <v>30</v>
      </c>
      <c r="H26">
        <v>9</v>
      </c>
      <c r="I26" s="243">
        <f>DATE(CAPA!$C$8,Bastidores!H26,Bastidores!G26)</f>
        <v>45199</v>
      </c>
      <c r="J26">
        <v>5356</v>
      </c>
    </row>
    <row r="27" spans="1:10">
      <c r="A27">
        <f>COUNTIF(C$2:$D27,C27)</f>
        <v>3</v>
      </c>
      <c r="B27" t="str">
        <f t="shared" si="0"/>
        <v>9-3</v>
      </c>
      <c r="C27">
        <f>SMALL(H27:$I$53,1)</f>
        <v>9</v>
      </c>
      <c r="D27">
        <v>5372</v>
      </c>
      <c r="E27" t="s">
        <v>411</v>
      </c>
      <c r="F27" t="s">
        <v>65</v>
      </c>
      <c r="G27">
        <v>30</v>
      </c>
      <c r="H27">
        <v>9</v>
      </c>
      <c r="I27" s="243">
        <f>DATE(CAPA!$C$8,Bastidores!H27,Bastidores!G27)</f>
        <v>45199</v>
      </c>
      <c r="J27">
        <v>5372</v>
      </c>
    </row>
    <row r="28" spans="1:10">
      <c r="A28">
        <f>COUNTIF(C$2:$D28,C28)</f>
        <v>4</v>
      </c>
      <c r="B28" t="str">
        <f t="shared" si="0"/>
        <v>9-4</v>
      </c>
      <c r="C28">
        <f>SMALL(H28:$I$53,1)</f>
        <v>9</v>
      </c>
      <c r="D28">
        <v>6897</v>
      </c>
      <c r="E28" t="s">
        <v>412</v>
      </c>
      <c r="F28" t="s">
        <v>413</v>
      </c>
      <c r="G28">
        <v>30</v>
      </c>
      <c r="H28">
        <v>9</v>
      </c>
      <c r="I28" s="243">
        <f>DATE(CAPA!$C$8,Bastidores!H28,Bastidores!G28)</f>
        <v>45199</v>
      </c>
      <c r="J28">
        <v>6897</v>
      </c>
    </row>
    <row r="29" spans="1:10">
      <c r="A29">
        <f>COUNTIF(C$2:$D29,C29)</f>
        <v>5</v>
      </c>
      <c r="B29" t="str">
        <f t="shared" si="0"/>
        <v>9-5</v>
      </c>
      <c r="C29">
        <f>SMALL(H29:$I$53,1)</f>
        <v>9</v>
      </c>
      <c r="D29">
        <v>6898</v>
      </c>
      <c r="E29" t="s">
        <v>414</v>
      </c>
      <c r="F29" t="s">
        <v>54</v>
      </c>
      <c r="G29">
        <v>30</v>
      </c>
      <c r="H29">
        <v>9</v>
      </c>
      <c r="I29" s="243">
        <f>DATE(CAPA!$C$8,Bastidores!H29,Bastidores!G29)</f>
        <v>45199</v>
      </c>
      <c r="J29">
        <v>6898</v>
      </c>
    </row>
    <row r="30" spans="1:10">
      <c r="A30">
        <f>COUNTIF(C$2:$D30,C30)</f>
        <v>6</v>
      </c>
      <c r="B30" t="str">
        <f t="shared" si="0"/>
        <v>9-6</v>
      </c>
      <c r="C30">
        <f>SMALL(H30:$I$53,1)</f>
        <v>9</v>
      </c>
      <c r="D30">
        <v>5352</v>
      </c>
      <c r="E30" t="s">
        <v>415</v>
      </c>
      <c r="F30" t="s">
        <v>56</v>
      </c>
      <c r="G30">
        <v>30</v>
      </c>
      <c r="H30">
        <v>9</v>
      </c>
      <c r="I30" s="243">
        <f>DATE(CAPA!$C$8,Bastidores!H30,Bastidores!G30)</f>
        <v>45199</v>
      </c>
      <c r="J30">
        <v>5352</v>
      </c>
    </row>
    <row r="31" spans="1:10">
      <c r="A31">
        <f>COUNTIF(C$2:$D31,C31)</f>
        <v>7</v>
      </c>
      <c r="B31" t="str">
        <f t="shared" si="0"/>
        <v>9-7</v>
      </c>
      <c r="C31">
        <f>SMALL(H31:$I$53,1)</f>
        <v>9</v>
      </c>
      <c r="D31">
        <v>5353</v>
      </c>
      <c r="E31" t="s">
        <v>416</v>
      </c>
      <c r="F31" t="s">
        <v>55</v>
      </c>
      <c r="G31">
        <v>30</v>
      </c>
      <c r="H31">
        <v>9</v>
      </c>
      <c r="I31" s="243">
        <f>DATE(CAPA!$C$8,Bastidores!H31,Bastidores!G31)</f>
        <v>45199</v>
      </c>
      <c r="J31">
        <v>5353</v>
      </c>
    </row>
    <row r="32" spans="1:10">
      <c r="A32">
        <f>COUNTIF(C$2:$D32,C32)</f>
        <v>8</v>
      </c>
      <c r="B32" t="str">
        <f t="shared" si="0"/>
        <v>9-8</v>
      </c>
      <c r="C32">
        <f>SMALL(H32:$I$53,1)</f>
        <v>9</v>
      </c>
      <c r="D32">
        <v>5355</v>
      </c>
      <c r="E32" t="s">
        <v>417</v>
      </c>
      <c r="F32" t="s">
        <v>57</v>
      </c>
      <c r="G32">
        <v>30</v>
      </c>
      <c r="H32">
        <v>9</v>
      </c>
      <c r="I32" s="243">
        <f>DATE(CAPA!$C$8,Bastidores!H32,Bastidores!G32)</f>
        <v>45199</v>
      </c>
      <c r="J32">
        <v>5355</v>
      </c>
    </row>
    <row r="33" spans="1:10">
      <c r="A33">
        <f>COUNTIF(C$2:$D33,C33)</f>
        <v>9</v>
      </c>
      <c r="B33" t="str">
        <f t="shared" si="0"/>
        <v>9-9</v>
      </c>
      <c r="C33">
        <f>SMALL(H33:$I$53,1)</f>
        <v>9</v>
      </c>
      <c r="D33">
        <v>5363</v>
      </c>
      <c r="E33" t="s">
        <v>418</v>
      </c>
      <c r="F33" t="s">
        <v>58</v>
      </c>
      <c r="G33">
        <v>30</v>
      </c>
      <c r="H33">
        <v>9</v>
      </c>
      <c r="I33" s="243">
        <f>DATE(CAPA!$C$8,Bastidores!H33,Bastidores!G33)</f>
        <v>45199</v>
      </c>
      <c r="J33">
        <v>5363</v>
      </c>
    </row>
    <row r="34" spans="1:10">
      <c r="A34">
        <f>COUNTIF(C$2:$D34,C34)</f>
        <v>10</v>
      </c>
      <c r="B34" t="str">
        <f t="shared" ref="B34:B53" si="1">CONCATENATE(C34,"-",A34)</f>
        <v>9-10</v>
      </c>
      <c r="C34">
        <f>SMALL(H34:$I$53,1)</f>
        <v>9</v>
      </c>
      <c r="D34">
        <v>5364</v>
      </c>
      <c r="E34" t="s">
        <v>419</v>
      </c>
      <c r="F34" t="s">
        <v>52</v>
      </c>
      <c r="G34">
        <v>30</v>
      </c>
      <c r="H34">
        <v>9</v>
      </c>
      <c r="I34" s="243">
        <f>DATE(CAPA!$C$8,Bastidores!H34,Bastidores!G34)</f>
        <v>45199</v>
      </c>
      <c r="J34">
        <v>5364</v>
      </c>
    </row>
    <row r="35" spans="1:10">
      <c r="A35">
        <f>COUNTIF(C$2:$D35,C35)</f>
        <v>11</v>
      </c>
      <c r="B35" t="str">
        <f t="shared" si="1"/>
        <v>9-11</v>
      </c>
      <c r="C35">
        <f>SMALL(H35:$I$53,1)</f>
        <v>9</v>
      </c>
      <c r="D35">
        <v>5365</v>
      </c>
      <c r="E35" t="s">
        <v>420</v>
      </c>
      <c r="F35" t="s">
        <v>59</v>
      </c>
      <c r="G35">
        <v>30</v>
      </c>
      <c r="H35">
        <v>9</v>
      </c>
      <c r="I35" s="243">
        <f>DATE(CAPA!$C$8,Bastidores!H35,Bastidores!G35)</f>
        <v>45199</v>
      </c>
      <c r="J35">
        <v>5365</v>
      </c>
    </row>
    <row r="36" spans="1:10">
      <c r="A36">
        <f>COUNTIF(C$2:$D36,C36)</f>
        <v>12</v>
      </c>
      <c r="B36" t="str">
        <f t="shared" si="1"/>
        <v>9-12</v>
      </c>
      <c r="C36">
        <f>SMALL(H36:$I$53,1)</f>
        <v>9</v>
      </c>
      <c r="D36">
        <v>7883</v>
      </c>
      <c r="E36" t="s">
        <v>421</v>
      </c>
      <c r="F36" t="s">
        <v>227</v>
      </c>
      <c r="G36">
        <v>30</v>
      </c>
      <c r="H36">
        <v>9</v>
      </c>
      <c r="I36" s="243">
        <f>DATE(CAPA!$C$8,Bastidores!H36,Bastidores!G36)</f>
        <v>45199</v>
      </c>
      <c r="J36">
        <v>7883</v>
      </c>
    </row>
    <row r="37" spans="1:10">
      <c r="A37">
        <f>COUNTIF(C$2:$D37,C37)</f>
        <v>13</v>
      </c>
      <c r="B37" t="str">
        <f t="shared" si="1"/>
        <v>9-13</v>
      </c>
      <c r="C37">
        <f>SMALL(H37:$I$53,1)</f>
        <v>9</v>
      </c>
      <c r="D37">
        <v>5368</v>
      </c>
      <c r="E37" t="s">
        <v>422</v>
      </c>
      <c r="F37" t="s">
        <v>60</v>
      </c>
      <c r="G37">
        <v>30</v>
      </c>
      <c r="H37">
        <v>9</v>
      </c>
      <c r="I37" s="243">
        <f>DATE(CAPA!$C$8,Bastidores!H37,Bastidores!G37)</f>
        <v>45199</v>
      </c>
      <c r="J37">
        <v>5368</v>
      </c>
    </row>
    <row r="38" spans="1:10">
      <c r="A38">
        <f>COUNTIF(C$2:$D38,C38)</f>
        <v>14</v>
      </c>
      <c r="B38" t="str">
        <f t="shared" si="1"/>
        <v>9-14</v>
      </c>
      <c r="C38">
        <f>SMALL(H38:$I$53,1)</f>
        <v>9</v>
      </c>
      <c r="D38">
        <v>5369</v>
      </c>
      <c r="E38" t="s">
        <v>423</v>
      </c>
      <c r="F38" t="s">
        <v>61</v>
      </c>
      <c r="G38">
        <v>30</v>
      </c>
      <c r="H38">
        <v>9</v>
      </c>
      <c r="I38" s="243">
        <f>DATE(CAPA!$C$8,Bastidores!H38,Bastidores!G38)</f>
        <v>45199</v>
      </c>
      <c r="J38">
        <v>5369</v>
      </c>
    </row>
    <row r="39" spans="1:10">
      <c r="A39">
        <f>COUNTIF(C$2:$D39,C39)</f>
        <v>15</v>
      </c>
      <c r="B39" t="str">
        <f t="shared" si="1"/>
        <v>9-15</v>
      </c>
      <c r="C39">
        <f>SMALL(H39:$I$53,1)</f>
        <v>9</v>
      </c>
      <c r="D39">
        <v>5375</v>
      </c>
      <c r="E39" t="s">
        <v>424</v>
      </c>
      <c r="F39" t="s">
        <v>425</v>
      </c>
      <c r="G39">
        <v>30</v>
      </c>
      <c r="H39">
        <v>9</v>
      </c>
      <c r="I39" s="243">
        <f>DATE(CAPA!$C$8,Bastidores!H39,Bastidores!G39)</f>
        <v>45199</v>
      </c>
      <c r="J39">
        <v>5375</v>
      </c>
    </row>
    <row r="40" spans="1:10">
      <c r="A40">
        <f>COUNTIF(C$2:$D40,C40)</f>
        <v>16</v>
      </c>
      <c r="B40" t="str">
        <f t="shared" si="1"/>
        <v>9-16</v>
      </c>
      <c r="C40">
        <f>SMALL(H40:$I$53,1)</f>
        <v>9</v>
      </c>
      <c r="D40">
        <v>11763</v>
      </c>
      <c r="E40" t="s">
        <v>426</v>
      </c>
      <c r="F40" t="s">
        <v>229</v>
      </c>
      <c r="G40">
        <v>30</v>
      </c>
      <c r="H40">
        <v>9</v>
      </c>
      <c r="I40" s="243">
        <f>DATE(CAPA!$C$8,Bastidores!H40,Bastidores!G40)</f>
        <v>45199</v>
      </c>
      <c r="J40">
        <v>11763</v>
      </c>
    </row>
    <row r="41" spans="1:10">
      <c r="A41">
        <f>COUNTIF(C$2:$D41,C41)</f>
        <v>17</v>
      </c>
      <c r="B41" t="str">
        <f t="shared" si="1"/>
        <v>9-17</v>
      </c>
      <c r="C41">
        <f>SMALL(H41:$I$53,1)</f>
        <v>9</v>
      </c>
      <c r="D41">
        <v>5370</v>
      </c>
      <c r="E41" t="s">
        <v>427</v>
      </c>
      <c r="F41" t="s">
        <v>62</v>
      </c>
      <c r="G41">
        <v>30</v>
      </c>
      <c r="H41">
        <v>9</v>
      </c>
      <c r="I41" s="243">
        <f>DATE(CAPA!$C$8,Bastidores!H41,Bastidores!G41)</f>
        <v>45199</v>
      </c>
      <c r="J41">
        <v>5370</v>
      </c>
    </row>
    <row r="42" spans="1:10">
      <c r="A42">
        <f>COUNTIF(C$2:$D42,C42)</f>
        <v>18</v>
      </c>
      <c r="B42" t="str">
        <f t="shared" si="1"/>
        <v>9-18</v>
      </c>
      <c r="C42">
        <f>SMALL(H42:$I$53,1)</f>
        <v>9</v>
      </c>
      <c r="D42">
        <v>5371</v>
      </c>
      <c r="E42" t="s">
        <v>428</v>
      </c>
      <c r="F42" t="s">
        <v>53</v>
      </c>
      <c r="G42">
        <v>30</v>
      </c>
      <c r="H42">
        <v>9</v>
      </c>
      <c r="I42" s="243">
        <f>DATE(CAPA!$C$8,Bastidores!H42,Bastidores!G42)</f>
        <v>45199</v>
      </c>
      <c r="J42">
        <v>5371</v>
      </c>
    </row>
    <row r="43" spans="1:10">
      <c r="A43">
        <f>COUNTIF(C$2:$D43,C43)</f>
        <v>19</v>
      </c>
      <c r="B43" t="str">
        <f t="shared" si="1"/>
        <v>9-19</v>
      </c>
      <c r="C43">
        <f>SMALL(H43:$I$53,1)</f>
        <v>9</v>
      </c>
      <c r="D43">
        <v>5373</v>
      </c>
      <c r="E43" t="s">
        <v>429</v>
      </c>
      <c r="F43" t="s">
        <v>63</v>
      </c>
      <c r="G43">
        <v>30</v>
      </c>
      <c r="H43">
        <v>9</v>
      </c>
      <c r="I43" s="243">
        <f>DATE(CAPA!$C$8,Bastidores!H43,Bastidores!G43)</f>
        <v>45199</v>
      </c>
      <c r="J43">
        <v>5373</v>
      </c>
    </row>
    <row r="44" spans="1:10">
      <c r="A44">
        <f>COUNTIF(C$2:$D44,C44)</f>
        <v>20</v>
      </c>
      <c r="B44" t="str">
        <f t="shared" si="1"/>
        <v>9-20</v>
      </c>
      <c r="C44">
        <f>SMALL(H44:$I$53,1)</f>
        <v>9</v>
      </c>
      <c r="D44">
        <v>5374</v>
      </c>
      <c r="E44" t="s">
        <v>430</v>
      </c>
      <c r="F44" t="s">
        <v>352</v>
      </c>
      <c r="G44">
        <v>30</v>
      </c>
      <c r="H44">
        <v>9</v>
      </c>
      <c r="I44" s="243">
        <f>DATE(CAPA!$C$8,Bastidores!H44,Bastidores!G44)</f>
        <v>45199</v>
      </c>
      <c r="J44">
        <v>5374</v>
      </c>
    </row>
    <row r="45" spans="1:10">
      <c r="A45">
        <f>COUNTIF(C$2:$D45,C45)</f>
        <v>21</v>
      </c>
      <c r="B45" t="str">
        <f t="shared" si="1"/>
        <v>9-21</v>
      </c>
      <c r="C45">
        <f>SMALL(H45:$I$53,1)</f>
        <v>9</v>
      </c>
      <c r="D45">
        <v>7016</v>
      </c>
      <c r="E45" t="s">
        <v>431</v>
      </c>
      <c r="F45" t="s">
        <v>64</v>
      </c>
      <c r="G45">
        <v>30</v>
      </c>
      <c r="H45">
        <v>9</v>
      </c>
      <c r="I45" s="243">
        <f>DATE(CAPA!$C$8,Bastidores!H45,Bastidores!G45)</f>
        <v>45199</v>
      </c>
      <c r="J45">
        <v>7016</v>
      </c>
    </row>
    <row r="46" spans="1:10">
      <c r="A46">
        <f>COUNTIF(C$2:$D46,C46)</f>
        <v>1</v>
      </c>
      <c r="B46" t="str">
        <f t="shared" si="1"/>
        <v>11-1</v>
      </c>
      <c r="C46">
        <f>SMALL(H46:$I$53,1)</f>
        <v>11</v>
      </c>
      <c r="D46">
        <v>5381</v>
      </c>
      <c r="E46" t="s">
        <v>432</v>
      </c>
      <c r="F46" t="s">
        <v>147</v>
      </c>
      <c r="G46">
        <v>30</v>
      </c>
      <c r="H46">
        <v>11</v>
      </c>
      <c r="I46" s="243">
        <f>DATE(CAPA!$C$8,Bastidores!H46,Bastidores!G46)</f>
        <v>45260</v>
      </c>
      <c r="J46">
        <v>5381</v>
      </c>
    </row>
    <row r="47" spans="1:10">
      <c r="A47">
        <f>COUNTIF(C$2:$D47,C47)</f>
        <v>2</v>
      </c>
      <c r="B47" t="str">
        <f t="shared" si="1"/>
        <v>11-2</v>
      </c>
      <c r="C47">
        <f>SMALL(H47:$I$53,1)</f>
        <v>11</v>
      </c>
      <c r="D47">
        <v>5351</v>
      </c>
      <c r="E47" t="s">
        <v>433</v>
      </c>
      <c r="F47" t="s">
        <v>153</v>
      </c>
      <c r="G47">
        <v>30</v>
      </c>
      <c r="H47">
        <v>11</v>
      </c>
      <c r="I47" s="243">
        <f>DATE(CAPA!$C$8,Bastidores!H47,Bastidores!G47)</f>
        <v>45260</v>
      </c>
      <c r="J47">
        <v>5351</v>
      </c>
    </row>
    <row r="48" spans="1:10">
      <c r="A48">
        <f>COUNTIF(C$2:$D48,C48)</f>
        <v>3</v>
      </c>
      <c r="B48" t="str">
        <f t="shared" si="1"/>
        <v>11-3</v>
      </c>
      <c r="C48">
        <f>SMALL(H48:$I$53,1)</f>
        <v>11</v>
      </c>
      <c r="D48">
        <v>5386</v>
      </c>
      <c r="E48" t="s">
        <v>434</v>
      </c>
      <c r="F48" t="s">
        <v>168</v>
      </c>
      <c r="G48">
        <v>30</v>
      </c>
      <c r="H48">
        <v>11</v>
      </c>
      <c r="I48" s="243">
        <f>DATE(CAPA!$C$8,Bastidores!H48,Bastidores!G48)</f>
        <v>45260</v>
      </c>
      <c r="J48">
        <v>5386</v>
      </c>
    </row>
    <row r="49" spans="1:10">
      <c r="A49">
        <f>COUNTIF(C$2:$D49,C49)</f>
        <v>4</v>
      </c>
      <c r="B49" t="str">
        <f t="shared" si="1"/>
        <v>11-4</v>
      </c>
      <c r="C49">
        <f>SMALL(H49:$I$53,1)</f>
        <v>11</v>
      </c>
      <c r="D49">
        <v>6610</v>
      </c>
      <c r="E49" t="s">
        <v>435</v>
      </c>
      <c r="F49" t="s">
        <v>177</v>
      </c>
      <c r="G49">
        <v>30</v>
      </c>
      <c r="H49">
        <v>11</v>
      </c>
      <c r="I49" s="243">
        <f>DATE(CAPA!$C$8,Bastidores!H49,Bastidores!G49)</f>
        <v>45260</v>
      </c>
      <c r="J49">
        <v>6610</v>
      </c>
    </row>
    <row r="50" spans="1:10">
      <c r="A50">
        <f>COUNTIF(C$2:$D50,C50)</f>
        <v>5</v>
      </c>
      <c r="B50" t="str">
        <f t="shared" si="1"/>
        <v>11-5</v>
      </c>
      <c r="C50">
        <f>SMALL(H50:$I$53,1)</f>
        <v>11</v>
      </c>
      <c r="D50">
        <v>5379</v>
      </c>
      <c r="E50" t="s">
        <v>436</v>
      </c>
      <c r="F50" t="s">
        <v>198</v>
      </c>
      <c r="G50">
        <v>30</v>
      </c>
      <c r="H50">
        <v>11</v>
      </c>
      <c r="I50" s="243">
        <f>DATE(CAPA!$C$8,Bastidores!H50,Bastidores!G50)</f>
        <v>45260</v>
      </c>
      <c r="J50">
        <v>5379</v>
      </c>
    </row>
    <row r="51" spans="1:10">
      <c r="A51">
        <f>COUNTIF(C$2:$D51,C51)</f>
        <v>1</v>
      </c>
      <c r="B51" t="str">
        <f t="shared" si="1"/>
        <v>12-1</v>
      </c>
      <c r="C51">
        <f>SMALL(H51:$I$53,1)</f>
        <v>12</v>
      </c>
      <c r="D51">
        <v>5367</v>
      </c>
      <c r="E51" t="s">
        <v>437</v>
      </c>
      <c r="F51" t="s">
        <v>150</v>
      </c>
      <c r="G51">
        <v>22</v>
      </c>
      <c r="H51">
        <v>12</v>
      </c>
      <c r="I51" s="243">
        <f>DATE(CAPA!$C$8,Bastidores!H51,Bastidores!G51)</f>
        <v>45282</v>
      </c>
      <c r="J51">
        <v>5367</v>
      </c>
    </row>
    <row r="52" spans="1:10">
      <c r="A52">
        <f>COUNTIF(C$2:$D52,C52)</f>
        <v>2</v>
      </c>
      <c r="B52" t="str">
        <f t="shared" si="1"/>
        <v>12-2</v>
      </c>
      <c r="C52">
        <f>SMALL(H52:$I$53,1)</f>
        <v>12</v>
      </c>
      <c r="D52">
        <v>5345</v>
      </c>
      <c r="E52" t="s">
        <v>438</v>
      </c>
      <c r="F52" t="s">
        <v>439</v>
      </c>
      <c r="G52">
        <v>22</v>
      </c>
      <c r="H52">
        <v>12</v>
      </c>
      <c r="I52" s="243">
        <f>DATE(CAPA!$C$8,Bastidores!H52,Bastidores!G52)</f>
        <v>45282</v>
      </c>
      <c r="J52">
        <v>5345</v>
      </c>
    </row>
    <row r="53" spans="1:10">
      <c r="A53">
        <f>COUNTIF(C$2:$D53,C53)</f>
        <v>3</v>
      </c>
      <c r="B53" t="str">
        <f t="shared" si="1"/>
        <v>12-3</v>
      </c>
      <c r="C53">
        <f>SMALL(H53:$I$53,1)</f>
        <v>12</v>
      </c>
      <c r="D53">
        <v>5346</v>
      </c>
      <c r="E53" t="s">
        <v>440</v>
      </c>
      <c r="F53" t="s">
        <v>441</v>
      </c>
      <c r="G53">
        <v>22</v>
      </c>
      <c r="H53">
        <v>12</v>
      </c>
      <c r="I53" s="243">
        <f>DATE(CAPA!$C$8,Bastidores!H53,Bastidores!G53)</f>
        <v>45282</v>
      </c>
      <c r="J53">
        <v>5346</v>
      </c>
    </row>
  </sheetData>
  <autoFilter ref="A1:I53" xr:uid="{DC952CFF-B70E-447D-B2B6-6B895155B170}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7B602-9A81-4373-8E09-2636C1C5E35E}">
  <sheetPr codeName="Planilha17"/>
  <dimension ref="A1:CB10000"/>
  <sheetViews>
    <sheetView topLeftCell="A700" workbookViewId="0">
      <selection activeCell="F9" sqref="F9"/>
    </sheetView>
  </sheetViews>
  <sheetFormatPr defaultRowHeight="14.5"/>
  <cols>
    <col min="1" max="1" width="10.453125" customWidth="1"/>
    <col min="2" max="2" width="11.08984375" bestFit="1" customWidth="1"/>
    <col min="4" max="4" width="11.453125" customWidth="1"/>
    <col min="5" max="5" width="10.453125" customWidth="1"/>
    <col min="6" max="6" width="8.54296875" customWidth="1"/>
    <col min="7" max="7" width="11.453125" customWidth="1"/>
    <col min="11" max="11" width="9.08984375" customWidth="1"/>
    <col min="12" max="12" width="11.453125" customWidth="1"/>
    <col min="13" max="13" width="11.08984375" customWidth="1"/>
    <col min="14" max="14" width="8.54296875" customWidth="1"/>
    <col min="15" max="15" width="7.453125" customWidth="1"/>
    <col min="16" max="16" width="7.90625" customWidth="1"/>
    <col min="18" max="18" width="15.90625" style="276" bestFit="1" customWidth="1"/>
    <col min="19" max="19" width="16.54296875" customWidth="1"/>
    <col min="26" max="26" width="14.81640625" customWidth="1"/>
    <col min="27" max="27" width="9.54296875" customWidth="1"/>
    <col min="28" max="28" width="10.08984375" customWidth="1"/>
    <col min="29" max="29" width="16.08984375" bestFit="1" customWidth="1"/>
    <col min="30" max="30" width="26.54296875" customWidth="1"/>
    <col min="33" max="33" width="9.54296875" customWidth="1"/>
    <col min="35" max="36" width="10.453125" customWidth="1"/>
    <col min="37" max="37" width="18.08984375" customWidth="1"/>
    <col min="38" max="39" width="20.08984375" customWidth="1"/>
    <col min="42" max="42" width="15.90625" customWidth="1"/>
    <col min="43" max="44" width="23.08984375" customWidth="1"/>
    <col min="45" max="45" width="14.453125" customWidth="1"/>
    <col min="46" max="46" width="13.453125" customWidth="1"/>
    <col min="47" max="48" width="12.08984375" customWidth="1"/>
    <col min="49" max="49" width="14.453125" bestFit="1" customWidth="1"/>
    <col min="50" max="50" width="15.54296875" customWidth="1"/>
    <col min="51" max="51" width="16.54296875" customWidth="1"/>
    <col min="53" max="54" width="25.08984375" bestFit="1" customWidth="1"/>
    <col min="58" max="58" width="9.08984375" style="32"/>
    <col min="59" max="59" width="15.90625" bestFit="1" customWidth="1"/>
    <col min="62" max="62" width="7.54296875" bestFit="1" customWidth="1"/>
    <col min="63" max="63" width="17.90625" bestFit="1" customWidth="1"/>
    <col min="64" max="64" width="10.54296875" bestFit="1" customWidth="1"/>
    <col min="65" max="66" width="7" bestFit="1" customWidth="1"/>
    <col min="72" max="72" width="12.54296875" bestFit="1" customWidth="1"/>
    <col min="75" max="75" width="12.453125" bestFit="1" customWidth="1"/>
    <col min="76" max="76" width="21.453125" customWidth="1"/>
    <col min="77" max="77" width="19.453125" bestFit="1" customWidth="1"/>
  </cols>
  <sheetData>
    <row r="1" spans="1:80">
      <c r="A1" t="s">
        <v>280</v>
      </c>
      <c r="B1" t="s">
        <v>454</v>
      </c>
      <c r="C1" t="s">
        <v>455</v>
      </c>
      <c r="D1" t="s">
        <v>365</v>
      </c>
      <c r="E1" t="s">
        <v>456</v>
      </c>
      <c r="F1" t="s">
        <v>457</v>
      </c>
      <c r="G1" t="s">
        <v>458</v>
      </c>
      <c r="H1" t="s">
        <v>459</v>
      </c>
      <c r="I1" t="s">
        <v>460</v>
      </c>
      <c r="J1" t="s">
        <v>461</v>
      </c>
      <c r="K1" t="s">
        <v>462</v>
      </c>
      <c r="L1" t="s">
        <v>463</v>
      </c>
      <c r="M1" t="s">
        <v>464</v>
      </c>
      <c r="N1" t="s">
        <v>465</v>
      </c>
      <c r="O1" t="s">
        <v>466</v>
      </c>
      <c r="P1" t="s">
        <v>467</v>
      </c>
      <c r="Q1" t="s">
        <v>468</v>
      </c>
      <c r="R1" s="276" t="s">
        <v>469</v>
      </c>
      <c r="S1" t="s">
        <v>470</v>
      </c>
      <c r="AA1" s="6"/>
      <c r="AB1" s="6" t="s">
        <v>471</v>
      </c>
      <c r="AC1" s="369" t="s">
        <v>532</v>
      </c>
      <c r="AD1" s="6" t="s">
        <v>470</v>
      </c>
      <c r="AG1" t="s">
        <v>454</v>
      </c>
      <c r="AH1" t="s">
        <v>455</v>
      </c>
      <c r="AI1" t="s">
        <v>365</v>
      </c>
      <c r="AJ1" t="s">
        <v>456</v>
      </c>
      <c r="AK1" t="s">
        <v>457</v>
      </c>
      <c r="AL1" t="s">
        <v>458</v>
      </c>
      <c r="AM1" t="s">
        <v>459</v>
      </c>
      <c r="AN1" t="s">
        <v>460</v>
      </c>
      <c r="AO1" t="s">
        <v>461</v>
      </c>
      <c r="AP1" t="s">
        <v>462</v>
      </c>
      <c r="AQ1" t="s">
        <v>463</v>
      </c>
      <c r="AR1" t="s">
        <v>464</v>
      </c>
      <c r="AS1" t="s">
        <v>465</v>
      </c>
      <c r="AT1" t="s">
        <v>466</v>
      </c>
      <c r="AU1" t="s">
        <v>467</v>
      </c>
      <c r="AV1" t="s">
        <v>468</v>
      </c>
      <c r="AW1" t="s">
        <v>469</v>
      </c>
      <c r="AX1" s="7" t="s">
        <v>470</v>
      </c>
      <c r="AY1" t="s">
        <v>475</v>
      </c>
      <c r="BB1" s="6" t="s">
        <v>454</v>
      </c>
      <c r="BC1" s="6" t="s">
        <v>455</v>
      </c>
      <c r="BD1" s="6" t="s">
        <v>365</v>
      </c>
      <c r="BE1" s="6" t="s">
        <v>456</v>
      </c>
      <c r="BF1" s="368" t="s">
        <v>469</v>
      </c>
      <c r="BG1" s="6" t="s">
        <v>501</v>
      </c>
      <c r="BI1" s="6" t="s">
        <v>365</v>
      </c>
      <c r="BJ1" s="6" t="s">
        <v>482</v>
      </c>
      <c r="BK1" s="6" t="s">
        <v>483</v>
      </c>
      <c r="BL1" s="6" t="s">
        <v>484</v>
      </c>
      <c r="BM1" s="6" t="s">
        <v>485</v>
      </c>
      <c r="BN1" s="6" t="s">
        <v>355</v>
      </c>
      <c r="BO1" s="6" t="s">
        <v>354</v>
      </c>
      <c r="BQ1" s="6" t="s">
        <v>455</v>
      </c>
      <c r="BR1" s="6" t="s">
        <v>502</v>
      </c>
      <c r="BS1" s="6" t="s">
        <v>503</v>
      </c>
      <c r="BT1" s="6" t="s">
        <v>504</v>
      </c>
      <c r="BV1" s="6"/>
      <c r="BW1" s="6" t="s">
        <v>509</v>
      </c>
      <c r="BX1" s="6" t="s">
        <v>511</v>
      </c>
      <c r="BY1" s="6" t="s">
        <v>510</v>
      </c>
      <c r="BZ1" s="6" t="s">
        <v>482</v>
      </c>
      <c r="CA1" s="6" t="s">
        <v>365</v>
      </c>
      <c r="CB1" s="6" t="s">
        <v>354</v>
      </c>
    </row>
    <row r="2" spans="1:80">
      <c r="A2">
        <v>0</v>
      </c>
      <c r="B2" t="s">
        <v>150</v>
      </c>
      <c r="C2">
        <v>2023</v>
      </c>
      <c r="D2">
        <v>5367</v>
      </c>
      <c r="E2">
        <v>217</v>
      </c>
      <c r="F2">
        <v>1</v>
      </c>
      <c r="G2">
        <v>1</v>
      </c>
      <c r="H2">
        <v>15</v>
      </c>
      <c r="I2">
        <v>144</v>
      </c>
      <c r="J2">
        <v>999</v>
      </c>
      <c r="K2">
        <v>2</v>
      </c>
      <c r="L2">
        <v>999</v>
      </c>
      <c r="M2">
        <v>9</v>
      </c>
      <c r="N2">
        <v>99</v>
      </c>
      <c r="O2">
        <v>9</v>
      </c>
      <c r="P2">
        <v>4</v>
      </c>
      <c r="Q2">
        <v>0</v>
      </c>
      <c r="R2" s="276">
        <v>0</v>
      </c>
      <c r="S2" s="7">
        <v>45372.58079861111</v>
      </c>
      <c r="AA2">
        <v>0</v>
      </c>
      <c r="AB2">
        <v>5367</v>
      </c>
      <c r="AC2">
        <v>17</v>
      </c>
      <c r="AD2" s="7">
        <v>45372.58079861111</v>
      </c>
      <c r="AG2" t="s">
        <v>150</v>
      </c>
      <c r="AH2">
        <v>2023</v>
      </c>
      <c r="AI2">
        <v>5367</v>
      </c>
      <c r="AJ2">
        <v>217</v>
      </c>
      <c r="AK2">
        <v>2</v>
      </c>
      <c r="AL2">
        <v>2</v>
      </c>
      <c r="AM2">
        <v>22</v>
      </c>
      <c r="AN2">
        <v>60</v>
      </c>
      <c r="AO2">
        <v>999</v>
      </c>
      <c r="AP2">
        <v>2</v>
      </c>
      <c r="AQ2">
        <v>8</v>
      </c>
      <c r="AR2">
        <v>9</v>
      </c>
      <c r="AS2">
        <v>99</v>
      </c>
      <c r="AT2">
        <v>9</v>
      </c>
      <c r="AU2">
        <v>3</v>
      </c>
      <c r="AV2">
        <v>99999</v>
      </c>
      <c r="AW2">
        <v>-390.27057117409998</v>
      </c>
      <c r="AX2" s="7">
        <v>45372.58079861111</v>
      </c>
      <c r="AY2" s="7"/>
      <c r="BC2">
        <v>2022</v>
      </c>
      <c r="BD2">
        <v>6612</v>
      </c>
      <c r="BE2">
        <v>152</v>
      </c>
      <c r="BF2" s="32">
        <v>821.92877215152396</v>
      </c>
      <c r="BG2" s="7" t="s">
        <v>705</v>
      </c>
      <c r="BI2">
        <v>5367</v>
      </c>
      <c r="BJ2">
        <v>2022</v>
      </c>
      <c r="BK2" t="s">
        <v>695</v>
      </c>
      <c r="BL2" t="s">
        <v>296</v>
      </c>
      <c r="BM2">
        <v>524.15</v>
      </c>
      <c r="BN2">
        <v>202.43</v>
      </c>
      <c r="BO2" s="276">
        <f>BM2+BN2</f>
        <v>726.57999999999993</v>
      </c>
      <c r="BV2" t="str">
        <f>CONCATENATE(BX2,BY2,BW2,CA2)</f>
        <v>4453675697</v>
      </c>
      <c r="BW2">
        <v>5367</v>
      </c>
      <c r="BX2">
        <v>4</v>
      </c>
      <c r="BY2">
        <v>4</v>
      </c>
      <c r="BZ2">
        <v>2023</v>
      </c>
      <c r="CA2">
        <v>5697</v>
      </c>
      <c r="CB2">
        <v>27.31</v>
      </c>
    </row>
    <row r="3" spans="1:80">
      <c r="A3">
        <v>1</v>
      </c>
      <c r="B3" t="s">
        <v>150</v>
      </c>
      <c r="C3">
        <v>2023</v>
      </c>
      <c r="D3">
        <v>5367</v>
      </c>
      <c r="E3">
        <v>217</v>
      </c>
      <c r="F3">
        <v>1</v>
      </c>
      <c r="G3">
        <v>1</v>
      </c>
      <c r="H3">
        <v>15</v>
      </c>
      <c r="I3">
        <v>144</v>
      </c>
      <c r="J3">
        <v>999</v>
      </c>
      <c r="K3">
        <v>2</v>
      </c>
      <c r="L3">
        <v>999</v>
      </c>
      <c r="M3">
        <v>9</v>
      </c>
      <c r="N3">
        <v>99</v>
      </c>
      <c r="O3">
        <v>9</v>
      </c>
      <c r="P3">
        <v>4</v>
      </c>
      <c r="Q3">
        <v>0</v>
      </c>
      <c r="R3" s="276">
        <v>0</v>
      </c>
      <c r="S3" s="7">
        <v>45372.58079861111</v>
      </c>
      <c r="AA3">
        <v>1</v>
      </c>
      <c r="AB3">
        <v>5345</v>
      </c>
      <c r="AC3">
        <v>17</v>
      </c>
      <c r="AD3" s="7">
        <v>45372.583067129628</v>
      </c>
      <c r="AG3" t="s">
        <v>150</v>
      </c>
      <c r="AH3">
        <v>2023</v>
      </c>
      <c r="AI3">
        <v>5367</v>
      </c>
      <c r="AJ3">
        <v>217</v>
      </c>
      <c r="AK3">
        <v>2</v>
      </c>
      <c r="AL3">
        <v>2</v>
      </c>
      <c r="AM3">
        <v>22</v>
      </c>
      <c r="AN3">
        <v>60</v>
      </c>
      <c r="AO3">
        <v>999</v>
      </c>
      <c r="AP3">
        <v>2</v>
      </c>
      <c r="AQ3">
        <v>10</v>
      </c>
      <c r="AR3">
        <v>9</v>
      </c>
      <c r="AS3">
        <v>99</v>
      </c>
      <c r="AT3">
        <v>9</v>
      </c>
      <c r="AU3">
        <v>3</v>
      </c>
      <c r="AV3">
        <v>99999</v>
      </c>
      <c r="AW3">
        <v>-3079.9469087969801</v>
      </c>
      <c r="AX3" s="7">
        <v>45372.58079861111</v>
      </c>
      <c r="AY3" s="7"/>
      <c r="BB3" t="s">
        <v>660</v>
      </c>
      <c r="BC3">
        <v>2023</v>
      </c>
      <c r="BD3">
        <v>5697</v>
      </c>
      <c r="BE3">
        <v>111</v>
      </c>
      <c r="BF3" s="32">
        <v>592.96601584686096</v>
      </c>
      <c r="BG3" s="7" t="s">
        <v>706</v>
      </c>
      <c r="BI3">
        <v>5345</v>
      </c>
      <c r="BJ3">
        <v>2022</v>
      </c>
      <c r="BK3" t="s">
        <v>695</v>
      </c>
      <c r="BL3" t="s">
        <v>296</v>
      </c>
      <c r="BM3">
        <v>675.32</v>
      </c>
      <c r="BN3">
        <v>215.09</v>
      </c>
      <c r="BO3" s="276">
        <f t="shared" ref="BO3:BO66" si="0">BM3+BN3</f>
        <v>890.41000000000008</v>
      </c>
      <c r="BV3" t="str">
        <f t="shared" ref="BV3:BV66" si="1">CONCATENATE(BX3,BY3,BW3,CA3)</f>
        <v>2453675697</v>
      </c>
      <c r="BW3">
        <v>5367</v>
      </c>
      <c r="BX3">
        <v>2</v>
      </c>
      <c r="BY3">
        <v>4</v>
      </c>
      <c r="BZ3">
        <v>2023</v>
      </c>
      <c r="CA3">
        <v>5697</v>
      </c>
      <c r="CB3">
        <v>15.97</v>
      </c>
    </row>
    <row r="4" spans="1:80">
      <c r="A4">
        <v>2</v>
      </c>
      <c r="B4" t="s">
        <v>150</v>
      </c>
      <c r="C4">
        <v>2023</v>
      </c>
      <c r="D4">
        <v>5367</v>
      </c>
      <c r="E4">
        <v>217</v>
      </c>
      <c r="F4">
        <v>7</v>
      </c>
      <c r="G4">
        <v>1</v>
      </c>
      <c r="H4">
        <v>52</v>
      </c>
      <c r="I4">
        <v>999999</v>
      </c>
      <c r="J4">
        <v>999</v>
      </c>
      <c r="K4">
        <v>1</v>
      </c>
      <c r="L4">
        <v>7</v>
      </c>
      <c r="M4">
        <v>9</v>
      </c>
      <c r="N4">
        <v>99</v>
      </c>
      <c r="O4">
        <v>9</v>
      </c>
      <c r="P4">
        <v>3</v>
      </c>
      <c r="Q4">
        <v>99999</v>
      </c>
      <c r="R4" s="276">
        <v>6728723.3022920303</v>
      </c>
      <c r="S4" s="7">
        <v>45372.58079861111</v>
      </c>
      <c r="AA4">
        <v>2</v>
      </c>
      <c r="AB4">
        <v>5346</v>
      </c>
      <c r="AC4">
        <v>17</v>
      </c>
      <c r="AD4" s="7">
        <v>45383.489039351851</v>
      </c>
      <c r="AG4" t="s">
        <v>150</v>
      </c>
      <c r="AH4">
        <v>2023</v>
      </c>
      <c r="AI4">
        <v>5367</v>
      </c>
      <c r="AJ4">
        <v>217</v>
      </c>
      <c r="AK4">
        <v>2</v>
      </c>
      <c r="AL4">
        <v>2</v>
      </c>
      <c r="AM4">
        <v>22</v>
      </c>
      <c r="AN4">
        <v>60</v>
      </c>
      <c r="AO4">
        <v>999</v>
      </c>
      <c r="AP4">
        <v>2</v>
      </c>
      <c r="AQ4">
        <v>9</v>
      </c>
      <c r="AR4">
        <v>9</v>
      </c>
      <c r="AS4">
        <v>99</v>
      </c>
      <c r="AT4">
        <v>9</v>
      </c>
      <c r="AU4">
        <v>3</v>
      </c>
      <c r="AV4">
        <v>99999</v>
      </c>
      <c r="AW4">
        <v>0</v>
      </c>
      <c r="AX4" s="7">
        <v>45372.58079861111</v>
      </c>
      <c r="AY4" s="7"/>
      <c r="BB4" t="s">
        <v>661</v>
      </c>
      <c r="BC4">
        <v>2023</v>
      </c>
      <c r="BD4">
        <v>4950</v>
      </c>
      <c r="BE4">
        <v>118</v>
      </c>
      <c r="BF4" s="32">
        <v>749.05915878063604</v>
      </c>
      <c r="BG4" s="7" t="s">
        <v>707</v>
      </c>
      <c r="BI4">
        <v>5346</v>
      </c>
      <c r="BJ4">
        <v>2022</v>
      </c>
      <c r="BK4" t="s">
        <v>695</v>
      </c>
      <c r="BL4" t="s">
        <v>296</v>
      </c>
      <c r="BM4">
        <v>428.47</v>
      </c>
      <c r="BN4">
        <v>271.18</v>
      </c>
      <c r="BO4" s="276">
        <f t="shared" si="0"/>
        <v>699.65000000000009</v>
      </c>
      <c r="BV4" t="str">
        <f t="shared" si="1"/>
        <v>1453675697</v>
      </c>
      <c r="BW4">
        <v>5367</v>
      </c>
      <c r="BX4">
        <v>1</v>
      </c>
      <c r="BY4">
        <v>4</v>
      </c>
      <c r="BZ4">
        <v>2023</v>
      </c>
      <c r="CA4">
        <v>5697</v>
      </c>
      <c r="CB4">
        <v>6.82</v>
      </c>
    </row>
    <row r="5" spans="1:80">
      <c r="A5">
        <v>3</v>
      </c>
      <c r="B5" t="s">
        <v>150</v>
      </c>
      <c r="C5">
        <v>2023</v>
      </c>
      <c r="D5">
        <v>5367</v>
      </c>
      <c r="E5">
        <v>217</v>
      </c>
      <c r="F5">
        <v>7</v>
      </c>
      <c r="G5">
        <v>1</v>
      </c>
      <c r="H5">
        <v>52</v>
      </c>
      <c r="I5">
        <v>101</v>
      </c>
      <c r="J5">
        <v>999</v>
      </c>
      <c r="K5">
        <v>4</v>
      </c>
      <c r="L5">
        <v>999</v>
      </c>
      <c r="M5">
        <v>9</v>
      </c>
      <c r="N5">
        <v>99</v>
      </c>
      <c r="O5">
        <v>9</v>
      </c>
      <c r="P5">
        <v>3</v>
      </c>
      <c r="Q5">
        <v>99999</v>
      </c>
      <c r="R5" s="276">
        <v>31348763.505233001</v>
      </c>
      <c r="S5" s="7">
        <v>45372.58079861111</v>
      </c>
      <c r="AD5" s="7"/>
      <c r="AG5" t="s">
        <v>150</v>
      </c>
      <c r="AH5">
        <v>2023</v>
      </c>
      <c r="AI5">
        <v>5367</v>
      </c>
      <c r="AJ5">
        <v>217</v>
      </c>
      <c r="AK5">
        <v>2</v>
      </c>
      <c r="AL5">
        <v>2</v>
      </c>
      <c r="AM5">
        <v>22</v>
      </c>
      <c r="AN5">
        <v>60</v>
      </c>
      <c r="AO5">
        <v>999</v>
      </c>
      <c r="AP5">
        <v>2</v>
      </c>
      <c r="AQ5">
        <v>8</v>
      </c>
      <c r="AR5">
        <v>9</v>
      </c>
      <c r="AS5">
        <v>99</v>
      </c>
      <c r="AT5">
        <v>9</v>
      </c>
      <c r="AU5">
        <v>3</v>
      </c>
      <c r="AV5">
        <v>99999</v>
      </c>
      <c r="AW5">
        <v>0</v>
      </c>
      <c r="AX5" s="7">
        <v>45372.58079861111</v>
      </c>
      <c r="AY5" s="7"/>
      <c r="BB5" t="s">
        <v>54</v>
      </c>
      <c r="BC5">
        <v>2023</v>
      </c>
      <c r="BD5">
        <v>6898</v>
      </c>
      <c r="BE5">
        <v>220</v>
      </c>
      <c r="BF5" s="32">
        <v>592.9</v>
      </c>
      <c r="BG5" s="7" t="s">
        <v>708</v>
      </c>
      <c r="BO5" s="276">
        <f t="shared" si="0"/>
        <v>0</v>
      </c>
      <c r="BV5" t="str">
        <f t="shared" si="1"/>
        <v>2653455707</v>
      </c>
      <c r="BW5">
        <v>5345</v>
      </c>
      <c r="BX5">
        <v>2</v>
      </c>
      <c r="BY5">
        <v>6</v>
      </c>
      <c r="BZ5">
        <v>2023</v>
      </c>
      <c r="CA5">
        <v>5707</v>
      </c>
      <c r="CB5">
        <v>24.49</v>
      </c>
    </row>
    <row r="6" spans="1:80">
      <c r="A6">
        <v>4</v>
      </c>
      <c r="B6" t="s">
        <v>150</v>
      </c>
      <c r="C6">
        <v>2023</v>
      </c>
      <c r="D6">
        <v>5367</v>
      </c>
      <c r="E6">
        <v>217</v>
      </c>
      <c r="F6">
        <v>1</v>
      </c>
      <c r="G6">
        <v>1</v>
      </c>
      <c r="H6">
        <v>6</v>
      </c>
      <c r="I6">
        <v>999999</v>
      </c>
      <c r="J6">
        <v>999</v>
      </c>
      <c r="K6">
        <v>2</v>
      </c>
      <c r="L6">
        <v>999</v>
      </c>
      <c r="M6">
        <v>9</v>
      </c>
      <c r="N6">
        <v>99</v>
      </c>
      <c r="O6">
        <v>9</v>
      </c>
      <c r="P6">
        <v>2</v>
      </c>
      <c r="Q6">
        <v>99999</v>
      </c>
      <c r="R6" s="276">
        <v>0</v>
      </c>
      <c r="S6" s="7">
        <v>45372.58079861111</v>
      </c>
      <c r="AD6" s="7"/>
      <c r="AG6" t="s">
        <v>150</v>
      </c>
      <c r="AH6">
        <v>2023</v>
      </c>
      <c r="AI6">
        <v>5367</v>
      </c>
      <c r="AJ6">
        <v>217</v>
      </c>
      <c r="AK6">
        <v>2</v>
      </c>
      <c r="AL6">
        <v>2</v>
      </c>
      <c r="AM6">
        <v>22</v>
      </c>
      <c r="AN6">
        <v>60</v>
      </c>
      <c r="AO6">
        <v>999</v>
      </c>
      <c r="AP6">
        <v>2</v>
      </c>
      <c r="AQ6">
        <v>10</v>
      </c>
      <c r="AR6">
        <v>9</v>
      </c>
      <c r="AS6">
        <v>99</v>
      </c>
      <c r="AT6">
        <v>9</v>
      </c>
      <c r="AU6">
        <v>3</v>
      </c>
      <c r="AV6">
        <v>99999</v>
      </c>
      <c r="AW6">
        <v>0</v>
      </c>
      <c r="AX6" s="7">
        <v>45372.58079861111</v>
      </c>
      <c r="AY6" s="7"/>
      <c r="BB6" t="s">
        <v>662</v>
      </c>
      <c r="BC6">
        <v>2023</v>
      </c>
      <c r="BD6">
        <v>103</v>
      </c>
      <c r="BE6">
        <v>123</v>
      </c>
      <c r="BF6" s="32">
        <v>698.756311101184</v>
      </c>
      <c r="BG6" s="7" t="s">
        <v>709</v>
      </c>
      <c r="BO6" s="276">
        <f t="shared" si="0"/>
        <v>0</v>
      </c>
      <c r="BV6" t="str">
        <f t="shared" si="1"/>
        <v>1653455707</v>
      </c>
      <c r="BW6">
        <v>5345</v>
      </c>
      <c r="BX6">
        <v>1</v>
      </c>
      <c r="BY6">
        <v>6</v>
      </c>
      <c r="BZ6">
        <v>2023</v>
      </c>
      <c r="CA6">
        <v>5707</v>
      </c>
      <c r="CB6">
        <v>9.9600000000000009</v>
      </c>
    </row>
    <row r="7" spans="1:80">
      <c r="A7">
        <v>5</v>
      </c>
      <c r="B7" t="s">
        <v>150</v>
      </c>
      <c r="C7">
        <v>2023</v>
      </c>
      <c r="D7">
        <v>5367</v>
      </c>
      <c r="E7">
        <v>217</v>
      </c>
      <c r="F7">
        <v>1</v>
      </c>
      <c r="G7">
        <v>1</v>
      </c>
      <c r="H7">
        <v>15</v>
      </c>
      <c r="I7">
        <v>144</v>
      </c>
      <c r="J7">
        <v>999</v>
      </c>
      <c r="K7">
        <v>2</v>
      </c>
      <c r="L7">
        <v>999</v>
      </c>
      <c r="M7">
        <v>9</v>
      </c>
      <c r="N7">
        <v>5</v>
      </c>
      <c r="O7">
        <v>9</v>
      </c>
      <c r="P7">
        <v>4</v>
      </c>
      <c r="Q7">
        <v>5707</v>
      </c>
      <c r="R7" s="276">
        <v>308.25</v>
      </c>
      <c r="S7" s="7">
        <v>45372.58079861111</v>
      </c>
      <c r="AD7" s="7"/>
      <c r="AG7" t="s">
        <v>150</v>
      </c>
      <c r="AH7">
        <v>2023</v>
      </c>
      <c r="AI7">
        <v>5367</v>
      </c>
      <c r="AJ7">
        <v>217</v>
      </c>
      <c r="AK7">
        <v>2</v>
      </c>
      <c r="AL7">
        <v>2</v>
      </c>
      <c r="AM7">
        <v>22</v>
      </c>
      <c r="AN7">
        <v>60</v>
      </c>
      <c r="AO7">
        <v>999</v>
      </c>
      <c r="AP7">
        <v>2</v>
      </c>
      <c r="AQ7">
        <v>24</v>
      </c>
      <c r="AR7">
        <v>9</v>
      </c>
      <c r="AS7">
        <v>99</v>
      </c>
      <c r="AT7">
        <v>9</v>
      </c>
      <c r="AU7">
        <v>3</v>
      </c>
      <c r="AV7">
        <v>99999</v>
      </c>
      <c r="AW7">
        <v>0</v>
      </c>
      <c r="AX7" s="7">
        <v>45372.58079861111</v>
      </c>
      <c r="AY7" s="7"/>
      <c r="BB7" t="s">
        <v>663</v>
      </c>
      <c r="BC7">
        <v>2023</v>
      </c>
      <c r="BD7">
        <v>82</v>
      </c>
      <c r="BE7">
        <v>128</v>
      </c>
      <c r="BF7" s="32">
        <v>588.52887642347298</v>
      </c>
      <c r="BG7" s="7" t="s">
        <v>710</v>
      </c>
      <c r="BO7" s="276">
        <f t="shared" si="0"/>
        <v>0</v>
      </c>
      <c r="BV7" t="str">
        <f t="shared" si="1"/>
        <v>4653455707</v>
      </c>
      <c r="BW7">
        <v>5345</v>
      </c>
      <c r="BX7">
        <v>4</v>
      </c>
      <c r="BY7">
        <v>6</v>
      </c>
      <c r="BZ7">
        <v>2023</v>
      </c>
      <c r="CA7">
        <v>5707</v>
      </c>
      <c r="CB7">
        <v>39.340000000000003</v>
      </c>
    </row>
    <row r="8" spans="1:80">
      <c r="A8">
        <v>6</v>
      </c>
      <c r="B8" t="s">
        <v>150</v>
      </c>
      <c r="C8">
        <v>2023</v>
      </c>
      <c r="D8">
        <v>5367</v>
      </c>
      <c r="E8">
        <v>217</v>
      </c>
      <c r="F8">
        <v>1</v>
      </c>
      <c r="G8">
        <v>1</v>
      </c>
      <c r="H8">
        <v>15</v>
      </c>
      <c r="I8">
        <v>144</v>
      </c>
      <c r="J8">
        <v>999</v>
      </c>
      <c r="K8">
        <v>2</v>
      </c>
      <c r="L8">
        <v>999</v>
      </c>
      <c r="M8">
        <v>9</v>
      </c>
      <c r="N8">
        <v>99</v>
      </c>
      <c r="O8">
        <v>9</v>
      </c>
      <c r="P8">
        <v>4</v>
      </c>
      <c r="Q8">
        <v>0</v>
      </c>
      <c r="R8" s="276">
        <v>0</v>
      </c>
      <c r="S8" s="7">
        <v>45372.58079861111</v>
      </c>
      <c r="AD8" s="7"/>
      <c r="AG8" t="s">
        <v>150</v>
      </c>
      <c r="AH8">
        <v>2023</v>
      </c>
      <c r="AI8">
        <v>5367</v>
      </c>
      <c r="AJ8">
        <v>217</v>
      </c>
      <c r="AK8">
        <v>2</v>
      </c>
      <c r="AL8">
        <v>2</v>
      </c>
      <c r="AM8">
        <v>22</v>
      </c>
      <c r="AN8">
        <v>60</v>
      </c>
      <c r="AO8">
        <v>999</v>
      </c>
      <c r="AP8">
        <v>2</v>
      </c>
      <c r="AQ8">
        <v>11</v>
      </c>
      <c r="AR8">
        <v>9</v>
      </c>
      <c r="AS8">
        <v>99</v>
      </c>
      <c r="AT8">
        <v>9</v>
      </c>
      <c r="AU8">
        <v>3</v>
      </c>
      <c r="AV8">
        <v>99999</v>
      </c>
      <c r="AW8">
        <v>-131950.084430635</v>
      </c>
      <c r="AX8" s="7">
        <v>45372.58079861111</v>
      </c>
      <c r="AY8" s="7"/>
      <c r="BB8" t="s">
        <v>664</v>
      </c>
      <c r="BC8">
        <v>2023</v>
      </c>
      <c r="BD8">
        <v>2904</v>
      </c>
      <c r="BE8">
        <v>131</v>
      </c>
      <c r="BF8" s="32">
        <v>592.96</v>
      </c>
      <c r="BG8" s="7" t="s">
        <v>711</v>
      </c>
      <c r="BO8" s="276">
        <f t="shared" si="0"/>
        <v>0</v>
      </c>
      <c r="BV8" t="str">
        <f t="shared" si="1"/>
        <v>1653465707</v>
      </c>
      <c r="BW8">
        <v>5346</v>
      </c>
      <c r="BX8">
        <v>1</v>
      </c>
      <c r="BY8">
        <v>6</v>
      </c>
      <c r="BZ8">
        <v>2023</v>
      </c>
      <c r="CA8">
        <v>5707</v>
      </c>
      <c r="CB8">
        <v>9.9600000000000009</v>
      </c>
    </row>
    <row r="9" spans="1:80">
      <c r="A9">
        <v>7</v>
      </c>
      <c r="B9" t="s">
        <v>150</v>
      </c>
      <c r="C9">
        <v>2023</v>
      </c>
      <c r="D9">
        <v>5367</v>
      </c>
      <c r="E9">
        <v>217</v>
      </c>
      <c r="F9">
        <v>1</v>
      </c>
      <c r="G9">
        <v>1</v>
      </c>
      <c r="H9">
        <v>15</v>
      </c>
      <c r="I9">
        <v>144</v>
      </c>
      <c r="J9">
        <v>999</v>
      </c>
      <c r="K9">
        <v>2</v>
      </c>
      <c r="L9">
        <v>999</v>
      </c>
      <c r="M9">
        <v>9</v>
      </c>
      <c r="N9">
        <v>99</v>
      </c>
      <c r="O9">
        <v>9</v>
      </c>
      <c r="P9">
        <v>4</v>
      </c>
      <c r="Q9">
        <v>0</v>
      </c>
      <c r="R9" s="276">
        <v>0</v>
      </c>
      <c r="S9" s="7">
        <v>45372.58079861111</v>
      </c>
      <c r="AD9" s="7"/>
      <c r="AG9" t="s">
        <v>150</v>
      </c>
      <c r="AH9">
        <v>2023</v>
      </c>
      <c r="AI9">
        <v>5367</v>
      </c>
      <c r="AJ9">
        <v>217</v>
      </c>
      <c r="AK9">
        <v>2</v>
      </c>
      <c r="AL9">
        <v>2</v>
      </c>
      <c r="AM9">
        <v>22</v>
      </c>
      <c r="AN9">
        <v>60</v>
      </c>
      <c r="AO9">
        <v>999</v>
      </c>
      <c r="AP9">
        <v>2</v>
      </c>
      <c r="AQ9">
        <v>9</v>
      </c>
      <c r="AR9">
        <v>9</v>
      </c>
      <c r="AS9">
        <v>99</v>
      </c>
      <c r="AT9">
        <v>9</v>
      </c>
      <c r="AU9">
        <v>3</v>
      </c>
      <c r="AV9">
        <v>99999</v>
      </c>
      <c r="AW9">
        <v>-16719.844965551401</v>
      </c>
      <c r="AX9" s="7">
        <v>45372.58079861111</v>
      </c>
      <c r="AY9" s="7"/>
      <c r="BB9" t="s">
        <v>665</v>
      </c>
      <c r="BC9">
        <v>2023</v>
      </c>
      <c r="BD9">
        <v>2866</v>
      </c>
      <c r="BE9">
        <v>132</v>
      </c>
      <c r="BF9" s="32">
        <v>630.49</v>
      </c>
      <c r="BG9" s="7" t="s">
        <v>704</v>
      </c>
      <c r="BO9" s="276">
        <f t="shared" si="0"/>
        <v>0</v>
      </c>
      <c r="BV9" t="str">
        <f t="shared" si="1"/>
        <v>4653465707</v>
      </c>
      <c r="BW9">
        <v>5346</v>
      </c>
      <c r="BX9">
        <v>4</v>
      </c>
      <c r="BY9">
        <v>6</v>
      </c>
      <c r="BZ9">
        <v>2023</v>
      </c>
      <c r="CA9">
        <v>5707</v>
      </c>
      <c r="CB9">
        <v>39.340000000000003</v>
      </c>
    </row>
    <row r="10" spans="1:80">
      <c r="A10">
        <v>8</v>
      </c>
      <c r="B10" t="s">
        <v>150</v>
      </c>
      <c r="C10">
        <v>2023</v>
      </c>
      <c r="D10">
        <v>5367</v>
      </c>
      <c r="E10">
        <v>217</v>
      </c>
      <c r="F10">
        <v>7</v>
      </c>
      <c r="G10">
        <v>1</v>
      </c>
      <c r="H10">
        <v>52</v>
      </c>
      <c r="I10">
        <v>999999</v>
      </c>
      <c r="J10">
        <v>999</v>
      </c>
      <c r="K10">
        <v>3</v>
      </c>
      <c r="L10">
        <v>17</v>
      </c>
      <c r="M10">
        <v>9</v>
      </c>
      <c r="N10">
        <v>99</v>
      </c>
      <c r="O10">
        <v>9</v>
      </c>
      <c r="P10">
        <v>3</v>
      </c>
      <c r="Q10">
        <v>99999</v>
      </c>
      <c r="R10" s="276">
        <v>1260860.18081891</v>
      </c>
      <c r="S10" s="7">
        <v>45372.58079861111</v>
      </c>
      <c r="AD10" s="7"/>
      <c r="AG10" t="s">
        <v>150</v>
      </c>
      <c r="AH10">
        <v>2023</v>
      </c>
      <c r="AI10">
        <v>5367</v>
      </c>
      <c r="AJ10">
        <v>217</v>
      </c>
      <c r="AK10">
        <v>2</v>
      </c>
      <c r="AL10">
        <v>2</v>
      </c>
      <c r="AM10">
        <v>22</v>
      </c>
      <c r="AN10">
        <v>60</v>
      </c>
      <c r="AO10">
        <v>999</v>
      </c>
      <c r="AP10">
        <v>3</v>
      </c>
      <c r="AQ10">
        <v>28</v>
      </c>
      <c r="AR10">
        <v>9</v>
      </c>
      <c r="AS10">
        <v>99</v>
      </c>
      <c r="AT10">
        <v>9</v>
      </c>
      <c r="AU10">
        <v>3</v>
      </c>
      <c r="AV10">
        <v>99999</v>
      </c>
      <c r="AW10">
        <v>34552.504630240503</v>
      </c>
      <c r="AX10" s="7">
        <v>45372.58079861111</v>
      </c>
      <c r="AY10" s="7"/>
      <c r="BB10" t="s">
        <v>665</v>
      </c>
      <c r="BC10">
        <v>2023</v>
      </c>
      <c r="BD10">
        <v>2866</v>
      </c>
      <c r="BE10">
        <v>132</v>
      </c>
      <c r="BF10" s="32">
        <v>630.49</v>
      </c>
      <c r="BG10" s="7" t="s">
        <v>712</v>
      </c>
      <c r="BO10" s="276">
        <f t="shared" si="0"/>
        <v>0</v>
      </c>
      <c r="BV10" t="str">
        <f t="shared" si="1"/>
        <v>2653465707</v>
      </c>
      <c r="BW10">
        <v>5346</v>
      </c>
      <c r="BX10">
        <v>2</v>
      </c>
      <c r="BY10">
        <v>6</v>
      </c>
      <c r="BZ10">
        <v>2023</v>
      </c>
      <c r="CA10">
        <v>5707</v>
      </c>
      <c r="CB10">
        <v>24.49</v>
      </c>
    </row>
    <row r="11" spans="1:80">
      <c r="A11">
        <v>9</v>
      </c>
      <c r="B11" t="s">
        <v>150</v>
      </c>
      <c r="C11">
        <v>2023</v>
      </c>
      <c r="D11">
        <v>5367</v>
      </c>
      <c r="E11">
        <v>217</v>
      </c>
      <c r="F11">
        <v>7</v>
      </c>
      <c r="G11">
        <v>1</v>
      </c>
      <c r="H11">
        <v>52</v>
      </c>
      <c r="I11">
        <v>999999</v>
      </c>
      <c r="J11">
        <v>999</v>
      </c>
      <c r="K11">
        <v>3</v>
      </c>
      <c r="L11">
        <v>18</v>
      </c>
      <c r="M11">
        <v>9</v>
      </c>
      <c r="N11">
        <v>99</v>
      </c>
      <c r="O11">
        <v>9</v>
      </c>
      <c r="P11">
        <v>3</v>
      </c>
      <c r="Q11">
        <v>99999</v>
      </c>
      <c r="R11" s="276">
        <v>881278.939022757</v>
      </c>
      <c r="S11" s="7">
        <v>45372.58079861111</v>
      </c>
      <c r="AD11" s="7"/>
      <c r="AG11" t="s">
        <v>150</v>
      </c>
      <c r="AH11">
        <v>2023</v>
      </c>
      <c r="AI11">
        <v>5367</v>
      </c>
      <c r="AJ11">
        <v>217</v>
      </c>
      <c r="AK11">
        <v>2</v>
      </c>
      <c r="AL11">
        <v>2</v>
      </c>
      <c r="AM11">
        <v>22</v>
      </c>
      <c r="AN11">
        <v>60</v>
      </c>
      <c r="AO11">
        <v>999</v>
      </c>
      <c r="AP11">
        <v>3</v>
      </c>
      <c r="AQ11">
        <v>29</v>
      </c>
      <c r="AR11">
        <v>9</v>
      </c>
      <c r="AS11">
        <v>99</v>
      </c>
      <c r="AT11">
        <v>9</v>
      </c>
      <c r="AU11">
        <v>3</v>
      </c>
      <c r="AV11">
        <v>99999</v>
      </c>
      <c r="AW11">
        <v>0</v>
      </c>
      <c r="AX11" s="7">
        <v>45372.58079861111</v>
      </c>
      <c r="AY11" s="7"/>
      <c r="BB11" t="s">
        <v>261</v>
      </c>
      <c r="BC11">
        <v>2023</v>
      </c>
      <c r="BD11">
        <v>63</v>
      </c>
      <c r="BE11">
        <v>136</v>
      </c>
      <c r="BF11" s="32">
        <v>690.46337967296199</v>
      </c>
      <c r="BG11" s="7" t="s">
        <v>713</v>
      </c>
      <c r="BO11" s="276">
        <f t="shared" si="0"/>
        <v>0</v>
      </c>
      <c r="BV11" t="str">
        <f t="shared" si="1"/>
        <v/>
      </c>
    </row>
    <row r="12" spans="1:80">
      <c r="A12">
        <v>10</v>
      </c>
      <c r="B12" t="s">
        <v>150</v>
      </c>
      <c r="C12">
        <v>2023</v>
      </c>
      <c r="D12">
        <v>5367</v>
      </c>
      <c r="E12">
        <v>217</v>
      </c>
      <c r="F12">
        <v>7</v>
      </c>
      <c r="G12">
        <v>1</v>
      </c>
      <c r="H12">
        <v>52</v>
      </c>
      <c r="I12">
        <v>55</v>
      </c>
      <c r="J12">
        <v>999</v>
      </c>
      <c r="K12">
        <v>2</v>
      </c>
      <c r="L12">
        <v>999</v>
      </c>
      <c r="M12">
        <v>9</v>
      </c>
      <c r="N12">
        <v>99</v>
      </c>
      <c r="O12">
        <v>9</v>
      </c>
      <c r="P12">
        <v>3</v>
      </c>
      <c r="Q12">
        <v>99999</v>
      </c>
      <c r="R12" s="276">
        <v>12416474.760976899</v>
      </c>
      <c r="S12" s="7">
        <v>45372.58079861111</v>
      </c>
      <c r="AD12" s="7"/>
      <c r="AG12" t="s">
        <v>150</v>
      </c>
      <c r="AH12">
        <v>2023</v>
      </c>
      <c r="AI12">
        <v>5367</v>
      </c>
      <c r="AJ12">
        <v>217</v>
      </c>
      <c r="AK12">
        <v>2</v>
      </c>
      <c r="AL12">
        <v>2</v>
      </c>
      <c r="AM12">
        <v>20</v>
      </c>
      <c r="AN12">
        <v>60</v>
      </c>
      <c r="AO12">
        <v>999</v>
      </c>
      <c r="AP12">
        <v>4</v>
      </c>
      <c r="AQ12">
        <v>999</v>
      </c>
      <c r="AR12">
        <v>9</v>
      </c>
      <c r="AS12">
        <v>99</v>
      </c>
      <c r="AT12">
        <v>9</v>
      </c>
      <c r="AU12">
        <v>3</v>
      </c>
      <c r="AV12">
        <v>99999</v>
      </c>
      <c r="AW12">
        <v>0</v>
      </c>
      <c r="AX12" s="7">
        <v>45372.58079861111</v>
      </c>
      <c r="AY12" s="7"/>
      <c r="BB12" t="s">
        <v>259</v>
      </c>
      <c r="BC12">
        <v>2023</v>
      </c>
      <c r="BD12">
        <v>2937</v>
      </c>
      <c r="BE12">
        <v>135</v>
      </c>
      <c r="BF12" s="32">
        <v>677.42749659565197</v>
      </c>
      <c r="BG12" s="7" t="s">
        <v>714</v>
      </c>
      <c r="BO12" s="276">
        <f t="shared" si="0"/>
        <v>0</v>
      </c>
      <c r="BV12" t="str">
        <f t="shared" si="1"/>
        <v/>
      </c>
    </row>
    <row r="13" spans="1:80">
      <c r="A13">
        <v>11</v>
      </c>
      <c r="B13" t="s">
        <v>150</v>
      </c>
      <c r="C13">
        <v>2023</v>
      </c>
      <c r="D13">
        <v>5367</v>
      </c>
      <c r="E13">
        <v>217</v>
      </c>
      <c r="F13">
        <v>7</v>
      </c>
      <c r="G13">
        <v>1</v>
      </c>
      <c r="H13">
        <v>52</v>
      </c>
      <c r="I13">
        <v>999999</v>
      </c>
      <c r="J13">
        <v>999</v>
      </c>
      <c r="K13">
        <v>1</v>
      </c>
      <c r="L13">
        <v>1</v>
      </c>
      <c r="M13">
        <v>9</v>
      </c>
      <c r="N13">
        <v>99</v>
      </c>
      <c r="O13">
        <v>9</v>
      </c>
      <c r="P13">
        <v>3</v>
      </c>
      <c r="Q13">
        <v>99999</v>
      </c>
      <c r="R13" s="276">
        <v>0</v>
      </c>
      <c r="S13" s="7">
        <v>45372.58079861111</v>
      </c>
      <c r="AD13" s="7"/>
      <c r="AG13" t="s">
        <v>150</v>
      </c>
      <c r="AH13">
        <v>2023</v>
      </c>
      <c r="AI13">
        <v>5367</v>
      </c>
      <c r="AJ13">
        <v>217</v>
      </c>
      <c r="AK13">
        <v>2</v>
      </c>
      <c r="AL13">
        <v>2</v>
      </c>
      <c r="AM13">
        <v>999</v>
      </c>
      <c r="AN13">
        <v>999999</v>
      </c>
      <c r="AO13">
        <v>999</v>
      </c>
      <c r="AP13">
        <v>99</v>
      </c>
      <c r="AQ13">
        <v>999</v>
      </c>
      <c r="AR13">
        <v>9</v>
      </c>
      <c r="AS13">
        <v>99</v>
      </c>
      <c r="AT13">
        <v>9</v>
      </c>
      <c r="AU13">
        <v>3</v>
      </c>
      <c r="AV13">
        <v>99999</v>
      </c>
      <c r="AW13">
        <v>0</v>
      </c>
      <c r="AX13" s="7">
        <v>45372.58079861111</v>
      </c>
      <c r="AY13" s="7"/>
      <c r="BB13" t="s">
        <v>666</v>
      </c>
      <c r="BC13">
        <v>2023</v>
      </c>
      <c r="BD13">
        <v>1000041</v>
      </c>
      <c r="BE13">
        <v>166</v>
      </c>
      <c r="BF13" s="32">
        <v>628.35209852945195</v>
      </c>
      <c r="BG13" s="7" t="s">
        <v>715</v>
      </c>
      <c r="BO13" s="276">
        <f t="shared" si="0"/>
        <v>0</v>
      </c>
      <c r="BV13" t="str">
        <f t="shared" si="1"/>
        <v/>
      </c>
    </row>
    <row r="14" spans="1:80">
      <c r="A14">
        <v>12</v>
      </c>
      <c r="B14" t="s">
        <v>150</v>
      </c>
      <c r="C14">
        <v>2023</v>
      </c>
      <c r="D14">
        <v>5367</v>
      </c>
      <c r="E14">
        <v>217</v>
      </c>
      <c r="F14">
        <v>7</v>
      </c>
      <c r="G14">
        <v>1</v>
      </c>
      <c r="H14">
        <v>52</v>
      </c>
      <c r="I14">
        <v>999999</v>
      </c>
      <c r="J14">
        <v>999</v>
      </c>
      <c r="K14">
        <v>1</v>
      </c>
      <c r="L14">
        <v>2</v>
      </c>
      <c r="M14">
        <v>9</v>
      </c>
      <c r="N14">
        <v>99</v>
      </c>
      <c r="O14">
        <v>9</v>
      </c>
      <c r="P14">
        <v>3</v>
      </c>
      <c r="Q14">
        <v>99999</v>
      </c>
      <c r="R14" s="276">
        <v>0</v>
      </c>
      <c r="S14" s="7">
        <v>45372.58079861111</v>
      </c>
      <c r="AD14" s="7"/>
      <c r="AG14" t="s">
        <v>150</v>
      </c>
      <c r="AH14">
        <v>2023</v>
      </c>
      <c r="AI14">
        <v>5367</v>
      </c>
      <c r="AJ14">
        <v>217</v>
      </c>
      <c r="AK14">
        <v>2</v>
      </c>
      <c r="AL14">
        <v>2</v>
      </c>
      <c r="AM14">
        <v>999</v>
      </c>
      <c r="AN14">
        <v>999999</v>
      </c>
      <c r="AO14">
        <v>999</v>
      </c>
      <c r="AP14">
        <v>99</v>
      </c>
      <c r="AQ14">
        <v>999</v>
      </c>
      <c r="AR14">
        <v>9</v>
      </c>
      <c r="AS14">
        <v>99</v>
      </c>
      <c r="AT14">
        <v>9</v>
      </c>
      <c r="AU14">
        <v>3</v>
      </c>
      <c r="AV14">
        <v>99999</v>
      </c>
      <c r="AW14">
        <v>0</v>
      </c>
      <c r="AX14" s="7">
        <v>45372.58079861111</v>
      </c>
      <c r="AY14" s="7"/>
      <c r="BB14" t="s">
        <v>667</v>
      </c>
      <c r="BC14">
        <v>2023</v>
      </c>
      <c r="BD14">
        <v>87</v>
      </c>
      <c r="BE14">
        <v>158</v>
      </c>
      <c r="BF14" s="32">
        <v>592.96</v>
      </c>
      <c r="BG14" s="7" t="s">
        <v>716</v>
      </c>
      <c r="BO14" s="276">
        <f t="shared" si="0"/>
        <v>0</v>
      </c>
      <c r="BV14" t="str">
        <f t="shared" si="1"/>
        <v/>
      </c>
    </row>
    <row r="15" spans="1:80">
      <c r="A15">
        <v>13</v>
      </c>
      <c r="B15" t="s">
        <v>150</v>
      </c>
      <c r="C15">
        <v>2023</v>
      </c>
      <c r="D15">
        <v>5367</v>
      </c>
      <c r="E15">
        <v>217</v>
      </c>
      <c r="F15">
        <v>7</v>
      </c>
      <c r="G15">
        <v>1</v>
      </c>
      <c r="H15">
        <v>52</v>
      </c>
      <c r="I15">
        <v>999999</v>
      </c>
      <c r="J15">
        <v>999</v>
      </c>
      <c r="K15">
        <v>1</v>
      </c>
      <c r="L15">
        <v>3</v>
      </c>
      <c r="M15">
        <v>9</v>
      </c>
      <c r="N15">
        <v>99</v>
      </c>
      <c r="O15">
        <v>9</v>
      </c>
      <c r="P15">
        <v>3</v>
      </c>
      <c r="Q15">
        <v>99999</v>
      </c>
      <c r="R15" s="276">
        <v>0</v>
      </c>
      <c r="S15" s="7">
        <v>45372.58079861111</v>
      </c>
      <c r="AD15" s="7"/>
      <c r="AG15" t="s">
        <v>150</v>
      </c>
      <c r="AH15">
        <v>2023</v>
      </c>
      <c r="AI15">
        <v>5367</v>
      </c>
      <c r="AJ15">
        <v>217</v>
      </c>
      <c r="AK15">
        <v>2</v>
      </c>
      <c r="AL15">
        <v>2</v>
      </c>
      <c r="AM15">
        <v>22</v>
      </c>
      <c r="AN15">
        <v>60</v>
      </c>
      <c r="AO15">
        <v>999</v>
      </c>
      <c r="AP15">
        <v>2</v>
      </c>
      <c r="AQ15">
        <v>11</v>
      </c>
      <c r="AR15">
        <v>9</v>
      </c>
      <c r="AS15">
        <v>99</v>
      </c>
      <c r="AT15">
        <v>9</v>
      </c>
      <c r="AU15">
        <v>3</v>
      </c>
      <c r="AV15">
        <v>99999</v>
      </c>
      <c r="AW15">
        <v>0</v>
      </c>
      <c r="AX15" s="7">
        <v>45372.58079861111</v>
      </c>
      <c r="AY15" s="7"/>
      <c r="BB15" t="s">
        <v>668</v>
      </c>
      <c r="BC15">
        <v>2023</v>
      </c>
      <c r="BD15">
        <v>95</v>
      </c>
      <c r="BE15">
        <v>138</v>
      </c>
      <c r="BF15" s="32">
        <v>688.80398029525395</v>
      </c>
      <c r="BG15" s="7" t="s">
        <v>717</v>
      </c>
      <c r="BO15" s="276">
        <f t="shared" si="0"/>
        <v>0</v>
      </c>
      <c r="BV15" t="str">
        <f t="shared" si="1"/>
        <v/>
      </c>
    </row>
    <row r="16" spans="1:80">
      <c r="A16">
        <v>14</v>
      </c>
      <c r="B16" t="s">
        <v>150</v>
      </c>
      <c r="C16">
        <v>2023</v>
      </c>
      <c r="D16">
        <v>5367</v>
      </c>
      <c r="E16">
        <v>217</v>
      </c>
      <c r="F16">
        <v>7</v>
      </c>
      <c r="G16">
        <v>1</v>
      </c>
      <c r="H16">
        <v>52</v>
      </c>
      <c r="I16">
        <v>999999</v>
      </c>
      <c r="J16">
        <v>999</v>
      </c>
      <c r="K16">
        <v>3</v>
      </c>
      <c r="L16">
        <v>15</v>
      </c>
      <c r="M16">
        <v>9</v>
      </c>
      <c r="N16">
        <v>99</v>
      </c>
      <c r="O16">
        <v>9</v>
      </c>
      <c r="P16">
        <v>3</v>
      </c>
      <c r="Q16">
        <v>99999</v>
      </c>
      <c r="R16" s="276">
        <v>5446973.46942796</v>
      </c>
      <c r="S16" s="7">
        <v>45372.58079861111</v>
      </c>
      <c r="AD16" s="7"/>
      <c r="AG16" t="s">
        <v>150</v>
      </c>
      <c r="AH16">
        <v>2023</v>
      </c>
      <c r="AI16">
        <v>5367</v>
      </c>
      <c r="AJ16">
        <v>217</v>
      </c>
      <c r="AK16">
        <v>2</v>
      </c>
      <c r="AL16">
        <v>2</v>
      </c>
      <c r="AM16">
        <v>22</v>
      </c>
      <c r="AN16">
        <v>60</v>
      </c>
      <c r="AO16">
        <v>999</v>
      </c>
      <c r="AP16">
        <v>2</v>
      </c>
      <c r="AQ16">
        <v>30</v>
      </c>
      <c r="AR16">
        <v>9</v>
      </c>
      <c r="AS16">
        <v>99</v>
      </c>
      <c r="AT16">
        <v>9</v>
      </c>
      <c r="AU16">
        <v>3</v>
      </c>
      <c r="AV16">
        <v>99999</v>
      </c>
      <c r="AW16">
        <v>0</v>
      </c>
      <c r="AX16" s="7">
        <v>45372.58079861111</v>
      </c>
      <c r="AY16" s="7"/>
      <c r="BB16" t="s">
        <v>669</v>
      </c>
      <c r="BC16">
        <v>2023</v>
      </c>
      <c r="BD16">
        <v>51</v>
      </c>
      <c r="BE16">
        <v>139</v>
      </c>
      <c r="BF16" s="32">
        <v>672.57819720747796</v>
      </c>
      <c r="BG16" s="7" t="s">
        <v>670</v>
      </c>
      <c r="BO16" s="276">
        <f t="shared" si="0"/>
        <v>0</v>
      </c>
      <c r="BV16" t="str">
        <f t="shared" si="1"/>
        <v/>
      </c>
    </row>
    <row r="17" spans="1:74">
      <c r="A17">
        <v>15</v>
      </c>
      <c r="B17" t="s">
        <v>150</v>
      </c>
      <c r="C17">
        <v>2023</v>
      </c>
      <c r="D17">
        <v>5367</v>
      </c>
      <c r="E17">
        <v>217</v>
      </c>
      <c r="F17">
        <v>7</v>
      </c>
      <c r="G17">
        <v>1</v>
      </c>
      <c r="H17">
        <v>52</v>
      </c>
      <c r="I17">
        <v>73</v>
      </c>
      <c r="J17">
        <v>999</v>
      </c>
      <c r="K17">
        <v>3</v>
      </c>
      <c r="L17">
        <v>15</v>
      </c>
      <c r="M17">
        <v>9</v>
      </c>
      <c r="N17">
        <v>99</v>
      </c>
      <c r="O17">
        <v>9</v>
      </c>
      <c r="P17">
        <v>3</v>
      </c>
      <c r="Q17">
        <v>99999</v>
      </c>
      <c r="R17" s="276">
        <v>0</v>
      </c>
      <c r="S17" s="7">
        <v>45372.58079861111</v>
      </c>
      <c r="AD17" s="7"/>
      <c r="AG17" t="s">
        <v>150</v>
      </c>
      <c r="AH17">
        <v>2023</v>
      </c>
      <c r="AI17">
        <v>5367</v>
      </c>
      <c r="AJ17">
        <v>217</v>
      </c>
      <c r="AK17">
        <v>2</v>
      </c>
      <c r="AL17">
        <v>2</v>
      </c>
      <c r="AM17">
        <v>22</v>
      </c>
      <c r="AN17">
        <v>60</v>
      </c>
      <c r="AO17">
        <v>999</v>
      </c>
      <c r="AP17">
        <v>3</v>
      </c>
      <c r="AQ17">
        <v>19</v>
      </c>
      <c r="AR17">
        <v>9</v>
      </c>
      <c r="AS17">
        <v>99</v>
      </c>
      <c r="AT17">
        <v>9</v>
      </c>
      <c r="AU17">
        <v>3</v>
      </c>
      <c r="AV17">
        <v>99999</v>
      </c>
      <c r="AW17">
        <v>0</v>
      </c>
      <c r="AX17" s="7">
        <v>45372.58079861111</v>
      </c>
      <c r="AY17" s="7"/>
      <c r="BB17" t="s">
        <v>671</v>
      </c>
      <c r="BC17">
        <v>2023</v>
      </c>
      <c r="BD17">
        <v>380</v>
      </c>
      <c r="BE17">
        <v>154</v>
      </c>
      <c r="BF17" s="32">
        <v>698.13677730822405</v>
      </c>
      <c r="BG17" s="7" t="s">
        <v>718</v>
      </c>
      <c r="BO17" s="276">
        <f t="shared" si="0"/>
        <v>0</v>
      </c>
      <c r="BV17" t="str">
        <f t="shared" si="1"/>
        <v/>
      </c>
    </row>
    <row r="18" spans="1:74">
      <c r="A18">
        <v>16</v>
      </c>
      <c r="B18" t="s">
        <v>150</v>
      </c>
      <c r="C18">
        <v>2023</v>
      </c>
      <c r="D18">
        <v>5367</v>
      </c>
      <c r="E18">
        <v>217</v>
      </c>
      <c r="F18">
        <v>7</v>
      </c>
      <c r="G18">
        <v>1</v>
      </c>
      <c r="H18">
        <v>52</v>
      </c>
      <c r="I18">
        <v>999999</v>
      </c>
      <c r="J18">
        <v>999</v>
      </c>
      <c r="K18">
        <v>3</v>
      </c>
      <c r="L18">
        <v>28</v>
      </c>
      <c r="M18">
        <v>9</v>
      </c>
      <c r="N18">
        <v>99</v>
      </c>
      <c r="O18">
        <v>9</v>
      </c>
      <c r="P18">
        <v>3</v>
      </c>
      <c r="Q18">
        <v>99999</v>
      </c>
      <c r="R18" s="276">
        <v>-956769.74870776897</v>
      </c>
      <c r="S18" s="7">
        <v>45372.58079861111</v>
      </c>
      <c r="AD18" s="7"/>
      <c r="AG18" t="s">
        <v>150</v>
      </c>
      <c r="AH18">
        <v>2023</v>
      </c>
      <c r="AI18">
        <v>5367</v>
      </c>
      <c r="AJ18">
        <v>217</v>
      </c>
      <c r="AK18">
        <v>2</v>
      </c>
      <c r="AL18">
        <v>2</v>
      </c>
      <c r="AM18">
        <v>999</v>
      </c>
      <c r="AN18">
        <v>999999</v>
      </c>
      <c r="AO18">
        <v>999</v>
      </c>
      <c r="AP18">
        <v>99</v>
      </c>
      <c r="AQ18">
        <v>999</v>
      </c>
      <c r="AR18">
        <v>9</v>
      </c>
      <c r="AS18">
        <v>99</v>
      </c>
      <c r="AT18">
        <v>9</v>
      </c>
      <c r="AU18">
        <v>3</v>
      </c>
      <c r="AV18">
        <v>99999</v>
      </c>
      <c r="AW18">
        <v>0</v>
      </c>
      <c r="AX18" s="7">
        <v>45372.58079861111</v>
      </c>
      <c r="AY18" s="7"/>
      <c r="BB18" t="s">
        <v>478</v>
      </c>
      <c r="BC18">
        <v>2023</v>
      </c>
      <c r="BD18">
        <v>391</v>
      </c>
      <c r="BE18">
        <v>104</v>
      </c>
      <c r="BF18" s="32">
        <v>697.94764656179598</v>
      </c>
      <c r="BG18" s="7" t="s">
        <v>719</v>
      </c>
      <c r="BO18" s="276">
        <f t="shared" si="0"/>
        <v>0</v>
      </c>
      <c r="BV18" t="str">
        <f t="shared" si="1"/>
        <v/>
      </c>
    </row>
    <row r="19" spans="1:74">
      <c r="A19">
        <v>17</v>
      </c>
      <c r="B19" t="s">
        <v>150</v>
      </c>
      <c r="C19">
        <v>2023</v>
      </c>
      <c r="D19">
        <v>5367</v>
      </c>
      <c r="E19">
        <v>217</v>
      </c>
      <c r="F19">
        <v>7</v>
      </c>
      <c r="G19">
        <v>1</v>
      </c>
      <c r="H19">
        <v>52</v>
      </c>
      <c r="I19">
        <v>999999</v>
      </c>
      <c r="J19">
        <v>999</v>
      </c>
      <c r="K19">
        <v>3</v>
      </c>
      <c r="L19">
        <v>29</v>
      </c>
      <c r="M19">
        <v>9</v>
      </c>
      <c r="N19">
        <v>99</v>
      </c>
      <c r="O19">
        <v>9</v>
      </c>
      <c r="P19">
        <v>3</v>
      </c>
      <c r="Q19">
        <v>99999</v>
      </c>
      <c r="R19" s="276">
        <v>0</v>
      </c>
      <c r="S19" s="7">
        <v>45372.58079861111</v>
      </c>
      <c r="AD19" s="7"/>
      <c r="AG19" t="s">
        <v>150</v>
      </c>
      <c r="AH19">
        <v>2023</v>
      </c>
      <c r="AI19">
        <v>5367</v>
      </c>
      <c r="AJ19">
        <v>217</v>
      </c>
      <c r="AK19">
        <v>2</v>
      </c>
      <c r="AL19">
        <v>2</v>
      </c>
      <c r="AM19">
        <v>22</v>
      </c>
      <c r="AN19">
        <v>60</v>
      </c>
      <c r="AO19">
        <v>999</v>
      </c>
      <c r="AP19">
        <v>1</v>
      </c>
      <c r="AQ19">
        <v>7</v>
      </c>
      <c r="AR19">
        <v>9</v>
      </c>
      <c r="AS19">
        <v>99</v>
      </c>
      <c r="AT19">
        <v>9</v>
      </c>
      <c r="AU19">
        <v>3</v>
      </c>
      <c r="AV19">
        <v>99999</v>
      </c>
      <c r="AW19">
        <v>0</v>
      </c>
      <c r="AX19" s="7">
        <v>45372.58079861111</v>
      </c>
      <c r="AY19" s="7"/>
      <c r="BB19" t="s">
        <v>672</v>
      </c>
      <c r="BC19">
        <v>2023</v>
      </c>
      <c r="BD19">
        <v>88</v>
      </c>
      <c r="BE19">
        <v>143</v>
      </c>
      <c r="BF19" s="32">
        <v>592.96</v>
      </c>
      <c r="BG19" s="7" t="s">
        <v>720</v>
      </c>
      <c r="BO19" s="276">
        <f t="shared" si="0"/>
        <v>0</v>
      </c>
      <c r="BV19" t="str">
        <f t="shared" si="1"/>
        <v/>
      </c>
    </row>
    <row r="20" spans="1:74">
      <c r="A20">
        <v>18</v>
      </c>
      <c r="B20" t="s">
        <v>150</v>
      </c>
      <c r="C20">
        <v>2023</v>
      </c>
      <c r="D20">
        <v>5367</v>
      </c>
      <c r="E20">
        <v>217</v>
      </c>
      <c r="F20">
        <v>7</v>
      </c>
      <c r="G20">
        <v>1</v>
      </c>
      <c r="H20">
        <v>52</v>
      </c>
      <c r="I20">
        <v>81</v>
      </c>
      <c r="J20">
        <v>999</v>
      </c>
      <c r="K20">
        <v>3</v>
      </c>
      <c r="L20">
        <v>15</v>
      </c>
      <c r="M20">
        <v>9</v>
      </c>
      <c r="N20">
        <v>99</v>
      </c>
      <c r="O20">
        <v>9</v>
      </c>
      <c r="P20">
        <v>3</v>
      </c>
      <c r="Q20">
        <v>99999</v>
      </c>
      <c r="R20" s="276">
        <v>0</v>
      </c>
      <c r="S20" s="7">
        <v>45372.58079861111</v>
      </c>
      <c r="AD20" s="7"/>
      <c r="AG20" t="s">
        <v>150</v>
      </c>
      <c r="AH20">
        <v>2023</v>
      </c>
      <c r="AI20">
        <v>5367</v>
      </c>
      <c r="AJ20">
        <v>217</v>
      </c>
      <c r="AK20">
        <v>2</v>
      </c>
      <c r="AL20">
        <v>2</v>
      </c>
      <c r="AM20">
        <v>22</v>
      </c>
      <c r="AN20">
        <v>60</v>
      </c>
      <c r="AO20">
        <v>999</v>
      </c>
      <c r="AP20">
        <v>2</v>
      </c>
      <c r="AQ20">
        <v>30</v>
      </c>
      <c r="AR20">
        <v>9</v>
      </c>
      <c r="AS20">
        <v>99</v>
      </c>
      <c r="AT20">
        <v>9</v>
      </c>
      <c r="AU20">
        <v>3</v>
      </c>
      <c r="AV20">
        <v>99999</v>
      </c>
      <c r="AW20">
        <v>0</v>
      </c>
      <c r="AX20" s="7">
        <v>45372.58079861111</v>
      </c>
      <c r="AY20" s="7"/>
      <c r="BB20" t="s">
        <v>673</v>
      </c>
      <c r="BC20">
        <v>2023</v>
      </c>
      <c r="BD20">
        <v>86</v>
      </c>
      <c r="BE20">
        <v>144</v>
      </c>
      <c r="BF20" s="32">
        <v>592.96</v>
      </c>
      <c r="BG20" s="7" t="s">
        <v>721</v>
      </c>
      <c r="BO20" s="276">
        <f t="shared" si="0"/>
        <v>0</v>
      </c>
      <c r="BV20" t="str">
        <f t="shared" si="1"/>
        <v/>
      </c>
    </row>
    <row r="21" spans="1:74">
      <c r="A21">
        <v>19</v>
      </c>
      <c r="B21" t="s">
        <v>150</v>
      </c>
      <c r="C21">
        <v>2023</v>
      </c>
      <c r="D21">
        <v>5367</v>
      </c>
      <c r="E21">
        <v>217</v>
      </c>
      <c r="F21">
        <v>7</v>
      </c>
      <c r="G21">
        <v>1</v>
      </c>
      <c r="H21">
        <v>52</v>
      </c>
      <c r="I21">
        <v>82</v>
      </c>
      <c r="J21">
        <v>999</v>
      </c>
      <c r="K21">
        <v>3</v>
      </c>
      <c r="L21">
        <v>25</v>
      </c>
      <c r="M21">
        <v>9</v>
      </c>
      <c r="N21">
        <v>99</v>
      </c>
      <c r="O21">
        <v>9</v>
      </c>
      <c r="P21">
        <v>3</v>
      </c>
      <c r="Q21">
        <v>99999</v>
      </c>
      <c r="R21" s="276">
        <v>0</v>
      </c>
      <c r="S21" s="7">
        <v>45372.58079861111</v>
      </c>
      <c r="AD21" s="7"/>
      <c r="AG21" t="s">
        <v>150</v>
      </c>
      <c r="AH21">
        <v>2023</v>
      </c>
      <c r="AI21">
        <v>5367</v>
      </c>
      <c r="AJ21">
        <v>217</v>
      </c>
      <c r="AK21">
        <v>2</v>
      </c>
      <c r="AL21">
        <v>2</v>
      </c>
      <c r="AM21">
        <v>22</v>
      </c>
      <c r="AN21">
        <v>60</v>
      </c>
      <c r="AO21">
        <v>999</v>
      </c>
      <c r="AP21">
        <v>4</v>
      </c>
      <c r="AQ21">
        <v>999</v>
      </c>
      <c r="AR21">
        <v>9</v>
      </c>
      <c r="AS21">
        <v>99</v>
      </c>
      <c r="AT21">
        <v>9</v>
      </c>
      <c r="AU21">
        <v>3</v>
      </c>
      <c r="AV21">
        <v>99999</v>
      </c>
      <c r="AW21">
        <v>0</v>
      </c>
      <c r="AX21" s="7">
        <v>45372.58079861111</v>
      </c>
      <c r="AY21" s="7"/>
      <c r="BB21" t="s">
        <v>674</v>
      </c>
      <c r="BC21">
        <v>2023</v>
      </c>
      <c r="BD21">
        <v>398</v>
      </c>
      <c r="BE21">
        <v>147</v>
      </c>
      <c r="BF21" s="32">
        <v>611.59190567740598</v>
      </c>
      <c r="BG21" s="7" t="s">
        <v>722</v>
      </c>
      <c r="BO21" s="276">
        <f t="shared" si="0"/>
        <v>0</v>
      </c>
      <c r="BV21" t="str">
        <f t="shared" si="1"/>
        <v/>
      </c>
    </row>
    <row r="22" spans="1:74">
      <c r="A22">
        <v>20</v>
      </c>
      <c r="B22" t="s">
        <v>150</v>
      </c>
      <c r="C22">
        <v>2023</v>
      </c>
      <c r="D22">
        <v>5367</v>
      </c>
      <c r="E22">
        <v>217</v>
      </c>
      <c r="F22">
        <v>2</v>
      </c>
      <c r="G22">
        <v>1</v>
      </c>
      <c r="H22">
        <v>51</v>
      </c>
      <c r="I22">
        <v>999999</v>
      </c>
      <c r="J22">
        <v>999</v>
      </c>
      <c r="K22">
        <v>3</v>
      </c>
      <c r="L22">
        <v>29</v>
      </c>
      <c r="M22">
        <v>2</v>
      </c>
      <c r="N22">
        <v>99</v>
      </c>
      <c r="O22">
        <v>9</v>
      </c>
      <c r="P22">
        <v>3</v>
      </c>
      <c r="Q22">
        <v>99999</v>
      </c>
      <c r="R22" s="276">
        <v>399058.48950999998</v>
      </c>
      <c r="S22" s="7">
        <v>45372.58079861111</v>
      </c>
      <c r="AD22" s="7"/>
      <c r="AG22" t="s">
        <v>150</v>
      </c>
      <c r="AH22">
        <v>2023</v>
      </c>
      <c r="AI22">
        <v>5367</v>
      </c>
      <c r="AJ22">
        <v>217</v>
      </c>
      <c r="AK22">
        <v>2</v>
      </c>
      <c r="AL22">
        <v>2</v>
      </c>
      <c r="AM22">
        <v>20</v>
      </c>
      <c r="AN22">
        <v>60</v>
      </c>
      <c r="AO22">
        <v>999</v>
      </c>
      <c r="AP22">
        <v>2</v>
      </c>
      <c r="AQ22">
        <v>24</v>
      </c>
      <c r="AR22">
        <v>9</v>
      </c>
      <c r="AS22">
        <v>99</v>
      </c>
      <c r="AT22">
        <v>9</v>
      </c>
      <c r="AU22">
        <v>3</v>
      </c>
      <c r="AV22">
        <v>99999</v>
      </c>
      <c r="AW22">
        <v>567.58364929616403</v>
      </c>
      <c r="AX22" s="7">
        <v>45372.58079861111</v>
      </c>
      <c r="AY22" s="7"/>
      <c r="BB22" t="s">
        <v>675</v>
      </c>
      <c r="BC22">
        <v>2023</v>
      </c>
      <c r="BD22">
        <v>381</v>
      </c>
      <c r="BE22">
        <v>149</v>
      </c>
      <c r="BF22" s="32">
        <v>664.76967572549995</v>
      </c>
      <c r="BG22" s="7" t="s">
        <v>723</v>
      </c>
      <c r="BO22" s="276">
        <f t="shared" si="0"/>
        <v>0</v>
      </c>
      <c r="BV22" t="str">
        <f t="shared" si="1"/>
        <v/>
      </c>
    </row>
    <row r="23" spans="1:74">
      <c r="A23">
        <v>21</v>
      </c>
      <c r="B23" t="s">
        <v>150</v>
      </c>
      <c r="C23">
        <v>2023</v>
      </c>
      <c r="D23">
        <v>5367</v>
      </c>
      <c r="E23">
        <v>217</v>
      </c>
      <c r="F23">
        <v>7</v>
      </c>
      <c r="G23">
        <v>99</v>
      </c>
      <c r="H23">
        <v>120</v>
      </c>
      <c r="I23">
        <v>999999</v>
      </c>
      <c r="J23">
        <v>999</v>
      </c>
      <c r="K23">
        <v>99</v>
      </c>
      <c r="L23">
        <v>999</v>
      </c>
      <c r="M23">
        <v>9</v>
      </c>
      <c r="N23">
        <v>20</v>
      </c>
      <c r="O23">
        <v>9</v>
      </c>
      <c r="P23">
        <v>4</v>
      </c>
      <c r="Q23">
        <v>99999</v>
      </c>
      <c r="R23" s="276">
        <v>-6.2840179028888096E-2</v>
      </c>
      <c r="S23" s="7">
        <v>45372.58079861111</v>
      </c>
      <c r="AG23" t="s">
        <v>150</v>
      </c>
      <c r="AH23">
        <v>2023</v>
      </c>
      <c r="AI23">
        <v>5367</v>
      </c>
      <c r="AJ23">
        <v>217</v>
      </c>
      <c r="AK23">
        <v>2</v>
      </c>
      <c r="AL23">
        <v>2</v>
      </c>
      <c r="AM23">
        <v>20</v>
      </c>
      <c r="AN23">
        <v>60</v>
      </c>
      <c r="AO23">
        <v>999</v>
      </c>
      <c r="AP23">
        <v>3</v>
      </c>
      <c r="AQ23">
        <v>17</v>
      </c>
      <c r="AR23">
        <v>9</v>
      </c>
      <c r="AS23">
        <v>99</v>
      </c>
      <c r="AT23">
        <v>9</v>
      </c>
      <c r="AU23">
        <v>3</v>
      </c>
      <c r="AV23">
        <v>99999</v>
      </c>
      <c r="AW23">
        <v>0</v>
      </c>
      <c r="AX23" s="7">
        <v>45372.58079861111</v>
      </c>
      <c r="AY23" s="7"/>
      <c r="BB23" t="s">
        <v>676</v>
      </c>
      <c r="BC23">
        <v>2023</v>
      </c>
      <c r="BD23">
        <v>39</v>
      </c>
      <c r="BE23">
        <v>130</v>
      </c>
      <c r="BF23" s="32">
        <v>743.72729249233498</v>
      </c>
      <c r="BG23" s="7" t="s">
        <v>724</v>
      </c>
      <c r="BO23" s="276">
        <f t="shared" si="0"/>
        <v>0</v>
      </c>
      <c r="BV23" t="str">
        <f t="shared" si="1"/>
        <v/>
      </c>
    </row>
    <row r="24" spans="1:74">
      <c r="A24">
        <v>22</v>
      </c>
      <c r="B24" t="s">
        <v>150</v>
      </c>
      <c r="C24">
        <v>2023</v>
      </c>
      <c r="D24">
        <v>5367</v>
      </c>
      <c r="E24">
        <v>217</v>
      </c>
      <c r="F24">
        <v>7</v>
      </c>
      <c r="G24">
        <v>99</v>
      </c>
      <c r="H24">
        <v>120</v>
      </c>
      <c r="I24">
        <v>999999</v>
      </c>
      <c r="J24">
        <v>999</v>
      </c>
      <c r="K24">
        <v>99</v>
      </c>
      <c r="L24">
        <v>999</v>
      </c>
      <c r="M24">
        <v>9</v>
      </c>
      <c r="N24">
        <v>21</v>
      </c>
      <c r="O24">
        <v>9</v>
      </c>
      <c r="P24">
        <v>4</v>
      </c>
      <c r="Q24">
        <v>99999</v>
      </c>
      <c r="R24" s="276">
        <v>-6.58878100989162E-2</v>
      </c>
      <c r="S24" s="7">
        <v>45372.58079861111</v>
      </c>
      <c r="AG24" t="s">
        <v>150</v>
      </c>
      <c r="AH24">
        <v>2023</v>
      </c>
      <c r="AI24">
        <v>5367</v>
      </c>
      <c r="AJ24">
        <v>217</v>
      </c>
      <c r="AK24">
        <v>2</v>
      </c>
      <c r="AL24">
        <v>2</v>
      </c>
      <c r="AM24">
        <v>999</v>
      </c>
      <c r="AN24">
        <v>999999</v>
      </c>
      <c r="AO24">
        <v>999</v>
      </c>
      <c r="AP24">
        <v>99</v>
      </c>
      <c r="AQ24">
        <v>999</v>
      </c>
      <c r="AR24">
        <v>9</v>
      </c>
      <c r="AS24">
        <v>99</v>
      </c>
      <c r="AT24">
        <v>9</v>
      </c>
      <c r="AU24">
        <v>3</v>
      </c>
      <c r="AV24">
        <v>99999</v>
      </c>
      <c r="AW24">
        <v>0</v>
      </c>
      <c r="AX24" s="7">
        <v>45372.58079861111</v>
      </c>
      <c r="AY24" s="7"/>
      <c r="BB24" t="s">
        <v>273</v>
      </c>
      <c r="BC24">
        <v>2023</v>
      </c>
      <c r="BD24">
        <v>383</v>
      </c>
      <c r="BE24">
        <v>103</v>
      </c>
      <c r="BF24" s="32">
        <v>888.33701302480404</v>
      </c>
      <c r="BG24" s="7" t="s">
        <v>725</v>
      </c>
      <c r="BO24" s="276">
        <f t="shared" si="0"/>
        <v>0</v>
      </c>
      <c r="BV24" t="str">
        <f t="shared" si="1"/>
        <v/>
      </c>
    </row>
    <row r="25" spans="1:74">
      <c r="A25">
        <v>23</v>
      </c>
      <c r="B25" t="s">
        <v>150</v>
      </c>
      <c r="C25">
        <v>2023</v>
      </c>
      <c r="D25">
        <v>5367</v>
      </c>
      <c r="E25">
        <v>217</v>
      </c>
      <c r="F25">
        <v>7</v>
      </c>
      <c r="G25">
        <v>99</v>
      </c>
      <c r="H25">
        <v>120</v>
      </c>
      <c r="I25">
        <v>999999</v>
      </c>
      <c r="J25">
        <v>999</v>
      </c>
      <c r="K25">
        <v>99</v>
      </c>
      <c r="L25">
        <v>999</v>
      </c>
      <c r="M25">
        <v>9</v>
      </c>
      <c r="N25">
        <v>22</v>
      </c>
      <c r="O25">
        <v>9</v>
      </c>
      <c r="P25">
        <v>4</v>
      </c>
      <c r="Q25">
        <v>99999</v>
      </c>
      <c r="R25" s="276">
        <v>-6.5507452123028595E-2</v>
      </c>
      <c r="S25" s="7">
        <v>45372.58079861111</v>
      </c>
      <c r="AG25" t="s">
        <v>150</v>
      </c>
      <c r="AH25">
        <v>2023</v>
      </c>
      <c r="AI25">
        <v>5367</v>
      </c>
      <c r="AJ25">
        <v>217</v>
      </c>
      <c r="AK25">
        <v>2</v>
      </c>
      <c r="AL25">
        <v>2</v>
      </c>
      <c r="AM25">
        <v>22</v>
      </c>
      <c r="AN25">
        <v>60</v>
      </c>
      <c r="AO25">
        <v>999</v>
      </c>
      <c r="AP25">
        <v>1</v>
      </c>
      <c r="AQ25">
        <v>1</v>
      </c>
      <c r="AR25">
        <v>9</v>
      </c>
      <c r="AS25">
        <v>99</v>
      </c>
      <c r="AT25">
        <v>9</v>
      </c>
      <c r="AU25">
        <v>3</v>
      </c>
      <c r="AV25">
        <v>99999</v>
      </c>
      <c r="AW25">
        <v>0</v>
      </c>
      <c r="AX25" s="7">
        <v>45372.58079861111</v>
      </c>
      <c r="AY25" s="7"/>
      <c r="BB25" t="s">
        <v>677</v>
      </c>
      <c r="BC25">
        <v>2023</v>
      </c>
      <c r="BD25">
        <v>390</v>
      </c>
      <c r="BE25">
        <v>148</v>
      </c>
      <c r="BF25" s="32">
        <v>649.10052028457301</v>
      </c>
      <c r="BG25" s="7" t="s">
        <v>726</v>
      </c>
      <c r="BO25" s="276">
        <f t="shared" si="0"/>
        <v>0</v>
      </c>
      <c r="BV25" t="str">
        <f t="shared" si="1"/>
        <v/>
      </c>
    </row>
    <row r="26" spans="1:74">
      <c r="A26">
        <v>24</v>
      </c>
      <c r="B26" t="s">
        <v>150</v>
      </c>
      <c r="C26">
        <v>2023</v>
      </c>
      <c r="D26">
        <v>5367</v>
      </c>
      <c r="E26">
        <v>217</v>
      </c>
      <c r="F26">
        <v>7</v>
      </c>
      <c r="G26">
        <v>99</v>
      </c>
      <c r="H26">
        <v>130</v>
      </c>
      <c r="I26">
        <v>999999</v>
      </c>
      <c r="J26">
        <v>999</v>
      </c>
      <c r="K26">
        <v>99</v>
      </c>
      <c r="L26">
        <v>999</v>
      </c>
      <c r="M26">
        <v>9</v>
      </c>
      <c r="N26">
        <v>99</v>
      </c>
      <c r="O26">
        <v>9</v>
      </c>
      <c r="P26">
        <v>5</v>
      </c>
      <c r="Q26">
        <v>99999</v>
      </c>
      <c r="R26" s="276">
        <v>672.13</v>
      </c>
      <c r="S26" s="7">
        <v>45372.58079861111</v>
      </c>
      <c r="AG26" t="s">
        <v>150</v>
      </c>
      <c r="AH26">
        <v>2023</v>
      </c>
      <c r="AI26">
        <v>5367</v>
      </c>
      <c r="AJ26">
        <v>217</v>
      </c>
      <c r="AK26">
        <v>2</v>
      </c>
      <c r="AL26">
        <v>2</v>
      </c>
      <c r="AM26">
        <v>22</v>
      </c>
      <c r="AN26">
        <v>60</v>
      </c>
      <c r="AO26">
        <v>999</v>
      </c>
      <c r="AP26">
        <v>1</v>
      </c>
      <c r="AQ26">
        <v>2</v>
      </c>
      <c r="AR26">
        <v>9</v>
      </c>
      <c r="AS26">
        <v>99</v>
      </c>
      <c r="AT26">
        <v>9</v>
      </c>
      <c r="AU26">
        <v>3</v>
      </c>
      <c r="AV26">
        <v>99999</v>
      </c>
      <c r="AW26">
        <v>0</v>
      </c>
      <c r="AX26" s="7">
        <v>45372.58079861111</v>
      </c>
      <c r="AY26" s="7"/>
      <c r="BB26" t="s">
        <v>678</v>
      </c>
      <c r="BC26">
        <v>2023</v>
      </c>
      <c r="BD26">
        <v>26</v>
      </c>
      <c r="BE26">
        <v>146</v>
      </c>
      <c r="BF26" s="32">
        <v>828.16110972012405</v>
      </c>
      <c r="BG26" s="7" t="s">
        <v>679</v>
      </c>
      <c r="BO26" s="276">
        <f t="shared" si="0"/>
        <v>0</v>
      </c>
      <c r="BV26" t="str">
        <f t="shared" si="1"/>
        <v/>
      </c>
    </row>
    <row r="27" spans="1:74">
      <c r="A27">
        <v>25</v>
      </c>
      <c r="B27" t="s">
        <v>150</v>
      </c>
      <c r="C27">
        <v>2023</v>
      </c>
      <c r="D27">
        <v>5367</v>
      </c>
      <c r="E27">
        <v>217</v>
      </c>
      <c r="F27">
        <v>7</v>
      </c>
      <c r="G27">
        <v>1</v>
      </c>
      <c r="H27">
        <v>52</v>
      </c>
      <c r="I27">
        <v>999999</v>
      </c>
      <c r="J27">
        <v>999</v>
      </c>
      <c r="K27">
        <v>3</v>
      </c>
      <c r="L27">
        <v>14</v>
      </c>
      <c r="M27">
        <v>9</v>
      </c>
      <c r="N27">
        <v>99</v>
      </c>
      <c r="O27">
        <v>9</v>
      </c>
      <c r="P27">
        <v>3</v>
      </c>
      <c r="Q27">
        <v>99999</v>
      </c>
      <c r="R27" s="276">
        <v>126858.63073606</v>
      </c>
      <c r="S27" s="7">
        <v>45372.58079861111</v>
      </c>
      <c r="AG27" t="s">
        <v>150</v>
      </c>
      <c r="AH27">
        <v>2023</v>
      </c>
      <c r="AI27">
        <v>5367</v>
      </c>
      <c r="AJ27">
        <v>217</v>
      </c>
      <c r="AK27">
        <v>2</v>
      </c>
      <c r="AL27">
        <v>2</v>
      </c>
      <c r="AM27">
        <v>999</v>
      </c>
      <c r="AN27">
        <v>999999</v>
      </c>
      <c r="AO27">
        <v>999</v>
      </c>
      <c r="AP27">
        <v>99</v>
      </c>
      <c r="AQ27">
        <v>999</v>
      </c>
      <c r="AR27">
        <v>9</v>
      </c>
      <c r="AS27">
        <v>99</v>
      </c>
      <c r="AT27">
        <v>9</v>
      </c>
      <c r="AU27">
        <v>3</v>
      </c>
      <c r="AV27">
        <v>99999</v>
      </c>
      <c r="AW27">
        <v>0</v>
      </c>
      <c r="AX27" s="7">
        <v>45372.58079861111</v>
      </c>
      <c r="AY27" s="7"/>
      <c r="BB27" t="s">
        <v>727</v>
      </c>
      <c r="BC27">
        <v>2023</v>
      </c>
      <c r="BD27">
        <v>6585</v>
      </c>
      <c r="BE27">
        <v>150</v>
      </c>
      <c r="BF27" s="32">
        <v>802.6</v>
      </c>
      <c r="BG27" s="7" t="s">
        <v>728</v>
      </c>
      <c r="BO27" s="276">
        <f t="shared" si="0"/>
        <v>0</v>
      </c>
      <c r="BV27" t="str">
        <f t="shared" si="1"/>
        <v/>
      </c>
    </row>
    <row r="28" spans="1:74">
      <c r="A28">
        <v>26</v>
      </c>
      <c r="B28" t="s">
        <v>150</v>
      </c>
      <c r="C28">
        <v>2023</v>
      </c>
      <c r="D28">
        <v>5367</v>
      </c>
      <c r="E28">
        <v>217</v>
      </c>
      <c r="F28">
        <v>2</v>
      </c>
      <c r="G28">
        <v>1</v>
      </c>
      <c r="H28">
        <v>51</v>
      </c>
      <c r="I28">
        <v>82</v>
      </c>
      <c r="J28">
        <v>999</v>
      </c>
      <c r="K28">
        <v>3</v>
      </c>
      <c r="L28">
        <v>25</v>
      </c>
      <c r="M28">
        <v>2</v>
      </c>
      <c r="N28">
        <v>99</v>
      </c>
      <c r="O28">
        <v>9</v>
      </c>
      <c r="P28">
        <v>3</v>
      </c>
      <c r="Q28">
        <v>99999</v>
      </c>
      <c r="R28" s="276">
        <v>694636.96444167197</v>
      </c>
      <c r="S28" s="7">
        <v>45372.58079861111</v>
      </c>
      <c r="AG28" t="s">
        <v>150</v>
      </c>
      <c r="AH28">
        <v>2023</v>
      </c>
      <c r="AI28">
        <v>5367</v>
      </c>
      <c r="AJ28">
        <v>217</v>
      </c>
      <c r="AK28">
        <v>2</v>
      </c>
      <c r="AL28">
        <v>2</v>
      </c>
      <c r="AM28">
        <v>20</v>
      </c>
      <c r="AN28">
        <v>60</v>
      </c>
      <c r="AO28">
        <v>999</v>
      </c>
      <c r="AP28">
        <v>3</v>
      </c>
      <c r="AQ28">
        <v>19</v>
      </c>
      <c r="AR28">
        <v>9</v>
      </c>
      <c r="AS28">
        <v>99</v>
      </c>
      <c r="AT28">
        <v>9</v>
      </c>
      <c r="AU28">
        <v>3</v>
      </c>
      <c r="AV28">
        <v>99999</v>
      </c>
      <c r="AW28">
        <v>0</v>
      </c>
      <c r="AX28" s="7">
        <v>45372.58079861111</v>
      </c>
      <c r="AY28" s="7"/>
      <c r="BB28" t="s">
        <v>680</v>
      </c>
      <c r="BC28">
        <v>2023</v>
      </c>
      <c r="BD28">
        <v>404</v>
      </c>
      <c r="BE28">
        <v>151</v>
      </c>
      <c r="BF28" s="32">
        <v>880.46850134121905</v>
      </c>
      <c r="BG28" s="7" t="s">
        <v>729</v>
      </c>
      <c r="BO28" s="276">
        <f t="shared" si="0"/>
        <v>0</v>
      </c>
      <c r="BV28" t="str">
        <f t="shared" si="1"/>
        <v/>
      </c>
    </row>
    <row r="29" spans="1:74">
      <c r="A29">
        <v>27</v>
      </c>
      <c r="B29" t="s">
        <v>150</v>
      </c>
      <c r="C29">
        <v>2023</v>
      </c>
      <c r="D29">
        <v>5367</v>
      </c>
      <c r="E29">
        <v>217</v>
      </c>
      <c r="F29">
        <v>2</v>
      </c>
      <c r="G29">
        <v>1</v>
      </c>
      <c r="H29">
        <v>51</v>
      </c>
      <c r="I29">
        <v>81</v>
      </c>
      <c r="J29">
        <v>999</v>
      </c>
      <c r="K29">
        <v>3</v>
      </c>
      <c r="L29">
        <v>15</v>
      </c>
      <c r="M29">
        <v>1</v>
      </c>
      <c r="N29">
        <v>99</v>
      </c>
      <c r="O29">
        <v>9</v>
      </c>
      <c r="P29">
        <v>3</v>
      </c>
      <c r="Q29">
        <v>99999</v>
      </c>
      <c r="R29" s="276">
        <v>86950.414761222797</v>
      </c>
      <c r="S29" s="7">
        <v>45372.58079861111</v>
      </c>
      <c r="AG29" t="s">
        <v>150</v>
      </c>
      <c r="AH29">
        <v>2023</v>
      </c>
      <c r="AI29">
        <v>5367</v>
      </c>
      <c r="AJ29">
        <v>217</v>
      </c>
      <c r="AK29">
        <v>2</v>
      </c>
      <c r="AL29">
        <v>2</v>
      </c>
      <c r="AM29">
        <v>20</v>
      </c>
      <c r="AN29">
        <v>60</v>
      </c>
      <c r="AO29">
        <v>999</v>
      </c>
      <c r="AP29">
        <v>4</v>
      </c>
      <c r="AQ29">
        <v>999</v>
      </c>
      <c r="AR29">
        <v>9</v>
      </c>
      <c r="AS29">
        <v>99</v>
      </c>
      <c r="AT29">
        <v>9</v>
      </c>
      <c r="AU29">
        <v>3</v>
      </c>
      <c r="AV29">
        <v>99999</v>
      </c>
      <c r="AW29">
        <v>0</v>
      </c>
      <c r="AX29" s="7">
        <v>45372.58079861111</v>
      </c>
      <c r="AY29" s="7"/>
      <c r="BB29" t="s">
        <v>681</v>
      </c>
      <c r="BC29">
        <v>2023</v>
      </c>
      <c r="BD29">
        <v>405</v>
      </c>
      <c r="BE29">
        <v>117</v>
      </c>
      <c r="BF29" s="32">
        <v>882.90690627612105</v>
      </c>
      <c r="BG29" s="7" t="s">
        <v>730</v>
      </c>
      <c r="BO29" s="276">
        <f t="shared" si="0"/>
        <v>0</v>
      </c>
      <c r="BV29" t="str">
        <f t="shared" si="1"/>
        <v/>
      </c>
    </row>
    <row r="30" spans="1:74">
      <c r="A30">
        <v>28</v>
      </c>
      <c r="B30" t="s">
        <v>150</v>
      </c>
      <c r="C30">
        <v>2023</v>
      </c>
      <c r="D30">
        <v>5367</v>
      </c>
      <c r="E30">
        <v>217</v>
      </c>
      <c r="F30">
        <v>1</v>
      </c>
      <c r="G30">
        <v>3</v>
      </c>
      <c r="H30">
        <v>51</v>
      </c>
      <c r="I30">
        <v>81</v>
      </c>
      <c r="J30">
        <v>999</v>
      </c>
      <c r="K30">
        <v>3</v>
      </c>
      <c r="L30">
        <v>999</v>
      </c>
      <c r="M30">
        <v>1</v>
      </c>
      <c r="N30">
        <v>99</v>
      </c>
      <c r="O30">
        <v>9</v>
      </c>
      <c r="P30">
        <v>4</v>
      </c>
      <c r="Q30">
        <v>99999</v>
      </c>
      <c r="R30" s="276">
        <v>1</v>
      </c>
      <c r="S30" s="7">
        <v>45372.58079861111</v>
      </c>
      <c r="AG30" t="s">
        <v>150</v>
      </c>
      <c r="AH30">
        <v>2023</v>
      </c>
      <c r="AI30">
        <v>5367</v>
      </c>
      <c r="AJ30">
        <v>217</v>
      </c>
      <c r="AK30">
        <v>2</v>
      </c>
      <c r="AL30">
        <v>2</v>
      </c>
      <c r="AM30">
        <v>20</v>
      </c>
      <c r="AN30">
        <v>60</v>
      </c>
      <c r="AO30">
        <v>999</v>
      </c>
      <c r="AP30">
        <v>2</v>
      </c>
      <c r="AQ30">
        <v>11</v>
      </c>
      <c r="AR30">
        <v>9</v>
      </c>
      <c r="AS30">
        <v>99</v>
      </c>
      <c r="AT30">
        <v>9</v>
      </c>
      <c r="AU30">
        <v>3</v>
      </c>
      <c r="AV30">
        <v>99999</v>
      </c>
      <c r="AW30">
        <v>101436.715671835</v>
      </c>
      <c r="AX30" s="7">
        <v>45372.58079861111</v>
      </c>
      <c r="AY30" s="7"/>
      <c r="BB30" t="s">
        <v>682</v>
      </c>
      <c r="BC30">
        <v>2023</v>
      </c>
      <c r="BD30">
        <v>6600</v>
      </c>
      <c r="BE30">
        <v>153</v>
      </c>
      <c r="BF30" s="32">
        <v>602.19000000000005</v>
      </c>
      <c r="BG30" s="7" t="s">
        <v>731</v>
      </c>
      <c r="BO30" s="276">
        <f t="shared" si="0"/>
        <v>0</v>
      </c>
      <c r="BV30" t="str">
        <f t="shared" si="1"/>
        <v/>
      </c>
    </row>
    <row r="31" spans="1:74">
      <c r="A31">
        <v>29</v>
      </c>
      <c r="B31" t="s">
        <v>150</v>
      </c>
      <c r="C31">
        <v>2023</v>
      </c>
      <c r="D31">
        <v>5367</v>
      </c>
      <c r="E31">
        <v>217</v>
      </c>
      <c r="F31">
        <v>1</v>
      </c>
      <c r="G31">
        <v>3</v>
      </c>
      <c r="H31">
        <v>51</v>
      </c>
      <c r="I31">
        <v>82</v>
      </c>
      <c r="J31">
        <v>999</v>
      </c>
      <c r="K31">
        <v>3</v>
      </c>
      <c r="L31">
        <v>999</v>
      </c>
      <c r="M31">
        <v>2</v>
      </c>
      <c r="N31">
        <v>99</v>
      </c>
      <c r="O31">
        <v>9</v>
      </c>
      <c r="P31">
        <v>4</v>
      </c>
      <c r="Q31">
        <v>99999</v>
      </c>
      <c r="R31" s="276">
        <v>1</v>
      </c>
      <c r="S31" s="7">
        <v>45372.58079861111</v>
      </c>
      <c r="AG31" t="s">
        <v>150</v>
      </c>
      <c r="AH31">
        <v>2023</v>
      </c>
      <c r="AI31">
        <v>5367</v>
      </c>
      <c r="AJ31">
        <v>217</v>
      </c>
      <c r="AK31">
        <v>2</v>
      </c>
      <c r="AL31">
        <v>2</v>
      </c>
      <c r="AM31">
        <v>20</v>
      </c>
      <c r="AN31">
        <v>60</v>
      </c>
      <c r="AO31">
        <v>999</v>
      </c>
      <c r="AP31">
        <v>2</v>
      </c>
      <c r="AQ31">
        <v>9</v>
      </c>
      <c r="AR31">
        <v>9</v>
      </c>
      <c r="AS31">
        <v>99</v>
      </c>
      <c r="AT31">
        <v>9</v>
      </c>
      <c r="AU31">
        <v>3</v>
      </c>
      <c r="AV31">
        <v>99999</v>
      </c>
      <c r="AW31">
        <v>0</v>
      </c>
      <c r="AX31" s="7">
        <v>45372.58079861111</v>
      </c>
      <c r="AY31" s="7"/>
      <c r="BB31" t="s">
        <v>683</v>
      </c>
      <c r="BC31">
        <v>2023</v>
      </c>
      <c r="BD31">
        <v>369</v>
      </c>
      <c r="BE31">
        <v>120</v>
      </c>
      <c r="BF31" s="32">
        <v>708.72438686891905</v>
      </c>
      <c r="BG31" s="7" t="s">
        <v>684</v>
      </c>
      <c r="BO31" s="276">
        <f t="shared" si="0"/>
        <v>0</v>
      </c>
      <c r="BV31" t="str">
        <f t="shared" si="1"/>
        <v/>
      </c>
    </row>
    <row r="32" spans="1:74">
      <c r="A32">
        <v>30</v>
      </c>
      <c r="B32" t="s">
        <v>150</v>
      </c>
      <c r="C32">
        <v>2023</v>
      </c>
      <c r="D32">
        <v>5367</v>
      </c>
      <c r="E32">
        <v>217</v>
      </c>
      <c r="F32">
        <v>1</v>
      </c>
      <c r="G32">
        <v>3</v>
      </c>
      <c r="H32">
        <v>51</v>
      </c>
      <c r="I32">
        <v>73</v>
      </c>
      <c r="J32">
        <v>999</v>
      </c>
      <c r="K32">
        <v>3</v>
      </c>
      <c r="L32">
        <v>999</v>
      </c>
      <c r="M32">
        <v>1</v>
      </c>
      <c r="N32">
        <v>99</v>
      </c>
      <c r="O32">
        <v>9</v>
      </c>
      <c r="P32">
        <v>4</v>
      </c>
      <c r="Q32">
        <v>99999</v>
      </c>
      <c r="R32" s="276">
        <v>0</v>
      </c>
      <c r="S32" s="7">
        <v>45372.58079861111</v>
      </c>
      <c r="AG32" t="s">
        <v>150</v>
      </c>
      <c r="AH32">
        <v>2023</v>
      </c>
      <c r="AI32">
        <v>5367</v>
      </c>
      <c r="AJ32">
        <v>217</v>
      </c>
      <c r="AK32">
        <v>2</v>
      </c>
      <c r="AL32">
        <v>2</v>
      </c>
      <c r="AM32">
        <v>20</v>
      </c>
      <c r="AN32">
        <v>60</v>
      </c>
      <c r="AO32">
        <v>999</v>
      </c>
      <c r="AP32">
        <v>2</v>
      </c>
      <c r="AQ32">
        <v>8</v>
      </c>
      <c r="AR32">
        <v>9</v>
      </c>
      <c r="AS32">
        <v>99</v>
      </c>
      <c r="AT32">
        <v>9</v>
      </c>
      <c r="AU32">
        <v>3</v>
      </c>
      <c r="AV32">
        <v>99999</v>
      </c>
      <c r="AW32">
        <v>24316.234228647001</v>
      </c>
      <c r="AX32" s="7">
        <v>45372.58079861111</v>
      </c>
      <c r="AY32" s="7"/>
      <c r="BB32" t="s">
        <v>264</v>
      </c>
      <c r="BC32">
        <v>2023</v>
      </c>
      <c r="BD32">
        <v>6587</v>
      </c>
      <c r="BE32">
        <v>155</v>
      </c>
      <c r="BF32" s="32">
        <v>657.61338322172503</v>
      </c>
      <c r="BG32" s="7" t="s">
        <v>732</v>
      </c>
      <c r="BO32" s="276">
        <f t="shared" si="0"/>
        <v>0</v>
      </c>
      <c r="BV32" t="str">
        <f t="shared" si="1"/>
        <v/>
      </c>
    </row>
    <row r="33" spans="1:74">
      <c r="A33">
        <v>31</v>
      </c>
      <c r="B33" t="s">
        <v>150</v>
      </c>
      <c r="C33">
        <v>2023</v>
      </c>
      <c r="D33">
        <v>5367</v>
      </c>
      <c r="E33">
        <v>217</v>
      </c>
      <c r="F33">
        <v>1</v>
      </c>
      <c r="G33">
        <v>3</v>
      </c>
      <c r="H33">
        <v>51</v>
      </c>
      <c r="I33">
        <v>74</v>
      </c>
      <c r="J33">
        <v>999</v>
      </c>
      <c r="K33">
        <v>3</v>
      </c>
      <c r="L33">
        <v>999</v>
      </c>
      <c r="M33">
        <v>2</v>
      </c>
      <c r="N33">
        <v>99</v>
      </c>
      <c r="O33">
        <v>9</v>
      </c>
      <c r="P33">
        <v>4</v>
      </c>
      <c r="Q33">
        <v>99999</v>
      </c>
      <c r="R33" s="276">
        <v>0</v>
      </c>
      <c r="S33" s="7">
        <v>45372.58079861111</v>
      </c>
      <c r="AG33" t="s">
        <v>150</v>
      </c>
      <c r="AH33">
        <v>2023</v>
      </c>
      <c r="AI33">
        <v>5367</v>
      </c>
      <c r="AJ33">
        <v>217</v>
      </c>
      <c r="AK33">
        <v>2</v>
      </c>
      <c r="AL33">
        <v>2</v>
      </c>
      <c r="AM33">
        <v>20</v>
      </c>
      <c r="AN33">
        <v>60</v>
      </c>
      <c r="AO33">
        <v>999</v>
      </c>
      <c r="AP33">
        <v>2</v>
      </c>
      <c r="AQ33">
        <v>10</v>
      </c>
      <c r="AR33">
        <v>9</v>
      </c>
      <c r="AS33">
        <v>99</v>
      </c>
      <c r="AT33">
        <v>9</v>
      </c>
      <c r="AU33">
        <v>3</v>
      </c>
      <c r="AV33">
        <v>99999</v>
      </c>
      <c r="AW33">
        <v>4071.9954421698399</v>
      </c>
      <c r="AX33" s="7">
        <v>45372.58079861111</v>
      </c>
      <c r="AY33" s="7"/>
      <c r="BB33" t="s">
        <v>685</v>
      </c>
      <c r="BC33">
        <v>2023</v>
      </c>
      <c r="BD33">
        <v>1000040</v>
      </c>
      <c r="BE33">
        <v>165</v>
      </c>
      <c r="BF33" s="32">
        <v>688.10535307084501</v>
      </c>
      <c r="BG33" s="7" t="s">
        <v>733</v>
      </c>
      <c r="BO33" s="276">
        <f t="shared" si="0"/>
        <v>0</v>
      </c>
      <c r="BV33" t="str">
        <f t="shared" si="1"/>
        <v/>
      </c>
    </row>
    <row r="34" spans="1:74">
      <c r="A34">
        <v>32</v>
      </c>
      <c r="B34" t="s">
        <v>150</v>
      </c>
      <c r="C34">
        <v>2023</v>
      </c>
      <c r="D34">
        <v>5367</v>
      </c>
      <c r="E34">
        <v>217</v>
      </c>
      <c r="F34">
        <v>2</v>
      </c>
      <c r="G34">
        <v>2</v>
      </c>
      <c r="H34">
        <v>22</v>
      </c>
      <c r="I34">
        <v>60</v>
      </c>
      <c r="J34">
        <v>999</v>
      </c>
      <c r="K34">
        <v>2</v>
      </c>
      <c r="L34">
        <v>10</v>
      </c>
      <c r="M34">
        <v>9</v>
      </c>
      <c r="N34">
        <v>99</v>
      </c>
      <c r="O34">
        <v>9</v>
      </c>
      <c r="P34">
        <v>3</v>
      </c>
      <c r="Q34">
        <v>99999</v>
      </c>
      <c r="R34" s="276">
        <v>0</v>
      </c>
      <c r="S34" s="7">
        <v>45372.58079861111</v>
      </c>
      <c r="AG34" t="s">
        <v>150</v>
      </c>
      <c r="AH34">
        <v>2023</v>
      </c>
      <c r="AI34">
        <v>5367</v>
      </c>
      <c r="AJ34">
        <v>217</v>
      </c>
      <c r="AK34">
        <v>2</v>
      </c>
      <c r="AL34">
        <v>2</v>
      </c>
      <c r="AM34">
        <v>20</v>
      </c>
      <c r="AN34">
        <v>60</v>
      </c>
      <c r="AO34">
        <v>999</v>
      </c>
      <c r="AP34">
        <v>3</v>
      </c>
      <c r="AQ34">
        <v>14</v>
      </c>
      <c r="AR34">
        <v>9</v>
      </c>
      <c r="AS34">
        <v>99</v>
      </c>
      <c r="AT34">
        <v>9</v>
      </c>
      <c r="AU34">
        <v>3</v>
      </c>
      <c r="AV34">
        <v>99999</v>
      </c>
      <c r="AW34">
        <v>-17476.389086761701</v>
      </c>
      <c r="AX34" s="7">
        <v>45372.58079861111</v>
      </c>
      <c r="AY34" s="7"/>
      <c r="BB34" t="s">
        <v>686</v>
      </c>
      <c r="BC34">
        <v>2023</v>
      </c>
      <c r="BD34">
        <v>32</v>
      </c>
      <c r="BE34">
        <v>115</v>
      </c>
      <c r="BF34" s="32">
        <v>755.50351361502806</v>
      </c>
      <c r="BG34" s="7" t="s">
        <v>734</v>
      </c>
      <c r="BO34" s="276">
        <f t="shared" si="0"/>
        <v>0</v>
      </c>
      <c r="BV34" t="str">
        <f t="shared" si="1"/>
        <v/>
      </c>
    </row>
    <row r="35" spans="1:74">
      <c r="A35">
        <v>33</v>
      </c>
      <c r="B35" t="s">
        <v>150</v>
      </c>
      <c r="C35">
        <v>2023</v>
      </c>
      <c r="D35">
        <v>5367</v>
      </c>
      <c r="E35">
        <v>217</v>
      </c>
      <c r="F35">
        <v>2</v>
      </c>
      <c r="G35">
        <v>2</v>
      </c>
      <c r="H35">
        <v>22</v>
      </c>
      <c r="I35">
        <v>60</v>
      </c>
      <c r="J35">
        <v>999</v>
      </c>
      <c r="K35">
        <v>2</v>
      </c>
      <c r="L35">
        <v>24</v>
      </c>
      <c r="M35">
        <v>9</v>
      </c>
      <c r="N35">
        <v>99</v>
      </c>
      <c r="O35">
        <v>9</v>
      </c>
      <c r="P35">
        <v>3</v>
      </c>
      <c r="Q35">
        <v>99999</v>
      </c>
      <c r="R35" s="276">
        <v>0</v>
      </c>
      <c r="S35" s="7">
        <v>45372.58079861111</v>
      </c>
      <c r="AG35" t="s">
        <v>150</v>
      </c>
      <c r="AH35">
        <v>2023</v>
      </c>
      <c r="AI35">
        <v>5367</v>
      </c>
      <c r="AJ35">
        <v>217</v>
      </c>
      <c r="AK35">
        <v>2</v>
      </c>
      <c r="AL35">
        <v>2</v>
      </c>
      <c r="AM35">
        <v>20</v>
      </c>
      <c r="AN35">
        <v>60</v>
      </c>
      <c r="AO35">
        <v>999</v>
      </c>
      <c r="AP35">
        <v>3</v>
      </c>
      <c r="AQ35">
        <v>15</v>
      </c>
      <c r="AR35">
        <v>9</v>
      </c>
      <c r="AS35">
        <v>99</v>
      </c>
      <c r="AT35">
        <v>9</v>
      </c>
      <c r="AU35">
        <v>3</v>
      </c>
      <c r="AV35">
        <v>99999</v>
      </c>
      <c r="AW35">
        <v>-698284.49589797296</v>
      </c>
      <c r="AX35" s="7">
        <v>45372.58079861111</v>
      </c>
      <c r="AY35" s="7"/>
      <c r="BB35" t="s">
        <v>735</v>
      </c>
      <c r="BC35">
        <v>2023</v>
      </c>
      <c r="BD35">
        <v>5707</v>
      </c>
      <c r="BE35">
        <v>110</v>
      </c>
      <c r="BF35" s="32">
        <v>643.05226155716105</v>
      </c>
      <c r="BG35" s="7" t="s">
        <v>659</v>
      </c>
      <c r="BO35" s="276">
        <f t="shared" si="0"/>
        <v>0</v>
      </c>
      <c r="BV35" t="str">
        <f t="shared" si="1"/>
        <v/>
      </c>
    </row>
    <row r="36" spans="1:74">
      <c r="A36">
        <v>34</v>
      </c>
      <c r="B36" t="s">
        <v>150</v>
      </c>
      <c r="C36">
        <v>2023</v>
      </c>
      <c r="D36">
        <v>5367</v>
      </c>
      <c r="E36">
        <v>217</v>
      </c>
      <c r="F36">
        <v>2</v>
      </c>
      <c r="G36">
        <v>2</v>
      </c>
      <c r="H36">
        <v>22</v>
      </c>
      <c r="I36">
        <v>60</v>
      </c>
      <c r="J36">
        <v>999</v>
      </c>
      <c r="K36">
        <v>2</v>
      </c>
      <c r="L36">
        <v>11</v>
      </c>
      <c r="M36">
        <v>9</v>
      </c>
      <c r="N36">
        <v>99</v>
      </c>
      <c r="O36">
        <v>9</v>
      </c>
      <c r="P36">
        <v>3</v>
      </c>
      <c r="Q36">
        <v>99999</v>
      </c>
      <c r="R36" s="276">
        <v>-131950.084430635</v>
      </c>
      <c r="S36" s="7">
        <v>45372.58079861111</v>
      </c>
      <c r="AG36" t="s">
        <v>150</v>
      </c>
      <c r="AH36">
        <v>2023</v>
      </c>
      <c r="AI36">
        <v>5367</v>
      </c>
      <c r="AJ36">
        <v>217</v>
      </c>
      <c r="AK36">
        <v>2</v>
      </c>
      <c r="AL36">
        <v>2</v>
      </c>
      <c r="AM36">
        <v>20</v>
      </c>
      <c r="AN36">
        <v>60</v>
      </c>
      <c r="AO36">
        <v>999</v>
      </c>
      <c r="AP36">
        <v>3</v>
      </c>
      <c r="AQ36">
        <v>16</v>
      </c>
      <c r="AR36">
        <v>9</v>
      </c>
      <c r="AS36">
        <v>99</v>
      </c>
      <c r="AT36">
        <v>9</v>
      </c>
      <c r="AU36">
        <v>3</v>
      </c>
      <c r="AV36">
        <v>99999</v>
      </c>
      <c r="AW36" s="32">
        <v>0</v>
      </c>
      <c r="AX36" s="7">
        <v>45372.58079861111</v>
      </c>
      <c r="AY36" s="7"/>
      <c r="BB36" t="s">
        <v>736</v>
      </c>
      <c r="BC36">
        <v>2023</v>
      </c>
      <c r="BD36">
        <v>6072</v>
      </c>
      <c r="BE36">
        <v>112</v>
      </c>
      <c r="BF36" s="32">
        <v>710.62889887762503</v>
      </c>
      <c r="BG36" s="7" t="s">
        <v>737</v>
      </c>
      <c r="BO36" s="276">
        <f t="shared" si="0"/>
        <v>0</v>
      </c>
      <c r="BV36" t="str">
        <f t="shared" si="1"/>
        <v/>
      </c>
    </row>
    <row r="37" spans="1:74">
      <c r="A37">
        <v>35</v>
      </c>
      <c r="B37" t="s">
        <v>150</v>
      </c>
      <c r="C37">
        <v>2023</v>
      </c>
      <c r="D37">
        <v>5367</v>
      </c>
      <c r="E37">
        <v>217</v>
      </c>
      <c r="F37">
        <v>2</v>
      </c>
      <c r="G37">
        <v>2</v>
      </c>
      <c r="H37">
        <v>22</v>
      </c>
      <c r="I37">
        <v>60</v>
      </c>
      <c r="J37">
        <v>999</v>
      </c>
      <c r="K37">
        <v>2</v>
      </c>
      <c r="L37">
        <v>9</v>
      </c>
      <c r="M37">
        <v>9</v>
      </c>
      <c r="N37">
        <v>99</v>
      </c>
      <c r="O37">
        <v>9</v>
      </c>
      <c r="P37">
        <v>3</v>
      </c>
      <c r="Q37">
        <v>99999</v>
      </c>
      <c r="R37" s="276">
        <v>-16719.844965551401</v>
      </c>
      <c r="S37" s="7">
        <v>45372.58079861111</v>
      </c>
      <c r="AG37" t="s">
        <v>150</v>
      </c>
      <c r="AH37">
        <v>2023</v>
      </c>
      <c r="AI37">
        <v>5367</v>
      </c>
      <c r="AJ37">
        <v>217</v>
      </c>
      <c r="AK37">
        <v>2</v>
      </c>
      <c r="AL37">
        <v>2</v>
      </c>
      <c r="AM37">
        <v>20</v>
      </c>
      <c r="AN37">
        <v>60</v>
      </c>
      <c r="AO37">
        <v>999</v>
      </c>
      <c r="AP37">
        <v>3</v>
      </c>
      <c r="AQ37">
        <v>17</v>
      </c>
      <c r="AR37">
        <v>9</v>
      </c>
      <c r="AS37">
        <v>99</v>
      </c>
      <c r="AT37">
        <v>9</v>
      </c>
      <c r="AU37">
        <v>3</v>
      </c>
      <c r="AV37">
        <v>99999</v>
      </c>
      <c r="AW37" s="32">
        <v>-159651.55851015</v>
      </c>
      <c r="AX37" s="7">
        <v>45372.58079861111</v>
      </c>
      <c r="AY37" s="7"/>
      <c r="BB37" t="s">
        <v>687</v>
      </c>
      <c r="BC37">
        <v>2023</v>
      </c>
      <c r="BD37">
        <v>37</v>
      </c>
      <c r="BE37">
        <v>116</v>
      </c>
      <c r="BF37" s="32">
        <v>718.81480914988003</v>
      </c>
      <c r="BG37" s="7" t="s">
        <v>738</v>
      </c>
      <c r="BO37" s="276">
        <f t="shared" si="0"/>
        <v>0</v>
      </c>
      <c r="BV37" t="str">
        <f t="shared" si="1"/>
        <v/>
      </c>
    </row>
    <row r="38" spans="1:74">
      <c r="A38">
        <v>36</v>
      </c>
      <c r="B38" t="s">
        <v>150</v>
      </c>
      <c r="C38">
        <v>2023</v>
      </c>
      <c r="D38">
        <v>5367</v>
      </c>
      <c r="E38">
        <v>217</v>
      </c>
      <c r="F38">
        <v>2</v>
      </c>
      <c r="G38">
        <v>2</v>
      </c>
      <c r="H38">
        <v>22</v>
      </c>
      <c r="I38">
        <v>60</v>
      </c>
      <c r="J38">
        <v>999</v>
      </c>
      <c r="K38">
        <v>2</v>
      </c>
      <c r="L38">
        <v>8</v>
      </c>
      <c r="M38">
        <v>9</v>
      </c>
      <c r="N38">
        <v>99</v>
      </c>
      <c r="O38">
        <v>9</v>
      </c>
      <c r="P38">
        <v>3</v>
      </c>
      <c r="Q38">
        <v>99999</v>
      </c>
      <c r="R38" s="276">
        <v>-390.27057117409998</v>
      </c>
      <c r="S38" s="7">
        <v>45372.58079861111</v>
      </c>
      <c r="AG38" t="s">
        <v>150</v>
      </c>
      <c r="AH38">
        <v>2023</v>
      </c>
      <c r="AI38">
        <v>5367</v>
      </c>
      <c r="AJ38">
        <v>217</v>
      </c>
      <c r="AK38">
        <v>2</v>
      </c>
      <c r="AL38">
        <v>2</v>
      </c>
      <c r="AM38">
        <v>20</v>
      </c>
      <c r="AN38">
        <v>60</v>
      </c>
      <c r="AO38">
        <v>999</v>
      </c>
      <c r="AP38">
        <v>3</v>
      </c>
      <c r="AQ38">
        <v>18</v>
      </c>
      <c r="AR38">
        <v>9</v>
      </c>
      <c r="AS38">
        <v>99</v>
      </c>
      <c r="AT38">
        <v>9</v>
      </c>
      <c r="AU38">
        <v>3</v>
      </c>
      <c r="AV38">
        <v>99999</v>
      </c>
      <c r="AW38" s="32">
        <v>-109959.379966947</v>
      </c>
      <c r="AX38" s="7">
        <v>45372.58079861111</v>
      </c>
      <c r="AY38" s="7"/>
      <c r="BB38" t="s">
        <v>688</v>
      </c>
      <c r="BC38">
        <v>2023</v>
      </c>
      <c r="BD38">
        <v>38</v>
      </c>
      <c r="BE38">
        <v>119</v>
      </c>
      <c r="BF38" s="32">
        <v>853.72276168107896</v>
      </c>
      <c r="BG38" s="7" t="s">
        <v>689</v>
      </c>
      <c r="BO38" s="276">
        <f t="shared" si="0"/>
        <v>0</v>
      </c>
      <c r="BV38" t="str">
        <f t="shared" si="1"/>
        <v/>
      </c>
    </row>
    <row r="39" spans="1:74">
      <c r="A39">
        <v>37</v>
      </c>
      <c r="B39" t="s">
        <v>150</v>
      </c>
      <c r="C39">
        <v>2023</v>
      </c>
      <c r="D39">
        <v>5367</v>
      </c>
      <c r="E39">
        <v>217</v>
      </c>
      <c r="F39">
        <v>2</v>
      </c>
      <c r="G39">
        <v>2</v>
      </c>
      <c r="H39">
        <v>22</v>
      </c>
      <c r="I39">
        <v>60</v>
      </c>
      <c r="J39">
        <v>999</v>
      </c>
      <c r="K39">
        <v>2</v>
      </c>
      <c r="L39">
        <v>10</v>
      </c>
      <c r="M39">
        <v>9</v>
      </c>
      <c r="N39">
        <v>99</v>
      </c>
      <c r="O39">
        <v>9</v>
      </c>
      <c r="P39">
        <v>3</v>
      </c>
      <c r="Q39">
        <v>99999</v>
      </c>
      <c r="R39" s="276">
        <v>-3079.9469087969801</v>
      </c>
      <c r="S39" s="7">
        <v>45372.58079861111</v>
      </c>
      <c r="AG39" t="s">
        <v>150</v>
      </c>
      <c r="AH39">
        <v>2023</v>
      </c>
      <c r="AI39">
        <v>5367</v>
      </c>
      <c r="AJ39">
        <v>217</v>
      </c>
      <c r="AK39">
        <v>2</v>
      </c>
      <c r="AL39">
        <v>2</v>
      </c>
      <c r="AM39">
        <v>20</v>
      </c>
      <c r="AN39">
        <v>60</v>
      </c>
      <c r="AO39">
        <v>999</v>
      </c>
      <c r="AP39">
        <v>3</v>
      </c>
      <c r="AQ39">
        <v>12</v>
      </c>
      <c r="AR39">
        <v>9</v>
      </c>
      <c r="AS39">
        <v>99</v>
      </c>
      <c r="AT39">
        <v>9</v>
      </c>
      <c r="AU39">
        <v>3</v>
      </c>
      <c r="AV39">
        <v>99999</v>
      </c>
      <c r="AW39" s="32">
        <v>0</v>
      </c>
      <c r="AX39" s="7">
        <v>45372.58079861111</v>
      </c>
      <c r="AY39" s="7"/>
      <c r="BB39" t="s">
        <v>519</v>
      </c>
      <c r="BC39">
        <v>2023</v>
      </c>
      <c r="BD39">
        <v>399</v>
      </c>
      <c r="BE39">
        <v>157</v>
      </c>
      <c r="BF39" s="32">
        <v>621.51956086113501</v>
      </c>
      <c r="BG39" s="7" t="s">
        <v>739</v>
      </c>
      <c r="BO39" s="276">
        <f t="shared" si="0"/>
        <v>0</v>
      </c>
      <c r="BV39" t="str">
        <f t="shared" si="1"/>
        <v/>
      </c>
    </row>
    <row r="40" spans="1:74">
      <c r="A40">
        <v>38</v>
      </c>
      <c r="B40" t="s">
        <v>150</v>
      </c>
      <c r="C40">
        <v>2023</v>
      </c>
      <c r="D40">
        <v>5367</v>
      </c>
      <c r="E40">
        <v>217</v>
      </c>
      <c r="F40">
        <v>2</v>
      </c>
      <c r="G40">
        <v>2</v>
      </c>
      <c r="H40">
        <v>20</v>
      </c>
      <c r="I40">
        <v>60</v>
      </c>
      <c r="J40">
        <v>999</v>
      </c>
      <c r="K40">
        <v>4</v>
      </c>
      <c r="L40">
        <v>999</v>
      </c>
      <c r="M40">
        <v>9</v>
      </c>
      <c r="N40">
        <v>99</v>
      </c>
      <c r="O40">
        <v>9</v>
      </c>
      <c r="P40">
        <v>3</v>
      </c>
      <c r="Q40">
        <v>99999</v>
      </c>
      <c r="R40" s="276">
        <v>0</v>
      </c>
      <c r="S40" s="7">
        <v>45372.58079861111</v>
      </c>
      <c r="AG40" t="s">
        <v>150</v>
      </c>
      <c r="AH40">
        <v>2023</v>
      </c>
      <c r="AI40">
        <v>5367</v>
      </c>
      <c r="AJ40">
        <v>217</v>
      </c>
      <c r="AK40">
        <v>2</v>
      </c>
      <c r="AL40">
        <v>2</v>
      </c>
      <c r="AM40">
        <v>22</v>
      </c>
      <c r="AN40">
        <v>60</v>
      </c>
      <c r="AO40">
        <v>240</v>
      </c>
      <c r="AP40">
        <v>2</v>
      </c>
      <c r="AQ40">
        <v>11</v>
      </c>
      <c r="AR40">
        <v>9</v>
      </c>
      <c r="AS40">
        <v>99</v>
      </c>
      <c r="AT40">
        <v>9</v>
      </c>
      <c r="AU40">
        <v>3</v>
      </c>
      <c r="AV40">
        <v>99999</v>
      </c>
      <c r="AW40" s="32">
        <v>0</v>
      </c>
      <c r="AX40" s="7">
        <v>45372.58079861111</v>
      </c>
      <c r="AY40" s="7"/>
      <c r="BB40" t="s">
        <v>690</v>
      </c>
      <c r="BC40">
        <v>2023</v>
      </c>
      <c r="BD40">
        <v>382</v>
      </c>
      <c r="BE40">
        <v>160</v>
      </c>
      <c r="BF40" s="32">
        <v>810.61880012049301</v>
      </c>
      <c r="BG40" s="7" t="s">
        <v>740</v>
      </c>
      <c r="BO40" s="276">
        <f t="shared" si="0"/>
        <v>0</v>
      </c>
      <c r="BV40" t="str">
        <f t="shared" si="1"/>
        <v/>
      </c>
    </row>
    <row r="41" spans="1:74">
      <c r="A41">
        <v>39</v>
      </c>
      <c r="B41" t="s">
        <v>150</v>
      </c>
      <c r="C41">
        <v>2023</v>
      </c>
      <c r="D41">
        <v>5367</v>
      </c>
      <c r="E41">
        <v>217</v>
      </c>
      <c r="F41">
        <v>2</v>
      </c>
      <c r="G41">
        <v>2</v>
      </c>
      <c r="H41">
        <v>999</v>
      </c>
      <c r="I41">
        <v>999999</v>
      </c>
      <c r="J41">
        <v>999</v>
      </c>
      <c r="K41">
        <v>99</v>
      </c>
      <c r="L41">
        <v>999</v>
      </c>
      <c r="M41">
        <v>9</v>
      </c>
      <c r="N41">
        <v>99</v>
      </c>
      <c r="O41">
        <v>9</v>
      </c>
      <c r="P41">
        <v>3</v>
      </c>
      <c r="Q41">
        <v>99999</v>
      </c>
      <c r="R41" s="276">
        <v>0</v>
      </c>
      <c r="S41" s="7">
        <v>45372.58079861111</v>
      </c>
      <c r="AG41" t="s">
        <v>150</v>
      </c>
      <c r="AH41">
        <v>2023</v>
      </c>
      <c r="AI41">
        <v>5367</v>
      </c>
      <c r="AJ41">
        <v>217</v>
      </c>
      <c r="AK41">
        <v>2</v>
      </c>
      <c r="AL41">
        <v>2</v>
      </c>
      <c r="AM41">
        <v>22</v>
      </c>
      <c r="AN41">
        <v>60</v>
      </c>
      <c r="AO41">
        <v>240</v>
      </c>
      <c r="AP41">
        <v>2</v>
      </c>
      <c r="AQ41">
        <v>9</v>
      </c>
      <c r="AR41">
        <v>9</v>
      </c>
      <c r="AS41">
        <v>99</v>
      </c>
      <c r="AT41">
        <v>9</v>
      </c>
      <c r="AU41">
        <v>3</v>
      </c>
      <c r="AV41">
        <v>99999</v>
      </c>
      <c r="AW41" s="32">
        <v>0</v>
      </c>
      <c r="AX41" s="7">
        <v>45372.58079861111</v>
      </c>
      <c r="AY41" s="7"/>
      <c r="BB41" t="s">
        <v>741</v>
      </c>
      <c r="BC41">
        <v>2023</v>
      </c>
      <c r="BD41">
        <v>401</v>
      </c>
      <c r="BE41">
        <v>161</v>
      </c>
      <c r="BF41" s="32">
        <v>659.81992303262803</v>
      </c>
      <c r="BG41" s="7" t="s">
        <v>742</v>
      </c>
      <c r="BO41" s="276">
        <f t="shared" si="0"/>
        <v>0</v>
      </c>
      <c r="BV41" t="str">
        <f t="shared" si="1"/>
        <v/>
      </c>
    </row>
    <row r="42" spans="1:74">
      <c r="A42">
        <v>40</v>
      </c>
      <c r="B42" t="s">
        <v>150</v>
      </c>
      <c r="C42">
        <v>2023</v>
      </c>
      <c r="D42">
        <v>5367</v>
      </c>
      <c r="E42">
        <v>217</v>
      </c>
      <c r="F42">
        <v>2</v>
      </c>
      <c r="G42">
        <v>2</v>
      </c>
      <c r="H42">
        <v>999</v>
      </c>
      <c r="I42">
        <v>999999</v>
      </c>
      <c r="J42">
        <v>999</v>
      </c>
      <c r="K42">
        <v>99</v>
      </c>
      <c r="L42">
        <v>999</v>
      </c>
      <c r="M42">
        <v>9</v>
      </c>
      <c r="N42">
        <v>99</v>
      </c>
      <c r="O42">
        <v>9</v>
      </c>
      <c r="P42">
        <v>3</v>
      </c>
      <c r="Q42">
        <v>99999</v>
      </c>
      <c r="R42" s="276">
        <v>0</v>
      </c>
      <c r="S42" s="7">
        <v>45372.58079861111</v>
      </c>
      <c r="AG42" t="s">
        <v>150</v>
      </c>
      <c r="AH42">
        <v>2023</v>
      </c>
      <c r="AI42">
        <v>5367</v>
      </c>
      <c r="AJ42">
        <v>217</v>
      </c>
      <c r="AK42">
        <v>2</v>
      </c>
      <c r="AL42">
        <v>2</v>
      </c>
      <c r="AM42">
        <v>22</v>
      </c>
      <c r="AN42">
        <v>60</v>
      </c>
      <c r="AO42">
        <v>240</v>
      </c>
      <c r="AP42">
        <v>2</v>
      </c>
      <c r="AQ42">
        <v>8</v>
      </c>
      <c r="AR42">
        <v>9</v>
      </c>
      <c r="AS42">
        <v>99</v>
      </c>
      <c r="AT42">
        <v>9</v>
      </c>
      <c r="AU42">
        <v>3</v>
      </c>
      <c r="AV42">
        <v>99999</v>
      </c>
      <c r="AW42">
        <v>0</v>
      </c>
      <c r="AX42" s="7">
        <v>45372.58079861111</v>
      </c>
      <c r="AY42" s="7"/>
      <c r="BB42" t="s">
        <v>691</v>
      </c>
      <c r="BC42">
        <v>2023</v>
      </c>
      <c r="BD42">
        <v>5160</v>
      </c>
      <c r="BE42">
        <v>109</v>
      </c>
      <c r="BF42" s="32">
        <v>766.19935088529098</v>
      </c>
      <c r="BG42" s="7" t="s">
        <v>743</v>
      </c>
      <c r="BO42" s="276">
        <f t="shared" si="0"/>
        <v>0</v>
      </c>
      <c r="BV42" t="str">
        <f t="shared" si="1"/>
        <v/>
      </c>
    </row>
    <row r="43" spans="1:74">
      <c r="A43">
        <v>41</v>
      </c>
      <c r="B43" t="s">
        <v>150</v>
      </c>
      <c r="C43">
        <v>2023</v>
      </c>
      <c r="D43">
        <v>5367</v>
      </c>
      <c r="E43">
        <v>217</v>
      </c>
      <c r="F43">
        <v>2</v>
      </c>
      <c r="G43">
        <v>2</v>
      </c>
      <c r="H43">
        <v>22</v>
      </c>
      <c r="I43">
        <v>60</v>
      </c>
      <c r="J43">
        <v>999</v>
      </c>
      <c r="K43">
        <v>2</v>
      </c>
      <c r="L43">
        <v>11</v>
      </c>
      <c r="M43">
        <v>9</v>
      </c>
      <c r="N43">
        <v>99</v>
      </c>
      <c r="O43">
        <v>9</v>
      </c>
      <c r="P43">
        <v>3</v>
      </c>
      <c r="Q43">
        <v>99999</v>
      </c>
      <c r="R43" s="276">
        <v>0</v>
      </c>
      <c r="S43" s="7">
        <v>45372.58079861111</v>
      </c>
      <c r="AG43" t="s">
        <v>150</v>
      </c>
      <c r="AH43">
        <v>2023</v>
      </c>
      <c r="AI43">
        <v>5367</v>
      </c>
      <c r="AJ43">
        <v>217</v>
      </c>
      <c r="AK43">
        <v>2</v>
      </c>
      <c r="AL43">
        <v>2</v>
      </c>
      <c r="AM43">
        <v>22</v>
      </c>
      <c r="AN43">
        <v>60</v>
      </c>
      <c r="AO43">
        <v>240</v>
      </c>
      <c r="AP43">
        <v>2</v>
      </c>
      <c r="AQ43">
        <v>10</v>
      </c>
      <c r="AR43">
        <v>9</v>
      </c>
      <c r="AS43">
        <v>99</v>
      </c>
      <c r="AT43">
        <v>9</v>
      </c>
      <c r="AU43">
        <v>3</v>
      </c>
      <c r="AV43">
        <v>99999</v>
      </c>
      <c r="AW43">
        <v>0</v>
      </c>
      <c r="AX43" s="7">
        <v>45372.58079861111</v>
      </c>
      <c r="AY43" s="7"/>
      <c r="BB43" t="s">
        <v>692</v>
      </c>
      <c r="BC43">
        <v>2023</v>
      </c>
      <c r="BD43">
        <v>47</v>
      </c>
      <c r="BE43">
        <v>129</v>
      </c>
      <c r="BF43" s="32">
        <v>807.51752313850204</v>
      </c>
      <c r="BG43" s="7" t="s">
        <v>744</v>
      </c>
      <c r="BO43" s="276">
        <f t="shared" si="0"/>
        <v>0</v>
      </c>
      <c r="BV43" t="str">
        <f t="shared" si="1"/>
        <v/>
      </c>
    </row>
    <row r="44" spans="1:74">
      <c r="A44">
        <v>42</v>
      </c>
      <c r="B44" t="s">
        <v>150</v>
      </c>
      <c r="C44">
        <v>2023</v>
      </c>
      <c r="D44">
        <v>5367</v>
      </c>
      <c r="E44">
        <v>217</v>
      </c>
      <c r="F44">
        <v>2</v>
      </c>
      <c r="G44">
        <v>2</v>
      </c>
      <c r="H44">
        <v>22</v>
      </c>
      <c r="I44">
        <v>60</v>
      </c>
      <c r="J44">
        <v>999</v>
      </c>
      <c r="K44">
        <v>2</v>
      </c>
      <c r="L44">
        <v>9</v>
      </c>
      <c r="M44">
        <v>9</v>
      </c>
      <c r="N44">
        <v>99</v>
      </c>
      <c r="O44">
        <v>9</v>
      </c>
      <c r="P44">
        <v>3</v>
      </c>
      <c r="Q44">
        <v>99999</v>
      </c>
      <c r="R44" s="276">
        <v>0</v>
      </c>
      <c r="S44" s="7">
        <v>45372.58079861111</v>
      </c>
      <c r="AG44" t="s">
        <v>150</v>
      </c>
      <c r="AH44">
        <v>2023</v>
      </c>
      <c r="AI44">
        <v>5367</v>
      </c>
      <c r="AJ44">
        <v>217</v>
      </c>
      <c r="AK44">
        <v>2</v>
      </c>
      <c r="AL44">
        <v>2</v>
      </c>
      <c r="AM44">
        <v>22</v>
      </c>
      <c r="AN44">
        <v>60</v>
      </c>
      <c r="AO44">
        <v>240</v>
      </c>
      <c r="AP44">
        <v>2</v>
      </c>
      <c r="AQ44">
        <v>24</v>
      </c>
      <c r="AR44">
        <v>9</v>
      </c>
      <c r="AS44">
        <v>99</v>
      </c>
      <c r="AT44">
        <v>9</v>
      </c>
      <c r="AU44">
        <v>3</v>
      </c>
      <c r="AV44">
        <v>99999</v>
      </c>
      <c r="AW44">
        <v>0</v>
      </c>
      <c r="AX44" s="7">
        <v>45372.58079861111</v>
      </c>
      <c r="AY44" s="7"/>
      <c r="BB44" t="s">
        <v>693</v>
      </c>
      <c r="BC44">
        <v>2023</v>
      </c>
      <c r="BD44">
        <v>40</v>
      </c>
      <c r="BE44">
        <v>133</v>
      </c>
      <c r="BF44" s="32">
        <v>689.21240557333294</v>
      </c>
      <c r="BG44" s="7" t="s">
        <v>745</v>
      </c>
      <c r="BO44" s="276">
        <f t="shared" si="0"/>
        <v>0</v>
      </c>
      <c r="BV44" t="str">
        <f t="shared" si="1"/>
        <v/>
      </c>
    </row>
    <row r="45" spans="1:74">
      <c r="A45">
        <v>43</v>
      </c>
      <c r="B45" t="s">
        <v>150</v>
      </c>
      <c r="C45">
        <v>2023</v>
      </c>
      <c r="D45">
        <v>5367</v>
      </c>
      <c r="E45">
        <v>217</v>
      </c>
      <c r="F45">
        <v>2</v>
      </c>
      <c r="G45">
        <v>2</v>
      </c>
      <c r="H45">
        <v>22</v>
      </c>
      <c r="I45">
        <v>60</v>
      </c>
      <c r="J45">
        <v>999</v>
      </c>
      <c r="K45">
        <v>2</v>
      </c>
      <c r="L45">
        <v>8</v>
      </c>
      <c r="M45">
        <v>9</v>
      </c>
      <c r="N45">
        <v>99</v>
      </c>
      <c r="O45">
        <v>9</v>
      </c>
      <c r="P45">
        <v>3</v>
      </c>
      <c r="Q45">
        <v>99999</v>
      </c>
      <c r="R45" s="276">
        <v>0</v>
      </c>
      <c r="S45" s="7">
        <v>45372.58079861111</v>
      </c>
      <c r="AG45" t="s">
        <v>150</v>
      </c>
      <c r="AH45">
        <v>2023</v>
      </c>
      <c r="AI45">
        <v>5367</v>
      </c>
      <c r="AJ45">
        <v>217</v>
      </c>
      <c r="AK45">
        <v>2</v>
      </c>
      <c r="AL45">
        <v>2</v>
      </c>
      <c r="AM45">
        <v>22</v>
      </c>
      <c r="AN45">
        <v>60</v>
      </c>
      <c r="AO45">
        <v>240</v>
      </c>
      <c r="AP45">
        <v>2</v>
      </c>
      <c r="AQ45">
        <v>11</v>
      </c>
      <c r="AR45">
        <v>9</v>
      </c>
      <c r="AS45">
        <v>99</v>
      </c>
      <c r="AT45">
        <v>9</v>
      </c>
      <c r="AU45">
        <v>3</v>
      </c>
      <c r="AV45">
        <v>99999</v>
      </c>
      <c r="AW45">
        <v>0</v>
      </c>
      <c r="AX45" s="7">
        <v>45372.58079861111</v>
      </c>
      <c r="AY45" s="7"/>
      <c r="BB45" t="s">
        <v>476</v>
      </c>
      <c r="BC45">
        <v>2023</v>
      </c>
      <c r="BD45">
        <v>385</v>
      </c>
      <c r="BE45">
        <v>145</v>
      </c>
      <c r="BF45" s="32">
        <v>750.87800204276402</v>
      </c>
      <c r="BG45" s="7" t="s">
        <v>746</v>
      </c>
      <c r="BO45" s="276">
        <f t="shared" si="0"/>
        <v>0</v>
      </c>
      <c r="BV45" t="str">
        <f t="shared" si="1"/>
        <v/>
      </c>
    </row>
    <row r="46" spans="1:74">
      <c r="A46">
        <v>44</v>
      </c>
      <c r="B46" t="s">
        <v>150</v>
      </c>
      <c r="C46">
        <v>2023</v>
      </c>
      <c r="D46">
        <v>5367</v>
      </c>
      <c r="E46">
        <v>217</v>
      </c>
      <c r="F46">
        <v>2</v>
      </c>
      <c r="G46">
        <v>2</v>
      </c>
      <c r="H46">
        <v>999</v>
      </c>
      <c r="I46">
        <v>999999</v>
      </c>
      <c r="J46">
        <v>999</v>
      </c>
      <c r="K46">
        <v>99</v>
      </c>
      <c r="L46">
        <v>999</v>
      </c>
      <c r="M46">
        <v>9</v>
      </c>
      <c r="N46">
        <v>99</v>
      </c>
      <c r="O46">
        <v>9</v>
      </c>
      <c r="P46">
        <v>3</v>
      </c>
      <c r="Q46">
        <v>99999</v>
      </c>
      <c r="R46" s="276">
        <v>0</v>
      </c>
      <c r="S46" s="7">
        <v>45372.58079861111</v>
      </c>
      <c r="AG46" t="s">
        <v>150</v>
      </c>
      <c r="AH46">
        <v>2023</v>
      </c>
      <c r="AI46">
        <v>5367</v>
      </c>
      <c r="AJ46">
        <v>217</v>
      </c>
      <c r="AK46">
        <v>2</v>
      </c>
      <c r="AL46">
        <v>2</v>
      </c>
      <c r="AM46">
        <v>22</v>
      </c>
      <c r="AN46">
        <v>60</v>
      </c>
      <c r="AO46">
        <v>240</v>
      </c>
      <c r="AP46">
        <v>2</v>
      </c>
      <c r="AQ46">
        <v>9</v>
      </c>
      <c r="AR46">
        <v>9</v>
      </c>
      <c r="AS46">
        <v>99</v>
      </c>
      <c r="AT46">
        <v>9</v>
      </c>
      <c r="AU46">
        <v>3</v>
      </c>
      <c r="AV46">
        <v>99999</v>
      </c>
      <c r="AW46">
        <v>0</v>
      </c>
      <c r="AX46" s="7">
        <v>45372.58079861111</v>
      </c>
      <c r="AY46" s="7"/>
      <c r="BB46" t="s">
        <v>306</v>
      </c>
      <c r="BC46">
        <v>2023</v>
      </c>
      <c r="BD46">
        <v>400</v>
      </c>
      <c r="BE46">
        <v>164</v>
      </c>
      <c r="BF46" s="32">
        <v>661.04055025139201</v>
      </c>
      <c r="BG46" s="7" t="s">
        <v>747</v>
      </c>
      <c r="BO46" s="276">
        <f t="shared" si="0"/>
        <v>0</v>
      </c>
      <c r="BV46" t="str">
        <f t="shared" si="1"/>
        <v/>
      </c>
    </row>
    <row r="47" spans="1:74">
      <c r="A47">
        <v>45</v>
      </c>
      <c r="B47" t="s">
        <v>150</v>
      </c>
      <c r="C47">
        <v>2023</v>
      </c>
      <c r="D47">
        <v>5367</v>
      </c>
      <c r="E47">
        <v>217</v>
      </c>
      <c r="F47">
        <v>2</v>
      </c>
      <c r="G47">
        <v>2</v>
      </c>
      <c r="H47">
        <v>22</v>
      </c>
      <c r="I47">
        <v>60</v>
      </c>
      <c r="J47">
        <v>999</v>
      </c>
      <c r="K47">
        <v>1</v>
      </c>
      <c r="L47">
        <v>7</v>
      </c>
      <c r="M47">
        <v>9</v>
      </c>
      <c r="N47">
        <v>99</v>
      </c>
      <c r="O47">
        <v>9</v>
      </c>
      <c r="P47">
        <v>3</v>
      </c>
      <c r="Q47">
        <v>99999</v>
      </c>
      <c r="R47" s="276">
        <v>0</v>
      </c>
      <c r="S47" s="7">
        <v>45372.58079861111</v>
      </c>
      <c r="AG47" t="s">
        <v>150</v>
      </c>
      <c r="AH47">
        <v>2023</v>
      </c>
      <c r="AI47">
        <v>5367</v>
      </c>
      <c r="AJ47">
        <v>217</v>
      </c>
      <c r="AK47">
        <v>2</v>
      </c>
      <c r="AL47">
        <v>2</v>
      </c>
      <c r="AM47">
        <v>22</v>
      </c>
      <c r="AN47">
        <v>60</v>
      </c>
      <c r="AO47">
        <v>240</v>
      </c>
      <c r="AP47">
        <v>2</v>
      </c>
      <c r="AQ47">
        <v>8</v>
      </c>
      <c r="AR47">
        <v>9</v>
      </c>
      <c r="AS47">
        <v>99</v>
      </c>
      <c r="AT47">
        <v>9</v>
      </c>
      <c r="AU47">
        <v>3</v>
      </c>
      <c r="AV47">
        <v>99999</v>
      </c>
      <c r="AW47">
        <v>0</v>
      </c>
      <c r="AX47" s="7">
        <v>45372.58079861111</v>
      </c>
      <c r="AY47" s="7"/>
      <c r="BB47" t="s">
        <v>748</v>
      </c>
      <c r="BC47">
        <v>2023</v>
      </c>
      <c r="BD47">
        <v>83</v>
      </c>
      <c r="BE47">
        <v>156</v>
      </c>
      <c r="BF47" s="32">
        <v>630.51</v>
      </c>
      <c r="BG47" s="7" t="s">
        <v>749</v>
      </c>
      <c r="BO47" s="276">
        <f t="shared" si="0"/>
        <v>0</v>
      </c>
      <c r="BV47" t="str">
        <f t="shared" si="1"/>
        <v/>
      </c>
    </row>
    <row r="48" spans="1:74">
      <c r="A48">
        <v>46</v>
      </c>
      <c r="B48" t="s">
        <v>150</v>
      </c>
      <c r="C48">
        <v>2023</v>
      </c>
      <c r="D48">
        <v>5367</v>
      </c>
      <c r="E48">
        <v>217</v>
      </c>
      <c r="F48">
        <v>2</v>
      </c>
      <c r="G48">
        <v>2</v>
      </c>
      <c r="H48">
        <v>22</v>
      </c>
      <c r="I48">
        <v>60</v>
      </c>
      <c r="J48">
        <v>999</v>
      </c>
      <c r="K48">
        <v>2</v>
      </c>
      <c r="L48">
        <v>30</v>
      </c>
      <c r="M48">
        <v>9</v>
      </c>
      <c r="N48">
        <v>99</v>
      </c>
      <c r="O48">
        <v>9</v>
      </c>
      <c r="P48">
        <v>3</v>
      </c>
      <c r="Q48">
        <v>99999</v>
      </c>
      <c r="R48" s="276">
        <v>0</v>
      </c>
      <c r="S48" s="7">
        <v>45372.58079861111</v>
      </c>
      <c r="AG48" t="s">
        <v>150</v>
      </c>
      <c r="AH48">
        <v>2023</v>
      </c>
      <c r="AI48">
        <v>5367</v>
      </c>
      <c r="AJ48">
        <v>217</v>
      </c>
      <c r="AK48">
        <v>2</v>
      </c>
      <c r="AL48">
        <v>2</v>
      </c>
      <c r="AM48">
        <v>22</v>
      </c>
      <c r="AN48">
        <v>60</v>
      </c>
      <c r="AO48">
        <v>240</v>
      </c>
      <c r="AP48">
        <v>2</v>
      </c>
      <c r="AQ48">
        <v>10</v>
      </c>
      <c r="AR48">
        <v>9</v>
      </c>
      <c r="AS48">
        <v>99</v>
      </c>
      <c r="AT48">
        <v>9</v>
      </c>
      <c r="AU48">
        <v>3</v>
      </c>
      <c r="AV48">
        <v>99999</v>
      </c>
      <c r="AW48">
        <v>0</v>
      </c>
      <c r="AX48" s="7">
        <v>45372.58079861111</v>
      </c>
      <c r="AY48" s="7"/>
      <c r="BB48" t="s">
        <v>750</v>
      </c>
      <c r="BC48">
        <v>2023</v>
      </c>
      <c r="BD48">
        <v>1000042</v>
      </c>
      <c r="BE48">
        <v>167</v>
      </c>
      <c r="BF48" s="32">
        <v>719.56101426266196</v>
      </c>
      <c r="BG48" s="7" t="s">
        <v>751</v>
      </c>
      <c r="BO48" s="276">
        <f t="shared" si="0"/>
        <v>0</v>
      </c>
      <c r="BV48" t="str">
        <f t="shared" si="1"/>
        <v/>
      </c>
    </row>
    <row r="49" spans="1:74">
      <c r="A49">
        <v>47</v>
      </c>
      <c r="B49" t="s">
        <v>150</v>
      </c>
      <c r="C49">
        <v>2023</v>
      </c>
      <c r="D49">
        <v>5367</v>
      </c>
      <c r="E49">
        <v>217</v>
      </c>
      <c r="F49">
        <v>2</v>
      </c>
      <c r="G49">
        <v>2</v>
      </c>
      <c r="H49">
        <v>22</v>
      </c>
      <c r="I49">
        <v>60</v>
      </c>
      <c r="J49">
        <v>999</v>
      </c>
      <c r="K49">
        <v>4</v>
      </c>
      <c r="L49">
        <v>999</v>
      </c>
      <c r="M49">
        <v>9</v>
      </c>
      <c r="N49">
        <v>99</v>
      </c>
      <c r="O49">
        <v>9</v>
      </c>
      <c r="P49">
        <v>3</v>
      </c>
      <c r="Q49">
        <v>99999</v>
      </c>
      <c r="R49" s="276">
        <v>0</v>
      </c>
      <c r="S49" s="7">
        <v>45372.58079861111</v>
      </c>
      <c r="AG49" t="s">
        <v>150</v>
      </c>
      <c r="AH49">
        <v>2023</v>
      </c>
      <c r="AI49">
        <v>5367</v>
      </c>
      <c r="AJ49">
        <v>217</v>
      </c>
      <c r="AK49">
        <v>2</v>
      </c>
      <c r="AL49">
        <v>2</v>
      </c>
      <c r="AM49">
        <v>22</v>
      </c>
      <c r="AN49">
        <v>60</v>
      </c>
      <c r="AO49">
        <v>240</v>
      </c>
      <c r="AP49">
        <v>2</v>
      </c>
      <c r="AQ49">
        <v>24</v>
      </c>
      <c r="AR49">
        <v>9</v>
      </c>
      <c r="AS49">
        <v>99</v>
      </c>
      <c r="AT49">
        <v>9</v>
      </c>
      <c r="AU49">
        <v>3</v>
      </c>
      <c r="AV49">
        <v>99999</v>
      </c>
      <c r="AW49">
        <v>0</v>
      </c>
      <c r="AX49" s="7">
        <v>45372.58079861111</v>
      </c>
      <c r="AY49" s="7"/>
      <c r="BB49" t="s">
        <v>694</v>
      </c>
      <c r="BC49">
        <v>2023</v>
      </c>
      <c r="BD49">
        <v>46</v>
      </c>
      <c r="BE49">
        <v>163</v>
      </c>
      <c r="BF49" s="32">
        <v>603.49663353666597</v>
      </c>
      <c r="BG49" s="7" t="s">
        <v>752</v>
      </c>
      <c r="BO49" s="276">
        <f t="shared" si="0"/>
        <v>0</v>
      </c>
      <c r="BV49" t="str">
        <f t="shared" si="1"/>
        <v/>
      </c>
    </row>
    <row r="50" spans="1:74">
      <c r="A50">
        <v>48</v>
      </c>
      <c r="B50" t="s">
        <v>150</v>
      </c>
      <c r="C50">
        <v>2023</v>
      </c>
      <c r="D50">
        <v>5367</v>
      </c>
      <c r="E50">
        <v>217</v>
      </c>
      <c r="F50">
        <v>2</v>
      </c>
      <c r="G50">
        <v>2</v>
      </c>
      <c r="H50">
        <v>22</v>
      </c>
      <c r="I50">
        <v>60</v>
      </c>
      <c r="J50">
        <v>999</v>
      </c>
      <c r="K50">
        <v>3</v>
      </c>
      <c r="L50">
        <v>28</v>
      </c>
      <c r="M50">
        <v>9</v>
      </c>
      <c r="N50">
        <v>99</v>
      </c>
      <c r="O50">
        <v>9</v>
      </c>
      <c r="P50">
        <v>3</v>
      </c>
      <c r="Q50">
        <v>99999</v>
      </c>
      <c r="R50" s="276">
        <v>34552.504630240503</v>
      </c>
      <c r="S50" s="7">
        <v>45372.58079861111</v>
      </c>
      <c r="AG50" t="s">
        <v>150</v>
      </c>
      <c r="AH50">
        <v>2023</v>
      </c>
      <c r="AI50">
        <v>5367</v>
      </c>
      <c r="AJ50">
        <v>217</v>
      </c>
      <c r="AK50">
        <v>2</v>
      </c>
      <c r="AL50">
        <v>2</v>
      </c>
      <c r="AM50">
        <v>22</v>
      </c>
      <c r="AN50">
        <v>60</v>
      </c>
      <c r="AO50">
        <v>240</v>
      </c>
      <c r="AP50">
        <v>3</v>
      </c>
      <c r="AQ50">
        <v>17</v>
      </c>
      <c r="AR50">
        <v>9</v>
      </c>
      <c r="AS50">
        <v>99</v>
      </c>
      <c r="AT50">
        <v>9</v>
      </c>
      <c r="AU50">
        <v>3</v>
      </c>
      <c r="AV50">
        <v>99999</v>
      </c>
      <c r="AW50">
        <v>0</v>
      </c>
      <c r="AX50" s="7">
        <v>45372.58079861111</v>
      </c>
      <c r="AY50" s="7"/>
      <c r="BG50" s="7"/>
      <c r="BO50" s="276">
        <f t="shared" si="0"/>
        <v>0</v>
      </c>
      <c r="BV50" t="str">
        <f t="shared" si="1"/>
        <v/>
      </c>
    </row>
    <row r="51" spans="1:74">
      <c r="A51">
        <v>49</v>
      </c>
      <c r="B51" t="s">
        <v>150</v>
      </c>
      <c r="C51">
        <v>2023</v>
      </c>
      <c r="D51">
        <v>5367</v>
      </c>
      <c r="E51">
        <v>217</v>
      </c>
      <c r="F51">
        <v>2</v>
      </c>
      <c r="G51">
        <v>2</v>
      </c>
      <c r="H51">
        <v>22</v>
      </c>
      <c r="I51">
        <v>60</v>
      </c>
      <c r="J51">
        <v>999</v>
      </c>
      <c r="K51">
        <v>3</v>
      </c>
      <c r="L51">
        <v>29</v>
      </c>
      <c r="M51">
        <v>9</v>
      </c>
      <c r="N51">
        <v>99</v>
      </c>
      <c r="O51">
        <v>9</v>
      </c>
      <c r="P51">
        <v>3</v>
      </c>
      <c r="Q51">
        <v>99999</v>
      </c>
      <c r="R51" s="276">
        <v>0</v>
      </c>
      <c r="S51" s="7">
        <v>45372.58079861111</v>
      </c>
      <c r="AG51" t="s">
        <v>150</v>
      </c>
      <c r="AH51">
        <v>2023</v>
      </c>
      <c r="AI51">
        <v>5367</v>
      </c>
      <c r="AJ51">
        <v>217</v>
      </c>
      <c r="AK51">
        <v>2</v>
      </c>
      <c r="AL51">
        <v>2</v>
      </c>
      <c r="AM51">
        <v>22</v>
      </c>
      <c r="AN51">
        <v>60</v>
      </c>
      <c r="AO51">
        <v>241</v>
      </c>
      <c r="AP51">
        <v>3</v>
      </c>
      <c r="AQ51">
        <v>18</v>
      </c>
      <c r="AR51">
        <v>9</v>
      </c>
      <c r="AS51">
        <v>99</v>
      </c>
      <c r="AT51">
        <v>9</v>
      </c>
      <c r="AU51">
        <v>3</v>
      </c>
      <c r="AV51">
        <v>99999</v>
      </c>
      <c r="AW51">
        <v>0</v>
      </c>
      <c r="AX51" s="7">
        <v>45372.58079861111</v>
      </c>
      <c r="AY51" s="7"/>
      <c r="BG51" s="7"/>
      <c r="BO51" s="276">
        <f t="shared" si="0"/>
        <v>0</v>
      </c>
      <c r="BV51" t="str">
        <f t="shared" si="1"/>
        <v/>
      </c>
    </row>
    <row r="52" spans="1:74">
      <c r="A52">
        <v>50</v>
      </c>
      <c r="B52" t="s">
        <v>150</v>
      </c>
      <c r="C52">
        <v>2023</v>
      </c>
      <c r="D52">
        <v>5367</v>
      </c>
      <c r="E52">
        <v>217</v>
      </c>
      <c r="F52">
        <v>2</v>
      </c>
      <c r="G52">
        <v>2</v>
      </c>
      <c r="H52">
        <v>999</v>
      </c>
      <c r="I52">
        <v>999999</v>
      </c>
      <c r="J52">
        <v>999</v>
      </c>
      <c r="K52">
        <v>99</v>
      </c>
      <c r="L52">
        <v>999</v>
      </c>
      <c r="M52">
        <v>9</v>
      </c>
      <c r="N52">
        <v>99</v>
      </c>
      <c r="O52">
        <v>9</v>
      </c>
      <c r="P52">
        <v>3</v>
      </c>
      <c r="Q52">
        <v>99999</v>
      </c>
      <c r="R52" s="276">
        <v>0</v>
      </c>
      <c r="S52" s="7">
        <v>45372.58079861111</v>
      </c>
      <c r="AG52" t="s">
        <v>150</v>
      </c>
      <c r="AH52">
        <v>2023</v>
      </c>
      <c r="AI52">
        <v>5367</v>
      </c>
      <c r="AJ52">
        <v>217</v>
      </c>
      <c r="AK52">
        <v>2</v>
      </c>
      <c r="AL52">
        <v>2</v>
      </c>
      <c r="AM52">
        <v>22</v>
      </c>
      <c r="AN52">
        <v>60</v>
      </c>
      <c r="AO52">
        <v>241</v>
      </c>
      <c r="AP52">
        <v>3</v>
      </c>
      <c r="AQ52">
        <v>16</v>
      </c>
      <c r="AR52">
        <v>9</v>
      </c>
      <c r="AS52">
        <v>99</v>
      </c>
      <c r="AT52">
        <v>9</v>
      </c>
      <c r="AU52">
        <v>3</v>
      </c>
      <c r="AV52">
        <v>99999</v>
      </c>
      <c r="AW52">
        <v>0</v>
      </c>
      <c r="AX52" s="7">
        <v>45372.58079861111</v>
      </c>
      <c r="AY52" s="7"/>
      <c r="BG52" s="7"/>
      <c r="BO52" s="276">
        <f t="shared" si="0"/>
        <v>0</v>
      </c>
      <c r="BV52" t="str">
        <f t="shared" si="1"/>
        <v/>
      </c>
    </row>
    <row r="53" spans="1:74">
      <c r="A53">
        <v>51</v>
      </c>
      <c r="B53" t="s">
        <v>150</v>
      </c>
      <c r="C53">
        <v>2023</v>
      </c>
      <c r="D53">
        <v>5367</v>
      </c>
      <c r="E53">
        <v>217</v>
      </c>
      <c r="F53">
        <v>2</v>
      </c>
      <c r="G53">
        <v>2</v>
      </c>
      <c r="H53">
        <v>22</v>
      </c>
      <c r="I53">
        <v>60</v>
      </c>
      <c r="J53">
        <v>999</v>
      </c>
      <c r="K53">
        <v>1</v>
      </c>
      <c r="L53">
        <v>1</v>
      </c>
      <c r="M53">
        <v>9</v>
      </c>
      <c r="N53">
        <v>99</v>
      </c>
      <c r="O53">
        <v>9</v>
      </c>
      <c r="P53">
        <v>3</v>
      </c>
      <c r="Q53">
        <v>99999</v>
      </c>
      <c r="R53" s="276">
        <v>0</v>
      </c>
      <c r="S53" s="7">
        <v>45372.58079861111</v>
      </c>
      <c r="AG53" t="s">
        <v>150</v>
      </c>
      <c r="AH53">
        <v>2023</v>
      </c>
      <c r="AI53">
        <v>5367</v>
      </c>
      <c r="AJ53">
        <v>217</v>
      </c>
      <c r="AK53">
        <v>2</v>
      </c>
      <c r="AL53">
        <v>2</v>
      </c>
      <c r="AM53">
        <v>22</v>
      </c>
      <c r="AN53">
        <v>60</v>
      </c>
      <c r="AO53">
        <v>241</v>
      </c>
      <c r="AP53">
        <v>3</v>
      </c>
      <c r="AQ53">
        <v>17</v>
      </c>
      <c r="AR53">
        <v>9</v>
      </c>
      <c r="AS53">
        <v>99</v>
      </c>
      <c r="AT53">
        <v>9</v>
      </c>
      <c r="AU53">
        <v>3</v>
      </c>
      <c r="AV53">
        <v>99999</v>
      </c>
      <c r="AW53">
        <v>40022.245799999997</v>
      </c>
      <c r="AX53" s="7">
        <v>45372.58079861111</v>
      </c>
      <c r="AY53" s="7"/>
      <c r="BG53" s="7"/>
      <c r="BO53" s="276">
        <f t="shared" si="0"/>
        <v>0</v>
      </c>
      <c r="BV53" t="str">
        <f t="shared" si="1"/>
        <v/>
      </c>
    </row>
    <row r="54" spans="1:74">
      <c r="A54">
        <v>52</v>
      </c>
      <c r="B54" t="s">
        <v>150</v>
      </c>
      <c r="C54">
        <v>2023</v>
      </c>
      <c r="D54">
        <v>5367</v>
      </c>
      <c r="E54">
        <v>217</v>
      </c>
      <c r="F54">
        <v>2</v>
      </c>
      <c r="G54">
        <v>2</v>
      </c>
      <c r="H54">
        <v>22</v>
      </c>
      <c r="I54">
        <v>60</v>
      </c>
      <c r="J54">
        <v>999</v>
      </c>
      <c r="K54">
        <v>1</v>
      </c>
      <c r="L54">
        <v>2</v>
      </c>
      <c r="M54">
        <v>9</v>
      </c>
      <c r="N54">
        <v>99</v>
      </c>
      <c r="O54">
        <v>9</v>
      </c>
      <c r="P54">
        <v>3</v>
      </c>
      <c r="Q54">
        <v>99999</v>
      </c>
      <c r="R54" s="276">
        <v>0</v>
      </c>
      <c r="S54" s="7">
        <v>45372.58079861111</v>
      </c>
      <c r="AG54" t="s">
        <v>150</v>
      </c>
      <c r="AH54">
        <v>2023</v>
      </c>
      <c r="AI54">
        <v>5367</v>
      </c>
      <c r="AJ54">
        <v>217</v>
      </c>
      <c r="AK54">
        <v>2</v>
      </c>
      <c r="AL54">
        <v>2</v>
      </c>
      <c r="AM54">
        <v>22</v>
      </c>
      <c r="AN54">
        <v>60</v>
      </c>
      <c r="AO54">
        <v>241</v>
      </c>
      <c r="AP54">
        <v>1</v>
      </c>
      <c r="AQ54">
        <v>1</v>
      </c>
      <c r="AR54">
        <v>9</v>
      </c>
      <c r="AS54">
        <v>99</v>
      </c>
      <c r="AT54">
        <v>9</v>
      </c>
      <c r="AU54">
        <v>3</v>
      </c>
      <c r="AV54">
        <v>99999</v>
      </c>
      <c r="AW54">
        <v>0</v>
      </c>
      <c r="AX54" s="7">
        <v>45372.58079861111</v>
      </c>
      <c r="AY54" s="7"/>
      <c r="BG54" s="7"/>
      <c r="BO54" s="276">
        <f t="shared" si="0"/>
        <v>0</v>
      </c>
      <c r="BV54" t="str">
        <f t="shared" si="1"/>
        <v/>
      </c>
    </row>
    <row r="55" spans="1:74">
      <c r="A55">
        <v>53</v>
      </c>
      <c r="B55" t="s">
        <v>150</v>
      </c>
      <c r="C55">
        <v>2023</v>
      </c>
      <c r="D55">
        <v>5367</v>
      </c>
      <c r="E55">
        <v>217</v>
      </c>
      <c r="F55">
        <v>2</v>
      </c>
      <c r="G55">
        <v>2</v>
      </c>
      <c r="H55">
        <v>999</v>
      </c>
      <c r="I55">
        <v>999999</v>
      </c>
      <c r="J55">
        <v>999</v>
      </c>
      <c r="K55">
        <v>99</v>
      </c>
      <c r="L55">
        <v>999</v>
      </c>
      <c r="M55">
        <v>9</v>
      </c>
      <c r="N55">
        <v>99</v>
      </c>
      <c r="O55">
        <v>9</v>
      </c>
      <c r="P55">
        <v>3</v>
      </c>
      <c r="Q55">
        <v>99999</v>
      </c>
      <c r="R55" s="276">
        <v>0</v>
      </c>
      <c r="S55" s="7">
        <v>45372.58079861111</v>
      </c>
      <c r="AG55" t="s">
        <v>150</v>
      </c>
      <c r="AH55">
        <v>2023</v>
      </c>
      <c r="AI55">
        <v>5367</v>
      </c>
      <c r="AJ55">
        <v>217</v>
      </c>
      <c r="AK55">
        <v>2</v>
      </c>
      <c r="AL55">
        <v>2</v>
      </c>
      <c r="AM55">
        <v>22</v>
      </c>
      <c r="AN55">
        <v>60</v>
      </c>
      <c r="AO55">
        <v>241</v>
      </c>
      <c r="AP55">
        <v>2</v>
      </c>
      <c r="AQ55">
        <v>11</v>
      </c>
      <c r="AR55">
        <v>9</v>
      </c>
      <c r="AS55">
        <v>99</v>
      </c>
      <c r="AT55">
        <v>9</v>
      </c>
      <c r="AU55">
        <v>3</v>
      </c>
      <c r="AV55">
        <v>99999</v>
      </c>
      <c r="AW55">
        <v>-911177.56989348703</v>
      </c>
      <c r="AX55" s="7">
        <v>45372.58079861111</v>
      </c>
      <c r="AY55" s="7"/>
      <c r="BG55" s="7"/>
      <c r="BO55" s="276">
        <f t="shared" si="0"/>
        <v>0</v>
      </c>
      <c r="BV55" t="str">
        <f t="shared" si="1"/>
        <v/>
      </c>
    </row>
    <row r="56" spans="1:74">
      <c r="A56">
        <v>54</v>
      </c>
      <c r="B56" t="s">
        <v>150</v>
      </c>
      <c r="C56">
        <v>2023</v>
      </c>
      <c r="D56">
        <v>5367</v>
      </c>
      <c r="E56">
        <v>217</v>
      </c>
      <c r="F56">
        <v>2</v>
      </c>
      <c r="G56">
        <v>2</v>
      </c>
      <c r="H56">
        <v>22</v>
      </c>
      <c r="I56">
        <v>60</v>
      </c>
      <c r="J56">
        <v>999</v>
      </c>
      <c r="K56">
        <v>2</v>
      </c>
      <c r="L56">
        <v>30</v>
      </c>
      <c r="M56">
        <v>9</v>
      </c>
      <c r="N56">
        <v>99</v>
      </c>
      <c r="O56">
        <v>9</v>
      </c>
      <c r="P56">
        <v>3</v>
      </c>
      <c r="Q56">
        <v>99999</v>
      </c>
      <c r="R56" s="276">
        <v>0</v>
      </c>
      <c r="S56" s="7">
        <v>45372.58079861111</v>
      </c>
      <c r="AG56" t="s">
        <v>150</v>
      </c>
      <c r="AH56">
        <v>2023</v>
      </c>
      <c r="AI56">
        <v>5367</v>
      </c>
      <c r="AJ56">
        <v>217</v>
      </c>
      <c r="AK56">
        <v>2</v>
      </c>
      <c r="AL56">
        <v>2</v>
      </c>
      <c r="AM56">
        <v>22</v>
      </c>
      <c r="AN56">
        <v>60</v>
      </c>
      <c r="AO56">
        <v>241</v>
      </c>
      <c r="AP56">
        <v>2</v>
      </c>
      <c r="AQ56">
        <v>9</v>
      </c>
      <c r="AR56">
        <v>9</v>
      </c>
      <c r="AS56">
        <v>99</v>
      </c>
      <c r="AT56">
        <v>9</v>
      </c>
      <c r="AU56">
        <v>3</v>
      </c>
      <c r="AV56">
        <v>99999</v>
      </c>
      <c r="AW56">
        <v>0</v>
      </c>
      <c r="AX56" s="7">
        <v>45372.58079861111</v>
      </c>
      <c r="AY56" s="7"/>
      <c r="BG56" s="7"/>
      <c r="BO56" s="276">
        <f t="shared" si="0"/>
        <v>0</v>
      </c>
      <c r="BV56" t="str">
        <f t="shared" si="1"/>
        <v/>
      </c>
    </row>
    <row r="57" spans="1:74">
      <c r="A57">
        <v>55</v>
      </c>
      <c r="B57" t="s">
        <v>150</v>
      </c>
      <c r="C57">
        <v>2023</v>
      </c>
      <c r="D57">
        <v>5367</v>
      </c>
      <c r="E57">
        <v>217</v>
      </c>
      <c r="F57">
        <v>2</v>
      </c>
      <c r="G57">
        <v>2</v>
      </c>
      <c r="H57">
        <v>22</v>
      </c>
      <c r="I57">
        <v>60</v>
      </c>
      <c r="J57">
        <v>999</v>
      </c>
      <c r="K57">
        <v>3</v>
      </c>
      <c r="L57">
        <v>19</v>
      </c>
      <c r="M57">
        <v>9</v>
      </c>
      <c r="N57">
        <v>99</v>
      </c>
      <c r="O57">
        <v>9</v>
      </c>
      <c r="P57">
        <v>3</v>
      </c>
      <c r="Q57">
        <v>99999</v>
      </c>
      <c r="R57" s="276">
        <v>0</v>
      </c>
      <c r="S57" s="7">
        <v>45372.58079861111</v>
      </c>
      <c r="AG57" t="s">
        <v>150</v>
      </c>
      <c r="AH57">
        <v>2023</v>
      </c>
      <c r="AI57">
        <v>5367</v>
      </c>
      <c r="AJ57">
        <v>217</v>
      </c>
      <c r="AK57">
        <v>2</v>
      </c>
      <c r="AL57">
        <v>2</v>
      </c>
      <c r="AM57">
        <v>22</v>
      </c>
      <c r="AN57">
        <v>60</v>
      </c>
      <c r="AO57">
        <v>241</v>
      </c>
      <c r="AP57">
        <v>2</v>
      </c>
      <c r="AQ57">
        <v>8</v>
      </c>
      <c r="AR57">
        <v>9</v>
      </c>
      <c r="AS57">
        <v>99</v>
      </c>
      <c r="AT57">
        <v>9</v>
      </c>
      <c r="AU57">
        <v>3</v>
      </c>
      <c r="AV57">
        <v>99999</v>
      </c>
      <c r="AW57">
        <v>-149002.27014704101</v>
      </c>
      <c r="AX57" s="7">
        <v>45372.58079861111</v>
      </c>
      <c r="AY57" s="7"/>
      <c r="BG57" s="7"/>
      <c r="BO57" s="276">
        <f t="shared" si="0"/>
        <v>0</v>
      </c>
      <c r="BV57" t="str">
        <f t="shared" si="1"/>
        <v/>
      </c>
    </row>
    <row r="58" spans="1:74">
      <c r="A58">
        <v>56</v>
      </c>
      <c r="B58" t="s">
        <v>150</v>
      </c>
      <c r="C58">
        <v>2023</v>
      </c>
      <c r="D58">
        <v>5367</v>
      </c>
      <c r="E58">
        <v>217</v>
      </c>
      <c r="F58">
        <v>2</v>
      </c>
      <c r="G58">
        <v>2</v>
      </c>
      <c r="H58">
        <v>20</v>
      </c>
      <c r="I58">
        <v>60</v>
      </c>
      <c r="J58">
        <v>999</v>
      </c>
      <c r="K58">
        <v>2</v>
      </c>
      <c r="L58">
        <v>11</v>
      </c>
      <c r="M58">
        <v>9</v>
      </c>
      <c r="N58">
        <v>99</v>
      </c>
      <c r="O58">
        <v>9</v>
      </c>
      <c r="P58">
        <v>3</v>
      </c>
      <c r="Q58">
        <v>99999</v>
      </c>
      <c r="R58" s="276">
        <v>101436.715671835</v>
      </c>
      <c r="S58" s="7">
        <v>45372.58079861111</v>
      </c>
      <c r="AG58" t="s">
        <v>150</v>
      </c>
      <c r="AH58">
        <v>2023</v>
      </c>
      <c r="AI58">
        <v>5367</v>
      </c>
      <c r="AJ58">
        <v>217</v>
      </c>
      <c r="AK58">
        <v>2</v>
      </c>
      <c r="AL58">
        <v>2</v>
      </c>
      <c r="AM58">
        <v>22</v>
      </c>
      <c r="AN58">
        <v>60</v>
      </c>
      <c r="AO58">
        <v>241</v>
      </c>
      <c r="AP58">
        <v>2</v>
      </c>
      <c r="AQ58">
        <v>10</v>
      </c>
      <c r="AR58">
        <v>9</v>
      </c>
      <c r="AS58">
        <v>99</v>
      </c>
      <c r="AT58">
        <v>9</v>
      </c>
      <c r="AU58">
        <v>3</v>
      </c>
      <c r="AV58">
        <v>99999</v>
      </c>
      <c r="AW58">
        <v>-3826.9166478441198</v>
      </c>
      <c r="AX58" s="7">
        <v>45372.58079861111</v>
      </c>
      <c r="AY58" s="7"/>
      <c r="BG58" s="7"/>
      <c r="BO58" s="276">
        <f t="shared" si="0"/>
        <v>0</v>
      </c>
      <c r="BV58" t="str">
        <f t="shared" si="1"/>
        <v/>
      </c>
    </row>
    <row r="59" spans="1:74">
      <c r="A59">
        <v>57</v>
      </c>
      <c r="B59" t="s">
        <v>150</v>
      </c>
      <c r="C59">
        <v>2023</v>
      </c>
      <c r="D59">
        <v>5367</v>
      </c>
      <c r="E59">
        <v>217</v>
      </c>
      <c r="F59">
        <v>2</v>
      </c>
      <c r="G59">
        <v>2</v>
      </c>
      <c r="H59">
        <v>20</v>
      </c>
      <c r="I59">
        <v>60</v>
      </c>
      <c r="J59">
        <v>999</v>
      </c>
      <c r="K59">
        <v>2</v>
      </c>
      <c r="L59">
        <v>9</v>
      </c>
      <c r="M59">
        <v>9</v>
      </c>
      <c r="N59">
        <v>99</v>
      </c>
      <c r="O59">
        <v>9</v>
      </c>
      <c r="P59">
        <v>3</v>
      </c>
      <c r="Q59">
        <v>99999</v>
      </c>
      <c r="R59" s="276">
        <v>0</v>
      </c>
      <c r="S59" s="7">
        <v>45372.58079861111</v>
      </c>
      <c r="AG59" t="s">
        <v>150</v>
      </c>
      <c r="AH59">
        <v>2023</v>
      </c>
      <c r="AI59">
        <v>5367</v>
      </c>
      <c r="AJ59">
        <v>217</v>
      </c>
      <c r="AK59">
        <v>2</v>
      </c>
      <c r="AL59">
        <v>2</v>
      </c>
      <c r="AM59">
        <v>22</v>
      </c>
      <c r="AN59">
        <v>60</v>
      </c>
      <c r="AO59">
        <v>241</v>
      </c>
      <c r="AP59">
        <v>2</v>
      </c>
      <c r="AQ59">
        <v>24</v>
      </c>
      <c r="AR59">
        <v>9</v>
      </c>
      <c r="AS59">
        <v>99</v>
      </c>
      <c r="AT59">
        <v>9</v>
      </c>
      <c r="AU59">
        <v>3</v>
      </c>
      <c r="AV59">
        <v>99999</v>
      </c>
      <c r="AW59">
        <v>-23402.332111627798</v>
      </c>
      <c r="AX59" s="7">
        <v>45372.58079861111</v>
      </c>
      <c r="AY59" s="7"/>
      <c r="BG59" s="7"/>
      <c r="BO59" s="276">
        <f t="shared" si="0"/>
        <v>0</v>
      </c>
      <c r="BV59" t="str">
        <f t="shared" si="1"/>
        <v/>
      </c>
    </row>
    <row r="60" spans="1:74">
      <c r="A60">
        <v>58</v>
      </c>
      <c r="B60" t="s">
        <v>150</v>
      </c>
      <c r="C60">
        <v>2023</v>
      </c>
      <c r="D60">
        <v>5367</v>
      </c>
      <c r="E60">
        <v>217</v>
      </c>
      <c r="F60">
        <v>2</v>
      </c>
      <c r="G60">
        <v>2</v>
      </c>
      <c r="H60">
        <v>20</v>
      </c>
      <c r="I60">
        <v>60</v>
      </c>
      <c r="J60">
        <v>999</v>
      </c>
      <c r="K60">
        <v>2</v>
      </c>
      <c r="L60">
        <v>8</v>
      </c>
      <c r="M60">
        <v>9</v>
      </c>
      <c r="N60">
        <v>99</v>
      </c>
      <c r="O60">
        <v>9</v>
      </c>
      <c r="P60">
        <v>3</v>
      </c>
      <c r="Q60">
        <v>99999</v>
      </c>
      <c r="R60" s="276">
        <v>24316.234228647001</v>
      </c>
      <c r="S60" s="7">
        <v>45372.58079861111</v>
      </c>
      <c r="AG60" t="s">
        <v>150</v>
      </c>
      <c r="AH60">
        <v>2023</v>
      </c>
      <c r="AI60">
        <v>5367</v>
      </c>
      <c r="AJ60">
        <v>217</v>
      </c>
      <c r="AK60">
        <v>2</v>
      </c>
      <c r="AL60">
        <v>2</v>
      </c>
      <c r="AM60">
        <v>22</v>
      </c>
      <c r="AN60">
        <v>60</v>
      </c>
      <c r="AO60">
        <v>241</v>
      </c>
      <c r="AP60">
        <v>3</v>
      </c>
      <c r="AQ60">
        <v>15</v>
      </c>
      <c r="AR60">
        <v>9</v>
      </c>
      <c r="AS60">
        <v>99</v>
      </c>
      <c r="AT60">
        <v>9</v>
      </c>
      <c r="AU60">
        <v>3</v>
      </c>
      <c r="AV60">
        <v>99999</v>
      </c>
      <c r="AW60">
        <v>0</v>
      </c>
      <c r="AX60" s="7">
        <v>45372.58079861111</v>
      </c>
      <c r="AY60" s="7"/>
      <c r="BG60" s="7"/>
      <c r="BO60" s="276">
        <f t="shared" si="0"/>
        <v>0</v>
      </c>
      <c r="BV60" t="str">
        <f t="shared" si="1"/>
        <v/>
      </c>
    </row>
    <row r="61" spans="1:74">
      <c r="A61">
        <v>59</v>
      </c>
      <c r="B61" t="s">
        <v>150</v>
      </c>
      <c r="C61">
        <v>2023</v>
      </c>
      <c r="D61">
        <v>5367</v>
      </c>
      <c r="E61">
        <v>217</v>
      </c>
      <c r="F61">
        <v>2</v>
      </c>
      <c r="G61">
        <v>2</v>
      </c>
      <c r="H61">
        <v>20</v>
      </c>
      <c r="I61">
        <v>60</v>
      </c>
      <c r="J61">
        <v>999</v>
      </c>
      <c r="K61">
        <v>2</v>
      </c>
      <c r="L61">
        <v>10</v>
      </c>
      <c r="M61">
        <v>9</v>
      </c>
      <c r="N61">
        <v>99</v>
      </c>
      <c r="O61">
        <v>9</v>
      </c>
      <c r="P61">
        <v>3</v>
      </c>
      <c r="Q61">
        <v>99999</v>
      </c>
      <c r="R61" s="276">
        <v>4071.9954421698399</v>
      </c>
      <c r="S61" s="7">
        <v>45372.58079861111</v>
      </c>
      <c r="AG61" t="s">
        <v>150</v>
      </c>
      <c r="AH61">
        <v>2023</v>
      </c>
      <c r="AI61">
        <v>5367</v>
      </c>
      <c r="AJ61">
        <v>217</v>
      </c>
      <c r="AK61">
        <v>2</v>
      </c>
      <c r="AL61">
        <v>2</v>
      </c>
      <c r="AM61">
        <v>22</v>
      </c>
      <c r="AN61">
        <v>60</v>
      </c>
      <c r="AO61">
        <v>241</v>
      </c>
      <c r="AP61">
        <v>3</v>
      </c>
      <c r="AQ61">
        <v>25</v>
      </c>
      <c r="AR61">
        <v>9</v>
      </c>
      <c r="AS61">
        <v>99</v>
      </c>
      <c r="AT61">
        <v>9</v>
      </c>
      <c r="AU61">
        <v>3</v>
      </c>
      <c r="AV61">
        <v>99999</v>
      </c>
      <c r="AW61">
        <v>0</v>
      </c>
      <c r="AX61" s="7">
        <v>45372.58079861111</v>
      </c>
      <c r="AY61" s="7"/>
      <c r="BG61" s="7"/>
      <c r="BO61" s="276">
        <f t="shared" si="0"/>
        <v>0</v>
      </c>
      <c r="BV61" t="str">
        <f t="shared" si="1"/>
        <v/>
      </c>
    </row>
    <row r="62" spans="1:74">
      <c r="A62">
        <v>60</v>
      </c>
      <c r="B62" t="s">
        <v>150</v>
      </c>
      <c r="C62">
        <v>2023</v>
      </c>
      <c r="D62">
        <v>5367</v>
      </c>
      <c r="E62">
        <v>217</v>
      </c>
      <c r="F62">
        <v>2</v>
      </c>
      <c r="G62">
        <v>2</v>
      </c>
      <c r="H62">
        <v>20</v>
      </c>
      <c r="I62">
        <v>60</v>
      </c>
      <c r="J62">
        <v>999</v>
      </c>
      <c r="K62">
        <v>2</v>
      </c>
      <c r="L62">
        <v>24</v>
      </c>
      <c r="M62">
        <v>9</v>
      </c>
      <c r="N62">
        <v>99</v>
      </c>
      <c r="O62">
        <v>9</v>
      </c>
      <c r="P62">
        <v>3</v>
      </c>
      <c r="Q62">
        <v>99999</v>
      </c>
      <c r="R62" s="276">
        <v>567.58364929616403</v>
      </c>
      <c r="S62" s="7">
        <v>45372.58079861111</v>
      </c>
      <c r="AG62" t="s">
        <v>150</v>
      </c>
      <c r="AH62">
        <v>2023</v>
      </c>
      <c r="AI62">
        <v>5367</v>
      </c>
      <c r="AJ62">
        <v>217</v>
      </c>
      <c r="AK62">
        <v>2</v>
      </c>
      <c r="AL62">
        <v>2</v>
      </c>
      <c r="AM62">
        <v>22</v>
      </c>
      <c r="AN62">
        <v>60</v>
      </c>
      <c r="AO62">
        <v>241</v>
      </c>
      <c r="AP62">
        <v>1</v>
      </c>
      <c r="AQ62">
        <v>1</v>
      </c>
      <c r="AR62">
        <v>9</v>
      </c>
      <c r="AS62">
        <v>99</v>
      </c>
      <c r="AT62">
        <v>9</v>
      </c>
      <c r="AU62">
        <v>3</v>
      </c>
      <c r="AV62">
        <v>99999</v>
      </c>
      <c r="AW62">
        <v>0</v>
      </c>
      <c r="AX62" s="7">
        <v>45372.58079861111</v>
      </c>
      <c r="AY62" s="7"/>
      <c r="BG62" s="7"/>
      <c r="BO62" s="276">
        <f t="shared" si="0"/>
        <v>0</v>
      </c>
      <c r="BV62" t="str">
        <f t="shared" si="1"/>
        <v/>
      </c>
    </row>
    <row r="63" spans="1:74">
      <c r="A63">
        <v>61</v>
      </c>
      <c r="B63" t="s">
        <v>150</v>
      </c>
      <c r="C63">
        <v>2023</v>
      </c>
      <c r="D63">
        <v>5367</v>
      </c>
      <c r="E63">
        <v>217</v>
      </c>
      <c r="F63">
        <v>2</v>
      </c>
      <c r="G63">
        <v>2</v>
      </c>
      <c r="H63">
        <v>20</v>
      </c>
      <c r="I63">
        <v>60</v>
      </c>
      <c r="J63">
        <v>999</v>
      </c>
      <c r="K63">
        <v>3</v>
      </c>
      <c r="L63">
        <v>17</v>
      </c>
      <c r="M63">
        <v>9</v>
      </c>
      <c r="N63">
        <v>99</v>
      </c>
      <c r="O63">
        <v>9</v>
      </c>
      <c r="P63">
        <v>3</v>
      </c>
      <c r="Q63">
        <v>99999</v>
      </c>
      <c r="R63" s="276">
        <v>0</v>
      </c>
      <c r="S63" s="7">
        <v>45372.58079861111</v>
      </c>
      <c r="AG63" t="s">
        <v>150</v>
      </c>
      <c r="AH63">
        <v>2023</v>
      </c>
      <c r="AI63">
        <v>5367</v>
      </c>
      <c r="AJ63">
        <v>217</v>
      </c>
      <c r="AK63">
        <v>2</v>
      </c>
      <c r="AL63">
        <v>2</v>
      </c>
      <c r="AM63">
        <v>22</v>
      </c>
      <c r="AN63">
        <v>60</v>
      </c>
      <c r="AO63">
        <v>241</v>
      </c>
      <c r="AP63">
        <v>1</v>
      </c>
      <c r="AQ63">
        <v>1</v>
      </c>
      <c r="AR63">
        <v>9</v>
      </c>
      <c r="AS63">
        <v>99</v>
      </c>
      <c r="AT63">
        <v>9</v>
      </c>
      <c r="AU63">
        <v>3</v>
      </c>
      <c r="AV63">
        <v>99999</v>
      </c>
      <c r="AW63">
        <v>0</v>
      </c>
      <c r="AX63" s="7">
        <v>45372.58079861111</v>
      </c>
      <c r="AY63" s="7"/>
      <c r="BG63" s="7"/>
      <c r="BO63" s="276">
        <f t="shared" si="0"/>
        <v>0</v>
      </c>
      <c r="BV63" t="str">
        <f t="shared" si="1"/>
        <v/>
      </c>
    </row>
    <row r="64" spans="1:74">
      <c r="A64">
        <v>62</v>
      </c>
      <c r="B64" t="s">
        <v>150</v>
      </c>
      <c r="C64">
        <v>2023</v>
      </c>
      <c r="D64">
        <v>5367</v>
      </c>
      <c r="E64">
        <v>217</v>
      </c>
      <c r="F64">
        <v>2</v>
      </c>
      <c r="G64">
        <v>2</v>
      </c>
      <c r="H64">
        <v>20</v>
      </c>
      <c r="I64">
        <v>60</v>
      </c>
      <c r="J64">
        <v>999</v>
      </c>
      <c r="K64">
        <v>3</v>
      </c>
      <c r="L64">
        <v>16</v>
      </c>
      <c r="M64">
        <v>9</v>
      </c>
      <c r="N64">
        <v>99</v>
      </c>
      <c r="O64">
        <v>9</v>
      </c>
      <c r="P64">
        <v>3</v>
      </c>
      <c r="Q64">
        <v>99999</v>
      </c>
      <c r="R64" s="276">
        <v>0</v>
      </c>
      <c r="S64" s="7">
        <v>45372.58079861111</v>
      </c>
      <c r="AG64" t="s">
        <v>150</v>
      </c>
      <c r="AH64">
        <v>2023</v>
      </c>
      <c r="AI64">
        <v>5367</v>
      </c>
      <c r="AJ64">
        <v>217</v>
      </c>
      <c r="AK64">
        <v>2</v>
      </c>
      <c r="AL64">
        <v>2</v>
      </c>
      <c r="AM64">
        <v>22</v>
      </c>
      <c r="AN64">
        <v>60</v>
      </c>
      <c r="AO64">
        <v>241</v>
      </c>
      <c r="AP64">
        <v>1</v>
      </c>
      <c r="AQ64">
        <v>1</v>
      </c>
      <c r="AR64">
        <v>9</v>
      </c>
      <c r="AS64">
        <v>99</v>
      </c>
      <c r="AT64">
        <v>9</v>
      </c>
      <c r="AU64">
        <v>3</v>
      </c>
      <c r="AV64">
        <v>99999</v>
      </c>
      <c r="AW64">
        <v>0</v>
      </c>
      <c r="AX64" s="7">
        <v>45372.58079861111</v>
      </c>
      <c r="AY64" s="7"/>
      <c r="BG64" s="7"/>
      <c r="BO64" s="276">
        <f t="shared" si="0"/>
        <v>0</v>
      </c>
      <c r="BV64" t="str">
        <f t="shared" si="1"/>
        <v/>
      </c>
    </row>
    <row r="65" spans="1:74">
      <c r="A65">
        <v>63</v>
      </c>
      <c r="B65" t="s">
        <v>150</v>
      </c>
      <c r="C65">
        <v>2023</v>
      </c>
      <c r="D65">
        <v>5367</v>
      </c>
      <c r="E65">
        <v>217</v>
      </c>
      <c r="F65">
        <v>2</v>
      </c>
      <c r="G65">
        <v>2</v>
      </c>
      <c r="H65">
        <v>20</v>
      </c>
      <c r="I65">
        <v>60</v>
      </c>
      <c r="J65">
        <v>999</v>
      </c>
      <c r="K65">
        <v>3</v>
      </c>
      <c r="L65">
        <v>17</v>
      </c>
      <c r="M65">
        <v>9</v>
      </c>
      <c r="N65">
        <v>99</v>
      </c>
      <c r="O65">
        <v>9</v>
      </c>
      <c r="P65">
        <v>3</v>
      </c>
      <c r="Q65">
        <v>99999</v>
      </c>
      <c r="R65" s="276">
        <v>-159651.55851015</v>
      </c>
      <c r="S65" s="7">
        <v>45372.58079861111</v>
      </c>
      <c r="AG65" t="s">
        <v>150</v>
      </c>
      <c r="AH65">
        <v>2023</v>
      </c>
      <c r="AI65">
        <v>5367</v>
      </c>
      <c r="AJ65">
        <v>217</v>
      </c>
      <c r="AK65">
        <v>2</v>
      </c>
      <c r="AL65">
        <v>2</v>
      </c>
      <c r="AM65">
        <v>22</v>
      </c>
      <c r="AN65">
        <v>60</v>
      </c>
      <c r="AO65">
        <v>241</v>
      </c>
      <c r="AP65">
        <v>1</v>
      </c>
      <c r="AQ65">
        <v>1</v>
      </c>
      <c r="AR65">
        <v>9</v>
      </c>
      <c r="AS65">
        <v>99</v>
      </c>
      <c r="AT65">
        <v>9</v>
      </c>
      <c r="AU65">
        <v>3</v>
      </c>
      <c r="AV65">
        <v>99999</v>
      </c>
      <c r="AW65">
        <v>0</v>
      </c>
      <c r="AX65" s="7">
        <v>45372.58079861111</v>
      </c>
      <c r="AY65" s="7"/>
      <c r="BG65" s="7"/>
      <c r="BO65" s="276">
        <f t="shared" si="0"/>
        <v>0</v>
      </c>
      <c r="BV65" t="str">
        <f t="shared" si="1"/>
        <v/>
      </c>
    </row>
    <row r="66" spans="1:74">
      <c r="A66">
        <v>64</v>
      </c>
      <c r="B66" t="s">
        <v>150</v>
      </c>
      <c r="C66">
        <v>2023</v>
      </c>
      <c r="D66">
        <v>5367</v>
      </c>
      <c r="E66">
        <v>217</v>
      </c>
      <c r="F66">
        <v>2</v>
      </c>
      <c r="G66">
        <v>2</v>
      </c>
      <c r="H66">
        <v>20</v>
      </c>
      <c r="I66">
        <v>60</v>
      </c>
      <c r="J66">
        <v>999</v>
      </c>
      <c r="K66">
        <v>3</v>
      </c>
      <c r="L66">
        <v>18</v>
      </c>
      <c r="M66">
        <v>9</v>
      </c>
      <c r="N66">
        <v>99</v>
      </c>
      <c r="O66">
        <v>9</v>
      </c>
      <c r="P66">
        <v>3</v>
      </c>
      <c r="Q66">
        <v>99999</v>
      </c>
      <c r="R66" s="276">
        <v>-109959.379966947</v>
      </c>
      <c r="S66" s="7">
        <v>45372.58079861111</v>
      </c>
      <c r="AG66" t="s">
        <v>150</v>
      </c>
      <c r="AH66">
        <v>2023</v>
      </c>
      <c r="AI66">
        <v>5367</v>
      </c>
      <c r="AJ66">
        <v>217</v>
      </c>
      <c r="AK66">
        <v>2</v>
      </c>
      <c r="AL66">
        <v>2</v>
      </c>
      <c r="AM66">
        <v>22</v>
      </c>
      <c r="AN66">
        <v>60</v>
      </c>
      <c r="AO66">
        <v>106</v>
      </c>
      <c r="AP66">
        <v>2</v>
      </c>
      <c r="AQ66">
        <v>11</v>
      </c>
      <c r="AR66">
        <v>9</v>
      </c>
      <c r="AS66">
        <v>99</v>
      </c>
      <c r="AT66">
        <v>9</v>
      </c>
      <c r="AU66">
        <v>3</v>
      </c>
      <c r="AV66">
        <v>99999</v>
      </c>
      <c r="AW66">
        <v>-309628.60434499901</v>
      </c>
      <c r="AX66" s="7">
        <v>45372.58079861111</v>
      </c>
      <c r="AY66" s="7"/>
      <c r="BG66" s="7"/>
      <c r="BO66" s="276">
        <f t="shared" si="0"/>
        <v>0</v>
      </c>
      <c r="BV66" t="str">
        <f t="shared" si="1"/>
        <v/>
      </c>
    </row>
    <row r="67" spans="1:74">
      <c r="A67">
        <v>65</v>
      </c>
      <c r="B67" t="s">
        <v>150</v>
      </c>
      <c r="C67">
        <v>2023</v>
      </c>
      <c r="D67">
        <v>5367</v>
      </c>
      <c r="E67">
        <v>217</v>
      </c>
      <c r="F67">
        <v>2</v>
      </c>
      <c r="G67">
        <v>2</v>
      </c>
      <c r="H67">
        <v>20</v>
      </c>
      <c r="I67">
        <v>60</v>
      </c>
      <c r="J67">
        <v>999</v>
      </c>
      <c r="K67">
        <v>3</v>
      </c>
      <c r="L67">
        <v>12</v>
      </c>
      <c r="M67">
        <v>9</v>
      </c>
      <c r="N67">
        <v>99</v>
      </c>
      <c r="O67">
        <v>9</v>
      </c>
      <c r="P67">
        <v>3</v>
      </c>
      <c r="Q67">
        <v>99999</v>
      </c>
      <c r="R67" s="276">
        <v>0</v>
      </c>
      <c r="S67" s="7">
        <v>45372.58079861111</v>
      </c>
      <c r="AG67" t="s">
        <v>150</v>
      </c>
      <c r="AH67">
        <v>2023</v>
      </c>
      <c r="AI67">
        <v>5367</v>
      </c>
      <c r="AJ67">
        <v>217</v>
      </c>
      <c r="AK67">
        <v>2</v>
      </c>
      <c r="AL67">
        <v>2</v>
      </c>
      <c r="AM67">
        <v>22</v>
      </c>
      <c r="AN67">
        <v>60</v>
      </c>
      <c r="AO67">
        <v>106</v>
      </c>
      <c r="AP67">
        <v>2</v>
      </c>
      <c r="AQ67">
        <v>9</v>
      </c>
      <c r="AR67">
        <v>9</v>
      </c>
      <c r="AS67">
        <v>99</v>
      </c>
      <c r="AT67">
        <v>9</v>
      </c>
      <c r="AU67">
        <v>3</v>
      </c>
      <c r="AV67">
        <v>99999</v>
      </c>
      <c r="AW67">
        <v>0</v>
      </c>
      <c r="AX67" s="7">
        <v>45372.58079861111</v>
      </c>
      <c r="AY67" s="7"/>
      <c r="BG67" s="7"/>
      <c r="BO67" s="276">
        <f t="shared" ref="BO67:BO130" si="2">BM67+BN67</f>
        <v>0</v>
      </c>
      <c r="BV67" t="str">
        <f t="shared" ref="BV67:BV130" si="3">CONCATENATE(BX67,BY67,BW67,CA67)</f>
        <v/>
      </c>
    </row>
    <row r="68" spans="1:74">
      <c r="A68">
        <v>66</v>
      </c>
      <c r="B68" t="s">
        <v>150</v>
      </c>
      <c r="C68">
        <v>2023</v>
      </c>
      <c r="D68">
        <v>5367</v>
      </c>
      <c r="E68">
        <v>217</v>
      </c>
      <c r="F68">
        <v>2</v>
      </c>
      <c r="G68">
        <v>2</v>
      </c>
      <c r="H68">
        <v>20</v>
      </c>
      <c r="I68">
        <v>60</v>
      </c>
      <c r="J68">
        <v>999</v>
      </c>
      <c r="K68">
        <v>3</v>
      </c>
      <c r="L68">
        <v>19</v>
      </c>
      <c r="M68">
        <v>9</v>
      </c>
      <c r="N68">
        <v>99</v>
      </c>
      <c r="O68">
        <v>9</v>
      </c>
      <c r="P68">
        <v>3</v>
      </c>
      <c r="Q68">
        <v>99999</v>
      </c>
      <c r="R68" s="276">
        <v>0</v>
      </c>
      <c r="S68" s="7">
        <v>45372.58079861111</v>
      </c>
      <c r="AG68" t="s">
        <v>150</v>
      </c>
      <c r="AH68">
        <v>2023</v>
      </c>
      <c r="AI68">
        <v>5367</v>
      </c>
      <c r="AJ68">
        <v>217</v>
      </c>
      <c r="AK68">
        <v>2</v>
      </c>
      <c r="AL68">
        <v>2</v>
      </c>
      <c r="AM68">
        <v>22</v>
      </c>
      <c r="AN68">
        <v>60</v>
      </c>
      <c r="AO68">
        <v>106</v>
      </c>
      <c r="AP68">
        <v>2</v>
      </c>
      <c r="AQ68">
        <v>8</v>
      </c>
      <c r="AR68">
        <v>9</v>
      </c>
      <c r="AS68">
        <v>99</v>
      </c>
      <c r="AT68">
        <v>9</v>
      </c>
      <c r="AU68">
        <v>3</v>
      </c>
      <c r="AV68">
        <v>99999</v>
      </c>
      <c r="AW68">
        <v>-50632.6828866715</v>
      </c>
      <c r="AX68" s="7">
        <v>45372.58079861111</v>
      </c>
      <c r="AY68" s="7"/>
      <c r="BG68" s="7"/>
      <c r="BO68" s="276">
        <f t="shared" si="2"/>
        <v>0</v>
      </c>
      <c r="BV68" t="str">
        <f t="shared" si="3"/>
        <v/>
      </c>
    </row>
    <row r="69" spans="1:74">
      <c r="A69">
        <v>67</v>
      </c>
      <c r="B69" t="s">
        <v>150</v>
      </c>
      <c r="C69">
        <v>2023</v>
      </c>
      <c r="D69">
        <v>5367</v>
      </c>
      <c r="E69">
        <v>217</v>
      </c>
      <c r="F69">
        <v>2</v>
      </c>
      <c r="G69">
        <v>2</v>
      </c>
      <c r="H69">
        <v>20</v>
      </c>
      <c r="I69">
        <v>60</v>
      </c>
      <c r="J69">
        <v>999</v>
      </c>
      <c r="K69">
        <v>4</v>
      </c>
      <c r="L69">
        <v>999</v>
      </c>
      <c r="M69">
        <v>9</v>
      </c>
      <c r="N69">
        <v>99</v>
      </c>
      <c r="O69">
        <v>9</v>
      </c>
      <c r="P69">
        <v>3</v>
      </c>
      <c r="Q69">
        <v>99999</v>
      </c>
      <c r="R69" s="276">
        <v>0</v>
      </c>
      <c r="S69" s="7">
        <v>45372.58079861111</v>
      </c>
      <c r="AG69" t="s">
        <v>150</v>
      </c>
      <c r="AH69">
        <v>2023</v>
      </c>
      <c r="AI69">
        <v>5367</v>
      </c>
      <c r="AJ69">
        <v>217</v>
      </c>
      <c r="AK69">
        <v>2</v>
      </c>
      <c r="AL69">
        <v>2</v>
      </c>
      <c r="AM69">
        <v>22</v>
      </c>
      <c r="AN69">
        <v>60</v>
      </c>
      <c r="AO69">
        <v>106</v>
      </c>
      <c r="AP69">
        <v>2</v>
      </c>
      <c r="AQ69">
        <v>10</v>
      </c>
      <c r="AR69">
        <v>9</v>
      </c>
      <c r="AS69">
        <v>99</v>
      </c>
      <c r="AT69">
        <v>9</v>
      </c>
      <c r="AU69">
        <v>3</v>
      </c>
      <c r="AV69">
        <v>99999</v>
      </c>
      <c r="AW69">
        <v>-1300.43023420246</v>
      </c>
      <c r="AX69" s="7">
        <v>45372.58079861111</v>
      </c>
      <c r="AY69" s="7"/>
      <c r="BG69" s="7"/>
      <c r="BO69" s="276">
        <f t="shared" si="2"/>
        <v>0</v>
      </c>
      <c r="BV69" t="str">
        <f t="shared" si="3"/>
        <v/>
      </c>
    </row>
    <row r="70" spans="1:74">
      <c r="A70">
        <v>68</v>
      </c>
      <c r="B70" t="s">
        <v>150</v>
      </c>
      <c r="C70">
        <v>2023</v>
      </c>
      <c r="D70">
        <v>5367</v>
      </c>
      <c r="E70">
        <v>217</v>
      </c>
      <c r="F70">
        <v>1</v>
      </c>
      <c r="G70">
        <v>1</v>
      </c>
      <c r="H70">
        <v>8</v>
      </c>
      <c r="I70">
        <v>999999</v>
      </c>
      <c r="J70">
        <v>999</v>
      </c>
      <c r="K70">
        <v>2</v>
      </c>
      <c r="L70">
        <v>999</v>
      </c>
      <c r="M70">
        <v>9</v>
      </c>
      <c r="N70">
        <v>99</v>
      </c>
      <c r="O70">
        <v>9</v>
      </c>
      <c r="P70">
        <v>3</v>
      </c>
      <c r="Q70">
        <v>99999</v>
      </c>
      <c r="R70" s="276">
        <v>850583.85204962594</v>
      </c>
      <c r="S70" s="7">
        <v>45372.58079861111</v>
      </c>
      <c r="AG70" t="s">
        <v>150</v>
      </c>
      <c r="AH70">
        <v>2023</v>
      </c>
      <c r="AI70">
        <v>5367</v>
      </c>
      <c r="AJ70">
        <v>217</v>
      </c>
      <c r="AK70">
        <v>2</v>
      </c>
      <c r="AL70">
        <v>2</v>
      </c>
      <c r="AM70">
        <v>22</v>
      </c>
      <c r="AN70">
        <v>60</v>
      </c>
      <c r="AO70">
        <v>106</v>
      </c>
      <c r="AP70">
        <v>2</v>
      </c>
      <c r="AQ70">
        <v>24</v>
      </c>
      <c r="AR70">
        <v>9</v>
      </c>
      <c r="AS70">
        <v>99</v>
      </c>
      <c r="AT70">
        <v>9</v>
      </c>
      <c r="AU70">
        <v>3</v>
      </c>
      <c r="AV70">
        <v>99999</v>
      </c>
      <c r="AW70">
        <v>-7952.3812586700296</v>
      </c>
      <c r="AX70" s="7">
        <v>45372.58079861111</v>
      </c>
      <c r="AY70" s="7"/>
      <c r="BG70" s="7"/>
      <c r="BO70" s="276">
        <f t="shared" si="2"/>
        <v>0</v>
      </c>
      <c r="BV70" t="str">
        <f t="shared" si="3"/>
        <v/>
      </c>
    </row>
    <row r="71" spans="1:74">
      <c r="A71">
        <v>69</v>
      </c>
      <c r="B71" t="s">
        <v>150</v>
      </c>
      <c r="C71">
        <v>2023</v>
      </c>
      <c r="D71">
        <v>5367</v>
      </c>
      <c r="E71">
        <v>217</v>
      </c>
      <c r="F71">
        <v>1</v>
      </c>
      <c r="G71">
        <v>1</v>
      </c>
      <c r="H71">
        <v>17</v>
      </c>
      <c r="I71">
        <v>999999</v>
      </c>
      <c r="J71">
        <v>999</v>
      </c>
      <c r="K71">
        <v>2</v>
      </c>
      <c r="L71">
        <v>999</v>
      </c>
      <c r="M71">
        <v>9</v>
      </c>
      <c r="N71">
        <v>99</v>
      </c>
      <c r="O71">
        <v>9</v>
      </c>
      <c r="P71">
        <v>2</v>
      </c>
      <c r="Q71">
        <v>0</v>
      </c>
      <c r="R71" s="276">
        <v>11423.951178941799</v>
      </c>
      <c r="S71" s="7">
        <v>45372.58079861111</v>
      </c>
      <c r="AG71" t="s">
        <v>150</v>
      </c>
      <c r="AH71">
        <v>2023</v>
      </c>
      <c r="AI71">
        <v>5367</v>
      </c>
      <c r="AJ71">
        <v>217</v>
      </c>
      <c r="AK71">
        <v>2</v>
      </c>
      <c r="AL71">
        <v>2</v>
      </c>
      <c r="AM71">
        <v>22</v>
      </c>
      <c r="AN71">
        <v>60</v>
      </c>
      <c r="AO71">
        <v>120</v>
      </c>
      <c r="AP71">
        <v>4</v>
      </c>
      <c r="AQ71">
        <v>999</v>
      </c>
      <c r="AR71">
        <v>9</v>
      </c>
      <c r="AS71">
        <v>99</v>
      </c>
      <c r="AT71">
        <v>9</v>
      </c>
      <c r="AU71">
        <v>3</v>
      </c>
      <c r="AV71">
        <v>99999</v>
      </c>
      <c r="AW71">
        <v>0</v>
      </c>
      <c r="AX71" s="7">
        <v>45372.58079861111</v>
      </c>
      <c r="AY71" s="7"/>
      <c r="BG71" s="7"/>
      <c r="BO71" s="276">
        <f t="shared" si="2"/>
        <v>0</v>
      </c>
      <c r="BV71" t="str">
        <f t="shared" si="3"/>
        <v/>
      </c>
    </row>
    <row r="72" spans="1:74">
      <c r="A72">
        <v>70</v>
      </c>
      <c r="B72" t="s">
        <v>150</v>
      </c>
      <c r="C72">
        <v>2023</v>
      </c>
      <c r="D72">
        <v>5367</v>
      </c>
      <c r="E72">
        <v>217</v>
      </c>
      <c r="F72">
        <v>1</v>
      </c>
      <c r="G72">
        <v>1</v>
      </c>
      <c r="H72">
        <v>17</v>
      </c>
      <c r="I72">
        <v>999999</v>
      </c>
      <c r="J72">
        <v>999</v>
      </c>
      <c r="K72">
        <v>2</v>
      </c>
      <c r="L72">
        <v>999</v>
      </c>
      <c r="M72">
        <v>9</v>
      </c>
      <c r="N72">
        <v>99</v>
      </c>
      <c r="O72">
        <v>9</v>
      </c>
      <c r="P72">
        <v>3</v>
      </c>
      <c r="Q72">
        <v>0</v>
      </c>
      <c r="R72" s="276">
        <v>1987821.2267206199</v>
      </c>
      <c r="S72" s="7">
        <v>45372.58079861111</v>
      </c>
      <c r="AG72" t="s">
        <v>150</v>
      </c>
      <c r="AH72">
        <v>2023</v>
      </c>
      <c r="AI72">
        <v>5367</v>
      </c>
      <c r="AJ72">
        <v>217</v>
      </c>
      <c r="AK72">
        <v>2</v>
      </c>
      <c r="AL72">
        <v>2</v>
      </c>
      <c r="AM72">
        <v>22</v>
      </c>
      <c r="AN72">
        <v>60</v>
      </c>
      <c r="AO72">
        <v>167</v>
      </c>
      <c r="AP72">
        <v>4</v>
      </c>
      <c r="AQ72">
        <v>999</v>
      </c>
      <c r="AR72">
        <v>9</v>
      </c>
      <c r="AS72">
        <v>99</v>
      </c>
      <c r="AT72">
        <v>9</v>
      </c>
      <c r="AU72">
        <v>3</v>
      </c>
      <c r="AV72">
        <v>99999</v>
      </c>
      <c r="AW72">
        <v>0</v>
      </c>
      <c r="AX72" s="7">
        <v>45372.58079861111</v>
      </c>
      <c r="AY72" s="7"/>
      <c r="BO72" s="276">
        <f t="shared" si="2"/>
        <v>0</v>
      </c>
      <c r="BV72" t="str">
        <f t="shared" si="3"/>
        <v/>
      </c>
    </row>
    <row r="73" spans="1:74">
      <c r="A73">
        <v>71</v>
      </c>
      <c r="B73" t="s">
        <v>150</v>
      </c>
      <c r="C73">
        <v>2023</v>
      </c>
      <c r="D73">
        <v>5367</v>
      </c>
      <c r="E73">
        <v>217</v>
      </c>
      <c r="F73">
        <v>2</v>
      </c>
      <c r="G73">
        <v>1</v>
      </c>
      <c r="H73">
        <v>51</v>
      </c>
      <c r="I73">
        <v>999999</v>
      </c>
      <c r="J73">
        <v>999</v>
      </c>
      <c r="K73">
        <v>3</v>
      </c>
      <c r="L73">
        <v>28</v>
      </c>
      <c r="M73">
        <v>2</v>
      </c>
      <c r="N73">
        <v>99</v>
      </c>
      <c r="O73">
        <v>9</v>
      </c>
      <c r="P73">
        <v>3</v>
      </c>
      <c r="Q73">
        <v>99999</v>
      </c>
      <c r="R73" s="276">
        <v>-102804.124043207</v>
      </c>
      <c r="S73" s="7">
        <v>45372.58079861111</v>
      </c>
      <c r="AG73" t="s">
        <v>150</v>
      </c>
      <c r="AH73">
        <v>2023</v>
      </c>
      <c r="AI73">
        <v>5367</v>
      </c>
      <c r="AJ73">
        <v>217</v>
      </c>
      <c r="AK73">
        <v>2</v>
      </c>
      <c r="AL73">
        <v>2</v>
      </c>
      <c r="AM73">
        <v>22</v>
      </c>
      <c r="AN73">
        <v>60</v>
      </c>
      <c r="AO73">
        <v>178</v>
      </c>
      <c r="AP73">
        <v>1</v>
      </c>
      <c r="AQ73">
        <v>7</v>
      </c>
      <c r="AR73">
        <v>9</v>
      </c>
      <c r="AS73">
        <v>99</v>
      </c>
      <c r="AT73">
        <v>9</v>
      </c>
      <c r="AU73">
        <v>3</v>
      </c>
      <c r="AV73">
        <v>99999</v>
      </c>
      <c r="AW73">
        <v>-12881.8067004103</v>
      </c>
      <c r="AX73" s="7">
        <v>45372.58079861111</v>
      </c>
      <c r="AY73" s="7"/>
      <c r="BO73" s="276">
        <f t="shared" si="2"/>
        <v>0</v>
      </c>
      <c r="BV73" t="str">
        <f t="shared" si="3"/>
        <v/>
      </c>
    </row>
    <row r="74" spans="1:74">
      <c r="A74">
        <v>72</v>
      </c>
      <c r="B74" t="s">
        <v>150</v>
      </c>
      <c r="C74">
        <v>2023</v>
      </c>
      <c r="D74">
        <v>5367</v>
      </c>
      <c r="E74">
        <v>217</v>
      </c>
      <c r="F74">
        <v>2</v>
      </c>
      <c r="G74">
        <v>2</v>
      </c>
      <c r="H74">
        <v>20</v>
      </c>
      <c r="I74">
        <v>60</v>
      </c>
      <c r="J74">
        <v>999</v>
      </c>
      <c r="K74">
        <v>3</v>
      </c>
      <c r="L74">
        <v>14</v>
      </c>
      <c r="M74">
        <v>9</v>
      </c>
      <c r="N74">
        <v>99</v>
      </c>
      <c r="O74">
        <v>9</v>
      </c>
      <c r="P74">
        <v>3</v>
      </c>
      <c r="Q74">
        <v>99999</v>
      </c>
      <c r="R74" s="276">
        <v>-17476.389086761701</v>
      </c>
      <c r="S74" s="7">
        <v>45372.58079861111</v>
      </c>
      <c r="AG74" t="s">
        <v>150</v>
      </c>
      <c r="AH74">
        <v>2023</v>
      </c>
      <c r="AI74">
        <v>5367</v>
      </c>
      <c r="AJ74">
        <v>217</v>
      </c>
      <c r="AK74">
        <v>2</v>
      </c>
      <c r="AL74">
        <v>2</v>
      </c>
      <c r="AM74">
        <v>20</v>
      </c>
      <c r="AN74">
        <v>60</v>
      </c>
      <c r="AO74">
        <v>179</v>
      </c>
      <c r="AP74">
        <v>99</v>
      </c>
      <c r="AQ74">
        <v>999</v>
      </c>
      <c r="AR74">
        <v>3</v>
      </c>
      <c r="AS74">
        <v>99</v>
      </c>
      <c r="AT74">
        <v>9</v>
      </c>
      <c r="AU74">
        <v>3</v>
      </c>
      <c r="AV74">
        <v>99999</v>
      </c>
      <c r="AW74">
        <v>0</v>
      </c>
      <c r="AX74" s="7">
        <v>45372.58079861111</v>
      </c>
      <c r="AY74" s="7"/>
      <c r="BO74" s="276">
        <f t="shared" si="2"/>
        <v>0</v>
      </c>
      <c r="BV74" t="str">
        <f t="shared" si="3"/>
        <v/>
      </c>
    </row>
    <row r="75" spans="1:74">
      <c r="A75">
        <v>73</v>
      </c>
      <c r="B75" t="s">
        <v>150</v>
      </c>
      <c r="C75">
        <v>2023</v>
      </c>
      <c r="D75">
        <v>5367</v>
      </c>
      <c r="E75">
        <v>217</v>
      </c>
      <c r="F75">
        <v>2</v>
      </c>
      <c r="G75">
        <v>2</v>
      </c>
      <c r="H75">
        <v>20</v>
      </c>
      <c r="I75">
        <v>60</v>
      </c>
      <c r="J75">
        <v>999</v>
      </c>
      <c r="K75">
        <v>3</v>
      </c>
      <c r="L75">
        <v>15</v>
      </c>
      <c r="M75">
        <v>9</v>
      </c>
      <c r="N75">
        <v>99</v>
      </c>
      <c r="O75">
        <v>9</v>
      </c>
      <c r="P75">
        <v>3</v>
      </c>
      <c r="Q75">
        <v>99999</v>
      </c>
      <c r="R75" s="276">
        <v>-698284.49589797296</v>
      </c>
      <c r="S75" s="7">
        <v>45372.58079861111</v>
      </c>
      <c r="AG75" t="s">
        <v>150</v>
      </c>
      <c r="AH75">
        <v>2023</v>
      </c>
      <c r="AI75">
        <v>5367</v>
      </c>
      <c r="AJ75">
        <v>217</v>
      </c>
      <c r="AK75">
        <v>2</v>
      </c>
      <c r="AL75">
        <v>2</v>
      </c>
      <c r="AM75">
        <v>22</v>
      </c>
      <c r="AN75">
        <v>60</v>
      </c>
      <c r="AO75">
        <v>179</v>
      </c>
      <c r="AP75">
        <v>99</v>
      </c>
      <c r="AQ75">
        <v>999</v>
      </c>
      <c r="AR75">
        <v>3</v>
      </c>
      <c r="AS75">
        <v>99</v>
      </c>
      <c r="AT75">
        <v>9</v>
      </c>
      <c r="AU75">
        <v>3</v>
      </c>
      <c r="AV75">
        <v>99999</v>
      </c>
      <c r="AW75">
        <v>0</v>
      </c>
      <c r="AX75" s="7">
        <v>45372.58079861111</v>
      </c>
      <c r="AY75" s="7"/>
      <c r="BO75" s="276">
        <f t="shared" si="2"/>
        <v>0</v>
      </c>
      <c r="BV75" t="str">
        <f t="shared" si="3"/>
        <v/>
      </c>
    </row>
    <row r="76" spans="1:74">
      <c r="A76">
        <v>74</v>
      </c>
      <c r="B76" t="s">
        <v>150</v>
      </c>
      <c r="C76">
        <v>2023</v>
      </c>
      <c r="D76">
        <v>5367</v>
      </c>
      <c r="E76">
        <v>217</v>
      </c>
      <c r="F76">
        <v>1</v>
      </c>
      <c r="G76">
        <v>1</v>
      </c>
      <c r="H76">
        <v>51</v>
      </c>
      <c r="I76">
        <v>999999</v>
      </c>
      <c r="J76">
        <v>999</v>
      </c>
      <c r="K76">
        <v>1</v>
      </c>
      <c r="L76">
        <v>3</v>
      </c>
      <c r="M76">
        <v>9</v>
      </c>
      <c r="N76">
        <v>99</v>
      </c>
      <c r="O76">
        <v>9</v>
      </c>
      <c r="P76">
        <v>3</v>
      </c>
      <c r="Q76">
        <v>99999</v>
      </c>
      <c r="R76" s="276">
        <v>0</v>
      </c>
      <c r="S76" s="7">
        <v>45372.58079861111</v>
      </c>
      <c r="AG76" t="s">
        <v>150</v>
      </c>
      <c r="AH76">
        <v>2023</v>
      </c>
      <c r="AI76">
        <v>5367</v>
      </c>
      <c r="AJ76">
        <v>217</v>
      </c>
      <c r="AK76">
        <v>2</v>
      </c>
      <c r="AL76">
        <v>2</v>
      </c>
      <c r="AM76">
        <v>22</v>
      </c>
      <c r="AN76">
        <v>60</v>
      </c>
      <c r="AO76">
        <v>220</v>
      </c>
      <c r="AP76">
        <v>2</v>
      </c>
      <c r="AQ76">
        <v>9</v>
      </c>
      <c r="AR76">
        <v>9</v>
      </c>
      <c r="AS76">
        <v>99</v>
      </c>
      <c r="AT76">
        <v>9</v>
      </c>
      <c r="AU76">
        <v>3</v>
      </c>
      <c r="AV76">
        <v>99999</v>
      </c>
      <c r="AW76">
        <v>0</v>
      </c>
      <c r="AX76" s="7">
        <v>45372.58079861111</v>
      </c>
      <c r="AY76" s="7"/>
      <c r="BO76" s="276">
        <f t="shared" si="2"/>
        <v>0</v>
      </c>
      <c r="BV76" t="str">
        <f t="shared" si="3"/>
        <v/>
      </c>
    </row>
    <row r="77" spans="1:74">
      <c r="A77">
        <v>75</v>
      </c>
      <c r="B77" t="s">
        <v>150</v>
      </c>
      <c r="C77">
        <v>2023</v>
      </c>
      <c r="D77">
        <v>5367</v>
      </c>
      <c r="E77">
        <v>217</v>
      </c>
      <c r="F77">
        <v>1</v>
      </c>
      <c r="G77">
        <v>1</v>
      </c>
      <c r="H77">
        <v>196</v>
      </c>
      <c r="I77">
        <v>250</v>
      </c>
      <c r="J77">
        <v>999</v>
      </c>
      <c r="K77">
        <v>4</v>
      </c>
      <c r="L77">
        <v>999</v>
      </c>
      <c r="M77">
        <v>9</v>
      </c>
      <c r="N77">
        <v>99</v>
      </c>
      <c r="O77">
        <v>9</v>
      </c>
      <c r="P77">
        <v>3</v>
      </c>
      <c r="Q77">
        <v>99999</v>
      </c>
      <c r="R77" s="276">
        <v>22650000</v>
      </c>
      <c r="S77" s="7">
        <v>45372.58079861111</v>
      </c>
      <c r="AG77" t="s">
        <v>150</v>
      </c>
      <c r="AH77">
        <v>2023</v>
      </c>
      <c r="AI77">
        <v>5367</v>
      </c>
      <c r="AJ77">
        <v>217</v>
      </c>
      <c r="AK77">
        <v>2</v>
      </c>
      <c r="AL77">
        <v>2</v>
      </c>
      <c r="AM77">
        <v>22</v>
      </c>
      <c r="AN77">
        <v>60</v>
      </c>
      <c r="AO77">
        <v>220</v>
      </c>
      <c r="AP77">
        <v>2</v>
      </c>
      <c r="AQ77">
        <v>8</v>
      </c>
      <c r="AR77">
        <v>9</v>
      </c>
      <c r="AS77">
        <v>99</v>
      </c>
      <c r="AT77">
        <v>9</v>
      </c>
      <c r="AU77">
        <v>3</v>
      </c>
      <c r="AV77">
        <v>99999</v>
      </c>
      <c r="AW77">
        <v>153841.06691581101</v>
      </c>
      <c r="AX77" s="7">
        <v>45372.58079861111</v>
      </c>
      <c r="AY77" s="7"/>
      <c r="BO77" s="276">
        <f t="shared" si="2"/>
        <v>0</v>
      </c>
      <c r="BV77" t="str">
        <f t="shared" si="3"/>
        <v/>
      </c>
    </row>
    <row r="78" spans="1:74">
      <c r="A78">
        <v>76</v>
      </c>
      <c r="B78" t="s">
        <v>150</v>
      </c>
      <c r="C78">
        <v>2023</v>
      </c>
      <c r="D78">
        <v>5367</v>
      </c>
      <c r="E78">
        <v>217</v>
      </c>
      <c r="F78">
        <v>1</v>
      </c>
      <c r="G78">
        <v>1</v>
      </c>
      <c r="H78">
        <v>15</v>
      </c>
      <c r="I78">
        <v>176</v>
      </c>
      <c r="J78">
        <v>999</v>
      </c>
      <c r="K78">
        <v>4</v>
      </c>
      <c r="L78">
        <v>999</v>
      </c>
      <c r="M78">
        <v>9</v>
      </c>
      <c r="N78">
        <v>99</v>
      </c>
      <c r="O78">
        <v>9</v>
      </c>
      <c r="P78">
        <v>3</v>
      </c>
      <c r="Q78">
        <v>99999</v>
      </c>
      <c r="R78" s="276">
        <v>5350000</v>
      </c>
      <c r="S78" s="7">
        <v>45372.58079861111</v>
      </c>
      <c r="AG78" t="s">
        <v>150</v>
      </c>
      <c r="AH78">
        <v>2023</v>
      </c>
      <c r="AI78">
        <v>5367</v>
      </c>
      <c r="AJ78">
        <v>217</v>
      </c>
      <c r="AK78">
        <v>2</v>
      </c>
      <c r="AL78">
        <v>2</v>
      </c>
      <c r="AM78">
        <v>22</v>
      </c>
      <c r="AN78">
        <v>60</v>
      </c>
      <c r="AO78">
        <v>220</v>
      </c>
      <c r="AP78">
        <v>2</v>
      </c>
      <c r="AQ78">
        <v>10</v>
      </c>
      <c r="AR78">
        <v>9</v>
      </c>
      <c r="AS78">
        <v>99</v>
      </c>
      <c r="AT78">
        <v>9</v>
      </c>
      <c r="AU78">
        <v>3</v>
      </c>
      <c r="AV78">
        <v>99999</v>
      </c>
      <c r="AW78">
        <v>3951.1944316098602</v>
      </c>
      <c r="AX78" s="7">
        <v>45372.58079861111</v>
      </c>
      <c r="AY78" s="7"/>
      <c r="BO78" s="276">
        <f t="shared" si="2"/>
        <v>0</v>
      </c>
      <c r="BV78" t="str">
        <f t="shared" si="3"/>
        <v/>
      </c>
    </row>
    <row r="79" spans="1:74">
      <c r="A79">
        <v>77</v>
      </c>
      <c r="B79" t="s">
        <v>150</v>
      </c>
      <c r="C79">
        <v>2023</v>
      </c>
      <c r="D79">
        <v>5367</v>
      </c>
      <c r="E79">
        <v>217</v>
      </c>
      <c r="F79">
        <v>1</v>
      </c>
      <c r="G79">
        <v>1</v>
      </c>
      <c r="H79">
        <v>203</v>
      </c>
      <c r="I79">
        <v>247</v>
      </c>
      <c r="J79">
        <v>999</v>
      </c>
      <c r="K79">
        <v>4</v>
      </c>
      <c r="L79">
        <v>999</v>
      </c>
      <c r="M79">
        <v>9</v>
      </c>
      <c r="N79">
        <v>99</v>
      </c>
      <c r="O79">
        <v>9</v>
      </c>
      <c r="P79">
        <v>3</v>
      </c>
      <c r="Q79">
        <v>99999</v>
      </c>
      <c r="R79" s="276">
        <v>28000000</v>
      </c>
      <c r="S79" s="7">
        <v>45372.58079861111</v>
      </c>
      <c r="AG79" t="s">
        <v>150</v>
      </c>
      <c r="AH79">
        <v>2023</v>
      </c>
      <c r="AI79">
        <v>5367</v>
      </c>
      <c r="AJ79">
        <v>217</v>
      </c>
      <c r="AK79">
        <v>2</v>
      </c>
      <c r="AL79">
        <v>2</v>
      </c>
      <c r="AM79">
        <v>22</v>
      </c>
      <c r="AN79">
        <v>60</v>
      </c>
      <c r="AO79">
        <v>220</v>
      </c>
      <c r="AP79">
        <v>2</v>
      </c>
      <c r="AQ79">
        <v>24</v>
      </c>
      <c r="AR79">
        <v>9</v>
      </c>
      <c r="AS79">
        <v>99</v>
      </c>
      <c r="AT79">
        <v>9</v>
      </c>
      <c r="AU79">
        <v>3</v>
      </c>
      <c r="AV79">
        <v>99999</v>
      </c>
      <c r="AW79">
        <v>24162.314687005099</v>
      </c>
      <c r="AX79" s="7">
        <v>45372.58079861111</v>
      </c>
      <c r="AY79" s="7"/>
      <c r="BO79" s="276">
        <f t="shared" si="2"/>
        <v>0</v>
      </c>
      <c r="BV79" t="str">
        <f t="shared" si="3"/>
        <v/>
      </c>
    </row>
    <row r="80" spans="1:74">
      <c r="A80">
        <v>78</v>
      </c>
      <c r="B80" t="s">
        <v>150</v>
      </c>
      <c r="C80">
        <v>2023</v>
      </c>
      <c r="D80">
        <v>5367</v>
      </c>
      <c r="E80">
        <v>217</v>
      </c>
      <c r="F80">
        <v>2</v>
      </c>
      <c r="G80">
        <v>1</v>
      </c>
      <c r="H80">
        <v>51</v>
      </c>
      <c r="I80">
        <v>73</v>
      </c>
      <c r="J80">
        <v>999</v>
      </c>
      <c r="K80">
        <v>3</v>
      </c>
      <c r="L80">
        <v>15</v>
      </c>
      <c r="M80">
        <v>1</v>
      </c>
      <c r="N80">
        <v>99</v>
      </c>
      <c r="O80">
        <v>9</v>
      </c>
      <c r="P80">
        <v>3</v>
      </c>
      <c r="Q80">
        <v>99999</v>
      </c>
      <c r="R80" s="276">
        <v>0</v>
      </c>
      <c r="S80" s="7">
        <v>45372.58079861111</v>
      </c>
      <c r="AG80" t="s">
        <v>150</v>
      </c>
      <c r="AH80">
        <v>2023</v>
      </c>
      <c r="AI80">
        <v>5367</v>
      </c>
      <c r="AJ80">
        <v>217</v>
      </c>
      <c r="AK80">
        <v>2</v>
      </c>
      <c r="AL80">
        <v>2</v>
      </c>
      <c r="AM80">
        <v>22</v>
      </c>
      <c r="AN80">
        <v>62</v>
      </c>
      <c r="AO80">
        <v>220</v>
      </c>
      <c r="AP80">
        <v>2</v>
      </c>
      <c r="AQ80">
        <v>11</v>
      </c>
      <c r="AR80">
        <v>9</v>
      </c>
      <c r="AS80">
        <v>99</v>
      </c>
      <c r="AT80">
        <v>9</v>
      </c>
      <c r="AU80">
        <v>3</v>
      </c>
      <c r="AV80">
        <v>99999</v>
      </c>
      <c r="AW80">
        <v>-833298.20489136199</v>
      </c>
      <c r="AX80" s="7">
        <v>45372.58079861111</v>
      </c>
      <c r="AY80" s="7"/>
      <c r="BO80" s="276">
        <f t="shared" si="2"/>
        <v>0</v>
      </c>
      <c r="BV80" t="str">
        <f t="shared" si="3"/>
        <v/>
      </c>
    </row>
    <row r="81" spans="1:74">
      <c r="A81">
        <v>79</v>
      </c>
      <c r="B81" t="s">
        <v>150</v>
      </c>
      <c r="C81">
        <v>2023</v>
      </c>
      <c r="D81">
        <v>5367</v>
      </c>
      <c r="E81">
        <v>217</v>
      </c>
      <c r="F81">
        <v>1</v>
      </c>
      <c r="G81">
        <v>1</v>
      </c>
      <c r="H81">
        <v>8</v>
      </c>
      <c r="I81">
        <v>999999</v>
      </c>
      <c r="J81">
        <v>999</v>
      </c>
      <c r="K81">
        <v>2</v>
      </c>
      <c r="L81">
        <v>999</v>
      </c>
      <c r="M81">
        <v>9</v>
      </c>
      <c r="N81">
        <v>99</v>
      </c>
      <c r="O81">
        <v>9</v>
      </c>
      <c r="P81">
        <v>2</v>
      </c>
      <c r="Q81">
        <v>99999</v>
      </c>
      <c r="R81" s="276">
        <v>2447.7233152507201</v>
      </c>
      <c r="S81" s="7">
        <v>45372.58079861111</v>
      </c>
      <c r="AG81" t="s">
        <v>150</v>
      </c>
      <c r="AH81">
        <v>2023</v>
      </c>
      <c r="AI81">
        <v>5367</v>
      </c>
      <c r="AJ81">
        <v>217</v>
      </c>
      <c r="AK81">
        <v>2</v>
      </c>
      <c r="AL81">
        <v>2</v>
      </c>
      <c r="AM81">
        <v>22</v>
      </c>
      <c r="AN81">
        <v>62</v>
      </c>
      <c r="AO81">
        <v>220</v>
      </c>
      <c r="AP81">
        <v>2</v>
      </c>
      <c r="AQ81">
        <v>9</v>
      </c>
      <c r="AR81">
        <v>9</v>
      </c>
      <c r="AS81">
        <v>99</v>
      </c>
      <c r="AT81">
        <v>9</v>
      </c>
      <c r="AU81">
        <v>3</v>
      </c>
      <c r="AV81">
        <v>99999</v>
      </c>
      <c r="AW81">
        <v>0</v>
      </c>
      <c r="AX81" s="7">
        <v>45372.58079861111</v>
      </c>
      <c r="AY81" s="7"/>
      <c r="BO81" s="276">
        <f t="shared" si="2"/>
        <v>0</v>
      </c>
      <c r="BV81" t="str">
        <f t="shared" si="3"/>
        <v/>
      </c>
    </row>
    <row r="82" spans="1:74">
      <c r="A82">
        <v>80</v>
      </c>
      <c r="B82" t="s">
        <v>150</v>
      </c>
      <c r="C82">
        <v>2023</v>
      </c>
      <c r="D82">
        <v>5367</v>
      </c>
      <c r="E82">
        <v>217</v>
      </c>
      <c r="F82">
        <v>4</v>
      </c>
      <c r="G82">
        <v>2</v>
      </c>
      <c r="H82">
        <v>51</v>
      </c>
      <c r="I82">
        <v>102</v>
      </c>
      <c r="J82">
        <v>999</v>
      </c>
      <c r="K82">
        <v>99</v>
      </c>
      <c r="L82">
        <v>999</v>
      </c>
      <c r="M82">
        <v>9</v>
      </c>
      <c r="N82">
        <v>99</v>
      </c>
      <c r="O82">
        <v>9</v>
      </c>
      <c r="P82">
        <v>4</v>
      </c>
      <c r="Q82">
        <v>99999</v>
      </c>
      <c r="R82" s="276">
        <v>-0.26877635587640902</v>
      </c>
      <c r="S82" s="7">
        <v>45372.58079861111</v>
      </c>
      <c r="AG82" t="s">
        <v>150</v>
      </c>
      <c r="AH82">
        <v>2023</v>
      </c>
      <c r="AI82">
        <v>5367</v>
      </c>
      <c r="AJ82">
        <v>217</v>
      </c>
      <c r="AK82">
        <v>2</v>
      </c>
      <c r="AL82">
        <v>2</v>
      </c>
      <c r="AM82">
        <v>22</v>
      </c>
      <c r="AN82">
        <v>62</v>
      </c>
      <c r="AO82">
        <v>220</v>
      </c>
      <c r="AP82">
        <v>2</v>
      </c>
      <c r="AQ82">
        <v>8</v>
      </c>
      <c r="AR82">
        <v>9</v>
      </c>
      <c r="AS82">
        <v>99</v>
      </c>
      <c r="AT82">
        <v>9</v>
      </c>
      <c r="AU82">
        <v>3</v>
      </c>
      <c r="AV82">
        <v>99999</v>
      </c>
      <c r="AW82">
        <v>-136266.87963003901</v>
      </c>
      <c r="AX82" s="7">
        <v>45372.58079861111</v>
      </c>
      <c r="AY82" s="7"/>
      <c r="BO82" s="276">
        <f t="shared" si="2"/>
        <v>0</v>
      </c>
      <c r="BV82" t="str">
        <f t="shared" si="3"/>
        <v/>
      </c>
    </row>
    <row r="83" spans="1:74">
      <c r="A83">
        <v>81</v>
      </c>
      <c r="B83" t="s">
        <v>150</v>
      </c>
      <c r="C83">
        <v>2023</v>
      </c>
      <c r="D83">
        <v>5367</v>
      </c>
      <c r="E83">
        <v>217</v>
      </c>
      <c r="F83">
        <v>4</v>
      </c>
      <c r="G83">
        <v>1</v>
      </c>
      <c r="H83">
        <v>51</v>
      </c>
      <c r="I83">
        <v>55</v>
      </c>
      <c r="J83">
        <v>999</v>
      </c>
      <c r="K83">
        <v>99</v>
      </c>
      <c r="L83">
        <v>999</v>
      </c>
      <c r="M83">
        <v>9</v>
      </c>
      <c r="N83">
        <v>99</v>
      </c>
      <c r="O83">
        <v>9</v>
      </c>
      <c r="P83">
        <v>2</v>
      </c>
      <c r="Q83">
        <v>99999</v>
      </c>
      <c r="R83" s="276">
        <v>73108.597899999906</v>
      </c>
      <c r="S83" s="7">
        <v>45372.58079861111</v>
      </c>
      <c r="AG83" t="s">
        <v>150</v>
      </c>
      <c r="AH83">
        <v>2023</v>
      </c>
      <c r="AI83">
        <v>5367</v>
      </c>
      <c r="AJ83">
        <v>217</v>
      </c>
      <c r="AK83">
        <v>2</v>
      </c>
      <c r="AL83">
        <v>2</v>
      </c>
      <c r="AM83">
        <v>22</v>
      </c>
      <c r="AN83">
        <v>62</v>
      </c>
      <c r="AO83">
        <v>220</v>
      </c>
      <c r="AP83">
        <v>2</v>
      </c>
      <c r="AQ83">
        <v>10</v>
      </c>
      <c r="AR83">
        <v>9</v>
      </c>
      <c r="AS83">
        <v>99</v>
      </c>
      <c r="AT83">
        <v>9</v>
      </c>
      <c r="AU83">
        <v>3</v>
      </c>
      <c r="AV83">
        <v>99999</v>
      </c>
      <c r="AW83">
        <v>-3499.8258059514701</v>
      </c>
      <c r="AX83" s="7">
        <v>45372.58079861111</v>
      </c>
      <c r="AY83" s="7"/>
      <c r="BO83" s="276">
        <f t="shared" si="2"/>
        <v>0</v>
      </c>
      <c r="BV83" t="str">
        <f t="shared" si="3"/>
        <v/>
      </c>
    </row>
    <row r="84" spans="1:74">
      <c r="A84">
        <v>82</v>
      </c>
      <c r="B84" t="s">
        <v>150</v>
      </c>
      <c r="C84">
        <v>2023</v>
      </c>
      <c r="D84">
        <v>5367</v>
      </c>
      <c r="E84">
        <v>217</v>
      </c>
      <c r="F84">
        <v>4</v>
      </c>
      <c r="G84">
        <v>1</v>
      </c>
      <c r="H84">
        <v>51</v>
      </c>
      <c r="I84">
        <v>55</v>
      </c>
      <c r="J84">
        <v>999</v>
      </c>
      <c r="K84">
        <v>99</v>
      </c>
      <c r="L84">
        <v>999</v>
      </c>
      <c r="M84">
        <v>9</v>
      </c>
      <c r="N84">
        <v>99</v>
      </c>
      <c r="O84">
        <v>9</v>
      </c>
      <c r="P84">
        <v>3</v>
      </c>
      <c r="Q84">
        <v>99999</v>
      </c>
      <c r="R84" s="276">
        <v>12166607.177655401</v>
      </c>
      <c r="S84" s="7">
        <v>45372.58079861111</v>
      </c>
      <c r="AG84" t="s">
        <v>150</v>
      </c>
      <c r="AH84">
        <v>2023</v>
      </c>
      <c r="AI84">
        <v>5367</v>
      </c>
      <c r="AJ84">
        <v>217</v>
      </c>
      <c r="AK84">
        <v>2</v>
      </c>
      <c r="AL84">
        <v>2</v>
      </c>
      <c r="AM84">
        <v>22</v>
      </c>
      <c r="AN84">
        <v>62</v>
      </c>
      <c r="AO84">
        <v>220</v>
      </c>
      <c r="AP84">
        <v>2</v>
      </c>
      <c r="AQ84">
        <v>24</v>
      </c>
      <c r="AR84">
        <v>9</v>
      </c>
      <c r="AS84">
        <v>99</v>
      </c>
      <c r="AT84">
        <v>9</v>
      </c>
      <c r="AU84">
        <v>3</v>
      </c>
      <c r="AV84">
        <v>99999</v>
      </c>
      <c r="AW84">
        <v>-21402.108637475001</v>
      </c>
      <c r="AX84" s="7">
        <v>45372.58079861111</v>
      </c>
      <c r="AY84" s="7"/>
      <c r="BO84" s="276">
        <f t="shared" si="2"/>
        <v>0</v>
      </c>
      <c r="BV84" t="str">
        <f t="shared" si="3"/>
        <v/>
      </c>
    </row>
    <row r="85" spans="1:74">
      <c r="A85">
        <v>83</v>
      </c>
      <c r="B85" t="s">
        <v>150</v>
      </c>
      <c r="C85">
        <v>2023</v>
      </c>
      <c r="D85">
        <v>5367</v>
      </c>
      <c r="E85">
        <v>217</v>
      </c>
      <c r="F85">
        <v>2</v>
      </c>
      <c r="G85">
        <v>1</v>
      </c>
      <c r="H85">
        <v>52</v>
      </c>
      <c r="I85">
        <v>999999</v>
      </c>
      <c r="J85">
        <v>999</v>
      </c>
      <c r="K85">
        <v>1</v>
      </c>
      <c r="L85">
        <v>1</v>
      </c>
      <c r="M85">
        <v>1</v>
      </c>
      <c r="N85">
        <v>99</v>
      </c>
      <c r="O85">
        <v>9</v>
      </c>
      <c r="P85">
        <v>3</v>
      </c>
      <c r="Q85">
        <v>99999</v>
      </c>
      <c r="R85" s="276">
        <v>0</v>
      </c>
      <c r="S85" s="7">
        <v>45372.58079861111</v>
      </c>
      <c r="AG85" t="s">
        <v>150</v>
      </c>
      <c r="AH85">
        <v>2023</v>
      </c>
      <c r="AI85">
        <v>5367</v>
      </c>
      <c r="AJ85">
        <v>217</v>
      </c>
      <c r="AK85">
        <v>2</v>
      </c>
      <c r="AL85">
        <v>2</v>
      </c>
      <c r="AM85">
        <v>22</v>
      </c>
      <c r="AN85">
        <v>60</v>
      </c>
      <c r="AO85">
        <v>220</v>
      </c>
      <c r="AP85">
        <v>2</v>
      </c>
      <c r="AQ85">
        <v>11</v>
      </c>
      <c r="AR85">
        <v>9</v>
      </c>
      <c r="AS85">
        <v>99</v>
      </c>
      <c r="AT85">
        <v>9</v>
      </c>
      <c r="AU85">
        <v>3</v>
      </c>
      <c r="AV85">
        <v>99999</v>
      </c>
      <c r="AW85">
        <v>940767.743765502</v>
      </c>
      <c r="AX85" s="7">
        <v>45372.58079861111</v>
      </c>
      <c r="AY85" s="7"/>
      <c r="BO85" s="276">
        <f t="shared" si="2"/>
        <v>0</v>
      </c>
      <c r="BV85" t="str">
        <f t="shared" si="3"/>
        <v/>
      </c>
    </row>
    <row r="86" spans="1:74">
      <c r="A86">
        <v>84</v>
      </c>
      <c r="B86" t="s">
        <v>150</v>
      </c>
      <c r="C86">
        <v>2023</v>
      </c>
      <c r="D86">
        <v>5367</v>
      </c>
      <c r="E86">
        <v>217</v>
      </c>
      <c r="F86">
        <v>2</v>
      </c>
      <c r="G86">
        <v>1</v>
      </c>
      <c r="H86">
        <v>52</v>
      </c>
      <c r="I86">
        <v>999999</v>
      </c>
      <c r="J86">
        <v>999</v>
      </c>
      <c r="K86">
        <v>1</v>
      </c>
      <c r="L86">
        <v>2</v>
      </c>
      <c r="M86">
        <v>1</v>
      </c>
      <c r="N86">
        <v>99</v>
      </c>
      <c r="O86">
        <v>9</v>
      </c>
      <c r="P86">
        <v>3</v>
      </c>
      <c r="Q86">
        <v>99999</v>
      </c>
      <c r="R86" s="276">
        <v>0</v>
      </c>
      <c r="S86" s="7">
        <v>45372.58079861111</v>
      </c>
      <c r="AG86" t="s">
        <v>150</v>
      </c>
      <c r="AH86">
        <v>2023</v>
      </c>
      <c r="AI86">
        <v>5367</v>
      </c>
      <c r="AJ86">
        <v>217</v>
      </c>
      <c r="AK86">
        <v>2</v>
      </c>
      <c r="AL86">
        <v>2</v>
      </c>
      <c r="AM86">
        <v>22</v>
      </c>
      <c r="AN86">
        <v>60</v>
      </c>
      <c r="AO86">
        <v>235</v>
      </c>
      <c r="AP86">
        <v>4</v>
      </c>
      <c r="AQ86">
        <v>999</v>
      </c>
      <c r="AR86">
        <v>9</v>
      </c>
      <c r="AS86">
        <v>99</v>
      </c>
      <c r="AT86">
        <v>9</v>
      </c>
      <c r="AU86">
        <v>3</v>
      </c>
      <c r="AV86">
        <v>99999</v>
      </c>
      <c r="AW86">
        <v>0</v>
      </c>
      <c r="AX86" s="7">
        <v>45372.58079861111</v>
      </c>
      <c r="AY86" s="7"/>
      <c r="BO86" s="276">
        <f t="shared" si="2"/>
        <v>0</v>
      </c>
      <c r="BV86" t="str">
        <f t="shared" si="3"/>
        <v/>
      </c>
    </row>
    <row r="87" spans="1:74">
      <c r="A87">
        <v>85</v>
      </c>
      <c r="B87" t="s">
        <v>150</v>
      </c>
      <c r="C87">
        <v>2023</v>
      </c>
      <c r="D87">
        <v>5367</v>
      </c>
      <c r="E87">
        <v>217</v>
      </c>
      <c r="F87">
        <v>2</v>
      </c>
      <c r="G87">
        <v>1</v>
      </c>
      <c r="H87">
        <v>52</v>
      </c>
      <c r="I87">
        <v>999999</v>
      </c>
      <c r="J87">
        <v>999</v>
      </c>
      <c r="K87">
        <v>1</v>
      </c>
      <c r="L87">
        <v>3</v>
      </c>
      <c r="M87">
        <v>1</v>
      </c>
      <c r="N87">
        <v>99</v>
      </c>
      <c r="O87">
        <v>9</v>
      </c>
      <c r="P87">
        <v>3</v>
      </c>
      <c r="Q87">
        <v>99999</v>
      </c>
      <c r="R87" s="276">
        <v>0</v>
      </c>
      <c r="S87" s="7">
        <v>45372.58079861111</v>
      </c>
      <c r="AG87" t="s">
        <v>150</v>
      </c>
      <c r="AH87">
        <v>2023</v>
      </c>
      <c r="AI87">
        <v>5367</v>
      </c>
      <c r="AJ87">
        <v>217</v>
      </c>
      <c r="AK87">
        <v>2</v>
      </c>
      <c r="AL87">
        <v>2</v>
      </c>
      <c r="AM87">
        <v>22</v>
      </c>
      <c r="AN87">
        <v>60</v>
      </c>
      <c r="AO87">
        <v>242</v>
      </c>
      <c r="AP87">
        <v>4</v>
      </c>
      <c r="AQ87">
        <v>999</v>
      </c>
      <c r="AR87">
        <v>9</v>
      </c>
      <c r="AS87">
        <v>99</v>
      </c>
      <c r="AT87">
        <v>9</v>
      </c>
      <c r="AU87">
        <v>3</v>
      </c>
      <c r="AV87">
        <v>99999</v>
      </c>
      <c r="AW87">
        <v>-13396235.4811807</v>
      </c>
      <c r="AX87" s="7">
        <v>45372.58079861111</v>
      </c>
      <c r="AY87" s="7"/>
      <c r="BO87" s="276">
        <f t="shared" si="2"/>
        <v>0</v>
      </c>
      <c r="BV87" t="str">
        <f t="shared" si="3"/>
        <v/>
      </c>
    </row>
    <row r="88" spans="1:74">
      <c r="A88">
        <v>86</v>
      </c>
      <c r="B88" t="s">
        <v>150</v>
      </c>
      <c r="C88">
        <v>2023</v>
      </c>
      <c r="D88">
        <v>5367</v>
      </c>
      <c r="E88">
        <v>217</v>
      </c>
      <c r="F88">
        <v>4</v>
      </c>
      <c r="G88">
        <v>1</v>
      </c>
      <c r="H88">
        <v>51</v>
      </c>
      <c r="I88">
        <v>101</v>
      </c>
      <c r="J88">
        <v>999</v>
      </c>
      <c r="K88">
        <v>99</v>
      </c>
      <c r="L88">
        <v>999</v>
      </c>
      <c r="M88">
        <v>9</v>
      </c>
      <c r="N88">
        <v>99</v>
      </c>
      <c r="O88">
        <v>9</v>
      </c>
      <c r="P88">
        <v>3</v>
      </c>
      <c r="Q88">
        <v>99999</v>
      </c>
      <c r="R88" s="276">
        <v>28000000</v>
      </c>
      <c r="S88" s="7">
        <v>45372.58079861111</v>
      </c>
      <c r="AG88" t="s">
        <v>150</v>
      </c>
      <c r="AH88">
        <v>2023</v>
      </c>
      <c r="AI88">
        <v>5367</v>
      </c>
      <c r="AJ88">
        <v>217</v>
      </c>
      <c r="AK88">
        <v>2</v>
      </c>
      <c r="AL88">
        <v>2</v>
      </c>
      <c r="AM88">
        <v>22</v>
      </c>
      <c r="AN88">
        <v>60</v>
      </c>
      <c r="AO88">
        <v>242</v>
      </c>
      <c r="AP88">
        <v>4</v>
      </c>
      <c r="AQ88">
        <v>999</v>
      </c>
      <c r="AR88">
        <v>9</v>
      </c>
      <c r="AS88">
        <v>99</v>
      </c>
      <c r="AT88">
        <v>9</v>
      </c>
      <c r="AU88">
        <v>3</v>
      </c>
      <c r="AV88">
        <v>99999</v>
      </c>
      <c r="AW88">
        <v>0</v>
      </c>
      <c r="AX88" s="7">
        <v>45372.58079861111</v>
      </c>
      <c r="AY88" s="7"/>
      <c r="BO88" s="276">
        <f t="shared" si="2"/>
        <v>0</v>
      </c>
      <c r="BV88" t="str">
        <f t="shared" si="3"/>
        <v/>
      </c>
    </row>
    <row r="89" spans="1:74">
      <c r="A89">
        <v>87</v>
      </c>
      <c r="B89" t="s">
        <v>150</v>
      </c>
      <c r="C89">
        <v>2023</v>
      </c>
      <c r="D89">
        <v>5367</v>
      </c>
      <c r="E89">
        <v>217</v>
      </c>
      <c r="F89">
        <v>4</v>
      </c>
      <c r="G89">
        <v>1</v>
      </c>
      <c r="H89">
        <v>51</v>
      </c>
      <c r="I89">
        <v>104</v>
      </c>
      <c r="J89">
        <v>999</v>
      </c>
      <c r="K89">
        <v>3</v>
      </c>
      <c r="L89">
        <v>999</v>
      </c>
      <c r="M89">
        <v>9</v>
      </c>
      <c r="N89">
        <v>99</v>
      </c>
      <c r="O89">
        <v>9</v>
      </c>
      <c r="P89">
        <v>3</v>
      </c>
      <c r="Q89">
        <v>99999</v>
      </c>
      <c r="R89" s="276">
        <v>8376535.2360934997</v>
      </c>
      <c r="S89" s="7">
        <v>45372.58079861111</v>
      </c>
      <c r="AG89" t="s">
        <v>150</v>
      </c>
      <c r="AH89">
        <v>2023</v>
      </c>
      <c r="AI89">
        <v>5367</v>
      </c>
      <c r="AJ89">
        <v>217</v>
      </c>
      <c r="AK89">
        <v>2</v>
      </c>
      <c r="AL89">
        <v>2</v>
      </c>
      <c r="AM89">
        <v>22</v>
      </c>
      <c r="AN89">
        <v>60</v>
      </c>
      <c r="AO89">
        <v>522</v>
      </c>
      <c r="AP89">
        <v>3</v>
      </c>
      <c r="AQ89">
        <v>15</v>
      </c>
      <c r="AR89">
        <v>9</v>
      </c>
      <c r="AS89">
        <v>99</v>
      </c>
      <c r="AT89">
        <v>9</v>
      </c>
      <c r="AU89">
        <v>3</v>
      </c>
      <c r="AV89">
        <v>99999</v>
      </c>
      <c r="AW89">
        <v>0</v>
      </c>
      <c r="AX89" s="7">
        <v>45372.58079861111</v>
      </c>
      <c r="AY89" s="7"/>
      <c r="BO89" s="276">
        <f t="shared" si="2"/>
        <v>0</v>
      </c>
      <c r="BV89" t="str">
        <f t="shared" si="3"/>
        <v/>
      </c>
    </row>
    <row r="90" spans="1:74">
      <c r="A90">
        <v>88</v>
      </c>
      <c r="B90" t="s">
        <v>150</v>
      </c>
      <c r="C90">
        <v>2023</v>
      </c>
      <c r="D90">
        <v>5367</v>
      </c>
      <c r="E90">
        <v>217</v>
      </c>
      <c r="F90">
        <v>4</v>
      </c>
      <c r="G90">
        <v>1</v>
      </c>
      <c r="H90">
        <v>51</v>
      </c>
      <c r="I90">
        <v>106</v>
      </c>
      <c r="J90">
        <v>999</v>
      </c>
      <c r="K90">
        <v>99</v>
      </c>
      <c r="L90">
        <v>999</v>
      </c>
      <c r="M90">
        <v>9</v>
      </c>
      <c r="N90">
        <v>99</v>
      </c>
      <c r="O90">
        <v>9</v>
      </c>
      <c r="P90">
        <v>3</v>
      </c>
      <c r="Q90">
        <v>99999</v>
      </c>
      <c r="R90" s="276">
        <v>56005172.761328898</v>
      </c>
      <c r="S90" s="7">
        <v>45372.58079861111</v>
      </c>
      <c r="AG90" t="s">
        <v>150</v>
      </c>
      <c r="AH90">
        <v>2023</v>
      </c>
      <c r="AI90">
        <v>5367</v>
      </c>
      <c r="AJ90">
        <v>217</v>
      </c>
      <c r="AK90">
        <v>2</v>
      </c>
      <c r="AL90">
        <v>2</v>
      </c>
      <c r="AM90">
        <v>22</v>
      </c>
      <c r="AN90">
        <v>60</v>
      </c>
      <c r="AO90">
        <v>522</v>
      </c>
      <c r="AP90">
        <v>1</v>
      </c>
      <c r="AQ90">
        <v>1</v>
      </c>
      <c r="AR90">
        <v>9</v>
      </c>
      <c r="AS90">
        <v>99</v>
      </c>
      <c r="AT90">
        <v>9</v>
      </c>
      <c r="AU90">
        <v>3</v>
      </c>
      <c r="AV90">
        <v>99999</v>
      </c>
      <c r="AW90">
        <v>0</v>
      </c>
      <c r="AX90" s="7">
        <v>45372.58079861111</v>
      </c>
      <c r="AY90" s="7"/>
      <c r="BO90" s="276">
        <f t="shared" si="2"/>
        <v>0</v>
      </c>
      <c r="BV90" t="str">
        <f t="shared" si="3"/>
        <v/>
      </c>
    </row>
    <row r="91" spans="1:74">
      <c r="A91">
        <v>89</v>
      </c>
      <c r="B91" t="s">
        <v>150</v>
      </c>
      <c r="C91">
        <v>2023</v>
      </c>
      <c r="D91">
        <v>5367</v>
      </c>
      <c r="E91">
        <v>217</v>
      </c>
      <c r="F91">
        <v>4</v>
      </c>
      <c r="G91">
        <v>1</v>
      </c>
      <c r="H91">
        <v>52</v>
      </c>
      <c r="I91">
        <v>55</v>
      </c>
      <c r="J91">
        <v>999</v>
      </c>
      <c r="K91">
        <v>99</v>
      </c>
      <c r="L91">
        <v>999</v>
      </c>
      <c r="M91">
        <v>9</v>
      </c>
      <c r="N91">
        <v>99</v>
      </c>
      <c r="O91">
        <v>9</v>
      </c>
      <c r="P91">
        <v>3</v>
      </c>
      <c r="Q91">
        <v>99999</v>
      </c>
      <c r="R91" s="276">
        <v>12416474.760976899</v>
      </c>
      <c r="S91" s="7">
        <v>45372.58079861111</v>
      </c>
      <c r="AG91" t="s">
        <v>150</v>
      </c>
      <c r="AH91">
        <v>2023</v>
      </c>
      <c r="AI91">
        <v>5367</v>
      </c>
      <c r="AJ91">
        <v>217</v>
      </c>
      <c r="AK91">
        <v>2</v>
      </c>
      <c r="AL91">
        <v>2</v>
      </c>
      <c r="AM91">
        <v>22</v>
      </c>
      <c r="AN91">
        <v>60</v>
      </c>
      <c r="AO91">
        <v>522</v>
      </c>
      <c r="AP91">
        <v>1</v>
      </c>
      <c r="AQ91">
        <v>1</v>
      </c>
      <c r="AR91">
        <v>9</v>
      </c>
      <c r="AS91">
        <v>99</v>
      </c>
      <c r="AT91">
        <v>9</v>
      </c>
      <c r="AU91">
        <v>3</v>
      </c>
      <c r="AV91">
        <v>99999</v>
      </c>
      <c r="AW91">
        <v>0</v>
      </c>
      <c r="AX91" s="7">
        <v>45372.58079861111</v>
      </c>
      <c r="AY91" s="7"/>
      <c r="BO91" s="276">
        <f t="shared" si="2"/>
        <v>0</v>
      </c>
      <c r="BV91" t="str">
        <f t="shared" si="3"/>
        <v/>
      </c>
    </row>
    <row r="92" spans="1:74">
      <c r="A92">
        <v>90</v>
      </c>
      <c r="B92" t="s">
        <v>150</v>
      </c>
      <c r="C92">
        <v>2023</v>
      </c>
      <c r="D92">
        <v>5367</v>
      </c>
      <c r="E92">
        <v>217</v>
      </c>
      <c r="F92">
        <v>4</v>
      </c>
      <c r="G92">
        <v>1</v>
      </c>
      <c r="H92">
        <v>52</v>
      </c>
      <c r="I92">
        <v>106</v>
      </c>
      <c r="J92">
        <v>999</v>
      </c>
      <c r="K92">
        <v>99</v>
      </c>
      <c r="L92">
        <v>999</v>
      </c>
      <c r="M92">
        <v>9</v>
      </c>
      <c r="N92">
        <v>99</v>
      </c>
      <c r="O92">
        <v>9</v>
      </c>
      <c r="P92">
        <v>3</v>
      </c>
      <c r="Q92">
        <v>99999</v>
      </c>
      <c r="R92" s="276">
        <v>57253163.039799899</v>
      </c>
      <c r="S92" s="7">
        <v>45372.58079861111</v>
      </c>
      <c r="AG92" t="s">
        <v>150</v>
      </c>
      <c r="AH92">
        <v>2023</v>
      </c>
      <c r="AI92">
        <v>5367</v>
      </c>
      <c r="AJ92">
        <v>217</v>
      </c>
      <c r="AK92">
        <v>2</v>
      </c>
      <c r="AL92">
        <v>2</v>
      </c>
      <c r="AM92">
        <v>22</v>
      </c>
      <c r="AN92">
        <v>60</v>
      </c>
      <c r="AO92">
        <v>522</v>
      </c>
      <c r="AP92">
        <v>1</v>
      </c>
      <c r="AQ92">
        <v>1</v>
      </c>
      <c r="AR92">
        <v>9</v>
      </c>
      <c r="AS92">
        <v>99</v>
      </c>
      <c r="AT92">
        <v>9</v>
      </c>
      <c r="AU92">
        <v>3</v>
      </c>
      <c r="AV92">
        <v>99999</v>
      </c>
      <c r="AW92">
        <v>0</v>
      </c>
      <c r="AX92" s="7">
        <v>45372.58079861111</v>
      </c>
      <c r="AY92" s="7"/>
      <c r="BO92" s="276">
        <f t="shared" si="2"/>
        <v>0</v>
      </c>
      <c r="BV92" t="str">
        <f t="shared" si="3"/>
        <v/>
      </c>
    </row>
    <row r="93" spans="1:74">
      <c r="A93">
        <v>91</v>
      </c>
      <c r="B93" t="s">
        <v>150</v>
      </c>
      <c r="C93">
        <v>2023</v>
      </c>
      <c r="D93">
        <v>5367</v>
      </c>
      <c r="E93">
        <v>217</v>
      </c>
      <c r="F93">
        <v>4</v>
      </c>
      <c r="G93">
        <v>2</v>
      </c>
      <c r="H93">
        <v>51</v>
      </c>
      <c r="I93">
        <v>102</v>
      </c>
      <c r="J93">
        <v>999</v>
      </c>
      <c r="K93">
        <v>99</v>
      </c>
      <c r="L93">
        <v>999</v>
      </c>
      <c r="M93">
        <v>9</v>
      </c>
      <c r="N93">
        <v>99</v>
      </c>
      <c r="O93">
        <v>9</v>
      </c>
      <c r="P93">
        <v>3</v>
      </c>
      <c r="Q93">
        <v>99999</v>
      </c>
      <c r="R93" s="276">
        <v>-15388296.524235301</v>
      </c>
      <c r="S93" s="7">
        <v>45372.58079861111</v>
      </c>
      <c r="AG93" t="s">
        <v>150</v>
      </c>
      <c r="AH93">
        <v>2023</v>
      </c>
      <c r="AI93">
        <v>5367</v>
      </c>
      <c r="AJ93">
        <v>217</v>
      </c>
      <c r="AK93">
        <v>2</v>
      </c>
      <c r="AL93">
        <v>2</v>
      </c>
      <c r="AM93">
        <v>22</v>
      </c>
      <c r="AN93">
        <v>60</v>
      </c>
      <c r="AO93">
        <v>522</v>
      </c>
      <c r="AP93">
        <v>1</v>
      </c>
      <c r="AQ93">
        <v>1</v>
      </c>
      <c r="AR93">
        <v>9</v>
      </c>
      <c r="AS93">
        <v>99</v>
      </c>
      <c r="AT93">
        <v>9</v>
      </c>
      <c r="AU93">
        <v>3</v>
      </c>
      <c r="AV93">
        <v>99999</v>
      </c>
      <c r="AW93">
        <v>0</v>
      </c>
      <c r="AX93" s="7">
        <v>45372.58079861111</v>
      </c>
      <c r="AY93" s="7"/>
      <c r="BO93" s="276">
        <f t="shared" si="2"/>
        <v>0</v>
      </c>
      <c r="BV93" t="str">
        <f t="shared" si="3"/>
        <v/>
      </c>
    </row>
    <row r="94" spans="1:74">
      <c r="A94">
        <v>92</v>
      </c>
      <c r="B94" t="s">
        <v>150</v>
      </c>
      <c r="C94">
        <v>2023</v>
      </c>
      <c r="D94">
        <v>5367</v>
      </c>
      <c r="E94">
        <v>217</v>
      </c>
      <c r="F94">
        <v>1</v>
      </c>
      <c r="G94">
        <v>3</v>
      </c>
      <c r="H94">
        <v>50</v>
      </c>
      <c r="I94">
        <v>50</v>
      </c>
      <c r="J94">
        <v>999</v>
      </c>
      <c r="K94">
        <v>99</v>
      </c>
      <c r="L94">
        <v>999</v>
      </c>
      <c r="M94">
        <v>9</v>
      </c>
      <c r="N94">
        <v>6</v>
      </c>
      <c r="O94">
        <v>9</v>
      </c>
      <c r="P94">
        <v>3</v>
      </c>
      <c r="Q94">
        <v>99999</v>
      </c>
      <c r="R94" s="276">
        <v>0</v>
      </c>
      <c r="S94" s="7">
        <v>45372.58079861111</v>
      </c>
      <c r="AG94" t="s">
        <v>150</v>
      </c>
      <c r="AH94">
        <v>2023</v>
      </c>
      <c r="AI94">
        <v>5367</v>
      </c>
      <c r="AJ94">
        <v>217</v>
      </c>
      <c r="AK94">
        <v>2</v>
      </c>
      <c r="AL94">
        <v>2</v>
      </c>
      <c r="AM94">
        <v>22</v>
      </c>
      <c r="AN94">
        <v>60</v>
      </c>
      <c r="AO94">
        <v>522</v>
      </c>
      <c r="AP94">
        <v>2</v>
      </c>
      <c r="AQ94">
        <v>11</v>
      </c>
      <c r="AR94">
        <v>9</v>
      </c>
      <c r="AS94">
        <v>99</v>
      </c>
      <c r="AT94">
        <v>9</v>
      </c>
      <c r="AU94">
        <v>3</v>
      </c>
      <c r="AV94">
        <v>99999</v>
      </c>
      <c r="AW94">
        <v>-131950.084430635</v>
      </c>
      <c r="AX94" s="7">
        <v>45372.58079861111</v>
      </c>
      <c r="AY94" s="7"/>
      <c r="BO94" s="276">
        <f t="shared" si="2"/>
        <v>0</v>
      </c>
      <c r="BV94" t="str">
        <f t="shared" si="3"/>
        <v/>
      </c>
    </row>
    <row r="95" spans="1:74">
      <c r="A95">
        <v>93</v>
      </c>
      <c r="B95" t="s">
        <v>150</v>
      </c>
      <c r="C95">
        <v>2023</v>
      </c>
      <c r="D95">
        <v>5367</v>
      </c>
      <c r="E95">
        <v>217</v>
      </c>
      <c r="F95">
        <v>1</v>
      </c>
      <c r="G95">
        <v>3</v>
      </c>
      <c r="H95">
        <v>50</v>
      </c>
      <c r="I95">
        <v>50</v>
      </c>
      <c r="J95">
        <v>999</v>
      </c>
      <c r="K95">
        <v>99</v>
      </c>
      <c r="L95">
        <v>999</v>
      </c>
      <c r="M95">
        <v>9</v>
      </c>
      <c r="N95">
        <v>21</v>
      </c>
      <c r="O95">
        <v>9</v>
      </c>
      <c r="P95">
        <v>3</v>
      </c>
      <c r="Q95">
        <v>99999</v>
      </c>
      <c r="R95" s="276">
        <v>51082831.075539902</v>
      </c>
      <c r="S95" s="7">
        <v>45372.58079861111</v>
      </c>
      <c r="AG95" t="s">
        <v>150</v>
      </c>
      <c r="AH95">
        <v>2023</v>
      </c>
      <c r="AI95">
        <v>5367</v>
      </c>
      <c r="AJ95">
        <v>217</v>
      </c>
      <c r="AK95">
        <v>2</v>
      </c>
      <c r="AL95">
        <v>2</v>
      </c>
      <c r="AM95">
        <v>22</v>
      </c>
      <c r="AN95">
        <v>60</v>
      </c>
      <c r="AO95">
        <v>522</v>
      </c>
      <c r="AP95">
        <v>2</v>
      </c>
      <c r="AQ95">
        <v>9</v>
      </c>
      <c r="AR95">
        <v>9</v>
      </c>
      <c r="AS95">
        <v>99</v>
      </c>
      <c r="AT95">
        <v>9</v>
      </c>
      <c r="AU95">
        <v>3</v>
      </c>
      <c r="AV95">
        <v>99999</v>
      </c>
      <c r="AW95">
        <v>0</v>
      </c>
      <c r="AX95" s="7">
        <v>45372.58079861111</v>
      </c>
      <c r="AY95" s="7"/>
      <c r="BO95" s="276">
        <f t="shared" si="2"/>
        <v>0</v>
      </c>
      <c r="BV95" t="str">
        <f t="shared" si="3"/>
        <v/>
      </c>
    </row>
    <row r="96" spans="1:74">
      <c r="A96">
        <v>94</v>
      </c>
      <c r="B96" t="s">
        <v>150</v>
      </c>
      <c r="C96">
        <v>2023</v>
      </c>
      <c r="D96">
        <v>5367</v>
      </c>
      <c r="E96">
        <v>217</v>
      </c>
      <c r="F96">
        <v>1</v>
      </c>
      <c r="G96">
        <v>1</v>
      </c>
      <c r="H96">
        <v>51</v>
      </c>
      <c r="I96">
        <v>999999</v>
      </c>
      <c r="J96">
        <v>999</v>
      </c>
      <c r="K96">
        <v>2</v>
      </c>
      <c r="L96">
        <v>11</v>
      </c>
      <c r="M96">
        <v>2</v>
      </c>
      <c r="N96">
        <v>99</v>
      </c>
      <c r="O96">
        <v>9</v>
      </c>
      <c r="P96">
        <v>2</v>
      </c>
      <c r="Q96">
        <v>99999</v>
      </c>
      <c r="R96" s="276">
        <v>61260.214999999997</v>
      </c>
      <c r="S96" s="7">
        <v>45372.58079861111</v>
      </c>
      <c r="AG96" t="s">
        <v>150</v>
      </c>
      <c r="AH96">
        <v>2023</v>
      </c>
      <c r="AI96">
        <v>5367</v>
      </c>
      <c r="AJ96">
        <v>217</v>
      </c>
      <c r="AK96">
        <v>2</v>
      </c>
      <c r="AL96">
        <v>2</v>
      </c>
      <c r="AM96">
        <v>22</v>
      </c>
      <c r="AN96">
        <v>60</v>
      </c>
      <c r="AO96">
        <v>522</v>
      </c>
      <c r="AP96">
        <v>2</v>
      </c>
      <c r="AQ96">
        <v>8</v>
      </c>
      <c r="AR96">
        <v>9</v>
      </c>
      <c r="AS96">
        <v>99</v>
      </c>
      <c r="AT96">
        <v>9</v>
      </c>
      <c r="AU96">
        <v>3</v>
      </c>
      <c r="AV96">
        <v>99999</v>
      </c>
      <c r="AW96">
        <v>-16719.844965551401</v>
      </c>
      <c r="AX96" s="7">
        <v>45372.58079861111</v>
      </c>
      <c r="AY96" s="7"/>
      <c r="BO96" s="276">
        <f t="shared" si="2"/>
        <v>0</v>
      </c>
      <c r="BV96" t="str">
        <f t="shared" si="3"/>
        <v/>
      </c>
    </row>
    <row r="97" spans="1:74">
      <c r="A97">
        <v>95</v>
      </c>
      <c r="B97" t="s">
        <v>150</v>
      </c>
      <c r="C97">
        <v>2023</v>
      </c>
      <c r="D97">
        <v>5367</v>
      </c>
      <c r="E97">
        <v>217</v>
      </c>
      <c r="F97">
        <v>4</v>
      </c>
      <c r="G97">
        <v>1</v>
      </c>
      <c r="H97">
        <v>51</v>
      </c>
      <c r="I97">
        <v>55</v>
      </c>
      <c r="J97">
        <v>999</v>
      </c>
      <c r="K97">
        <v>99</v>
      </c>
      <c r="L97">
        <v>999</v>
      </c>
      <c r="M97">
        <v>9</v>
      </c>
      <c r="N97">
        <v>99</v>
      </c>
      <c r="O97">
        <v>9</v>
      </c>
      <c r="P97">
        <v>2</v>
      </c>
      <c r="Q97">
        <v>99999</v>
      </c>
      <c r="R97" s="276">
        <v>73108.597899999906</v>
      </c>
      <c r="S97" s="7">
        <v>45372.58079861111</v>
      </c>
      <c r="AG97" t="s">
        <v>150</v>
      </c>
      <c r="AH97">
        <v>2023</v>
      </c>
      <c r="AI97">
        <v>5367</v>
      </c>
      <c r="AJ97">
        <v>217</v>
      </c>
      <c r="AK97">
        <v>2</v>
      </c>
      <c r="AL97">
        <v>2</v>
      </c>
      <c r="AM97">
        <v>22</v>
      </c>
      <c r="AN97">
        <v>60</v>
      </c>
      <c r="AO97">
        <v>522</v>
      </c>
      <c r="AP97">
        <v>2</v>
      </c>
      <c r="AQ97">
        <v>10</v>
      </c>
      <c r="AR97">
        <v>9</v>
      </c>
      <c r="AS97">
        <v>99</v>
      </c>
      <c r="AT97">
        <v>9</v>
      </c>
      <c r="AU97">
        <v>3</v>
      </c>
      <c r="AV97">
        <v>99999</v>
      </c>
      <c r="AW97">
        <v>-390.27057117409998</v>
      </c>
      <c r="AX97" s="7">
        <v>45372.58079861111</v>
      </c>
      <c r="AY97" s="7"/>
      <c r="BO97" s="276">
        <f t="shared" si="2"/>
        <v>0</v>
      </c>
      <c r="BV97" t="str">
        <f t="shared" si="3"/>
        <v/>
      </c>
    </row>
    <row r="98" spans="1:74">
      <c r="A98">
        <v>96</v>
      </c>
      <c r="B98" t="s">
        <v>150</v>
      </c>
      <c r="C98">
        <v>2023</v>
      </c>
      <c r="D98">
        <v>5367</v>
      </c>
      <c r="E98">
        <v>217</v>
      </c>
      <c r="F98">
        <v>4</v>
      </c>
      <c r="G98">
        <v>1</v>
      </c>
      <c r="H98">
        <v>51</v>
      </c>
      <c r="I98">
        <v>55</v>
      </c>
      <c r="J98">
        <v>999</v>
      </c>
      <c r="K98">
        <v>99</v>
      </c>
      <c r="L98">
        <v>999</v>
      </c>
      <c r="M98">
        <v>9</v>
      </c>
      <c r="N98">
        <v>99</v>
      </c>
      <c r="O98">
        <v>9</v>
      </c>
      <c r="P98">
        <v>3</v>
      </c>
      <c r="Q98">
        <v>99999</v>
      </c>
      <c r="R98" s="276">
        <v>12166607.177655401</v>
      </c>
      <c r="S98" s="7">
        <v>45372.58079861111</v>
      </c>
      <c r="AG98" t="s">
        <v>150</v>
      </c>
      <c r="AH98">
        <v>2023</v>
      </c>
      <c r="AI98">
        <v>5367</v>
      </c>
      <c r="AJ98">
        <v>217</v>
      </c>
      <c r="AK98">
        <v>2</v>
      </c>
      <c r="AL98">
        <v>2</v>
      </c>
      <c r="AM98">
        <v>22</v>
      </c>
      <c r="AN98">
        <v>60</v>
      </c>
      <c r="AO98">
        <v>522</v>
      </c>
      <c r="AP98">
        <v>2</v>
      </c>
      <c r="AQ98">
        <v>24</v>
      </c>
      <c r="AR98">
        <v>9</v>
      </c>
      <c r="AS98">
        <v>99</v>
      </c>
      <c r="AT98">
        <v>9</v>
      </c>
      <c r="AU98">
        <v>3</v>
      </c>
      <c r="AV98">
        <v>99999</v>
      </c>
      <c r="AW98">
        <v>-3079.9469087969801</v>
      </c>
      <c r="AX98" s="7">
        <v>45372.58079861111</v>
      </c>
      <c r="AY98" s="7"/>
      <c r="BO98" s="276">
        <f t="shared" si="2"/>
        <v>0</v>
      </c>
      <c r="BV98" t="str">
        <f t="shared" si="3"/>
        <v/>
      </c>
    </row>
    <row r="99" spans="1:74">
      <c r="A99">
        <v>97</v>
      </c>
      <c r="B99" t="s">
        <v>150</v>
      </c>
      <c r="C99">
        <v>2023</v>
      </c>
      <c r="D99">
        <v>5367</v>
      </c>
      <c r="E99">
        <v>217</v>
      </c>
      <c r="F99">
        <v>4</v>
      </c>
      <c r="G99">
        <v>1</v>
      </c>
      <c r="H99">
        <v>51</v>
      </c>
      <c r="I99">
        <v>100</v>
      </c>
      <c r="J99">
        <v>999</v>
      </c>
      <c r="K99">
        <v>99</v>
      </c>
      <c r="L99">
        <v>999</v>
      </c>
      <c r="M99">
        <v>9</v>
      </c>
      <c r="N99">
        <v>99</v>
      </c>
      <c r="O99">
        <v>9</v>
      </c>
      <c r="P99">
        <v>3</v>
      </c>
      <c r="Q99">
        <v>99999</v>
      </c>
      <c r="R99" s="276">
        <v>28005172.761328898</v>
      </c>
      <c r="S99" s="7">
        <v>45372.58079861111</v>
      </c>
      <c r="AG99" t="s">
        <v>150</v>
      </c>
      <c r="AH99">
        <v>2023</v>
      </c>
      <c r="AI99">
        <v>5367</v>
      </c>
      <c r="AJ99">
        <v>217</v>
      </c>
      <c r="AK99">
        <v>2</v>
      </c>
      <c r="AL99">
        <v>2</v>
      </c>
      <c r="AM99">
        <v>22</v>
      </c>
      <c r="AN99">
        <v>60</v>
      </c>
      <c r="AO99">
        <v>522</v>
      </c>
      <c r="AP99">
        <v>3</v>
      </c>
      <c r="AQ99">
        <v>18</v>
      </c>
      <c r="AR99">
        <v>9</v>
      </c>
      <c r="AS99">
        <v>99</v>
      </c>
      <c r="AT99">
        <v>9</v>
      </c>
      <c r="AU99">
        <v>3</v>
      </c>
      <c r="AV99">
        <v>99999</v>
      </c>
      <c r="AW99">
        <v>0</v>
      </c>
      <c r="AX99" s="7">
        <v>45372.58079861111</v>
      </c>
      <c r="AY99" s="7"/>
      <c r="BO99" s="276">
        <f t="shared" si="2"/>
        <v>0</v>
      </c>
      <c r="BV99" t="str">
        <f t="shared" si="3"/>
        <v/>
      </c>
    </row>
    <row r="100" spans="1:74">
      <c r="A100">
        <v>98</v>
      </c>
      <c r="B100" t="s">
        <v>150</v>
      </c>
      <c r="C100">
        <v>2023</v>
      </c>
      <c r="D100">
        <v>5367</v>
      </c>
      <c r="E100">
        <v>217</v>
      </c>
      <c r="F100">
        <v>1</v>
      </c>
      <c r="G100">
        <v>3</v>
      </c>
      <c r="H100">
        <v>50</v>
      </c>
      <c r="I100">
        <v>54</v>
      </c>
      <c r="J100">
        <v>999</v>
      </c>
      <c r="K100">
        <v>99</v>
      </c>
      <c r="L100">
        <v>999</v>
      </c>
      <c r="M100">
        <v>9</v>
      </c>
      <c r="N100">
        <v>99</v>
      </c>
      <c r="O100">
        <v>9</v>
      </c>
      <c r="P100">
        <v>3</v>
      </c>
      <c r="Q100">
        <v>99999</v>
      </c>
      <c r="R100" s="276">
        <v>0</v>
      </c>
      <c r="S100" s="7">
        <v>45372.58079861111</v>
      </c>
      <c r="AG100" t="s">
        <v>150</v>
      </c>
      <c r="AH100">
        <v>2023</v>
      </c>
      <c r="AI100">
        <v>5367</v>
      </c>
      <c r="AJ100">
        <v>217</v>
      </c>
      <c r="AK100">
        <v>2</v>
      </c>
      <c r="AL100">
        <v>2</v>
      </c>
      <c r="AM100">
        <v>22</v>
      </c>
      <c r="AN100">
        <v>60</v>
      </c>
      <c r="AO100">
        <v>523</v>
      </c>
      <c r="AP100">
        <v>2</v>
      </c>
      <c r="AQ100">
        <v>30</v>
      </c>
      <c r="AR100">
        <v>9</v>
      </c>
      <c r="AS100">
        <v>99</v>
      </c>
      <c r="AT100">
        <v>9</v>
      </c>
      <c r="AU100">
        <v>3</v>
      </c>
      <c r="AV100">
        <v>99999</v>
      </c>
      <c r="AW100">
        <v>0</v>
      </c>
      <c r="AX100" s="7">
        <v>45372.58079861111</v>
      </c>
      <c r="AY100" s="7"/>
      <c r="BO100" s="276">
        <f t="shared" si="2"/>
        <v>0</v>
      </c>
      <c r="BV100" t="str">
        <f t="shared" si="3"/>
        <v/>
      </c>
    </row>
    <row r="101" spans="1:74">
      <c r="A101">
        <v>99</v>
      </c>
      <c r="B101" t="s">
        <v>150</v>
      </c>
      <c r="C101">
        <v>2023</v>
      </c>
      <c r="D101">
        <v>5367</v>
      </c>
      <c r="E101">
        <v>217</v>
      </c>
      <c r="F101">
        <v>1</v>
      </c>
      <c r="G101">
        <v>3</v>
      </c>
      <c r="H101">
        <v>50</v>
      </c>
      <c r="I101">
        <v>50</v>
      </c>
      <c r="J101">
        <v>999</v>
      </c>
      <c r="K101">
        <v>99</v>
      </c>
      <c r="L101">
        <v>999</v>
      </c>
      <c r="M101">
        <v>9</v>
      </c>
      <c r="N101">
        <v>1</v>
      </c>
      <c r="O101">
        <v>9</v>
      </c>
      <c r="P101">
        <v>3</v>
      </c>
      <c r="Q101">
        <v>99999</v>
      </c>
      <c r="R101" s="276">
        <v>0</v>
      </c>
      <c r="S101" s="7">
        <v>45372.58079861111</v>
      </c>
      <c r="AG101" t="s">
        <v>150</v>
      </c>
      <c r="AH101">
        <v>2023</v>
      </c>
      <c r="AI101">
        <v>5367</v>
      </c>
      <c r="AJ101">
        <v>217</v>
      </c>
      <c r="AK101">
        <v>2</v>
      </c>
      <c r="AL101">
        <v>2</v>
      </c>
      <c r="AM101">
        <v>22</v>
      </c>
      <c r="AN101">
        <v>60</v>
      </c>
      <c r="AO101">
        <v>524</v>
      </c>
      <c r="AP101">
        <v>1</v>
      </c>
      <c r="AQ101">
        <v>7</v>
      </c>
      <c r="AR101">
        <v>9</v>
      </c>
      <c r="AS101">
        <v>99</v>
      </c>
      <c r="AT101">
        <v>9</v>
      </c>
      <c r="AU101">
        <v>3</v>
      </c>
      <c r="AV101">
        <v>99999</v>
      </c>
      <c r="AW101">
        <v>0</v>
      </c>
      <c r="AX101" s="7">
        <v>45372.58079861111</v>
      </c>
      <c r="AY101" s="7"/>
      <c r="BO101" s="276">
        <f t="shared" si="2"/>
        <v>0</v>
      </c>
      <c r="BV101" t="str">
        <f t="shared" si="3"/>
        <v/>
      </c>
    </row>
    <row r="102" spans="1:74">
      <c r="A102">
        <v>100</v>
      </c>
      <c r="B102" t="s">
        <v>150</v>
      </c>
      <c r="C102">
        <v>2023</v>
      </c>
      <c r="D102">
        <v>5367</v>
      </c>
      <c r="E102">
        <v>217</v>
      </c>
      <c r="F102">
        <v>1</v>
      </c>
      <c r="G102">
        <v>3</v>
      </c>
      <c r="H102">
        <v>50</v>
      </c>
      <c r="I102">
        <v>50</v>
      </c>
      <c r="J102">
        <v>999</v>
      </c>
      <c r="K102">
        <v>99</v>
      </c>
      <c r="L102">
        <v>999</v>
      </c>
      <c r="M102">
        <v>9</v>
      </c>
      <c r="N102">
        <v>2</v>
      </c>
      <c r="O102">
        <v>9</v>
      </c>
      <c r="P102">
        <v>3</v>
      </c>
      <c r="Q102">
        <v>99999</v>
      </c>
      <c r="R102" s="276">
        <v>0</v>
      </c>
      <c r="S102" s="7">
        <v>45372.58079861111</v>
      </c>
      <c r="AG102" t="s">
        <v>150</v>
      </c>
      <c r="AH102">
        <v>2023</v>
      </c>
      <c r="AI102">
        <v>5367</v>
      </c>
      <c r="AJ102">
        <v>217</v>
      </c>
      <c r="AK102">
        <v>2</v>
      </c>
      <c r="AL102">
        <v>2</v>
      </c>
      <c r="AM102">
        <v>22</v>
      </c>
      <c r="AN102">
        <v>60</v>
      </c>
      <c r="AO102">
        <v>524</v>
      </c>
      <c r="AP102">
        <v>2</v>
      </c>
      <c r="AQ102">
        <v>30</v>
      </c>
      <c r="AR102">
        <v>9</v>
      </c>
      <c r="AS102">
        <v>99</v>
      </c>
      <c r="AT102">
        <v>9</v>
      </c>
      <c r="AU102">
        <v>3</v>
      </c>
      <c r="AV102">
        <v>99999</v>
      </c>
      <c r="AW102">
        <v>0</v>
      </c>
      <c r="AX102" s="7">
        <v>45372.58079861111</v>
      </c>
      <c r="AY102" s="7"/>
      <c r="BO102" s="276">
        <f t="shared" si="2"/>
        <v>0</v>
      </c>
      <c r="BV102" t="str">
        <f t="shared" si="3"/>
        <v/>
      </c>
    </row>
    <row r="103" spans="1:74">
      <c r="A103">
        <v>101</v>
      </c>
      <c r="B103" t="s">
        <v>150</v>
      </c>
      <c r="C103">
        <v>2023</v>
      </c>
      <c r="D103">
        <v>5367</v>
      </c>
      <c r="E103">
        <v>217</v>
      </c>
      <c r="F103">
        <v>1</v>
      </c>
      <c r="G103">
        <v>3</v>
      </c>
      <c r="H103">
        <v>50</v>
      </c>
      <c r="I103">
        <v>50</v>
      </c>
      <c r="J103">
        <v>999</v>
      </c>
      <c r="K103">
        <v>99</v>
      </c>
      <c r="L103">
        <v>999</v>
      </c>
      <c r="M103">
        <v>9</v>
      </c>
      <c r="N103">
        <v>3</v>
      </c>
      <c r="O103">
        <v>9</v>
      </c>
      <c r="P103">
        <v>3</v>
      </c>
      <c r="Q103">
        <v>99999</v>
      </c>
      <c r="R103" s="276">
        <v>0</v>
      </c>
      <c r="S103" s="7">
        <v>45372.58079861111</v>
      </c>
      <c r="AG103" t="s">
        <v>150</v>
      </c>
      <c r="AH103">
        <v>2023</v>
      </c>
      <c r="AI103">
        <v>5367</v>
      </c>
      <c r="AJ103">
        <v>217</v>
      </c>
      <c r="AK103">
        <v>2</v>
      </c>
      <c r="AL103">
        <v>2</v>
      </c>
      <c r="AM103">
        <v>22</v>
      </c>
      <c r="AN103">
        <v>60</v>
      </c>
      <c r="AO103">
        <v>525</v>
      </c>
      <c r="AP103">
        <v>2</v>
      </c>
      <c r="AQ103">
        <v>30</v>
      </c>
      <c r="AR103">
        <v>9</v>
      </c>
      <c r="AS103">
        <v>99</v>
      </c>
      <c r="AT103">
        <v>9</v>
      </c>
      <c r="AU103">
        <v>3</v>
      </c>
      <c r="AV103">
        <v>99999</v>
      </c>
      <c r="AW103">
        <v>0</v>
      </c>
      <c r="AX103" s="7">
        <v>45372.58079861111</v>
      </c>
      <c r="AY103" s="7"/>
      <c r="BO103" s="276">
        <f t="shared" si="2"/>
        <v>0</v>
      </c>
      <c r="BV103" t="str">
        <f t="shared" si="3"/>
        <v/>
      </c>
    </row>
    <row r="104" spans="1:74">
      <c r="A104">
        <v>102</v>
      </c>
      <c r="B104" t="s">
        <v>150</v>
      </c>
      <c r="C104">
        <v>2023</v>
      </c>
      <c r="D104">
        <v>5367</v>
      </c>
      <c r="E104">
        <v>217</v>
      </c>
      <c r="F104">
        <v>1</v>
      </c>
      <c r="G104">
        <v>3</v>
      </c>
      <c r="H104">
        <v>50</v>
      </c>
      <c r="I104">
        <v>50</v>
      </c>
      <c r="J104">
        <v>999</v>
      </c>
      <c r="K104">
        <v>99</v>
      </c>
      <c r="L104">
        <v>999</v>
      </c>
      <c r="M104">
        <v>9</v>
      </c>
      <c r="N104">
        <v>4</v>
      </c>
      <c r="O104">
        <v>9</v>
      </c>
      <c r="P104">
        <v>3</v>
      </c>
      <c r="Q104">
        <v>99999</v>
      </c>
      <c r="R104" s="276">
        <v>0</v>
      </c>
      <c r="S104" s="7">
        <v>45372.58079861111</v>
      </c>
      <c r="AG104" t="s">
        <v>150</v>
      </c>
      <c r="AH104">
        <v>2023</v>
      </c>
      <c r="AI104">
        <v>5367</v>
      </c>
      <c r="AJ104">
        <v>217</v>
      </c>
      <c r="AK104">
        <v>2</v>
      </c>
      <c r="AL104">
        <v>2</v>
      </c>
      <c r="AM104">
        <v>22</v>
      </c>
      <c r="AN104">
        <v>60</v>
      </c>
      <c r="AO104">
        <v>526</v>
      </c>
      <c r="AP104">
        <v>1</v>
      </c>
      <c r="AQ104">
        <v>7</v>
      </c>
      <c r="AR104">
        <v>9</v>
      </c>
      <c r="AS104">
        <v>99</v>
      </c>
      <c r="AT104">
        <v>9</v>
      </c>
      <c r="AU104">
        <v>3</v>
      </c>
      <c r="AV104">
        <v>99999</v>
      </c>
      <c r="AW104">
        <v>254149.62690274901</v>
      </c>
      <c r="AX104" s="7">
        <v>45372.58079861111</v>
      </c>
      <c r="AY104" s="7"/>
      <c r="BO104" s="276">
        <f t="shared" si="2"/>
        <v>0</v>
      </c>
      <c r="BV104" t="str">
        <f t="shared" si="3"/>
        <v/>
      </c>
    </row>
    <row r="105" spans="1:74">
      <c r="A105">
        <v>103</v>
      </c>
      <c r="B105" t="s">
        <v>150</v>
      </c>
      <c r="C105">
        <v>2023</v>
      </c>
      <c r="D105">
        <v>5367</v>
      </c>
      <c r="E105">
        <v>217</v>
      </c>
      <c r="F105">
        <v>1</v>
      </c>
      <c r="G105">
        <v>3</v>
      </c>
      <c r="H105">
        <v>50</v>
      </c>
      <c r="I105">
        <v>50</v>
      </c>
      <c r="J105">
        <v>999</v>
      </c>
      <c r="K105">
        <v>99</v>
      </c>
      <c r="L105">
        <v>999</v>
      </c>
      <c r="M105">
        <v>9</v>
      </c>
      <c r="N105">
        <v>5</v>
      </c>
      <c r="O105">
        <v>9</v>
      </c>
      <c r="P105">
        <v>3</v>
      </c>
      <c r="Q105">
        <v>99999</v>
      </c>
      <c r="R105" s="276">
        <v>6170331.9642599998</v>
      </c>
      <c r="S105" s="7">
        <v>45372.58079861111</v>
      </c>
      <c r="AG105" t="s">
        <v>150</v>
      </c>
      <c r="AH105">
        <v>2023</v>
      </c>
      <c r="AI105">
        <v>5367</v>
      </c>
      <c r="AJ105">
        <v>217</v>
      </c>
      <c r="AK105">
        <v>2</v>
      </c>
      <c r="AL105">
        <v>2</v>
      </c>
      <c r="AM105">
        <v>22</v>
      </c>
      <c r="AN105">
        <v>60</v>
      </c>
      <c r="AO105">
        <v>526</v>
      </c>
      <c r="AP105">
        <v>2</v>
      </c>
      <c r="AQ105">
        <v>11</v>
      </c>
      <c r="AR105">
        <v>9</v>
      </c>
      <c r="AS105">
        <v>99</v>
      </c>
      <c r="AT105">
        <v>9</v>
      </c>
      <c r="AU105">
        <v>3</v>
      </c>
      <c r="AV105">
        <v>99999</v>
      </c>
      <c r="AW105">
        <v>23364.725696289301</v>
      </c>
      <c r="AX105" s="7">
        <v>45372.58079861111</v>
      </c>
      <c r="AY105" s="7"/>
      <c r="BO105" s="276">
        <f t="shared" si="2"/>
        <v>0</v>
      </c>
      <c r="BV105" t="str">
        <f t="shared" si="3"/>
        <v/>
      </c>
    </row>
    <row r="106" spans="1:74">
      <c r="A106">
        <v>104</v>
      </c>
      <c r="B106" t="s">
        <v>150</v>
      </c>
      <c r="C106">
        <v>2023</v>
      </c>
      <c r="D106">
        <v>5367</v>
      </c>
      <c r="E106">
        <v>217</v>
      </c>
      <c r="F106">
        <v>1</v>
      </c>
      <c r="G106">
        <v>3</v>
      </c>
      <c r="H106">
        <v>50</v>
      </c>
      <c r="I106">
        <v>50</v>
      </c>
      <c r="J106">
        <v>999</v>
      </c>
      <c r="K106">
        <v>99</v>
      </c>
      <c r="L106">
        <v>999</v>
      </c>
      <c r="M106">
        <v>9</v>
      </c>
      <c r="N106">
        <v>5</v>
      </c>
      <c r="O106">
        <v>9</v>
      </c>
      <c r="P106">
        <v>2</v>
      </c>
      <c r="Q106">
        <v>99999</v>
      </c>
      <c r="R106" s="276">
        <v>8835.8420000000096</v>
      </c>
      <c r="S106" s="7">
        <v>45372.58079861111</v>
      </c>
      <c r="AG106" t="s">
        <v>150</v>
      </c>
      <c r="AH106">
        <v>2023</v>
      </c>
      <c r="AI106">
        <v>5367</v>
      </c>
      <c r="AJ106">
        <v>217</v>
      </c>
      <c r="AK106">
        <v>2</v>
      </c>
      <c r="AL106">
        <v>2</v>
      </c>
      <c r="AM106">
        <v>22</v>
      </c>
      <c r="AN106">
        <v>60</v>
      </c>
      <c r="AO106">
        <v>526</v>
      </c>
      <c r="AP106">
        <v>2</v>
      </c>
      <c r="AQ106">
        <v>9</v>
      </c>
      <c r="AR106">
        <v>9</v>
      </c>
      <c r="AS106">
        <v>99</v>
      </c>
      <c r="AT106">
        <v>9</v>
      </c>
      <c r="AU106">
        <v>3</v>
      </c>
      <c r="AV106">
        <v>99999</v>
      </c>
      <c r="AW106">
        <v>0</v>
      </c>
      <c r="AX106" s="7">
        <v>45372.58079861111</v>
      </c>
      <c r="AY106" s="7"/>
      <c r="BO106" s="276">
        <f t="shared" si="2"/>
        <v>0</v>
      </c>
      <c r="BV106" t="str">
        <f t="shared" si="3"/>
        <v/>
      </c>
    </row>
    <row r="107" spans="1:74">
      <c r="A107">
        <v>105</v>
      </c>
      <c r="B107" t="s">
        <v>150</v>
      </c>
      <c r="C107">
        <v>2023</v>
      </c>
      <c r="D107">
        <v>5367</v>
      </c>
      <c r="E107">
        <v>217</v>
      </c>
      <c r="F107">
        <v>1</v>
      </c>
      <c r="G107">
        <v>3</v>
      </c>
      <c r="H107">
        <v>50</v>
      </c>
      <c r="I107">
        <v>50</v>
      </c>
      <c r="J107">
        <v>999</v>
      </c>
      <c r="K107">
        <v>99</v>
      </c>
      <c r="L107">
        <v>999</v>
      </c>
      <c r="M107">
        <v>9</v>
      </c>
      <c r="N107">
        <v>6</v>
      </c>
      <c r="O107">
        <v>9</v>
      </c>
      <c r="P107">
        <v>2</v>
      </c>
      <c r="Q107">
        <v>99999</v>
      </c>
      <c r="R107" s="276">
        <v>0</v>
      </c>
      <c r="S107" s="7">
        <v>45372.58079861111</v>
      </c>
      <c r="AG107" t="s">
        <v>150</v>
      </c>
      <c r="AH107">
        <v>2023</v>
      </c>
      <c r="AI107">
        <v>5367</v>
      </c>
      <c r="AJ107">
        <v>217</v>
      </c>
      <c r="AK107">
        <v>2</v>
      </c>
      <c r="AL107">
        <v>2</v>
      </c>
      <c r="AM107">
        <v>22</v>
      </c>
      <c r="AN107">
        <v>60</v>
      </c>
      <c r="AO107">
        <v>526</v>
      </c>
      <c r="AP107">
        <v>2</v>
      </c>
      <c r="AQ107">
        <v>8</v>
      </c>
      <c r="AR107">
        <v>9</v>
      </c>
      <c r="AS107">
        <v>99</v>
      </c>
      <c r="AT107">
        <v>9</v>
      </c>
      <c r="AU107">
        <v>3</v>
      </c>
      <c r="AV107">
        <v>99999</v>
      </c>
      <c r="AW107">
        <v>3820.7669779634398</v>
      </c>
      <c r="AX107" s="7">
        <v>45372.58079861111</v>
      </c>
      <c r="AY107" s="7"/>
      <c r="BO107" s="276">
        <f t="shared" si="2"/>
        <v>0</v>
      </c>
      <c r="BV107" t="str">
        <f t="shared" si="3"/>
        <v/>
      </c>
    </row>
    <row r="108" spans="1:74">
      <c r="A108">
        <v>106</v>
      </c>
      <c r="B108" t="s">
        <v>150</v>
      </c>
      <c r="C108">
        <v>2023</v>
      </c>
      <c r="D108">
        <v>5367</v>
      </c>
      <c r="E108">
        <v>217</v>
      </c>
      <c r="F108">
        <v>1</v>
      </c>
      <c r="G108">
        <v>3</v>
      </c>
      <c r="H108">
        <v>50</v>
      </c>
      <c r="I108">
        <v>50</v>
      </c>
      <c r="J108">
        <v>999</v>
      </c>
      <c r="K108">
        <v>99</v>
      </c>
      <c r="L108">
        <v>999</v>
      </c>
      <c r="M108">
        <v>9</v>
      </c>
      <c r="N108">
        <v>21</v>
      </c>
      <c r="O108">
        <v>9</v>
      </c>
      <c r="P108">
        <v>2</v>
      </c>
      <c r="Q108">
        <v>99999</v>
      </c>
      <c r="R108" s="276">
        <v>55711.353999999897</v>
      </c>
      <c r="S108" s="7">
        <v>45372.58079861111</v>
      </c>
      <c r="AG108" t="s">
        <v>150</v>
      </c>
      <c r="AH108">
        <v>2023</v>
      </c>
      <c r="AI108">
        <v>5367</v>
      </c>
      <c r="AJ108">
        <v>217</v>
      </c>
      <c r="AK108">
        <v>2</v>
      </c>
      <c r="AL108">
        <v>2</v>
      </c>
      <c r="AM108">
        <v>22</v>
      </c>
      <c r="AN108">
        <v>60</v>
      </c>
      <c r="AO108">
        <v>526</v>
      </c>
      <c r="AP108">
        <v>2</v>
      </c>
      <c r="AQ108">
        <v>10</v>
      </c>
      <c r="AR108">
        <v>9</v>
      </c>
      <c r="AS108">
        <v>99</v>
      </c>
      <c r="AT108">
        <v>9</v>
      </c>
      <c r="AU108">
        <v>3</v>
      </c>
      <c r="AV108">
        <v>99999</v>
      </c>
      <c r="AW108">
        <v>98.131100560226898</v>
      </c>
      <c r="AX108" s="7">
        <v>45372.58079861111</v>
      </c>
      <c r="AY108" s="7"/>
      <c r="BO108" s="276">
        <f t="shared" si="2"/>
        <v>0</v>
      </c>
      <c r="BV108" t="str">
        <f t="shared" si="3"/>
        <v/>
      </c>
    </row>
    <row r="109" spans="1:74">
      <c r="A109">
        <v>107</v>
      </c>
      <c r="B109" t="s">
        <v>150</v>
      </c>
      <c r="C109">
        <v>2023</v>
      </c>
      <c r="D109">
        <v>5367</v>
      </c>
      <c r="E109">
        <v>217</v>
      </c>
      <c r="F109">
        <v>1</v>
      </c>
      <c r="G109">
        <v>3</v>
      </c>
      <c r="H109">
        <v>50</v>
      </c>
      <c r="I109">
        <v>50</v>
      </c>
      <c r="J109">
        <v>999</v>
      </c>
      <c r="K109">
        <v>99</v>
      </c>
      <c r="L109">
        <v>999</v>
      </c>
      <c r="M109">
        <v>9</v>
      </c>
      <c r="N109">
        <v>99</v>
      </c>
      <c r="O109">
        <v>9</v>
      </c>
      <c r="P109">
        <v>3</v>
      </c>
      <c r="Q109">
        <v>99999</v>
      </c>
      <c r="R109" s="276">
        <v>57253163.039799899</v>
      </c>
      <c r="S109" s="7">
        <v>45372.58079861111</v>
      </c>
      <c r="AG109" t="s">
        <v>150</v>
      </c>
      <c r="AH109">
        <v>2023</v>
      </c>
      <c r="AI109">
        <v>5367</v>
      </c>
      <c r="AJ109">
        <v>217</v>
      </c>
      <c r="AK109">
        <v>2</v>
      </c>
      <c r="AL109">
        <v>2</v>
      </c>
      <c r="AM109">
        <v>22</v>
      </c>
      <c r="AN109">
        <v>60</v>
      </c>
      <c r="AO109">
        <v>526</v>
      </c>
      <c r="AP109">
        <v>2</v>
      </c>
      <c r="AQ109">
        <v>24</v>
      </c>
      <c r="AR109">
        <v>9</v>
      </c>
      <c r="AS109">
        <v>99</v>
      </c>
      <c r="AT109">
        <v>9</v>
      </c>
      <c r="AU109">
        <v>3</v>
      </c>
      <c r="AV109">
        <v>99999</v>
      </c>
      <c r="AW109">
        <v>600.09057346041095</v>
      </c>
      <c r="AX109" s="7">
        <v>45372.58079861111</v>
      </c>
      <c r="AY109" s="7"/>
      <c r="BO109" s="276">
        <f t="shared" si="2"/>
        <v>0</v>
      </c>
      <c r="BV109" t="str">
        <f t="shared" si="3"/>
        <v/>
      </c>
    </row>
    <row r="110" spans="1:74">
      <c r="A110">
        <v>108</v>
      </c>
      <c r="B110" t="s">
        <v>150</v>
      </c>
      <c r="C110">
        <v>2023</v>
      </c>
      <c r="D110">
        <v>5367</v>
      </c>
      <c r="E110">
        <v>217</v>
      </c>
      <c r="F110">
        <v>1</v>
      </c>
      <c r="G110">
        <v>3</v>
      </c>
      <c r="H110">
        <v>50</v>
      </c>
      <c r="I110">
        <v>51</v>
      </c>
      <c r="J110">
        <v>999</v>
      </c>
      <c r="K110">
        <v>99</v>
      </c>
      <c r="L110">
        <v>999</v>
      </c>
      <c r="M110">
        <v>9</v>
      </c>
      <c r="N110">
        <v>99</v>
      </c>
      <c r="O110">
        <v>9</v>
      </c>
      <c r="P110">
        <v>3</v>
      </c>
      <c r="Q110">
        <v>99999</v>
      </c>
      <c r="R110" s="276">
        <v>0</v>
      </c>
      <c r="S110" s="7">
        <v>45372.58079861111</v>
      </c>
      <c r="AG110" t="s">
        <v>150</v>
      </c>
      <c r="AH110">
        <v>2023</v>
      </c>
      <c r="AI110">
        <v>5367</v>
      </c>
      <c r="AJ110">
        <v>217</v>
      </c>
      <c r="AK110">
        <v>2</v>
      </c>
      <c r="AL110">
        <v>2</v>
      </c>
      <c r="AM110">
        <v>22</v>
      </c>
      <c r="AN110">
        <v>60</v>
      </c>
      <c r="AO110">
        <v>510</v>
      </c>
      <c r="AP110">
        <v>4</v>
      </c>
      <c r="AQ110">
        <v>999</v>
      </c>
      <c r="AR110">
        <v>9</v>
      </c>
      <c r="AS110">
        <v>99</v>
      </c>
      <c r="AT110">
        <v>9</v>
      </c>
      <c r="AU110">
        <v>3</v>
      </c>
      <c r="AV110">
        <v>99999</v>
      </c>
      <c r="AW110">
        <v>0</v>
      </c>
      <c r="AX110" s="7">
        <v>45372.58079861111</v>
      </c>
      <c r="AY110" s="7"/>
      <c r="BO110" s="276">
        <f t="shared" si="2"/>
        <v>0</v>
      </c>
      <c r="BV110" t="str">
        <f t="shared" si="3"/>
        <v/>
      </c>
    </row>
    <row r="111" spans="1:74">
      <c r="A111">
        <v>109</v>
      </c>
      <c r="B111" t="s">
        <v>150</v>
      </c>
      <c r="C111">
        <v>2023</v>
      </c>
      <c r="D111">
        <v>5367</v>
      </c>
      <c r="E111">
        <v>217</v>
      </c>
      <c r="F111">
        <v>1</v>
      </c>
      <c r="G111">
        <v>3</v>
      </c>
      <c r="H111">
        <v>50</v>
      </c>
      <c r="I111">
        <v>53</v>
      </c>
      <c r="J111">
        <v>999</v>
      </c>
      <c r="K111">
        <v>99</v>
      </c>
      <c r="L111">
        <v>999</v>
      </c>
      <c r="M111">
        <v>9</v>
      </c>
      <c r="N111">
        <v>99</v>
      </c>
      <c r="O111">
        <v>9</v>
      </c>
      <c r="P111">
        <v>3</v>
      </c>
      <c r="Q111">
        <v>99999</v>
      </c>
      <c r="R111" s="276">
        <v>0</v>
      </c>
      <c r="S111" s="7">
        <v>45372.58079861111</v>
      </c>
      <c r="AG111" t="s">
        <v>234</v>
      </c>
      <c r="AH111">
        <v>2023</v>
      </c>
      <c r="AI111">
        <v>5345</v>
      </c>
      <c r="AJ111">
        <v>264</v>
      </c>
      <c r="AK111">
        <v>2</v>
      </c>
      <c r="AL111">
        <v>2</v>
      </c>
      <c r="AM111">
        <v>999</v>
      </c>
      <c r="AN111">
        <v>999999</v>
      </c>
      <c r="AO111">
        <v>999</v>
      </c>
      <c r="AP111">
        <v>99</v>
      </c>
      <c r="AQ111">
        <v>999</v>
      </c>
      <c r="AR111">
        <v>9</v>
      </c>
      <c r="AS111">
        <v>99</v>
      </c>
      <c r="AT111">
        <v>9</v>
      </c>
      <c r="AU111">
        <v>3</v>
      </c>
      <c r="AV111">
        <v>99999</v>
      </c>
      <c r="AW111">
        <v>0</v>
      </c>
      <c r="AX111" s="7">
        <v>45372.583067129628</v>
      </c>
      <c r="AY111" s="7"/>
      <c r="BO111" s="276">
        <f t="shared" si="2"/>
        <v>0</v>
      </c>
      <c r="BV111" t="str">
        <f t="shared" si="3"/>
        <v/>
      </c>
    </row>
    <row r="112" spans="1:74">
      <c r="A112">
        <v>110</v>
      </c>
      <c r="B112" t="s">
        <v>150</v>
      </c>
      <c r="C112">
        <v>2023</v>
      </c>
      <c r="D112">
        <v>5367</v>
      </c>
      <c r="E112">
        <v>217</v>
      </c>
      <c r="F112">
        <v>1</v>
      </c>
      <c r="G112">
        <v>3</v>
      </c>
      <c r="H112">
        <v>50</v>
      </c>
      <c r="I112">
        <v>53</v>
      </c>
      <c r="J112">
        <v>999</v>
      </c>
      <c r="K112">
        <v>99</v>
      </c>
      <c r="L112">
        <v>999</v>
      </c>
      <c r="M112">
        <v>9</v>
      </c>
      <c r="N112">
        <v>99</v>
      </c>
      <c r="O112">
        <v>9</v>
      </c>
      <c r="P112">
        <v>2</v>
      </c>
      <c r="Q112">
        <v>99999</v>
      </c>
      <c r="R112" s="276">
        <v>0</v>
      </c>
      <c r="S112" s="7">
        <v>45372.58079861111</v>
      </c>
      <c r="AG112" t="s">
        <v>234</v>
      </c>
      <c r="AH112">
        <v>2023</v>
      </c>
      <c r="AI112">
        <v>5345</v>
      </c>
      <c r="AJ112">
        <v>264</v>
      </c>
      <c r="AK112">
        <v>2</v>
      </c>
      <c r="AL112">
        <v>2</v>
      </c>
      <c r="AM112">
        <v>999</v>
      </c>
      <c r="AN112">
        <v>999999</v>
      </c>
      <c r="AO112">
        <v>999</v>
      </c>
      <c r="AP112">
        <v>99</v>
      </c>
      <c r="AQ112">
        <v>999</v>
      </c>
      <c r="AR112">
        <v>9</v>
      </c>
      <c r="AS112">
        <v>99</v>
      </c>
      <c r="AT112">
        <v>9</v>
      </c>
      <c r="AU112">
        <v>3</v>
      </c>
      <c r="AV112">
        <v>99999</v>
      </c>
      <c r="AW112">
        <v>0</v>
      </c>
      <c r="AX112" s="7">
        <v>45372.583067129628</v>
      </c>
      <c r="AY112" s="7"/>
      <c r="BO112" s="276">
        <f t="shared" si="2"/>
        <v>0</v>
      </c>
      <c r="BV112" t="str">
        <f t="shared" si="3"/>
        <v/>
      </c>
    </row>
    <row r="113" spans="1:74">
      <c r="A113">
        <v>111</v>
      </c>
      <c r="B113" t="s">
        <v>150</v>
      </c>
      <c r="C113">
        <v>2023</v>
      </c>
      <c r="D113">
        <v>5367</v>
      </c>
      <c r="E113">
        <v>217</v>
      </c>
      <c r="F113">
        <v>1</v>
      </c>
      <c r="G113">
        <v>3</v>
      </c>
      <c r="H113">
        <v>50</v>
      </c>
      <c r="I113">
        <v>54</v>
      </c>
      <c r="J113">
        <v>999</v>
      </c>
      <c r="K113">
        <v>99</v>
      </c>
      <c r="L113">
        <v>999</v>
      </c>
      <c r="M113">
        <v>9</v>
      </c>
      <c r="N113">
        <v>99</v>
      </c>
      <c r="O113">
        <v>9</v>
      </c>
      <c r="P113">
        <v>2</v>
      </c>
      <c r="Q113">
        <v>99999</v>
      </c>
      <c r="R113" s="276">
        <v>0</v>
      </c>
      <c r="S113" s="7">
        <v>45372.58079861111</v>
      </c>
      <c r="AG113" t="s">
        <v>234</v>
      </c>
      <c r="AH113">
        <v>2023</v>
      </c>
      <c r="AI113">
        <v>5345</v>
      </c>
      <c r="AJ113">
        <v>264</v>
      </c>
      <c r="AK113">
        <v>2</v>
      </c>
      <c r="AL113">
        <v>2</v>
      </c>
      <c r="AM113">
        <v>22</v>
      </c>
      <c r="AN113">
        <v>60</v>
      </c>
      <c r="AO113">
        <v>999</v>
      </c>
      <c r="AP113">
        <v>2</v>
      </c>
      <c r="AQ113">
        <v>9</v>
      </c>
      <c r="AR113">
        <v>9</v>
      </c>
      <c r="AS113">
        <v>99</v>
      </c>
      <c r="AT113">
        <v>9</v>
      </c>
      <c r="AU113">
        <v>3</v>
      </c>
      <c r="AV113">
        <v>99999</v>
      </c>
      <c r="AW113">
        <v>0</v>
      </c>
      <c r="AX113" s="7">
        <v>45372.583067129628</v>
      </c>
      <c r="AY113" s="7"/>
      <c r="BO113" s="276">
        <f t="shared" si="2"/>
        <v>0</v>
      </c>
      <c r="BV113" t="str">
        <f t="shared" si="3"/>
        <v/>
      </c>
    </row>
    <row r="114" spans="1:74">
      <c r="A114">
        <v>112</v>
      </c>
      <c r="B114" t="s">
        <v>150</v>
      </c>
      <c r="C114">
        <v>2023</v>
      </c>
      <c r="D114">
        <v>5367</v>
      </c>
      <c r="E114">
        <v>217</v>
      </c>
      <c r="F114">
        <v>1</v>
      </c>
      <c r="G114">
        <v>3</v>
      </c>
      <c r="H114">
        <v>50</v>
      </c>
      <c r="I114">
        <v>50</v>
      </c>
      <c r="J114">
        <v>999</v>
      </c>
      <c r="K114">
        <v>99</v>
      </c>
      <c r="L114">
        <v>999</v>
      </c>
      <c r="M114">
        <v>9</v>
      </c>
      <c r="N114">
        <v>1</v>
      </c>
      <c r="O114">
        <v>9</v>
      </c>
      <c r="P114">
        <v>2</v>
      </c>
      <c r="Q114">
        <v>99999</v>
      </c>
      <c r="R114" s="276">
        <v>0</v>
      </c>
      <c r="S114" s="7">
        <v>45372.58079861111</v>
      </c>
      <c r="AG114" t="s">
        <v>234</v>
      </c>
      <c r="AH114">
        <v>2023</v>
      </c>
      <c r="AI114">
        <v>5345</v>
      </c>
      <c r="AJ114">
        <v>264</v>
      </c>
      <c r="AK114">
        <v>2</v>
      </c>
      <c r="AL114">
        <v>2</v>
      </c>
      <c r="AM114">
        <v>22</v>
      </c>
      <c r="AN114">
        <v>60</v>
      </c>
      <c r="AO114">
        <v>999</v>
      </c>
      <c r="AP114">
        <v>2</v>
      </c>
      <c r="AQ114">
        <v>8</v>
      </c>
      <c r="AR114">
        <v>9</v>
      </c>
      <c r="AS114">
        <v>99</v>
      </c>
      <c r="AT114">
        <v>9</v>
      </c>
      <c r="AU114">
        <v>3</v>
      </c>
      <c r="AV114">
        <v>99999</v>
      </c>
      <c r="AW114">
        <v>0</v>
      </c>
      <c r="AX114" s="7">
        <v>45372.583067129628</v>
      </c>
      <c r="AY114" s="7"/>
      <c r="BO114" s="276">
        <f t="shared" si="2"/>
        <v>0</v>
      </c>
      <c r="BV114" t="str">
        <f t="shared" si="3"/>
        <v/>
      </c>
    </row>
    <row r="115" spans="1:74">
      <c r="A115">
        <v>113</v>
      </c>
      <c r="B115" t="s">
        <v>150</v>
      </c>
      <c r="C115">
        <v>2023</v>
      </c>
      <c r="D115">
        <v>5367</v>
      </c>
      <c r="E115">
        <v>217</v>
      </c>
      <c r="F115">
        <v>1</v>
      </c>
      <c r="G115">
        <v>3</v>
      </c>
      <c r="H115">
        <v>50</v>
      </c>
      <c r="I115">
        <v>50</v>
      </c>
      <c r="J115">
        <v>999</v>
      </c>
      <c r="K115">
        <v>99</v>
      </c>
      <c r="L115">
        <v>999</v>
      </c>
      <c r="M115">
        <v>9</v>
      </c>
      <c r="N115">
        <v>2</v>
      </c>
      <c r="O115">
        <v>9</v>
      </c>
      <c r="P115">
        <v>2</v>
      </c>
      <c r="Q115">
        <v>99999</v>
      </c>
      <c r="R115" s="276">
        <v>0</v>
      </c>
      <c r="S115" s="7">
        <v>45372.58079861111</v>
      </c>
      <c r="AG115" t="s">
        <v>234</v>
      </c>
      <c r="AH115">
        <v>2023</v>
      </c>
      <c r="AI115">
        <v>5345</v>
      </c>
      <c r="AJ115">
        <v>264</v>
      </c>
      <c r="AK115">
        <v>2</v>
      </c>
      <c r="AL115">
        <v>2</v>
      </c>
      <c r="AM115">
        <v>22</v>
      </c>
      <c r="AN115">
        <v>60</v>
      </c>
      <c r="AO115">
        <v>999</v>
      </c>
      <c r="AP115">
        <v>2</v>
      </c>
      <c r="AQ115">
        <v>10</v>
      </c>
      <c r="AR115">
        <v>9</v>
      </c>
      <c r="AS115">
        <v>99</v>
      </c>
      <c r="AT115">
        <v>9</v>
      </c>
      <c r="AU115">
        <v>3</v>
      </c>
      <c r="AV115">
        <v>99999</v>
      </c>
      <c r="AW115">
        <v>0</v>
      </c>
      <c r="AX115" s="7">
        <v>45372.583067129628</v>
      </c>
      <c r="AY115" s="7"/>
      <c r="BO115" s="276">
        <f t="shared" si="2"/>
        <v>0</v>
      </c>
      <c r="BV115" t="str">
        <f t="shared" si="3"/>
        <v/>
      </c>
    </row>
    <row r="116" spans="1:74">
      <c r="A116">
        <v>114</v>
      </c>
      <c r="B116" t="s">
        <v>150</v>
      </c>
      <c r="C116">
        <v>2023</v>
      </c>
      <c r="D116">
        <v>5367</v>
      </c>
      <c r="E116">
        <v>217</v>
      </c>
      <c r="F116">
        <v>1</v>
      </c>
      <c r="G116">
        <v>3</v>
      </c>
      <c r="H116">
        <v>50</v>
      </c>
      <c r="I116">
        <v>50</v>
      </c>
      <c r="J116">
        <v>999</v>
      </c>
      <c r="K116">
        <v>99</v>
      </c>
      <c r="L116">
        <v>999</v>
      </c>
      <c r="M116">
        <v>9</v>
      </c>
      <c r="N116">
        <v>3</v>
      </c>
      <c r="O116">
        <v>9</v>
      </c>
      <c r="P116">
        <v>2</v>
      </c>
      <c r="Q116">
        <v>99999</v>
      </c>
      <c r="R116" s="276">
        <v>0</v>
      </c>
      <c r="S116" s="7">
        <v>45372.58079861111</v>
      </c>
      <c r="AG116" t="s">
        <v>234</v>
      </c>
      <c r="AH116">
        <v>2023</v>
      </c>
      <c r="AI116">
        <v>5345</v>
      </c>
      <c r="AJ116">
        <v>264</v>
      </c>
      <c r="AK116">
        <v>2</v>
      </c>
      <c r="AL116">
        <v>2</v>
      </c>
      <c r="AM116">
        <v>22</v>
      </c>
      <c r="AN116">
        <v>60</v>
      </c>
      <c r="AO116">
        <v>999</v>
      </c>
      <c r="AP116">
        <v>2</v>
      </c>
      <c r="AQ116">
        <v>24</v>
      </c>
      <c r="AR116">
        <v>9</v>
      </c>
      <c r="AS116">
        <v>99</v>
      </c>
      <c r="AT116">
        <v>9</v>
      </c>
      <c r="AU116">
        <v>3</v>
      </c>
      <c r="AV116">
        <v>99999</v>
      </c>
      <c r="AW116">
        <v>0</v>
      </c>
      <c r="AX116" s="7">
        <v>45372.583067129628</v>
      </c>
      <c r="AY116" s="7"/>
      <c r="BO116" s="276">
        <f t="shared" si="2"/>
        <v>0</v>
      </c>
      <c r="BV116" t="str">
        <f t="shared" si="3"/>
        <v/>
      </c>
    </row>
    <row r="117" spans="1:74">
      <c r="A117">
        <v>115</v>
      </c>
      <c r="B117" t="s">
        <v>150</v>
      </c>
      <c r="C117">
        <v>2023</v>
      </c>
      <c r="D117">
        <v>5367</v>
      </c>
      <c r="E117">
        <v>217</v>
      </c>
      <c r="F117">
        <v>1</v>
      </c>
      <c r="G117">
        <v>3</v>
      </c>
      <c r="H117">
        <v>50</v>
      </c>
      <c r="I117">
        <v>50</v>
      </c>
      <c r="J117">
        <v>999</v>
      </c>
      <c r="K117">
        <v>99</v>
      </c>
      <c r="L117">
        <v>999</v>
      </c>
      <c r="M117">
        <v>9</v>
      </c>
      <c r="N117">
        <v>4</v>
      </c>
      <c r="O117">
        <v>9</v>
      </c>
      <c r="P117">
        <v>2</v>
      </c>
      <c r="Q117">
        <v>99999</v>
      </c>
      <c r="R117" s="276">
        <v>0</v>
      </c>
      <c r="S117" s="7">
        <v>45372.58079861111</v>
      </c>
      <c r="AG117" t="s">
        <v>234</v>
      </c>
      <c r="AH117">
        <v>2023</v>
      </c>
      <c r="AI117">
        <v>5345</v>
      </c>
      <c r="AJ117">
        <v>264</v>
      </c>
      <c r="AK117">
        <v>2</v>
      </c>
      <c r="AL117">
        <v>2</v>
      </c>
      <c r="AM117">
        <v>999</v>
      </c>
      <c r="AN117">
        <v>999999</v>
      </c>
      <c r="AO117">
        <v>999</v>
      </c>
      <c r="AP117">
        <v>99</v>
      </c>
      <c r="AQ117">
        <v>999</v>
      </c>
      <c r="AR117">
        <v>9</v>
      </c>
      <c r="AS117">
        <v>99</v>
      </c>
      <c r="AT117">
        <v>9</v>
      </c>
      <c r="AU117">
        <v>3</v>
      </c>
      <c r="AV117">
        <v>99999</v>
      </c>
      <c r="AW117">
        <v>0</v>
      </c>
      <c r="AX117" s="7">
        <v>45372.583067129628</v>
      </c>
      <c r="AY117" s="7"/>
      <c r="BO117" s="276">
        <f t="shared" si="2"/>
        <v>0</v>
      </c>
      <c r="BV117" t="str">
        <f t="shared" si="3"/>
        <v/>
      </c>
    </row>
    <row r="118" spans="1:74">
      <c r="A118">
        <v>116</v>
      </c>
      <c r="B118" t="s">
        <v>150</v>
      </c>
      <c r="C118">
        <v>2023</v>
      </c>
      <c r="D118">
        <v>5367</v>
      </c>
      <c r="E118">
        <v>217</v>
      </c>
      <c r="F118">
        <v>1</v>
      </c>
      <c r="G118">
        <v>1</v>
      </c>
      <c r="H118">
        <v>15</v>
      </c>
      <c r="I118">
        <v>143</v>
      </c>
      <c r="J118">
        <v>999</v>
      </c>
      <c r="K118">
        <v>2</v>
      </c>
      <c r="L118">
        <v>999</v>
      </c>
      <c r="M118">
        <v>9</v>
      </c>
      <c r="N118">
        <v>99</v>
      </c>
      <c r="O118">
        <v>9</v>
      </c>
      <c r="P118">
        <v>4</v>
      </c>
      <c r="Q118">
        <v>0</v>
      </c>
      <c r="R118" s="276">
        <v>0</v>
      </c>
      <c r="S118" s="7">
        <v>45372.58079861111</v>
      </c>
      <c r="AG118" t="s">
        <v>234</v>
      </c>
      <c r="AH118">
        <v>2023</v>
      </c>
      <c r="AI118">
        <v>5345</v>
      </c>
      <c r="AJ118">
        <v>264</v>
      </c>
      <c r="AK118">
        <v>2</v>
      </c>
      <c r="AL118">
        <v>2</v>
      </c>
      <c r="AM118">
        <v>999</v>
      </c>
      <c r="AN118">
        <v>999999</v>
      </c>
      <c r="AO118">
        <v>999</v>
      </c>
      <c r="AP118">
        <v>99</v>
      </c>
      <c r="AQ118">
        <v>999</v>
      </c>
      <c r="AR118">
        <v>9</v>
      </c>
      <c r="AS118">
        <v>99</v>
      </c>
      <c r="AT118">
        <v>9</v>
      </c>
      <c r="AU118">
        <v>3</v>
      </c>
      <c r="AV118">
        <v>99999</v>
      </c>
      <c r="AW118">
        <v>0</v>
      </c>
      <c r="AX118" s="7">
        <v>45372.583067129628</v>
      </c>
      <c r="AY118" s="7"/>
      <c r="BO118" s="276">
        <f t="shared" si="2"/>
        <v>0</v>
      </c>
      <c r="BV118" t="str">
        <f t="shared" si="3"/>
        <v/>
      </c>
    </row>
    <row r="119" spans="1:74">
      <c r="A119">
        <v>117</v>
      </c>
      <c r="B119" t="s">
        <v>150</v>
      </c>
      <c r="C119">
        <v>2023</v>
      </c>
      <c r="D119">
        <v>5367</v>
      </c>
      <c r="E119">
        <v>217</v>
      </c>
      <c r="F119">
        <v>1</v>
      </c>
      <c r="G119">
        <v>1</v>
      </c>
      <c r="H119">
        <v>15</v>
      </c>
      <c r="I119">
        <v>143</v>
      </c>
      <c r="J119">
        <v>999</v>
      </c>
      <c r="K119">
        <v>2</v>
      </c>
      <c r="L119">
        <v>999</v>
      </c>
      <c r="M119">
        <v>9</v>
      </c>
      <c r="N119">
        <v>99</v>
      </c>
      <c r="O119">
        <v>9</v>
      </c>
      <c r="P119">
        <v>4</v>
      </c>
      <c r="Q119">
        <v>0</v>
      </c>
      <c r="R119" s="276">
        <v>0</v>
      </c>
      <c r="S119" s="7">
        <v>45372.58079861111</v>
      </c>
      <c r="AG119" t="s">
        <v>234</v>
      </c>
      <c r="AH119">
        <v>2023</v>
      </c>
      <c r="AI119">
        <v>5345</v>
      </c>
      <c r="AJ119">
        <v>264</v>
      </c>
      <c r="AK119">
        <v>2</v>
      </c>
      <c r="AL119">
        <v>2</v>
      </c>
      <c r="AM119">
        <v>22</v>
      </c>
      <c r="AN119">
        <v>60</v>
      </c>
      <c r="AO119">
        <v>999</v>
      </c>
      <c r="AP119">
        <v>3</v>
      </c>
      <c r="AQ119">
        <v>28</v>
      </c>
      <c r="AR119">
        <v>9</v>
      </c>
      <c r="AS119">
        <v>99</v>
      </c>
      <c r="AT119">
        <v>9</v>
      </c>
      <c r="AU119">
        <v>3</v>
      </c>
      <c r="AV119">
        <v>99999</v>
      </c>
      <c r="AW119">
        <v>0</v>
      </c>
      <c r="AX119" s="7">
        <v>45372.583067129628</v>
      </c>
      <c r="AY119" s="7"/>
      <c r="BO119" s="276">
        <f t="shared" si="2"/>
        <v>0</v>
      </c>
      <c r="BV119" t="str">
        <f t="shared" si="3"/>
        <v/>
      </c>
    </row>
    <row r="120" spans="1:74">
      <c r="A120">
        <v>118</v>
      </c>
      <c r="B120" t="s">
        <v>150</v>
      </c>
      <c r="C120">
        <v>2023</v>
      </c>
      <c r="D120">
        <v>5367</v>
      </c>
      <c r="E120">
        <v>217</v>
      </c>
      <c r="F120">
        <v>1</v>
      </c>
      <c r="G120">
        <v>1</v>
      </c>
      <c r="H120">
        <v>15</v>
      </c>
      <c r="I120">
        <v>143</v>
      </c>
      <c r="J120">
        <v>999</v>
      </c>
      <c r="K120">
        <v>2</v>
      </c>
      <c r="L120">
        <v>999</v>
      </c>
      <c r="M120">
        <v>9</v>
      </c>
      <c r="N120">
        <v>99</v>
      </c>
      <c r="O120">
        <v>9</v>
      </c>
      <c r="P120">
        <v>4</v>
      </c>
      <c r="Q120">
        <v>0</v>
      </c>
      <c r="R120" s="276">
        <v>0</v>
      </c>
      <c r="S120" s="7">
        <v>45372.58079861111</v>
      </c>
      <c r="AG120" t="s">
        <v>234</v>
      </c>
      <c r="AH120">
        <v>2023</v>
      </c>
      <c r="AI120">
        <v>5345</v>
      </c>
      <c r="AJ120">
        <v>264</v>
      </c>
      <c r="AK120">
        <v>2</v>
      </c>
      <c r="AL120">
        <v>2</v>
      </c>
      <c r="AM120">
        <v>22</v>
      </c>
      <c r="AN120">
        <v>60</v>
      </c>
      <c r="AO120">
        <v>999</v>
      </c>
      <c r="AP120">
        <v>3</v>
      </c>
      <c r="AQ120">
        <v>29</v>
      </c>
      <c r="AR120">
        <v>9</v>
      </c>
      <c r="AS120">
        <v>99</v>
      </c>
      <c r="AT120">
        <v>9</v>
      </c>
      <c r="AU120">
        <v>3</v>
      </c>
      <c r="AV120">
        <v>99999</v>
      </c>
      <c r="AW120">
        <v>0</v>
      </c>
      <c r="AX120" s="7">
        <v>45372.583067129628</v>
      </c>
      <c r="AY120" s="7"/>
      <c r="BO120" s="276">
        <f t="shared" si="2"/>
        <v>0</v>
      </c>
      <c r="BV120" t="str">
        <f t="shared" si="3"/>
        <v/>
      </c>
    </row>
    <row r="121" spans="1:74">
      <c r="A121">
        <v>119</v>
      </c>
      <c r="B121" t="s">
        <v>150</v>
      </c>
      <c r="C121">
        <v>2023</v>
      </c>
      <c r="D121">
        <v>5367</v>
      </c>
      <c r="E121">
        <v>217</v>
      </c>
      <c r="F121">
        <v>1</v>
      </c>
      <c r="G121">
        <v>1</v>
      </c>
      <c r="H121">
        <v>15</v>
      </c>
      <c r="I121">
        <v>143</v>
      </c>
      <c r="J121">
        <v>999</v>
      </c>
      <c r="K121">
        <v>2</v>
      </c>
      <c r="L121">
        <v>999</v>
      </c>
      <c r="M121">
        <v>9</v>
      </c>
      <c r="N121">
        <v>99</v>
      </c>
      <c r="O121">
        <v>9</v>
      </c>
      <c r="P121">
        <v>4</v>
      </c>
      <c r="Q121">
        <v>0</v>
      </c>
      <c r="R121" s="276">
        <v>0</v>
      </c>
      <c r="S121" s="7">
        <v>45372.58079861111</v>
      </c>
      <c r="AG121" t="s">
        <v>234</v>
      </c>
      <c r="AH121">
        <v>2023</v>
      </c>
      <c r="AI121">
        <v>5345</v>
      </c>
      <c r="AJ121">
        <v>264</v>
      </c>
      <c r="AK121">
        <v>2</v>
      </c>
      <c r="AL121">
        <v>2</v>
      </c>
      <c r="AM121">
        <v>20</v>
      </c>
      <c r="AN121">
        <v>60</v>
      </c>
      <c r="AO121">
        <v>999</v>
      </c>
      <c r="AP121">
        <v>4</v>
      </c>
      <c r="AQ121">
        <v>999</v>
      </c>
      <c r="AR121">
        <v>9</v>
      </c>
      <c r="AS121">
        <v>99</v>
      </c>
      <c r="AT121">
        <v>9</v>
      </c>
      <c r="AU121">
        <v>3</v>
      </c>
      <c r="AV121">
        <v>99999</v>
      </c>
      <c r="AW121">
        <v>0</v>
      </c>
      <c r="AX121" s="7">
        <v>45372.583067129628</v>
      </c>
      <c r="AY121" s="7"/>
      <c r="BO121" s="276">
        <f t="shared" si="2"/>
        <v>0</v>
      </c>
      <c r="BV121" t="str">
        <f t="shared" si="3"/>
        <v/>
      </c>
    </row>
    <row r="122" spans="1:74">
      <c r="A122">
        <v>120</v>
      </c>
      <c r="B122" t="s">
        <v>150</v>
      </c>
      <c r="C122">
        <v>2023</v>
      </c>
      <c r="D122">
        <v>5367</v>
      </c>
      <c r="E122">
        <v>217</v>
      </c>
      <c r="F122">
        <v>1</v>
      </c>
      <c r="G122">
        <v>3</v>
      </c>
      <c r="H122">
        <v>50</v>
      </c>
      <c r="I122">
        <v>50</v>
      </c>
      <c r="J122">
        <v>999</v>
      </c>
      <c r="K122">
        <v>99</v>
      </c>
      <c r="L122">
        <v>999</v>
      </c>
      <c r="M122">
        <v>9</v>
      </c>
      <c r="N122">
        <v>99</v>
      </c>
      <c r="O122">
        <v>9</v>
      </c>
      <c r="P122">
        <v>2</v>
      </c>
      <c r="Q122">
        <v>99999</v>
      </c>
      <c r="R122" s="276">
        <v>64547.196000000004</v>
      </c>
      <c r="S122" s="7">
        <v>45372.58079861111</v>
      </c>
      <c r="AG122" t="s">
        <v>234</v>
      </c>
      <c r="AH122">
        <v>2023</v>
      </c>
      <c r="AI122">
        <v>5345</v>
      </c>
      <c r="AJ122">
        <v>264</v>
      </c>
      <c r="AK122">
        <v>2</v>
      </c>
      <c r="AL122">
        <v>2</v>
      </c>
      <c r="AM122">
        <v>999</v>
      </c>
      <c r="AN122">
        <v>999999</v>
      </c>
      <c r="AO122">
        <v>999</v>
      </c>
      <c r="AP122">
        <v>99</v>
      </c>
      <c r="AQ122">
        <v>999</v>
      </c>
      <c r="AR122">
        <v>9</v>
      </c>
      <c r="AS122">
        <v>99</v>
      </c>
      <c r="AT122">
        <v>9</v>
      </c>
      <c r="AU122">
        <v>3</v>
      </c>
      <c r="AV122">
        <v>99999</v>
      </c>
      <c r="AW122">
        <v>0</v>
      </c>
      <c r="AX122" s="7">
        <v>45372.583067129628</v>
      </c>
      <c r="AY122" s="7"/>
      <c r="BO122" s="276">
        <f t="shared" si="2"/>
        <v>0</v>
      </c>
      <c r="BV122" t="str">
        <f t="shared" si="3"/>
        <v/>
      </c>
    </row>
    <row r="123" spans="1:74">
      <c r="A123">
        <v>121</v>
      </c>
      <c r="B123" t="s">
        <v>150</v>
      </c>
      <c r="C123">
        <v>2023</v>
      </c>
      <c r="D123">
        <v>5367</v>
      </c>
      <c r="E123">
        <v>217</v>
      </c>
      <c r="F123">
        <v>1</v>
      </c>
      <c r="G123">
        <v>3</v>
      </c>
      <c r="H123">
        <v>50</v>
      </c>
      <c r="I123">
        <v>51</v>
      </c>
      <c r="J123">
        <v>999</v>
      </c>
      <c r="K123">
        <v>99</v>
      </c>
      <c r="L123">
        <v>999</v>
      </c>
      <c r="M123">
        <v>9</v>
      </c>
      <c r="N123">
        <v>99</v>
      </c>
      <c r="O123">
        <v>9</v>
      </c>
      <c r="P123">
        <v>2</v>
      </c>
      <c r="Q123">
        <v>99999</v>
      </c>
      <c r="R123" s="276">
        <v>0</v>
      </c>
      <c r="S123" s="7">
        <v>45372.58079861111</v>
      </c>
      <c r="AG123" t="s">
        <v>234</v>
      </c>
      <c r="AH123">
        <v>2023</v>
      </c>
      <c r="AI123">
        <v>5345</v>
      </c>
      <c r="AJ123">
        <v>264</v>
      </c>
      <c r="AK123">
        <v>2</v>
      </c>
      <c r="AL123">
        <v>2</v>
      </c>
      <c r="AM123">
        <v>999</v>
      </c>
      <c r="AN123">
        <v>999999</v>
      </c>
      <c r="AO123">
        <v>999</v>
      </c>
      <c r="AP123">
        <v>99</v>
      </c>
      <c r="AQ123">
        <v>999</v>
      </c>
      <c r="AR123">
        <v>9</v>
      </c>
      <c r="AS123">
        <v>99</v>
      </c>
      <c r="AT123">
        <v>9</v>
      </c>
      <c r="AU123">
        <v>3</v>
      </c>
      <c r="AV123">
        <v>99999</v>
      </c>
      <c r="AW123">
        <v>0</v>
      </c>
      <c r="AX123" s="7">
        <v>45372.583067129628</v>
      </c>
      <c r="AY123" s="7"/>
      <c r="BO123" s="276">
        <f t="shared" si="2"/>
        <v>0</v>
      </c>
      <c r="BV123" t="str">
        <f t="shared" si="3"/>
        <v/>
      </c>
    </row>
    <row r="124" spans="1:74">
      <c r="A124">
        <v>122</v>
      </c>
      <c r="B124" t="s">
        <v>150</v>
      </c>
      <c r="C124">
        <v>2023</v>
      </c>
      <c r="D124">
        <v>5367</v>
      </c>
      <c r="E124">
        <v>217</v>
      </c>
      <c r="F124">
        <v>1</v>
      </c>
      <c r="G124">
        <v>1</v>
      </c>
      <c r="H124">
        <v>51</v>
      </c>
      <c r="I124">
        <v>150</v>
      </c>
      <c r="J124">
        <v>999</v>
      </c>
      <c r="K124">
        <v>2</v>
      </c>
      <c r="L124">
        <v>999</v>
      </c>
      <c r="M124">
        <v>9</v>
      </c>
      <c r="N124">
        <v>99</v>
      </c>
      <c r="O124">
        <v>9</v>
      </c>
      <c r="P124">
        <v>5</v>
      </c>
      <c r="Q124">
        <v>99999</v>
      </c>
      <c r="R124" s="276">
        <v>166.418280847039</v>
      </c>
      <c r="S124" s="7">
        <v>45372.58079861111</v>
      </c>
      <c r="AG124" t="s">
        <v>234</v>
      </c>
      <c r="AH124">
        <v>2023</v>
      </c>
      <c r="AI124">
        <v>5345</v>
      </c>
      <c r="AJ124">
        <v>264</v>
      </c>
      <c r="AK124">
        <v>2</v>
      </c>
      <c r="AL124">
        <v>2</v>
      </c>
      <c r="AM124">
        <v>22</v>
      </c>
      <c r="AN124">
        <v>60</v>
      </c>
      <c r="AO124">
        <v>999</v>
      </c>
      <c r="AP124">
        <v>2</v>
      </c>
      <c r="AQ124">
        <v>11</v>
      </c>
      <c r="AR124">
        <v>9</v>
      </c>
      <c r="AS124">
        <v>99</v>
      </c>
      <c r="AT124">
        <v>9</v>
      </c>
      <c r="AU124">
        <v>3</v>
      </c>
      <c r="AV124">
        <v>99999</v>
      </c>
      <c r="AW124">
        <v>0</v>
      </c>
      <c r="AX124" s="7">
        <v>45372.583067129628</v>
      </c>
      <c r="AY124" s="7"/>
      <c r="BO124" s="276">
        <f t="shared" si="2"/>
        <v>0</v>
      </c>
      <c r="BV124" t="str">
        <f t="shared" si="3"/>
        <v/>
      </c>
    </row>
    <row r="125" spans="1:74">
      <c r="A125">
        <v>123</v>
      </c>
      <c r="B125" t="s">
        <v>150</v>
      </c>
      <c r="C125">
        <v>2023</v>
      </c>
      <c r="D125">
        <v>5367</v>
      </c>
      <c r="E125">
        <v>217</v>
      </c>
      <c r="F125">
        <v>1</v>
      </c>
      <c r="G125">
        <v>1</v>
      </c>
      <c r="H125">
        <v>4</v>
      </c>
      <c r="I125">
        <v>999999</v>
      </c>
      <c r="J125">
        <v>999</v>
      </c>
      <c r="K125">
        <v>2</v>
      </c>
      <c r="L125">
        <v>999</v>
      </c>
      <c r="M125">
        <v>9</v>
      </c>
      <c r="N125">
        <v>99</v>
      </c>
      <c r="O125">
        <v>9</v>
      </c>
      <c r="P125">
        <v>2</v>
      </c>
      <c r="Q125">
        <v>99999</v>
      </c>
      <c r="R125" s="276">
        <v>1234.8076370455899</v>
      </c>
      <c r="S125" s="7">
        <v>45372.58079861111</v>
      </c>
      <c r="AG125" t="s">
        <v>234</v>
      </c>
      <c r="AH125">
        <v>2023</v>
      </c>
      <c r="AI125">
        <v>5345</v>
      </c>
      <c r="AJ125">
        <v>264</v>
      </c>
      <c r="AK125">
        <v>2</v>
      </c>
      <c r="AL125">
        <v>2</v>
      </c>
      <c r="AM125">
        <v>22</v>
      </c>
      <c r="AN125">
        <v>60</v>
      </c>
      <c r="AO125">
        <v>999</v>
      </c>
      <c r="AP125">
        <v>2</v>
      </c>
      <c r="AQ125">
        <v>30</v>
      </c>
      <c r="AR125">
        <v>9</v>
      </c>
      <c r="AS125">
        <v>99</v>
      </c>
      <c r="AT125">
        <v>9</v>
      </c>
      <c r="AU125">
        <v>3</v>
      </c>
      <c r="AV125">
        <v>99999</v>
      </c>
      <c r="AW125">
        <v>0</v>
      </c>
      <c r="AX125" s="7">
        <v>45372.583067129628</v>
      </c>
      <c r="AY125" s="7"/>
      <c r="BO125" s="276">
        <f t="shared" si="2"/>
        <v>0</v>
      </c>
      <c r="BV125" t="str">
        <f t="shared" si="3"/>
        <v/>
      </c>
    </row>
    <row r="126" spans="1:74">
      <c r="A126">
        <v>124</v>
      </c>
      <c r="B126" t="s">
        <v>150</v>
      </c>
      <c r="C126">
        <v>2023</v>
      </c>
      <c r="D126">
        <v>5367</v>
      </c>
      <c r="E126">
        <v>217</v>
      </c>
      <c r="F126">
        <v>1</v>
      </c>
      <c r="G126">
        <v>1</v>
      </c>
      <c r="H126">
        <v>6</v>
      </c>
      <c r="I126">
        <v>999999</v>
      </c>
      <c r="J126">
        <v>999</v>
      </c>
      <c r="K126">
        <v>2</v>
      </c>
      <c r="L126">
        <v>999</v>
      </c>
      <c r="M126">
        <v>9</v>
      </c>
      <c r="N126">
        <v>99</v>
      </c>
      <c r="O126">
        <v>9</v>
      </c>
      <c r="P126">
        <v>2</v>
      </c>
      <c r="Q126">
        <v>99999</v>
      </c>
      <c r="R126" s="276">
        <v>0</v>
      </c>
      <c r="S126" s="7">
        <v>45372.58079861111</v>
      </c>
      <c r="AG126" t="s">
        <v>234</v>
      </c>
      <c r="AH126">
        <v>2023</v>
      </c>
      <c r="AI126">
        <v>5345</v>
      </c>
      <c r="AJ126">
        <v>264</v>
      </c>
      <c r="AK126">
        <v>2</v>
      </c>
      <c r="AL126">
        <v>2</v>
      </c>
      <c r="AM126">
        <v>22</v>
      </c>
      <c r="AN126">
        <v>60</v>
      </c>
      <c r="AO126">
        <v>999</v>
      </c>
      <c r="AP126">
        <v>3</v>
      </c>
      <c r="AQ126">
        <v>19</v>
      </c>
      <c r="AR126">
        <v>9</v>
      </c>
      <c r="AS126">
        <v>99</v>
      </c>
      <c r="AT126">
        <v>9</v>
      </c>
      <c r="AU126">
        <v>3</v>
      </c>
      <c r="AV126">
        <v>99999</v>
      </c>
      <c r="AW126">
        <v>0</v>
      </c>
      <c r="AX126" s="7">
        <v>45372.583067129628</v>
      </c>
      <c r="AY126" s="7"/>
      <c r="BO126" s="276">
        <f t="shared" si="2"/>
        <v>0</v>
      </c>
      <c r="BV126" t="str">
        <f t="shared" si="3"/>
        <v/>
      </c>
    </row>
    <row r="127" spans="1:74">
      <c r="A127">
        <v>125</v>
      </c>
      <c r="B127" t="s">
        <v>150</v>
      </c>
      <c r="C127">
        <v>2023</v>
      </c>
      <c r="D127">
        <v>5367</v>
      </c>
      <c r="E127">
        <v>217</v>
      </c>
      <c r="F127">
        <v>1</v>
      </c>
      <c r="G127">
        <v>1</v>
      </c>
      <c r="H127">
        <v>6</v>
      </c>
      <c r="I127">
        <v>999999</v>
      </c>
      <c r="J127">
        <v>999</v>
      </c>
      <c r="K127">
        <v>2</v>
      </c>
      <c r="L127">
        <v>999</v>
      </c>
      <c r="M127">
        <v>9</v>
      </c>
      <c r="N127">
        <v>99</v>
      </c>
      <c r="O127">
        <v>9</v>
      </c>
      <c r="P127">
        <v>3</v>
      </c>
      <c r="Q127">
        <v>99999</v>
      </c>
      <c r="R127" s="276">
        <v>0</v>
      </c>
      <c r="S127" s="7">
        <v>45372.58079861111</v>
      </c>
      <c r="AG127" t="s">
        <v>234</v>
      </c>
      <c r="AH127">
        <v>2023</v>
      </c>
      <c r="AI127">
        <v>5345</v>
      </c>
      <c r="AJ127">
        <v>264</v>
      </c>
      <c r="AK127">
        <v>2</v>
      </c>
      <c r="AL127">
        <v>2</v>
      </c>
      <c r="AM127">
        <v>999</v>
      </c>
      <c r="AN127">
        <v>999999</v>
      </c>
      <c r="AO127">
        <v>999</v>
      </c>
      <c r="AP127">
        <v>99</v>
      </c>
      <c r="AQ127">
        <v>999</v>
      </c>
      <c r="AR127">
        <v>9</v>
      </c>
      <c r="AS127">
        <v>99</v>
      </c>
      <c r="AT127">
        <v>9</v>
      </c>
      <c r="AU127">
        <v>3</v>
      </c>
      <c r="AV127">
        <v>99999</v>
      </c>
      <c r="AW127">
        <v>0</v>
      </c>
      <c r="AX127" s="7">
        <v>45372.583067129628</v>
      </c>
      <c r="AY127" s="7"/>
      <c r="BO127" s="276">
        <f t="shared" si="2"/>
        <v>0</v>
      </c>
      <c r="BV127" t="str">
        <f t="shared" si="3"/>
        <v/>
      </c>
    </row>
    <row r="128" spans="1:74">
      <c r="A128">
        <v>126</v>
      </c>
      <c r="B128" t="s">
        <v>150</v>
      </c>
      <c r="C128">
        <v>2023</v>
      </c>
      <c r="D128">
        <v>5367</v>
      </c>
      <c r="E128">
        <v>217</v>
      </c>
      <c r="F128">
        <v>1</v>
      </c>
      <c r="G128">
        <v>1</v>
      </c>
      <c r="H128">
        <v>6</v>
      </c>
      <c r="I128">
        <v>999999</v>
      </c>
      <c r="J128">
        <v>999</v>
      </c>
      <c r="K128">
        <v>2</v>
      </c>
      <c r="L128">
        <v>999</v>
      </c>
      <c r="M128">
        <v>9</v>
      </c>
      <c r="N128">
        <v>99</v>
      </c>
      <c r="O128">
        <v>9</v>
      </c>
      <c r="P128">
        <v>5</v>
      </c>
      <c r="Q128">
        <v>99999</v>
      </c>
      <c r="R128" s="276">
        <v>0</v>
      </c>
      <c r="S128" s="7">
        <v>45372.58079861111</v>
      </c>
      <c r="AG128" t="s">
        <v>234</v>
      </c>
      <c r="AH128">
        <v>2023</v>
      </c>
      <c r="AI128">
        <v>5345</v>
      </c>
      <c r="AJ128">
        <v>264</v>
      </c>
      <c r="AK128">
        <v>2</v>
      </c>
      <c r="AL128">
        <v>2</v>
      </c>
      <c r="AM128">
        <v>22</v>
      </c>
      <c r="AN128">
        <v>60</v>
      </c>
      <c r="AO128">
        <v>999</v>
      </c>
      <c r="AP128">
        <v>1</v>
      </c>
      <c r="AQ128">
        <v>7</v>
      </c>
      <c r="AR128">
        <v>9</v>
      </c>
      <c r="AS128">
        <v>99</v>
      </c>
      <c r="AT128">
        <v>9</v>
      </c>
      <c r="AU128">
        <v>3</v>
      </c>
      <c r="AV128">
        <v>99999</v>
      </c>
      <c r="AW128">
        <v>0</v>
      </c>
      <c r="AX128" s="7">
        <v>45372.583067129628</v>
      </c>
      <c r="AY128" s="7"/>
      <c r="BO128" s="276">
        <f t="shared" si="2"/>
        <v>0</v>
      </c>
      <c r="BV128" t="str">
        <f t="shared" si="3"/>
        <v/>
      </c>
    </row>
    <row r="129" spans="1:74">
      <c r="A129">
        <v>127</v>
      </c>
      <c r="B129" t="s">
        <v>150</v>
      </c>
      <c r="C129">
        <v>2023</v>
      </c>
      <c r="D129">
        <v>5367</v>
      </c>
      <c r="E129">
        <v>217</v>
      </c>
      <c r="F129">
        <v>1</v>
      </c>
      <c r="G129">
        <v>1</v>
      </c>
      <c r="H129">
        <v>15</v>
      </c>
      <c r="I129">
        <v>143</v>
      </c>
      <c r="J129">
        <v>999</v>
      </c>
      <c r="K129">
        <v>2</v>
      </c>
      <c r="L129">
        <v>999</v>
      </c>
      <c r="M129">
        <v>9</v>
      </c>
      <c r="N129">
        <v>3</v>
      </c>
      <c r="O129">
        <v>9</v>
      </c>
      <c r="P129">
        <v>4</v>
      </c>
      <c r="Q129">
        <v>5697</v>
      </c>
      <c r="R129" s="276">
        <v>0</v>
      </c>
      <c r="S129" s="7">
        <v>45372.58079861111</v>
      </c>
      <c r="AG129" t="s">
        <v>234</v>
      </c>
      <c r="AH129">
        <v>2023</v>
      </c>
      <c r="AI129">
        <v>5345</v>
      </c>
      <c r="AJ129">
        <v>264</v>
      </c>
      <c r="AK129">
        <v>2</v>
      </c>
      <c r="AL129">
        <v>2</v>
      </c>
      <c r="AM129">
        <v>22</v>
      </c>
      <c r="AN129">
        <v>60</v>
      </c>
      <c r="AO129">
        <v>999</v>
      </c>
      <c r="AP129">
        <v>2</v>
      </c>
      <c r="AQ129">
        <v>30</v>
      </c>
      <c r="AR129">
        <v>9</v>
      </c>
      <c r="AS129">
        <v>99</v>
      </c>
      <c r="AT129">
        <v>9</v>
      </c>
      <c r="AU129">
        <v>3</v>
      </c>
      <c r="AV129">
        <v>99999</v>
      </c>
      <c r="AW129">
        <v>0</v>
      </c>
      <c r="AX129" s="7">
        <v>45372.583067129628</v>
      </c>
      <c r="AY129" s="7"/>
      <c r="BO129" s="276">
        <f t="shared" si="2"/>
        <v>0</v>
      </c>
      <c r="BV129" t="str">
        <f t="shared" si="3"/>
        <v/>
      </c>
    </row>
    <row r="130" spans="1:74">
      <c r="A130">
        <v>128</v>
      </c>
      <c r="B130" t="s">
        <v>150</v>
      </c>
      <c r="C130">
        <v>2023</v>
      </c>
      <c r="D130">
        <v>5367</v>
      </c>
      <c r="E130">
        <v>217</v>
      </c>
      <c r="F130">
        <v>1</v>
      </c>
      <c r="G130">
        <v>1</v>
      </c>
      <c r="H130">
        <v>51</v>
      </c>
      <c r="I130">
        <v>999999</v>
      </c>
      <c r="J130">
        <v>999</v>
      </c>
      <c r="K130">
        <v>2</v>
      </c>
      <c r="L130">
        <v>10</v>
      </c>
      <c r="M130">
        <v>9</v>
      </c>
      <c r="N130">
        <v>99</v>
      </c>
      <c r="O130">
        <v>9</v>
      </c>
      <c r="P130">
        <v>2</v>
      </c>
      <c r="Q130">
        <v>99999</v>
      </c>
      <c r="R130" s="276">
        <v>257.290943478136</v>
      </c>
      <c r="S130" s="7">
        <v>45372.58079861111</v>
      </c>
      <c r="AG130" t="s">
        <v>234</v>
      </c>
      <c r="AH130">
        <v>2023</v>
      </c>
      <c r="AI130">
        <v>5345</v>
      </c>
      <c r="AJ130">
        <v>264</v>
      </c>
      <c r="AK130">
        <v>2</v>
      </c>
      <c r="AL130">
        <v>2</v>
      </c>
      <c r="AM130">
        <v>22</v>
      </c>
      <c r="AN130">
        <v>60</v>
      </c>
      <c r="AO130">
        <v>999</v>
      </c>
      <c r="AP130">
        <v>4</v>
      </c>
      <c r="AQ130">
        <v>999</v>
      </c>
      <c r="AR130">
        <v>9</v>
      </c>
      <c r="AS130">
        <v>99</v>
      </c>
      <c r="AT130">
        <v>9</v>
      </c>
      <c r="AU130">
        <v>3</v>
      </c>
      <c r="AV130">
        <v>99999</v>
      </c>
      <c r="AW130">
        <v>0</v>
      </c>
      <c r="AX130" s="7">
        <v>45372.583067129628</v>
      </c>
      <c r="AY130" s="7"/>
      <c r="BO130" s="276">
        <f t="shared" si="2"/>
        <v>0</v>
      </c>
      <c r="BV130" t="str">
        <f t="shared" si="3"/>
        <v/>
      </c>
    </row>
    <row r="131" spans="1:74">
      <c r="A131">
        <v>129</v>
      </c>
      <c r="B131" t="s">
        <v>150</v>
      </c>
      <c r="C131">
        <v>2023</v>
      </c>
      <c r="D131">
        <v>5367</v>
      </c>
      <c r="E131">
        <v>217</v>
      </c>
      <c r="F131">
        <v>1</v>
      </c>
      <c r="G131">
        <v>1</v>
      </c>
      <c r="H131">
        <v>51</v>
      </c>
      <c r="I131">
        <v>999999</v>
      </c>
      <c r="J131">
        <v>999</v>
      </c>
      <c r="K131">
        <v>2</v>
      </c>
      <c r="L131">
        <v>24</v>
      </c>
      <c r="M131">
        <v>9</v>
      </c>
      <c r="N131">
        <v>99</v>
      </c>
      <c r="O131">
        <v>9</v>
      </c>
      <c r="P131">
        <v>2</v>
      </c>
      <c r="Q131">
        <v>99999</v>
      </c>
      <c r="R131" s="276">
        <v>1573.3836565218601</v>
      </c>
      <c r="S131" s="7">
        <v>45372.58079861111</v>
      </c>
      <c r="AG131" t="s">
        <v>234</v>
      </c>
      <c r="AH131">
        <v>2023</v>
      </c>
      <c r="AI131">
        <v>5345</v>
      </c>
      <c r="AJ131">
        <v>264</v>
      </c>
      <c r="AK131">
        <v>2</v>
      </c>
      <c r="AL131">
        <v>2</v>
      </c>
      <c r="AM131">
        <v>20</v>
      </c>
      <c r="AN131">
        <v>60</v>
      </c>
      <c r="AO131">
        <v>999</v>
      </c>
      <c r="AP131">
        <v>2</v>
      </c>
      <c r="AQ131">
        <v>24</v>
      </c>
      <c r="AR131">
        <v>9</v>
      </c>
      <c r="AS131">
        <v>99</v>
      </c>
      <c r="AT131">
        <v>9</v>
      </c>
      <c r="AU131">
        <v>3</v>
      </c>
      <c r="AV131">
        <v>99999</v>
      </c>
      <c r="AW131">
        <v>0</v>
      </c>
      <c r="AX131" s="7">
        <v>45372.583067129628</v>
      </c>
      <c r="AY131" s="7"/>
      <c r="BO131" s="276">
        <f t="shared" ref="BO131:BO176" si="4">BM131+BN131</f>
        <v>0</v>
      </c>
      <c r="BV131" t="str">
        <f t="shared" ref="BV131:BV194" si="5">CONCATENATE(BX131,BY131,BW131,CA131)</f>
        <v/>
      </c>
    </row>
    <row r="132" spans="1:74">
      <c r="A132">
        <v>130</v>
      </c>
      <c r="B132" t="s">
        <v>150</v>
      </c>
      <c r="C132">
        <v>2023</v>
      </c>
      <c r="D132">
        <v>5367</v>
      </c>
      <c r="E132">
        <v>217</v>
      </c>
      <c r="F132">
        <v>1</v>
      </c>
      <c r="G132">
        <v>1</v>
      </c>
      <c r="H132">
        <v>51</v>
      </c>
      <c r="I132">
        <v>999999</v>
      </c>
      <c r="J132">
        <v>999</v>
      </c>
      <c r="K132">
        <v>2</v>
      </c>
      <c r="L132">
        <v>8</v>
      </c>
      <c r="M132">
        <v>9</v>
      </c>
      <c r="N132">
        <v>99</v>
      </c>
      <c r="O132">
        <v>9</v>
      </c>
      <c r="P132">
        <v>4</v>
      </c>
      <c r="Q132">
        <v>99999</v>
      </c>
      <c r="R132" s="276">
        <v>0.14054433457378801</v>
      </c>
      <c r="S132" s="7">
        <v>45372.58079861111</v>
      </c>
      <c r="AG132" t="s">
        <v>234</v>
      </c>
      <c r="AH132">
        <v>2023</v>
      </c>
      <c r="AI132">
        <v>5345</v>
      </c>
      <c r="AJ132">
        <v>264</v>
      </c>
      <c r="AK132">
        <v>2</v>
      </c>
      <c r="AL132">
        <v>2</v>
      </c>
      <c r="AM132">
        <v>20</v>
      </c>
      <c r="AN132">
        <v>60</v>
      </c>
      <c r="AO132">
        <v>999</v>
      </c>
      <c r="AP132">
        <v>3</v>
      </c>
      <c r="AQ132">
        <v>17</v>
      </c>
      <c r="AR132">
        <v>9</v>
      </c>
      <c r="AS132">
        <v>99</v>
      </c>
      <c r="AT132">
        <v>9</v>
      </c>
      <c r="AU132">
        <v>3</v>
      </c>
      <c r="AV132">
        <v>99999</v>
      </c>
      <c r="AW132">
        <v>0</v>
      </c>
      <c r="AX132" s="7">
        <v>45372.583067129628</v>
      </c>
      <c r="AY132" s="7"/>
      <c r="BO132" s="276">
        <f t="shared" si="4"/>
        <v>0</v>
      </c>
      <c r="BV132" t="str">
        <f t="shared" si="5"/>
        <v/>
      </c>
    </row>
    <row r="133" spans="1:74">
      <c r="A133">
        <v>131</v>
      </c>
      <c r="B133" t="s">
        <v>150</v>
      </c>
      <c r="C133">
        <v>2023</v>
      </c>
      <c r="D133">
        <v>5367</v>
      </c>
      <c r="E133">
        <v>217</v>
      </c>
      <c r="F133">
        <v>1</v>
      </c>
      <c r="G133">
        <v>1</v>
      </c>
      <c r="H133">
        <v>51</v>
      </c>
      <c r="I133">
        <v>999999</v>
      </c>
      <c r="J133">
        <v>999</v>
      </c>
      <c r="K133">
        <v>2</v>
      </c>
      <c r="L133">
        <v>9</v>
      </c>
      <c r="M133">
        <v>9</v>
      </c>
      <c r="N133">
        <v>99</v>
      </c>
      <c r="O133">
        <v>9</v>
      </c>
      <c r="P133">
        <v>4</v>
      </c>
      <c r="Q133">
        <v>99999</v>
      </c>
      <c r="R133" s="276">
        <v>0</v>
      </c>
      <c r="S133" s="7">
        <v>45372.58079861111</v>
      </c>
      <c r="AG133" t="s">
        <v>234</v>
      </c>
      <c r="AH133">
        <v>2023</v>
      </c>
      <c r="AI133">
        <v>5345</v>
      </c>
      <c r="AJ133">
        <v>264</v>
      </c>
      <c r="AK133">
        <v>2</v>
      </c>
      <c r="AL133">
        <v>2</v>
      </c>
      <c r="AM133">
        <v>999</v>
      </c>
      <c r="AN133">
        <v>999999</v>
      </c>
      <c r="AO133">
        <v>999</v>
      </c>
      <c r="AP133">
        <v>99</v>
      </c>
      <c r="AQ133">
        <v>999</v>
      </c>
      <c r="AR133">
        <v>9</v>
      </c>
      <c r="AS133">
        <v>99</v>
      </c>
      <c r="AT133">
        <v>9</v>
      </c>
      <c r="AU133">
        <v>3</v>
      </c>
      <c r="AV133">
        <v>99999</v>
      </c>
      <c r="AW133">
        <v>0</v>
      </c>
      <c r="AX133" s="7">
        <v>45372.583067129628</v>
      </c>
      <c r="AY133" s="7"/>
      <c r="BO133" s="276">
        <f t="shared" si="4"/>
        <v>0</v>
      </c>
      <c r="BV133" t="str">
        <f t="shared" si="5"/>
        <v/>
      </c>
    </row>
    <row r="134" spans="1:74">
      <c r="A134">
        <v>132</v>
      </c>
      <c r="B134" t="s">
        <v>150</v>
      </c>
      <c r="C134">
        <v>2023</v>
      </c>
      <c r="D134">
        <v>5367</v>
      </c>
      <c r="E134">
        <v>217</v>
      </c>
      <c r="F134">
        <v>1</v>
      </c>
      <c r="G134">
        <v>1</v>
      </c>
      <c r="H134">
        <v>51</v>
      </c>
      <c r="I134">
        <v>999999</v>
      </c>
      <c r="J134">
        <v>999</v>
      </c>
      <c r="K134">
        <v>2</v>
      </c>
      <c r="L134">
        <v>10</v>
      </c>
      <c r="M134">
        <v>9</v>
      </c>
      <c r="N134">
        <v>99</v>
      </c>
      <c r="O134">
        <v>9</v>
      </c>
      <c r="P134">
        <v>4</v>
      </c>
      <c r="Q134">
        <v>99999</v>
      </c>
      <c r="R134" s="276">
        <v>2.5683613035342199E-2</v>
      </c>
      <c r="S134" s="7">
        <v>45372.58079861111</v>
      </c>
      <c r="AG134" t="s">
        <v>234</v>
      </c>
      <c r="AH134">
        <v>2023</v>
      </c>
      <c r="AI134">
        <v>5345</v>
      </c>
      <c r="AJ134">
        <v>264</v>
      </c>
      <c r="AK134">
        <v>2</v>
      </c>
      <c r="AL134">
        <v>2</v>
      </c>
      <c r="AM134">
        <v>22</v>
      </c>
      <c r="AN134">
        <v>60</v>
      </c>
      <c r="AO134">
        <v>999</v>
      </c>
      <c r="AP134">
        <v>1</v>
      </c>
      <c r="AQ134">
        <v>1</v>
      </c>
      <c r="AR134">
        <v>9</v>
      </c>
      <c r="AS134">
        <v>99</v>
      </c>
      <c r="AT134">
        <v>9</v>
      </c>
      <c r="AU134">
        <v>3</v>
      </c>
      <c r="AV134">
        <v>99999</v>
      </c>
      <c r="AW134">
        <v>0</v>
      </c>
      <c r="AX134" s="7">
        <v>45372.583067129628</v>
      </c>
      <c r="AY134" s="7"/>
      <c r="BO134" s="276">
        <f t="shared" si="4"/>
        <v>0</v>
      </c>
      <c r="BV134" t="str">
        <f t="shared" si="5"/>
        <v/>
      </c>
    </row>
    <row r="135" spans="1:74">
      <c r="A135">
        <v>133</v>
      </c>
      <c r="B135" t="s">
        <v>150</v>
      </c>
      <c r="C135">
        <v>2023</v>
      </c>
      <c r="D135">
        <v>5367</v>
      </c>
      <c r="E135">
        <v>217</v>
      </c>
      <c r="F135">
        <v>2</v>
      </c>
      <c r="G135">
        <v>1</v>
      </c>
      <c r="H135">
        <v>51</v>
      </c>
      <c r="I135">
        <v>999999</v>
      </c>
      <c r="J135">
        <v>999</v>
      </c>
      <c r="K135">
        <v>2</v>
      </c>
      <c r="L135">
        <v>30</v>
      </c>
      <c r="M135">
        <v>2</v>
      </c>
      <c r="N135">
        <v>99</v>
      </c>
      <c r="O135">
        <v>9</v>
      </c>
      <c r="P135">
        <v>3</v>
      </c>
      <c r="Q135">
        <v>99999</v>
      </c>
      <c r="R135" s="276">
        <v>12166607.177655401</v>
      </c>
      <c r="S135" s="7">
        <v>45372.58079861111</v>
      </c>
      <c r="AG135" t="s">
        <v>234</v>
      </c>
      <c r="AH135">
        <v>2023</v>
      </c>
      <c r="AI135">
        <v>5345</v>
      </c>
      <c r="AJ135">
        <v>264</v>
      </c>
      <c r="AK135">
        <v>2</v>
      </c>
      <c r="AL135">
        <v>2</v>
      </c>
      <c r="AM135">
        <v>22</v>
      </c>
      <c r="AN135">
        <v>60</v>
      </c>
      <c r="AO135">
        <v>999</v>
      </c>
      <c r="AP135">
        <v>1</v>
      </c>
      <c r="AQ135">
        <v>2</v>
      </c>
      <c r="AR135">
        <v>9</v>
      </c>
      <c r="AS135">
        <v>99</v>
      </c>
      <c r="AT135">
        <v>9</v>
      </c>
      <c r="AU135">
        <v>3</v>
      </c>
      <c r="AV135">
        <v>99999</v>
      </c>
      <c r="AW135">
        <v>0</v>
      </c>
      <c r="AX135" s="7">
        <v>45372.583067129628</v>
      </c>
      <c r="AY135" s="7"/>
      <c r="BO135" s="276">
        <f t="shared" si="4"/>
        <v>0</v>
      </c>
      <c r="BV135" t="str">
        <f t="shared" si="5"/>
        <v/>
      </c>
    </row>
    <row r="136" spans="1:74">
      <c r="A136">
        <v>134</v>
      </c>
      <c r="B136" t="s">
        <v>150</v>
      </c>
      <c r="C136">
        <v>2023</v>
      </c>
      <c r="D136">
        <v>5367</v>
      </c>
      <c r="E136">
        <v>217</v>
      </c>
      <c r="F136">
        <v>2</v>
      </c>
      <c r="G136">
        <v>1</v>
      </c>
      <c r="H136">
        <v>51</v>
      </c>
      <c r="I136">
        <v>999999</v>
      </c>
      <c r="J136">
        <v>999</v>
      </c>
      <c r="K136">
        <v>1</v>
      </c>
      <c r="L136">
        <v>2</v>
      </c>
      <c r="M136">
        <v>1</v>
      </c>
      <c r="N136">
        <v>99</v>
      </c>
      <c r="O136">
        <v>9</v>
      </c>
      <c r="P136">
        <v>3</v>
      </c>
      <c r="Q136">
        <v>99999</v>
      </c>
      <c r="R136" s="276">
        <v>0</v>
      </c>
      <c r="S136" s="7">
        <v>45372.58079861111</v>
      </c>
      <c r="AG136" t="s">
        <v>234</v>
      </c>
      <c r="AH136">
        <v>2023</v>
      </c>
      <c r="AI136">
        <v>5345</v>
      </c>
      <c r="AJ136">
        <v>264</v>
      </c>
      <c r="AK136">
        <v>2</v>
      </c>
      <c r="AL136">
        <v>2</v>
      </c>
      <c r="AM136">
        <v>999</v>
      </c>
      <c r="AN136">
        <v>999999</v>
      </c>
      <c r="AO136">
        <v>999</v>
      </c>
      <c r="AP136">
        <v>99</v>
      </c>
      <c r="AQ136">
        <v>999</v>
      </c>
      <c r="AR136">
        <v>9</v>
      </c>
      <c r="AS136">
        <v>99</v>
      </c>
      <c r="AT136">
        <v>9</v>
      </c>
      <c r="AU136">
        <v>3</v>
      </c>
      <c r="AV136">
        <v>99999</v>
      </c>
      <c r="AW136">
        <v>0</v>
      </c>
      <c r="AX136" s="7">
        <v>45372.583067129628</v>
      </c>
      <c r="AY136" s="7"/>
      <c r="BO136" s="276">
        <f t="shared" si="4"/>
        <v>0</v>
      </c>
      <c r="BV136" t="str">
        <f t="shared" si="5"/>
        <v/>
      </c>
    </row>
    <row r="137" spans="1:74">
      <c r="A137">
        <v>135</v>
      </c>
      <c r="B137" t="s">
        <v>150</v>
      </c>
      <c r="C137">
        <v>2023</v>
      </c>
      <c r="D137">
        <v>5367</v>
      </c>
      <c r="E137">
        <v>217</v>
      </c>
      <c r="F137">
        <v>2</v>
      </c>
      <c r="G137">
        <v>1</v>
      </c>
      <c r="H137">
        <v>51</v>
      </c>
      <c r="I137">
        <v>999999</v>
      </c>
      <c r="J137">
        <v>999</v>
      </c>
      <c r="K137">
        <v>1</v>
      </c>
      <c r="L137">
        <v>3</v>
      </c>
      <c r="M137">
        <v>1</v>
      </c>
      <c r="N137">
        <v>99</v>
      </c>
      <c r="O137">
        <v>9</v>
      </c>
      <c r="P137">
        <v>3</v>
      </c>
      <c r="Q137">
        <v>99999</v>
      </c>
      <c r="R137" s="276">
        <v>0</v>
      </c>
      <c r="S137" s="7">
        <v>45372.58079861111</v>
      </c>
      <c r="AG137" t="s">
        <v>234</v>
      </c>
      <c r="AH137">
        <v>2023</v>
      </c>
      <c r="AI137">
        <v>5345</v>
      </c>
      <c r="AJ137">
        <v>264</v>
      </c>
      <c r="AK137">
        <v>2</v>
      </c>
      <c r="AL137">
        <v>2</v>
      </c>
      <c r="AM137">
        <v>20</v>
      </c>
      <c r="AN137">
        <v>60</v>
      </c>
      <c r="AO137">
        <v>999</v>
      </c>
      <c r="AP137">
        <v>3</v>
      </c>
      <c r="AQ137">
        <v>19</v>
      </c>
      <c r="AR137">
        <v>9</v>
      </c>
      <c r="AS137">
        <v>99</v>
      </c>
      <c r="AT137">
        <v>9</v>
      </c>
      <c r="AU137">
        <v>3</v>
      </c>
      <c r="AV137">
        <v>99999</v>
      </c>
      <c r="AW137">
        <v>0</v>
      </c>
      <c r="AX137" s="7">
        <v>45372.583067129628</v>
      </c>
      <c r="AY137" s="7"/>
      <c r="BO137" s="276">
        <f t="shared" si="4"/>
        <v>0</v>
      </c>
      <c r="BV137" t="str">
        <f t="shared" si="5"/>
        <v/>
      </c>
    </row>
    <row r="138" spans="1:74">
      <c r="A138">
        <v>136</v>
      </c>
      <c r="B138" t="s">
        <v>150</v>
      </c>
      <c r="C138">
        <v>2023</v>
      </c>
      <c r="D138">
        <v>5367</v>
      </c>
      <c r="E138">
        <v>217</v>
      </c>
      <c r="F138">
        <v>1</v>
      </c>
      <c r="G138">
        <v>1</v>
      </c>
      <c r="H138">
        <v>52</v>
      </c>
      <c r="I138">
        <v>55</v>
      </c>
      <c r="J138">
        <v>999</v>
      </c>
      <c r="K138">
        <v>2</v>
      </c>
      <c r="L138">
        <v>999</v>
      </c>
      <c r="M138">
        <v>9</v>
      </c>
      <c r="N138">
        <v>99</v>
      </c>
      <c r="O138">
        <v>9</v>
      </c>
      <c r="P138">
        <v>2</v>
      </c>
      <c r="Q138">
        <v>99999</v>
      </c>
      <c r="R138" s="276">
        <v>0</v>
      </c>
      <c r="S138" s="7">
        <v>45372.58079861111</v>
      </c>
      <c r="AG138" t="s">
        <v>234</v>
      </c>
      <c r="AH138">
        <v>2023</v>
      </c>
      <c r="AI138">
        <v>5345</v>
      </c>
      <c r="AJ138">
        <v>264</v>
      </c>
      <c r="AK138">
        <v>2</v>
      </c>
      <c r="AL138">
        <v>2</v>
      </c>
      <c r="AM138">
        <v>20</v>
      </c>
      <c r="AN138">
        <v>60</v>
      </c>
      <c r="AO138">
        <v>999</v>
      </c>
      <c r="AP138">
        <v>4</v>
      </c>
      <c r="AQ138">
        <v>999</v>
      </c>
      <c r="AR138">
        <v>9</v>
      </c>
      <c r="AS138">
        <v>99</v>
      </c>
      <c r="AT138">
        <v>9</v>
      </c>
      <c r="AU138">
        <v>3</v>
      </c>
      <c r="AV138">
        <v>99999</v>
      </c>
      <c r="AW138">
        <v>0</v>
      </c>
      <c r="AX138" s="7">
        <v>45372.583067129628</v>
      </c>
      <c r="AY138" s="7"/>
      <c r="BO138" s="276">
        <f t="shared" si="4"/>
        <v>0</v>
      </c>
      <c r="BV138" t="str">
        <f t="shared" si="5"/>
        <v/>
      </c>
    </row>
    <row r="139" spans="1:74">
      <c r="A139">
        <v>137</v>
      </c>
      <c r="B139" t="s">
        <v>150</v>
      </c>
      <c r="C139">
        <v>2023</v>
      </c>
      <c r="D139">
        <v>5367</v>
      </c>
      <c r="E139">
        <v>217</v>
      </c>
      <c r="F139">
        <v>1</v>
      </c>
      <c r="G139">
        <v>1</v>
      </c>
      <c r="H139">
        <v>51</v>
      </c>
      <c r="I139">
        <v>55</v>
      </c>
      <c r="J139">
        <v>999</v>
      </c>
      <c r="K139">
        <v>2</v>
      </c>
      <c r="L139">
        <v>999</v>
      </c>
      <c r="M139">
        <v>9</v>
      </c>
      <c r="N139">
        <v>99</v>
      </c>
      <c r="O139">
        <v>9</v>
      </c>
      <c r="P139">
        <v>2</v>
      </c>
      <c r="Q139">
        <v>99999</v>
      </c>
      <c r="R139" s="276">
        <v>73108.597899999906</v>
      </c>
      <c r="S139" s="7">
        <v>45372.58079861111</v>
      </c>
      <c r="AG139" t="s">
        <v>234</v>
      </c>
      <c r="AH139">
        <v>2023</v>
      </c>
      <c r="AI139">
        <v>5345</v>
      </c>
      <c r="AJ139">
        <v>264</v>
      </c>
      <c r="AK139">
        <v>2</v>
      </c>
      <c r="AL139">
        <v>2</v>
      </c>
      <c r="AM139">
        <v>20</v>
      </c>
      <c r="AN139">
        <v>60</v>
      </c>
      <c r="AO139">
        <v>999</v>
      </c>
      <c r="AP139">
        <v>2</v>
      </c>
      <c r="AQ139">
        <v>11</v>
      </c>
      <c r="AR139">
        <v>9</v>
      </c>
      <c r="AS139">
        <v>99</v>
      </c>
      <c r="AT139">
        <v>9</v>
      </c>
      <c r="AU139">
        <v>3</v>
      </c>
      <c r="AV139">
        <v>99999</v>
      </c>
      <c r="AW139">
        <v>0</v>
      </c>
      <c r="AX139" s="7">
        <v>45372.583067129628</v>
      </c>
      <c r="AY139" s="7"/>
      <c r="BO139" s="276">
        <f t="shared" si="4"/>
        <v>0</v>
      </c>
      <c r="BV139" t="str">
        <f t="shared" si="5"/>
        <v/>
      </c>
    </row>
    <row r="140" spans="1:74">
      <c r="A140">
        <v>138</v>
      </c>
      <c r="B140" t="s">
        <v>150</v>
      </c>
      <c r="C140">
        <v>2023</v>
      </c>
      <c r="D140">
        <v>5367</v>
      </c>
      <c r="E140">
        <v>217</v>
      </c>
      <c r="F140">
        <v>1</v>
      </c>
      <c r="G140">
        <v>1</v>
      </c>
      <c r="H140">
        <v>51</v>
      </c>
      <c r="I140">
        <v>999999</v>
      </c>
      <c r="J140">
        <v>999</v>
      </c>
      <c r="K140">
        <v>2</v>
      </c>
      <c r="L140">
        <v>8</v>
      </c>
      <c r="M140">
        <v>9</v>
      </c>
      <c r="N140">
        <v>99</v>
      </c>
      <c r="O140">
        <v>9</v>
      </c>
      <c r="P140">
        <v>2</v>
      </c>
      <c r="Q140">
        <v>99999</v>
      </c>
      <c r="R140" s="276">
        <v>10017.7083</v>
      </c>
      <c r="S140" s="7">
        <v>45372.58079861111</v>
      </c>
      <c r="AG140" t="s">
        <v>234</v>
      </c>
      <c r="AH140">
        <v>2023</v>
      </c>
      <c r="AI140">
        <v>5345</v>
      </c>
      <c r="AJ140">
        <v>264</v>
      </c>
      <c r="AK140">
        <v>2</v>
      </c>
      <c r="AL140">
        <v>2</v>
      </c>
      <c r="AM140">
        <v>20</v>
      </c>
      <c r="AN140">
        <v>60</v>
      </c>
      <c r="AO140">
        <v>999</v>
      </c>
      <c r="AP140">
        <v>2</v>
      </c>
      <c r="AQ140">
        <v>9</v>
      </c>
      <c r="AR140">
        <v>9</v>
      </c>
      <c r="AS140">
        <v>99</v>
      </c>
      <c r="AT140">
        <v>9</v>
      </c>
      <c r="AU140">
        <v>3</v>
      </c>
      <c r="AV140">
        <v>99999</v>
      </c>
      <c r="AW140">
        <v>0</v>
      </c>
      <c r="AX140" s="7">
        <v>45372.583067129628</v>
      </c>
      <c r="AY140" s="7"/>
      <c r="BO140" s="276">
        <f t="shared" si="4"/>
        <v>0</v>
      </c>
      <c r="BV140" t="str">
        <f t="shared" si="5"/>
        <v/>
      </c>
    </row>
    <row r="141" spans="1:74">
      <c r="A141">
        <v>139</v>
      </c>
      <c r="B141" t="s">
        <v>150</v>
      </c>
      <c r="C141">
        <v>2023</v>
      </c>
      <c r="D141">
        <v>5367</v>
      </c>
      <c r="E141">
        <v>217</v>
      </c>
      <c r="F141">
        <v>1</v>
      </c>
      <c r="G141">
        <v>1</v>
      </c>
      <c r="H141">
        <v>51</v>
      </c>
      <c r="I141">
        <v>999999</v>
      </c>
      <c r="J141">
        <v>999</v>
      </c>
      <c r="K141">
        <v>2</v>
      </c>
      <c r="L141">
        <v>9</v>
      </c>
      <c r="M141">
        <v>9</v>
      </c>
      <c r="N141">
        <v>99</v>
      </c>
      <c r="O141">
        <v>9</v>
      </c>
      <c r="P141">
        <v>2</v>
      </c>
      <c r="Q141">
        <v>99999</v>
      </c>
      <c r="R141" s="276">
        <v>0</v>
      </c>
      <c r="S141" s="7">
        <v>45372.58079861111</v>
      </c>
      <c r="AG141" t="s">
        <v>234</v>
      </c>
      <c r="AH141">
        <v>2023</v>
      </c>
      <c r="AI141">
        <v>5345</v>
      </c>
      <c r="AJ141">
        <v>264</v>
      </c>
      <c r="AK141">
        <v>2</v>
      </c>
      <c r="AL141">
        <v>2</v>
      </c>
      <c r="AM141">
        <v>20</v>
      </c>
      <c r="AN141">
        <v>60</v>
      </c>
      <c r="AO141">
        <v>999</v>
      </c>
      <c r="AP141">
        <v>2</v>
      </c>
      <c r="AQ141">
        <v>8</v>
      </c>
      <c r="AR141">
        <v>9</v>
      </c>
      <c r="AS141">
        <v>99</v>
      </c>
      <c r="AT141">
        <v>9</v>
      </c>
      <c r="AU141">
        <v>3</v>
      </c>
      <c r="AV141">
        <v>99999</v>
      </c>
      <c r="AW141">
        <v>0</v>
      </c>
      <c r="AX141" s="7">
        <v>45372.583067129628</v>
      </c>
      <c r="AY141" s="7"/>
      <c r="BO141" s="276">
        <f t="shared" si="4"/>
        <v>0</v>
      </c>
      <c r="BV141" t="str">
        <f t="shared" si="5"/>
        <v/>
      </c>
    </row>
    <row r="142" spans="1:74">
      <c r="A142">
        <v>140</v>
      </c>
      <c r="B142" t="s">
        <v>150</v>
      </c>
      <c r="C142">
        <v>2023</v>
      </c>
      <c r="D142">
        <v>5367</v>
      </c>
      <c r="E142">
        <v>217</v>
      </c>
      <c r="F142">
        <v>2</v>
      </c>
      <c r="G142">
        <v>1</v>
      </c>
      <c r="H142">
        <v>51</v>
      </c>
      <c r="I142">
        <v>999999</v>
      </c>
      <c r="J142">
        <v>999</v>
      </c>
      <c r="K142">
        <v>3</v>
      </c>
      <c r="L142">
        <v>17</v>
      </c>
      <c r="M142">
        <v>2</v>
      </c>
      <c r="N142">
        <v>99</v>
      </c>
      <c r="O142">
        <v>9</v>
      </c>
      <c r="P142">
        <v>3</v>
      </c>
      <c r="Q142">
        <v>99999</v>
      </c>
      <c r="R142" s="276">
        <v>1242481.9441147</v>
      </c>
      <c r="S142" s="7">
        <v>45372.58079861111</v>
      </c>
      <c r="AG142" t="s">
        <v>234</v>
      </c>
      <c r="AH142">
        <v>2023</v>
      </c>
      <c r="AI142">
        <v>5345</v>
      </c>
      <c r="AJ142">
        <v>264</v>
      </c>
      <c r="AK142">
        <v>2</v>
      </c>
      <c r="AL142">
        <v>2</v>
      </c>
      <c r="AM142">
        <v>20</v>
      </c>
      <c r="AN142">
        <v>60</v>
      </c>
      <c r="AO142">
        <v>999</v>
      </c>
      <c r="AP142">
        <v>2</v>
      </c>
      <c r="AQ142">
        <v>10</v>
      </c>
      <c r="AR142">
        <v>9</v>
      </c>
      <c r="AS142">
        <v>99</v>
      </c>
      <c r="AT142">
        <v>9</v>
      </c>
      <c r="AU142">
        <v>3</v>
      </c>
      <c r="AV142">
        <v>99999</v>
      </c>
      <c r="AW142">
        <v>0</v>
      </c>
      <c r="AX142" s="7">
        <v>45372.583067129628</v>
      </c>
      <c r="AY142" s="7"/>
      <c r="BO142" s="276">
        <f t="shared" si="4"/>
        <v>0</v>
      </c>
      <c r="BV142" t="str">
        <f t="shared" si="5"/>
        <v/>
      </c>
    </row>
    <row r="143" spans="1:74">
      <c r="A143">
        <v>141</v>
      </c>
      <c r="B143" t="s">
        <v>150</v>
      </c>
      <c r="C143">
        <v>2023</v>
      </c>
      <c r="D143">
        <v>5367</v>
      </c>
      <c r="E143">
        <v>217</v>
      </c>
      <c r="F143">
        <v>2</v>
      </c>
      <c r="G143">
        <v>1</v>
      </c>
      <c r="H143">
        <v>51</v>
      </c>
      <c r="I143">
        <v>999999</v>
      </c>
      <c r="J143">
        <v>999</v>
      </c>
      <c r="K143">
        <v>3</v>
      </c>
      <c r="L143">
        <v>18</v>
      </c>
      <c r="M143">
        <v>1</v>
      </c>
      <c r="N143">
        <v>99</v>
      </c>
      <c r="O143">
        <v>9</v>
      </c>
      <c r="P143">
        <v>3</v>
      </c>
      <c r="Q143">
        <v>99999</v>
      </c>
      <c r="R143" s="276">
        <v>744177.82493999903</v>
      </c>
      <c r="S143" s="7">
        <v>45372.58079861111</v>
      </c>
      <c r="AG143" t="s">
        <v>234</v>
      </c>
      <c r="AH143">
        <v>2023</v>
      </c>
      <c r="AI143">
        <v>5345</v>
      </c>
      <c r="AJ143">
        <v>264</v>
      </c>
      <c r="AK143">
        <v>2</v>
      </c>
      <c r="AL143">
        <v>2</v>
      </c>
      <c r="AM143">
        <v>20</v>
      </c>
      <c r="AN143">
        <v>60</v>
      </c>
      <c r="AO143">
        <v>999</v>
      </c>
      <c r="AP143">
        <v>3</v>
      </c>
      <c r="AQ143">
        <v>14</v>
      </c>
      <c r="AR143">
        <v>9</v>
      </c>
      <c r="AS143">
        <v>99</v>
      </c>
      <c r="AT143">
        <v>9</v>
      </c>
      <c r="AU143">
        <v>3</v>
      </c>
      <c r="AV143">
        <v>99999</v>
      </c>
      <c r="AW143">
        <v>-4790.2270802866597</v>
      </c>
      <c r="AX143" s="7">
        <v>45372.583067129628</v>
      </c>
      <c r="AY143" s="7"/>
      <c r="BO143" s="276">
        <f t="shared" si="4"/>
        <v>0</v>
      </c>
      <c r="BV143" t="str">
        <f t="shared" si="5"/>
        <v/>
      </c>
    </row>
    <row r="144" spans="1:74">
      <c r="A144">
        <v>142</v>
      </c>
      <c r="B144" t="s">
        <v>150</v>
      </c>
      <c r="C144">
        <v>2023</v>
      </c>
      <c r="D144">
        <v>5367</v>
      </c>
      <c r="E144">
        <v>217</v>
      </c>
      <c r="F144">
        <v>2</v>
      </c>
      <c r="G144">
        <v>1</v>
      </c>
      <c r="H144">
        <v>51</v>
      </c>
      <c r="I144">
        <v>999999</v>
      </c>
      <c r="J144">
        <v>999</v>
      </c>
      <c r="K144">
        <v>3</v>
      </c>
      <c r="L144">
        <v>19</v>
      </c>
      <c r="M144">
        <v>3</v>
      </c>
      <c r="N144">
        <v>99</v>
      </c>
      <c r="O144">
        <v>9</v>
      </c>
      <c r="P144">
        <v>3</v>
      </c>
      <c r="Q144">
        <v>99999</v>
      </c>
      <c r="R144" s="276">
        <v>0</v>
      </c>
      <c r="S144" s="7">
        <v>45372.58079861111</v>
      </c>
      <c r="AG144" t="s">
        <v>234</v>
      </c>
      <c r="AH144">
        <v>2023</v>
      </c>
      <c r="AI144">
        <v>5345</v>
      </c>
      <c r="AJ144">
        <v>264</v>
      </c>
      <c r="AK144">
        <v>2</v>
      </c>
      <c r="AL144">
        <v>2</v>
      </c>
      <c r="AM144">
        <v>20</v>
      </c>
      <c r="AN144">
        <v>60</v>
      </c>
      <c r="AO144">
        <v>999</v>
      </c>
      <c r="AP144">
        <v>3</v>
      </c>
      <c r="AQ144">
        <v>15</v>
      </c>
      <c r="AR144">
        <v>9</v>
      </c>
      <c r="AS144">
        <v>99</v>
      </c>
      <c r="AT144">
        <v>9</v>
      </c>
      <c r="AU144">
        <v>3</v>
      </c>
      <c r="AV144">
        <v>99999</v>
      </c>
      <c r="AW144">
        <v>-103973.331369154</v>
      </c>
      <c r="AX144" s="7">
        <v>45372.583067129628</v>
      </c>
      <c r="AY144" s="7"/>
      <c r="BO144" s="276">
        <f t="shared" si="4"/>
        <v>0</v>
      </c>
      <c r="BV144" t="str">
        <f t="shared" si="5"/>
        <v/>
      </c>
    </row>
    <row r="145" spans="1:74">
      <c r="A145">
        <v>143</v>
      </c>
      <c r="B145" t="s">
        <v>150</v>
      </c>
      <c r="C145">
        <v>2023</v>
      </c>
      <c r="D145">
        <v>5367</v>
      </c>
      <c r="E145">
        <v>217</v>
      </c>
      <c r="F145">
        <v>1</v>
      </c>
      <c r="G145">
        <v>1</v>
      </c>
      <c r="H145">
        <v>15</v>
      </c>
      <c r="I145">
        <v>140</v>
      </c>
      <c r="J145">
        <v>999</v>
      </c>
      <c r="K145">
        <v>1</v>
      </c>
      <c r="L145">
        <v>7</v>
      </c>
      <c r="M145">
        <v>9</v>
      </c>
      <c r="N145">
        <v>99</v>
      </c>
      <c r="O145">
        <v>9</v>
      </c>
      <c r="P145">
        <v>4</v>
      </c>
      <c r="Q145">
        <v>99999</v>
      </c>
      <c r="R145" s="276">
        <v>0</v>
      </c>
      <c r="S145" s="7">
        <v>45372.58079861111</v>
      </c>
      <c r="AG145" t="s">
        <v>234</v>
      </c>
      <c r="AH145">
        <v>2023</v>
      </c>
      <c r="AI145">
        <v>5345</v>
      </c>
      <c r="AJ145">
        <v>264</v>
      </c>
      <c r="AK145">
        <v>2</v>
      </c>
      <c r="AL145">
        <v>2</v>
      </c>
      <c r="AM145">
        <v>20</v>
      </c>
      <c r="AN145">
        <v>60</v>
      </c>
      <c r="AO145">
        <v>999</v>
      </c>
      <c r="AP145">
        <v>3</v>
      </c>
      <c r="AQ145">
        <v>16</v>
      </c>
      <c r="AR145">
        <v>9</v>
      </c>
      <c r="AS145">
        <v>99</v>
      </c>
      <c r="AT145">
        <v>9</v>
      </c>
      <c r="AU145">
        <v>3</v>
      </c>
      <c r="AV145">
        <v>99999</v>
      </c>
      <c r="AW145">
        <v>0</v>
      </c>
      <c r="AX145" s="7">
        <v>45372.583067129628</v>
      </c>
      <c r="AY145" s="7"/>
      <c r="BO145" s="276">
        <f t="shared" si="4"/>
        <v>0</v>
      </c>
      <c r="BV145" t="str">
        <f t="shared" si="5"/>
        <v/>
      </c>
    </row>
    <row r="146" spans="1:74">
      <c r="A146">
        <v>144</v>
      </c>
      <c r="B146" t="s">
        <v>150</v>
      </c>
      <c r="C146">
        <v>2023</v>
      </c>
      <c r="D146">
        <v>5367</v>
      </c>
      <c r="E146">
        <v>217</v>
      </c>
      <c r="F146">
        <v>2</v>
      </c>
      <c r="G146">
        <v>1</v>
      </c>
      <c r="H146">
        <v>51</v>
      </c>
      <c r="I146">
        <v>999999</v>
      </c>
      <c r="J146">
        <v>999</v>
      </c>
      <c r="K146">
        <v>1</v>
      </c>
      <c r="L146">
        <v>7</v>
      </c>
      <c r="M146">
        <v>1</v>
      </c>
      <c r="N146">
        <v>99</v>
      </c>
      <c r="O146">
        <v>9</v>
      </c>
      <c r="P146">
        <v>3</v>
      </c>
      <c r="Q146">
        <v>99999</v>
      </c>
      <c r="R146" s="276">
        <v>7462030.3475799998</v>
      </c>
      <c r="S146" s="7">
        <v>45372.58079861111</v>
      </c>
      <c r="AG146" t="s">
        <v>234</v>
      </c>
      <c r="AH146">
        <v>2023</v>
      </c>
      <c r="AI146">
        <v>5345</v>
      </c>
      <c r="AJ146">
        <v>264</v>
      </c>
      <c r="AK146">
        <v>2</v>
      </c>
      <c r="AL146">
        <v>2</v>
      </c>
      <c r="AM146">
        <v>20</v>
      </c>
      <c r="AN146">
        <v>60</v>
      </c>
      <c r="AO146">
        <v>999</v>
      </c>
      <c r="AP146">
        <v>3</v>
      </c>
      <c r="AQ146">
        <v>17</v>
      </c>
      <c r="AR146">
        <v>9</v>
      </c>
      <c r="AS146">
        <v>99</v>
      </c>
      <c r="AT146">
        <v>9</v>
      </c>
      <c r="AU146">
        <v>3</v>
      </c>
      <c r="AV146">
        <v>99999</v>
      </c>
      <c r="AW146">
        <v>0</v>
      </c>
      <c r="AX146" s="7">
        <v>45372.583067129628</v>
      </c>
      <c r="AY146" s="7"/>
      <c r="BO146" s="276">
        <f t="shared" si="4"/>
        <v>0</v>
      </c>
      <c r="BV146" t="str">
        <f t="shared" si="5"/>
        <v/>
      </c>
    </row>
    <row r="147" spans="1:74">
      <c r="A147">
        <v>145</v>
      </c>
      <c r="B147" t="s">
        <v>150</v>
      </c>
      <c r="C147">
        <v>2023</v>
      </c>
      <c r="D147">
        <v>5367</v>
      </c>
      <c r="E147">
        <v>217</v>
      </c>
      <c r="F147">
        <v>2</v>
      </c>
      <c r="G147">
        <v>1</v>
      </c>
      <c r="H147">
        <v>51</v>
      </c>
      <c r="I147">
        <v>999999</v>
      </c>
      <c r="J147">
        <v>999</v>
      </c>
      <c r="K147">
        <v>1</v>
      </c>
      <c r="L147">
        <v>1</v>
      </c>
      <c r="M147">
        <v>1</v>
      </c>
      <c r="N147">
        <v>99</v>
      </c>
      <c r="O147">
        <v>9</v>
      </c>
      <c r="P147">
        <v>3</v>
      </c>
      <c r="Q147">
        <v>99999</v>
      </c>
      <c r="R147" s="276">
        <v>0</v>
      </c>
      <c r="S147" s="7">
        <v>45372.58079861111</v>
      </c>
      <c r="AG147" t="s">
        <v>234</v>
      </c>
      <c r="AH147">
        <v>2023</v>
      </c>
      <c r="AI147">
        <v>5345</v>
      </c>
      <c r="AJ147">
        <v>264</v>
      </c>
      <c r="AK147">
        <v>2</v>
      </c>
      <c r="AL147">
        <v>2</v>
      </c>
      <c r="AM147">
        <v>20</v>
      </c>
      <c r="AN147">
        <v>60</v>
      </c>
      <c r="AO147">
        <v>999</v>
      </c>
      <c r="AP147">
        <v>3</v>
      </c>
      <c r="AQ147">
        <v>18</v>
      </c>
      <c r="AR147">
        <v>9</v>
      </c>
      <c r="AS147">
        <v>99</v>
      </c>
      <c r="AT147">
        <v>9</v>
      </c>
      <c r="AU147">
        <v>3</v>
      </c>
      <c r="AV147">
        <v>99999</v>
      </c>
      <c r="AW147">
        <v>-16281.559393179899</v>
      </c>
      <c r="AX147" s="7">
        <v>45372.583067129628</v>
      </c>
      <c r="AY147" s="7"/>
      <c r="BO147" s="276">
        <f t="shared" si="4"/>
        <v>0</v>
      </c>
      <c r="BV147" t="str">
        <f t="shared" si="5"/>
        <v/>
      </c>
    </row>
    <row r="148" spans="1:74">
      <c r="A148">
        <v>146</v>
      </c>
      <c r="B148" t="s">
        <v>150</v>
      </c>
      <c r="C148">
        <v>2023</v>
      </c>
      <c r="D148">
        <v>5367</v>
      </c>
      <c r="E148">
        <v>217</v>
      </c>
      <c r="F148">
        <v>1</v>
      </c>
      <c r="G148">
        <v>4</v>
      </c>
      <c r="H148">
        <v>14</v>
      </c>
      <c r="I148">
        <v>29</v>
      </c>
      <c r="J148">
        <v>999</v>
      </c>
      <c r="K148">
        <v>99</v>
      </c>
      <c r="L148">
        <v>999</v>
      </c>
      <c r="M148">
        <v>9</v>
      </c>
      <c r="N148">
        <v>99</v>
      </c>
      <c r="O148">
        <v>9</v>
      </c>
      <c r="P148">
        <v>4</v>
      </c>
      <c r="Q148">
        <v>99999</v>
      </c>
      <c r="R148" s="276">
        <v>0.112960875564215</v>
      </c>
      <c r="S148" s="7">
        <v>45372.58079861111</v>
      </c>
      <c r="AG148" t="s">
        <v>234</v>
      </c>
      <c r="AH148">
        <v>2023</v>
      </c>
      <c r="AI148">
        <v>5345</v>
      </c>
      <c r="AJ148">
        <v>264</v>
      </c>
      <c r="AK148">
        <v>2</v>
      </c>
      <c r="AL148">
        <v>2</v>
      </c>
      <c r="AM148">
        <v>20</v>
      </c>
      <c r="AN148">
        <v>60</v>
      </c>
      <c r="AO148">
        <v>999</v>
      </c>
      <c r="AP148">
        <v>3</v>
      </c>
      <c r="AQ148">
        <v>12</v>
      </c>
      <c r="AR148">
        <v>9</v>
      </c>
      <c r="AS148">
        <v>99</v>
      </c>
      <c r="AT148">
        <v>9</v>
      </c>
      <c r="AU148">
        <v>3</v>
      </c>
      <c r="AV148">
        <v>99999</v>
      </c>
      <c r="AW148">
        <v>0</v>
      </c>
      <c r="AX148" s="7">
        <v>45372.583067129628</v>
      </c>
      <c r="AY148" s="7"/>
      <c r="BO148" s="276">
        <f t="shared" si="4"/>
        <v>0</v>
      </c>
      <c r="BV148" t="str">
        <f t="shared" si="5"/>
        <v/>
      </c>
    </row>
    <row r="149" spans="1:74">
      <c r="A149">
        <v>147</v>
      </c>
      <c r="B149" t="s">
        <v>150</v>
      </c>
      <c r="C149">
        <v>2023</v>
      </c>
      <c r="D149">
        <v>5367</v>
      </c>
      <c r="E149">
        <v>217</v>
      </c>
      <c r="F149">
        <v>1</v>
      </c>
      <c r="G149">
        <v>4</v>
      </c>
      <c r="H149">
        <v>14</v>
      </c>
      <c r="I149">
        <v>30</v>
      </c>
      <c r="J149">
        <v>999</v>
      </c>
      <c r="K149">
        <v>99</v>
      </c>
      <c r="L149">
        <v>999</v>
      </c>
      <c r="M149">
        <v>9</v>
      </c>
      <c r="N149">
        <v>99</v>
      </c>
      <c r="O149">
        <v>9</v>
      </c>
      <c r="P149">
        <v>4</v>
      </c>
      <c r="Q149">
        <v>99999</v>
      </c>
      <c r="R149" s="276">
        <v>1.93281109854064E-4</v>
      </c>
      <c r="S149" s="7">
        <v>45372.58079861111</v>
      </c>
      <c r="AG149" t="s">
        <v>234</v>
      </c>
      <c r="AH149">
        <v>2023</v>
      </c>
      <c r="AI149">
        <v>5345</v>
      </c>
      <c r="AJ149">
        <v>264</v>
      </c>
      <c r="AK149">
        <v>2</v>
      </c>
      <c r="AL149">
        <v>2</v>
      </c>
      <c r="AM149">
        <v>22</v>
      </c>
      <c r="AN149">
        <v>60</v>
      </c>
      <c r="AO149">
        <v>240</v>
      </c>
      <c r="AP149">
        <v>2</v>
      </c>
      <c r="AQ149">
        <v>11</v>
      </c>
      <c r="AR149">
        <v>9</v>
      </c>
      <c r="AS149">
        <v>99</v>
      </c>
      <c r="AT149">
        <v>9</v>
      </c>
      <c r="AU149">
        <v>3</v>
      </c>
      <c r="AV149">
        <v>99999</v>
      </c>
      <c r="AW149">
        <v>0</v>
      </c>
      <c r="AX149" s="7">
        <v>45372.583067129628</v>
      </c>
      <c r="AY149" s="7"/>
      <c r="BO149" s="276">
        <f t="shared" si="4"/>
        <v>0</v>
      </c>
      <c r="BV149" t="str">
        <f t="shared" si="5"/>
        <v/>
      </c>
    </row>
    <row r="150" spans="1:74">
      <c r="A150">
        <v>148</v>
      </c>
      <c r="B150" t="s">
        <v>150</v>
      </c>
      <c r="C150">
        <v>2023</v>
      </c>
      <c r="D150">
        <v>5367</v>
      </c>
      <c r="E150">
        <v>217</v>
      </c>
      <c r="F150">
        <v>2</v>
      </c>
      <c r="G150">
        <v>1</v>
      </c>
      <c r="H150">
        <v>51</v>
      </c>
      <c r="I150">
        <v>999999</v>
      </c>
      <c r="J150">
        <v>999</v>
      </c>
      <c r="K150">
        <v>3</v>
      </c>
      <c r="L150">
        <v>12</v>
      </c>
      <c r="M150">
        <v>1</v>
      </c>
      <c r="N150">
        <v>99</v>
      </c>
      <c r="O150">
        <v>9</v>
      </c>
      <c r="P150">
        <v>3</v>
      </c>
      <c r="Q150">
        <v>99999</v>
      </c>
      <c r="R150" s="276">
        <v>0</v>
      </c>
      <c r="S150" s="7">
        <v>45372.58079861111</v>
      </c>
      <c r="AG150" t="s">
        <v>234</v>
      </c>
      <c r="AH150">
        <v>2023</v>
      </c>
      <c r="AI150">
        <v>5345</v>
      </c>
      <c r="AJ150">
        <v>264</v>
      </c>
      <c r="AK150">
        <v>2</v>
      </c>
      <c r="AL150">
        <v>2</v>
      </c>
      <c r="AM150">
        <v>22</v>
      </c>
      <c r="AN150">
        <v>60</v>
      </c>
      <c r="AO150">
        <v>240</v>
      </c>
      <c r="AP150">
        <v>2</v>
      </c>
      <c r="AQ150">
        <v>9</v>
      </c>
      <c r="AR150">
        <v>9</v>
      </c>
      <c r="AS150">
        <v>99</v>
      </c>
      <c r="AT150">
        <v>9</v>
      </c>
      <c r="AU150">
        <v>3</v>
      </c>
      <c r="AV150">
        <v>99999</v>
      </c>
      <c r="AW150">
        <v>0</v>
      </c>
      <c r="AX150" s="7">
        <v>45372.583067129628</v>
      </c>
      <c r="AY150" s="7"/>
      <c r="BO150" s="276">
        <f t="shared" si="4"/>
        <v>0</v>
      </c>
      <c r="BV150" t="str">
        <f t="shared" si="5"/>
        <v/>
      </c>
    </row>
    <row r="151" spans="1:74">
      <c r="A151">
        <v>149</v>
      </c>
      <c r="B151" t="s">
        <v>150</v>
      </c>
      <c r="C151">
        <v>2023</v>
      </c>
      <c r="D151">
        <v>5367</v>
      </c>
      <c r="E151">
        <v>217</v>
      </c>
      <c r="F151">
        <v>2</v>
      </c>
      <c r="G151">
        <v>1</v>
      </c>
      <c r="H151">
        <v>51</v>
      </c>
      <c r="I151">
        <v>999999</v>
      </c>
      <c r="J151">
        <v>999</v>
      </c>
      <c r="K151">
        <v>3</v>
      </c>
      <c r="L151">
        <v>14</v>
      </c>
      <c r="M151">
        <v>1</v>
      </c>
      <c r="N151">
        <v>99</v>
      </c>
      <c r="O151">
        <v>9</v>
      </c>
      <c r="P151">
        <v>3</v>
      </c>
      <c r="Q151">
        <v>99999</v>
      </c>
      <c r="R151" s="276">
        <v>110021.877859115</v>
      </c>
      <c r="S151" s="7">
        <v>45372.58079861111</v>
      </c>
      <c r="AG151" t="s">
        <v>234</v>
      </c>
      <c r="AH151">
        <v>2023</v>
      </c>
      <c r="AI151">
        <v>5345</v>
      </c>
      <c r="AJ151">
        <v>264</v>
      </c>
      <c r="AK151">
        <v>2</v>
      </c>
      <c r="AL151">
        <v>2</v>
      </c>
      <c r="AM151">
        <v>22</v>
      </c>
      <c r="AN151">
        <v>60</v>
      </c>
      <c r="AO151">
        <v>240</v>
      </c>
      <c r="AP151">
        <v>2</v>
      </c>
      <c r="AQ151">
        <v>8</v>
      </c>
      <c r="AR151">
        <v>9</v>
      </c>
      <c r="AS151">
        <v>99</v>
      </c>
      <c r="AT151">
        <v>9</v>
      </c>
      <c r="AU151">
        <v>3</v>
      </c>
      <c r="AV151">
        <v>99999</v>
      </c>
      <c r="AW151">
        <v>0</v>
      </c>
      <c r="AX151" s="7">
        <v>45372.583067129628</v>
      </c>
      <c r="AY151" s="7"/>
      <c r="BO151" s="276">
        <f t="shared" si="4"/>
        <v>0</v>
      </c>
      <c r="BV151" t="str">
        <f t="shared" si="5"/>
        <v/>
      </c>
    </row>
    <row r="152" spans="1:74">
      <c r="A152">
        <v>150</v>
      </c>
      <c r="B152" t="s">
        <v>150</v>
      </c>
      <c r="C152">
        <v>2023</v>
      </c>
      <c r="D152">
        <v>5367</v>
      </c>
      <c r="E152">
        <v>217</v>
      </c>
      <c r="F152">
        <v>2</v>
      </c>
      <c r="G152">
        <v>1</v>
      </c>
      <c r="H152">
        <v>51</v>
      </c>
      <c r="I152">
        <v>999999</v>
      </c>
      <c r="J152">
        <v>999</v>
      </c>
      <c r="K152">
        <v>3</v>
      </c>
      <c r="L152">
        <v>15</v>
      </c>
      <c r="M152">
        <v>1</v>
      </c>
      <c r="N152">
        <v>99</v>
      </c>
      <c r="O152">
        <v>9</v>
      </c>
      <c r="P152">
        <v>3</v>
      </c>
      <c r="Q152">
        <v>99999</v>
      </c>
      <c r="R152" s="276">
        <v>5202011.8445100002</v>
      </c>
      <c r="S152" s="7">
        <v>45372.58079861111</v>
      </c>
      <c r="AG152" t="s">
        <v>234</v>
      </c>
      <c r="AH152">
        <v>2023</v>
      </c>
      <c r="AI152">
        <v>5345</v>
      </c>
      <c r="AJ152">
        <v>264</v>
      </c>
      <c r="AK152">
        <v>2</v>
      </c>
      <c r="AL152">
        <v>2</v>
      </c>
      <c r="AM152">
        <v>22</v>
      </c>
      <c r="AN152">
        <v>60</v>
      </c>
      <c r="AO152">
        <v>240</v>
      </c>
      <c r="AP152">
        <v>2</v>
      </c>
      <c r="AQ152">
        <v>10</v>
      </c>
      <c r="AR152">
        <v>9</v>
      </c>
      <c r="AS152">
        <v>99</v>
      </c>
      <c r="AT152">
        <v>9</v>
      </c>
      <c r="AU152">
        <v>3</v>
      </c>
      <c r="AV152">
        <v>99999</v>
      </c>
      <c r="AW152" s="32">
        <v>0</v>
      </c>
      <c r="AX152" s="7">
        <v>45372.583067129628</v>
      </c>
      <c r="AY152" s="7"/>
      <c r="BO152" s="276">
        <f t="shared" si="4"/>
        <v>0</v>
      </c>
      <c r="BV152" t="str">
        <f t="shared" si="5"/>
        <v/>
      </c>
    </row>
    <row r="153" spans="1:74">
      <c r="A153">
        <v>151</v>
      </c>
      <c r="B153" t="s">
        <v>150</v>
      </c>
      <c r="C153">
        <v>2023</v>
      </c>
      <c r="D153">
        <v>5367</v>
      </c>
      <c r="E153">
        <v>217</v>
      </c>
      <c r="F153">
        <v>2</v>
      </c>
      <c r="G153">
        <v>1</v>
      </c>
      <c r="H153">
        <v>51</v>
      </c>
      <c r="I153">
        <v>999999</v>
      </c>
      <c r="J153">
        <v>999</v>
      </c>
      <c r="K153">
        <v>3</v>
      </c>
      <c r="L153">
        <v>16</v>
      </c>
      <c r="M153">
        <v>2</v>
      </c>
      <c r="N153">
        <v>99</v>
      </c>
      <c r="O153">
        <v>9</v>
      </c>
      <c r="P153">
        <v>3</v>
      </c>
      <c r="Q153">
        <v>99999</v>
      </c>
      <c r="R153" s="276">
        <v>0</v>
      </c>
      <c r="S153" s="7">
        <v>45372.58079861111</v>
      </c>
      <c r="AG153" t="s">
        <v>234</v>
      </c>
      <c r="AH153">
        <v>2023</v>
      </c>
      <c r="AI153">
        <v>5345</v>
      </c>
      <c r="AJ153">
        <v>264</v>
      </c>
      <c r="AK153">
        <v>2</v>
      </c>
      <c r="AL153">
        <v>2</v>
      </c>
      <c r="AM153">
        <v>22</v>
      </c>
      <c r="AN153">
        <v>60</v>
      </c>
      <c r="AO153">
        <v>240</v>
      </c>
      <c r="AP153">
        <v>2</v>
      </c>
      <c r="AQ153">
        <v>24</v>
      </c>
      <c r="AR153">
        <v>9</v>
      </c>
      <c r="AS153">
        <v>99</v>
      </c>
      <c r="AT153">
        <v>9</v>
      </c>
      <c r="AU153">
        <v>3</v>
      </c>
      <c r="AV153">
        <v>99999</v>
      </c>
      <c r="AW153" s="32">
        <v>0</v>
      </c>
      <c r="AX153" s="7">
        <v>45372.583067129628</v>
      </c>
      <c r="AY153" s="7"/>
      <c r="BO153" s="276">
        <f t="shared" si="4"/>
        <v>0</v>
      </c>
      <c r="BV153" t="str">
        <f t="shared" si="5"/>
        <v/>
      </c>
    </row>
    <row r="154" spans="1:74">
      <c r="A154">
        <v>152</v>
      </c>
      <c r="B154" t="s">
        <v>150</v>
      </c>
      <c r="C154">
        <v>2023</v>
      </c>
      <c r="D154">
        <v>5367</v>
      </c>
      <c r="E154">
        <v>217</v>
      </c>
      <c r="F154">
        <v>2</v>
      </c>
      <c r="G154">
        <v>2</v>
      </c>
      <c r="H154">
        <v>22</v>
      </c>
      <c r="I154">
        <v>60</v>
      </c>
      <c r="J154">
        <v>240</v>
      </c>
      <c r="K154">
        <v>2</v>
      </c>
      <c r="L154">
        <v>11</v>
      </c>
      <c r="M154">
        <v>9</v>
      </c>
      <c r="N154">
        <v>99</v>
      </c>
      <c r="O154">
        <v>9</v>
      </c>
      <c r="P154">
        <v>3</v>
      </c>
      <c r="Q154">
        <v>99999</v>
      </c>
      <c r="R154" s="276">
        <v>0</v>
      </c>
      <c r="S154" s="7">
        <v>45372.58079861111</v>
      </c>
      <c r="AG154" t="s">
        <v>234</v>
      </c>
      <c r="AH154">
        <v>2023</v>
      </c>
      <c r="AI154">
        <v>5345</v>
      </c>
      <c r="AJ154">
        <v>264</v>
      </c>
      <c r="AK154">
        <v>2</v>
      </c>
      <c r="AL154">
        <v>2</v>
      </c>
      <c r="AM154">
        <v>22</v>
      </c>
      <c r="AN154">
        <v>60</v>
      </c>
      <c r="AO154">
        <v>240</v>
      </c>
      <c r="AP154">
        <v>2</v>
      </c>
      <c r="AQ154">
        <v>11</v>
      </c>
      <c r="AR154">
        <v>9</v>
      </c>
      <c r="AS154">
        <v>99</v>
      </c>
      <c r="AT154">
        <v>9</v>
      </c>
      <c r="AU154">
        <v>3</v>
      </c>
      <c r="AV154">
        <v>99999</v>
      </c>
      <c r="AW154">
        <v>0</v>
      </c>
      <c r="AX154" s="7">
        <v>45372.583067129628</v>
      </c>
      <c r="AY154" s="7"/>
      <c r="BO154" s="276">
        <f t="shared" si="4"/>
        <v>0</v>
      </c>
      <c r="BV154" t="str">
        <f t="shared" si="5"/>
        <v/>
      </c>
    </row>
    <row r="155" spans="1:74">
      <c r="A155">
        <v>153</v>
      </c>
      <c r="B155" t="s">
        <v>150</v>
      </c>
      <c r="C155">
        <v>2023</v>
      </c>
      <c r="D155">
        <v>5367</v>
      </c>
      <c r="E155">
        <v>217</v>
      </c>
      <c r="F155">
        <v>2</v>
      </c>
      <c r="G155">
        <v>2</v>
      </c>
      <c r="H155">
        <v>22</v>
      </c>
      <c r="I155">
        <v>60</v>
      </c>
      <c r="J155">
        <v>240</v>
      </c>
      <c r="K155">
        <v>2</v>
      </c>
      <c r="L155">
        <v>9</v>
      </c>
      <c r="M155">
        <v>9</v>
      </c>
      <c r="N155">
        <v>99</v>
      </c>
      <c r="O155">
        <v>9</v>
      </c>
      <c r="P155">
        <v>3</v>
      </c>
      <c r="Q155">
        <v>99999</v>
      </c>
      <c r="R155" s="276">
        <v>0</v>
      </c>
      <c r="S155" s="7">
        <v>45372.58079861111</v>
      </c>
      <c r="AG155" t="s">
        <v>234</v>
      </c>
      <c r="AH155">
        <v>2023</v>
      </c>
      <c r="AI155">
        <v>5345</v>
      </c>
      <c r="AJ155">
        <v>264</v>
      </c>
      <c r="AK155">
        <v>2</v>
      </c>
      <c r="AL155">
        <v>2</v>
      </c>
      <c r="AM155">
        <v>22</v>
      </c>
      <c r="AN155">
        <v>60</v>
      </c>
      <c r="AO155">
        <v>240</v>
      </c>
      <c r="AP155">
        <v>2</v>
      </c>
      <c r="AQ155">
        <v>9</v>
      </c>
      <c r="AR155">
        <v>9</v>
      </c>
      <c r="AS155">
        <v>99</v>
      </c>
      <c r="AT155">
        <v>9</v>
      </c>
      <c r="AU155">
        <v>3</v>
      </c>
      <c r="AV155">
        <v>99999</v>
      </c>
      <c r="AW155" s="32">
        <v>0</v>
      </c>
      <c r="AX155" s="7">
        <v>45372.583067129628</v>
      </c>
      <c r="AY155" s="7"/>
      <c r="BO155" s="276">
        <f t="shared" si="4"/>
        <v>0</v>
      </c>
      <c r="BV155" t="str">
        <f t="shared" si="5"/>
        <v/>
      </c>
    </row>
    <row r="156" spans="1:74">
      <c r="A156">
        <v>154</v>
      </c>
      <c r="B156" t="s">
        <v>150</v>
      </c>
      <c r="C156">
        <v>2023</v>
      </c>
      <c r="D156">
        <v>5367</v>
      </c>
      <c r="E156">
        <v>217</v>
      </c>
      <c r="F156">
        <v>2</v>
      </c>
      <c r="G156">
        <v>2</v>
      </c>
      <c r="H156">
        <v>22</v>
      </c>
      <c r="I156">
        <v>60</v>
      </c>
      <c r="J156">
        <v>240</v>
      </c>
      <c r="K156">
        <v>2</v>
      </c>
      <c r="L156">
        <v>8</v>
      </c>
      <c r="M156">
        <v>9</v>
      </c>
      <c r="N156">
        <v>99</v>
      </c>
      <c r="O156">
        <v>9</v>
      </c>
      <c r="P156">
        <v>3</v>
      </c>
      <c r="Q156">
        <v>99999</v>
      </c>
      <c r="R156" s="276">
        <v>0</v>
      </c>
      <c r="S156" s="7">
        <v>45372.58079861111</v>
      </c>
      <c r="AG156" t="s">
        <v>234</v>
      </c>
      <c r="AH156">
        <v>2023</v>
      </c>
      <c r="AI156">
        <v>5345</v>
      </c>
      <c r="AJ156">
        <v>264</v>
      </c>
      <c r="AK156">
        <v>2</v>
      </c>
      <c r="AL156">
        <v>2</v>
      </c>
      <c r="AM156">
        <v>22</v>
      </c>
      <c r="AN156">
        <v>60</v>
      </c>
      <c r="AO156">
        <v>240</v>
      </c>
      <c r="AP156">
        <v>2</v>
      </c>
      <c r="AQ156">
        <v>8</v>
      </c>
      <c r="AR156">
        <v>9</v>
      </c>
      <c r="AS156">
        <v>99</v>
      </c>
      <c r="AT156">
        <v>9</v>
      </c>
      <c r="AU156">
        <v>3</v>
      </c>
      <c r="AV156">
        <v>99999</v>
      </c>
      <c r="AW156">
        <v>0</v>
      </c>
      <c r="AX156" s="7">
        <v>45372.583067129628</v>
      </c>
      <c r="AY156" s="7"/>
      <c r="BO156" s="276">
        <f t="shared" si="4"/>
        <v>0</v>
      </c>
      <c r="BV156" t="str">
        <f t="shared" si="5"/>
        <v/>
      </c>
    </row>
    <row r="157" spans="1:74">
      <c r="A157">
        <v>155</v>
      </c>
      <c r="B157" t="s">
        <v>150</v>
      </c>
      <c r="C157">
        <v>2023</v>
      </c>
      <c r="D157">
        <v>5367</v>
      </c>
      <c r="E157">
        <v>217</v>
      </c>
      <c r="F157">
        <v>2</v>
      </c>
      <c r="G157">
        <v>2</v>
      </c>
      <c r="H157">
        <v>22</v>
      </c>
      <c r="I157">
        <v>60</v>
      </c>
      <c r="J157">
        <v>240</v>
      </c>
      <c r="K157">
        <v>2</v>
      </c>
      <c r="L157">
        <v>10</v>
      </c>
      <c r="M157">
        <v>9</v>
      </c>
      <c r="N157">
        <v>99</v>
      </c>
      <c r="O157">
        <v>9</v>
      </c>
      <c r="P157">
        <v>3</v>
      </c>
      <c r="Q157">
        <v>99999</v>
      </c>
      <c r="R157" s="276">
        <v>0</v>
      </c>
      <c r="S157" s="7">
        <v>45372.58079861111</v>
      </c>
      <c r="AG157" t="s">
        <v>234</v>
      </c>
      <c r="AH157">
        <v>2023</v>
      </c>
      <c r="AI157">
        <v>5345</v>
      </c>
      <c r="AJ157">
        <v>264</v>
      </c>
      <c r="AK157">
        <v>2</v>
      </c>
      <c r="AL157">
        <v>2</v>
      </c>
      <c r="AM157">
        <v>22</v>
      </c>
      <c r="AN157">
        <v>60</v>
      </c>
      <c r="AO157">
        <v>240</v>
      </c>
      <c r="AP157">
        <v>2</v>
      </c>
      <c r="AQ157">
        <v>10</v>
      </c>
      <c r="AR157">
        <v>9</v>
      </c>
      <c r="AS157">
        <v>99</v>
      </c>
      <c r="AT157">
        <v>9</v>
      </c>
      <c r="AU157">
        <v>3</v>
      </c>
      <c r="AV157">
        <v>99999</v>
      </c>
      <c r="AW157">
        <v>0</v>
      </c>
      <c r="AX157" s="7">
        <v>45372.583067129628</v>
      </c>
      <c r="AY157" s="7"/>
      <c r="BO157" s="276">
        <f t="shared" si="4"/>
        <v>0</v>
      </c>
      <c r="BV157" t="str">
        <f t="shared" si="5"/>
        <v/>
      </c>
    </row>
    <row r="158" spans="1:74">
      <c r="A158">
        <v>156</v>
      </c>
      <c r="B158" t="s">
        <v>150</v>
      </c>
      <c r="C158">
        <v>2023</v>
      </c>
      <c r="D158">
        <v>5367</v>
      </c>
      <c r="E158">
        <v>217</v>
      </c>
      <c r="F158">
        <v>2</v>
      </c>
      <c r="G158">
        <v>2</v>
      </c>
      <c r="H158">
        <v>22</v>
      </c>
      <c r="I158">
        <v>60</v>
      </c>
      <c r="J158">
        <v>240</v>
      </c>
      <c r="K158">
        <v>2</v>
      </c>
      <c r="L158">
        <v>24</v>
      </c>
      <c r="M158">
        <v>9</v>
      </c>
      <c r="N158">
        <v>99</v>
      </c>
      <c r="O158">
        <v>9</v>
      </c>
      <c r="P158">
        <v>3</v>
      </c>
      <c r="Q158">
        <v>99999</v>
      </c>
      <c r="R158" s="276">
        <v>0</v>
      </c>
      <c r="S158" s="7">
        <v>45372.58079861111</v>
      </c>
      <c r="AG158" t="s">
        <v>234</v>
      </c>
      <c r="AH158">
        <v>2023</v>
      </c>
      <c r="AI158">
        <v>5345</v>
      </c>
      <c r="AJ158">
        <v>264</v>
      </c>
      <c r="AK158">
        <v>2</v>
      </c>
      <c r="AL158">
        <v>2</v>
      </c>
      <c r="AM158">
        <v>22</v>
      </c>
      <c r="AN158">
        <v>60</v>
      </c>
      <c r="AO158">
        <v>240</v>
      </c>
      <c r="AP158">
        <v>2</v>
      </c>
      <c r="AQ158">
        <v>24</v>
      </c>
      <c r="AR158">
        <v>9</v>
      </c>
      <c r="AS158">
        <v>99</v>
      </c>
      <c r="AT158">
        <v>9</v>
      </c>
      <c r="AU158">
        <v>3</v>
      </c>
      <c r="AV158">
        <v>99999</v>
      </c>
      <c r="AW158" s="32">
        <v>0</v>
      </c>
      <c r="AX158" s="7">
        <v>45372.583067129628</v>
      </c>
      <c r="AY158" s="7"/>
      <c r="BO158" s="276">
        <f t="shared" si="4"/>
        <v>0</v>
      </c>
      <c r="BV158" t="str">
        <f t="shared" si="5"/>
        <v/>
      </c>
    </row>
    <row r="159" spans="1:74">
      <c r="A159">
        <v>157</v>
      </c>
      <c r="B159" t="s">
        <v>150</v>
      </c>
      <c r="C159">
        <v>2023</v>
      </c>
      <c r="D159">
        <v>5367</v>
      </c>
      <c r="E159">
        <v>217</v>
      </c>
      <c r="F159">
        <v>2</v>
      </c>
      <c r="G159">
        <v>2</v>
      </c>
      <c r="H159">
        <v>22</v>
      </c>
      <c r="I159">
        <v>60</v>
      </c>
      <c r="J159">
        <v>240</v>
      </c>
      <c r="K159">
        <v>2</v>
      </c>
      <c r="L159">
        <v>11</v>
      </c>
      <c r="M159">
        <v>9</v>
      </c>
      <c r="N159">
        <v>99</v>
      </c>
      <c r="O159">
        <v>9</v>
      </c>
      <c r="P159">
        <v>3</v>
      </c>
      <c r="Q159">
        <v>99999</v>
      </c>
      <c r="R159" s="276">
        <v>0</v>
      </c>
      <c r="S159" s="7">
        <v>45372.58079861111</v>
      </c>
      <c r="AG159" t="s">
        <v>234</v>
      </c>
      <c r="AH159">
        <v>2023</v>
      </c>
      <c r="AI159">
        <v>5345</v>
      </c>
      <c r="AJ159">
        <v>264</v>
      </c>
      <c r="AK159">
        <v>2</v>
      </c>
      <c r="AL159">
        <v>2</v>
      </c>
      <c r="AM159">
        <v>22</v>
      </c>
      <c r="AN159">
        <v>60</v>
      </c>
      <c r="AO159">
        <v>240</v>
      </c>
      <c r="AP159">
        <v>3</v>
      </c>
      <c r="AQ159">
        <v>17</v>
      </c>
      <c r="AR159">
        <v>9</v>
      </c>
      <c r="AS159">
        <v>99</v>
      </c>
      <c r="AT159">
        <v>9</v>
      </c>
      <c r="AU159">
        <v>3</v>
      </c>
      <c r="AV159">
        <v>99999</v>
      </c>
      <c r="AW159" s="32">
        <v>0</v>
      </c>
      <c r="AX159" s="7">
        <v>45372.583067129628</v>
      </c>
      <c r="AY159" s="7"/>
      <c r="BO159" s="276">
        <f t="shared" si="4"/>
        <v>0</v>
      </c>
      <c r="BV159" t="str">
        <f t="shared" si="5"/>
        <v/>
      </c>
    </row>
    <row r="160" spans="1:74">
      <c r="A160">
        <v>158</v>
      </c>
      <c r="B160" t="s">
        <v>150</v>
      </c>
      <c r="C160">
        <v>2023</v>
      </c>
      <c r="D160">
        <v>5367</v>
      </c>
      <c r="E160">
        <v>217</v>
      </c>
      <c r="F160">
        <v>2</v>
      </c>
      <c r="G160">
        <v>2</v>
      </c>
      <c r="H160">
        <v>22</v>
      </c>
      <c r="I160">
        <v>60</v>
      </c>
      <c r="J160">
        <v>240</v>
      </c>
      <c r="K160">
        <v>2</v>
      </c>
      <c r="L160">
        <v>9</v>
      </c>
      <c r="M160">
        <v>9</v>
      </c>
      <c r="N160">
        <v>99</v>
      </c>
      <c r="O160">
        <v>9</v>
      </c>
      <c r="P160">
        <v>3</v>
      </c>
      <c r="Q160">
        <v>99999</v>
      </c>
      <c r="R160" s="276">
        <v>0</v>
      </c>
      <c r="S160" s="7">
        <v>45372.58079861111</v>
      </c>
      <c r="AG160" t="s">
        <v>234</v>
      </c>
      <c r="AH160">
        <v>2023</v>
      </c>
      <c r="AI160">
        <v>5345</v>
      </c>
      <c r="AJ160">
        <v>264</v>
      </c>
      <c r="AK160">
        <v>2</v>
      </c>
      <c r="AL160">
        <v>2</v>
      </c>
      <c r="AM160">
        <v>22</v>
      </c>
      <c r="AN160">
        <v>60</v>
      </c>
      <c r="AO160">
        <v>241</v>
      </c>
      <c r="AP160">
        <v>3</v>
      </c>
      <c r="AQ160">
        <v>18</v>
      </c>
      <c r="AR160">
        <v>9</v>
      </c>
      <c r="AS160">
        <v>99</v>
      </c>
      <c r="AT160">
        <v>9</v>
      </c>
      <c r="AU160">
        <v>3</v>
      </c>
      <c r="AV160">
        <v>99999</v>
      </c>
      <c r="AW160">
        <v>0</v>
      </c>
      <c r="AX160" s="7">
        <v>45372.583067129628</v>
      </c>
      <c r="AY160" s="7"/>
      <c r="BO160" s="276">
        <f t="shared" si="4"/>
        <v>0</v>
      </c>
      <c r="BV160" t="str">
        <f t="shared" si="5"/>
        <v/>
      </c>
    </row>
    <row r="161" spans="1:74">
      <c r="A161">
        <v>159</v>
      </c>
      <c r="B161" t="s">
        <v>150</v>
      </c>
      <c r="C161">
        <v>2023</v>
      </c>
      <c r="D161">
        <v>5367</v>
      </c>
      <c r="E161">
        <v>217</v>
      </c>
      <c r="F161">
        <v>2</v>
      </c>
      <c r="G161">
        <v>2</v>
      </c>
      <c r="H161">
        <v>22</v>
      </c>
      <c r="I161">
        <v>60</v>
      </c>
      <c r="J161">
        <v>240</v>
      </c>
      <c r="K161">
        <v>2</v>
      </c>
      <c r="L161">
        <v>8</v>
      </c>
      <c r="M161">
        <v>9</v>
      </c>
      <c r="N161">
        <v>99</v>
      </c>
      <c r="O161">
        <v>9</v>
      </c>
      <c r="P161">
        <v>3</v>
      </c>
      <c r="Q161">
        <v>99999</v>
      </c>
      <c r="R161" s="276">
        <v>0</v>
      </c>
      <c r="S161" s="7">
        <v>45372.58079861111</v>
      </c>
      <c r="AG161" t="s">
        <v>234</v>
      </c>
      <c r="AH161">
        <v>2023</v>
      </c>
      <c r="AI161">
        <v>5345</v>
      </c>
      <c r="AJ161">
        <v>264</v>
      </c>
      <c r="AK161">
        <v>2</v>
      </c>
      <c r="AL161">
        <v>2</v>
      </c>
      <c r="AM161">
        <v>22</v>
      </c>
      <c r="AN161">
        <v>60</v>
      </c>
      <c r="AO161">
        <v>241</v>
      </c>
      <c r="AP161">
        <v>3</v>
      </c>
      <c r="AQ161">
        <v>16</v>
      </c>
      <c r="AR161">
        <v>9</v>
      </c>
      <c r="AS161">
        <v>99</v>
      </c>
      <c r="AT161">
        <v>9</v>
      </c>
      <c r="AU161">
        <v>3</v>
      </c>
      <c r="AV161">
        <v>99999</v>
      </c>
      <c r="AW161">
        <v>0</v>
      </c>
      <c r="AX161" s="7">
        <v>45372.583067129628</v>
      </c>
      <c r="AY161" s="7"/>
      <c r="BO161" s="276">
        <f t="shared" si="4"/>
        <v>0</v>
      </c>
      <c r="BV161" t="str">
        <f t="shared" si="5"/>
        <v/>
      </c>
    </row>
    <row r="162" spans="1:74">
      <c r="A162">
        <v>160</v>
      </c>
      <c r="B162" t="s">
        <v>150</v>
      </c>
      <c r="C162">
        <v>2023</v>
      </c>
      <c r="D162">
        <v>5367</v>
      </c>
      <c r="E162">
        <v>217</v>
      </c>
      <c r="F162">
        <v>2</v>
      </c>
      <c r="G162">
        <v>2</v>
      </c>
      <c r="H162">
        <v>22</v>
      </c>
      <c r="I162">
        <v>60</v>
      </c>
      <c r="J162">
        <v>240</v>
      </c>
      <c r="K162">
        <v>2</v>
      </c>
      <c r="L162">
        <v>10</v>
      </c>
      <c r="M162">
        <v>9</v>
      </c>
      <c r="N162">
        <v>99</v>
      </c>
      <c r="O162">
        <v>9</v>
      </c>
      <c r="P162">
        <v>3</v>
      </c>
      <c r="Q162">
        <v>99999</v>
      </c>
      <c r="R162" s="276">
        <v>0</v>
      </c>
      <c r="S162" s="7">
        <v>45372.58079861111</v>
      </c>
      <c r="AG162" t="s">
        <v>234</v>
      </c>
      <c r="AH162">
        <v>2023</v>
      </c>
      <c r="AI162">
        <v>5345</v>
      </c>
      <c r="AJ162">
        <v>264</v>
      </c>
      <c r="AK162">
        <v>2</v>
      </c>
      <c r="AL162">
        <v>2</v>
      </c>
      <c r="AM162">
        <v>22</v>
      </c>
      <c r="AN162">
        <v>60</v>
      </c>
      <c r="AO162">
        <v>241</v>
      </c>
      <c r="AP162">
        <v>3</v>
      </c>
      <c r="AQ162">
        <v>17</v>
      </c>
      <c r="AR162">
        <v>9</v>
      </c>
      <c r="AS162">
        <v>99</v>
      </c>
      <c r="AT162">
        <v>9</v>
      </c>
      <c r="AU162">
        <v>3</v>
      </c>
      <c r="AV162">
        <v>99999</v>
      </c>
      <c r="AW162" s="32">
        <v>0</v>
      </c>
      <c r="AX162" s="7">
        <v>45372.583067129628</v>
      </c>
      <c r="AY162" s="7"/>
      <c r="BO162" s="276">
        <f t="shared" si="4"/>
        <v>0</v>
      </c>
      <c r="BV162" t="str">
        <f t="shared" si="5"/>
        <v/>
      </c>
    </row>
    <row r="163" spans="1:74">
      <c r="A163">
        <v>161</v>
      </c>
      <c r="B163" t="s">
        <v>150</v>
      </c>
      <c r="C163">
        <v>2023</v>
      </c>
      <c r="D163">
        <v>5367</v>
      </c>
      <c r="E163">
        <v>217</v>
      </c>
      <c r="F163">
        <v>2</v>
      </c>
      <c r="G163">
        <v>2</v>
      </c>
      <c r="H163">
        <v>22</v>
      </c>
      <c r="I163">
        <v>60</v>
      </c>
      <c r="J163">
        <v>240</v>
      </c>
      <c r="K163">
        <v>2</v>
      </c>
      <c r="L163">
        <v>24</v>
      </c>
      <c r="M163">
        <v>9</v>
      </c>
      <c r="N163">
        <v>99</v>
      </c>
      <c r="O163">
        <v>9</v>
      </c>
      <c r="P163">
        <v>3</v>
      </c>
      <c r="Q163">
        <v>99999</v>
      </c>
      <c r="R163" s="276">
        <v>0</v>
      </c>
      <c r="S163" s="7">
        <v>45372.58079861111</v>
      </c>
      <c r="AG163" t="s">
        <v>234</v>
      </c>
      <c r="AH163">
        <v>2023</v>
      </c>
      <c r="AI163">
        <v>5345</v>
      </c>
      <c r="AJ163">
        <v>264</v>
      </c>
      <c r="AK163">
        <v>2</v>
      </c>
      <c r="AL163">
        <v>2</v>
      </c>
      <c r="AM163">
        <v>22</v>
      </c>
      <c r="AN163">
        <v>60</v>
      </c>
      <c r="AO163">
        <v>241</v>
      </c>
      <c r="AP163">
        <v>1</v>
      </c>
      <c r="AQ163">
        <v>1</v>
      </c>
      <c r="AR163">
        <v>9</v>
      </c>
      <c r="AS163">
        <v>99</v>
      </c>
      <c r="AT163">
        <v>9</v>
      </c>
      <c r="AU163">
        <v>3</v>
      </c>
      <c r="AV163">
        <v>99999</v>
      </c>
      <c r="AW163" s="32">
        <v>0</v>
      </c>
      <c r="AX163" s="7">
        <v>45372.583067129628</v>
      </c>
      <c r="AY163" s="7"/>
      <c r="BO163" s="276">
        <f t="shared" si="4"/>
        <v>0</v>
      </c>
      <c r="BV163" t="str">
        <f t="shared" si="5"/>
        <v/>
      </c>
    </row>
    <row r="164" spans="1:74">
      <c r="A164">
        <v>162</v>
      </c>
      <c r="B164" t="s">
        <v>150</v>
      </c>
      <c r="C164">
        <v>2023</v>
      </c>
      <c r="D164">
        <v>5367</v>
      </c>
      <c r="E164">
        <v>217</v>
      </c>
      <c r="F164">
        <v>2</v>
      </c>
      <c r="G164">
        <v>2</v>
      </c>
      <c r="H164">
        <v>22</v>
      </c>
      <c r="I164">
        <v>60</v>
      </c>
      <c r="J164">
        <v>240</v>
      </c>
      <c r="K164">
        <v>3</v>
      </c>
      <c r="L164">
        <v>17</v>
      </c>
      <c r="M164">
        <v>9</v>
      </c>
      <c r="N164">
        <v>99</v>
      </c>
      <c r="O164">
        <v>9</v>
      </c>
      <c r="P164">
        <v>3</v>
      </c>
      <c r="Q164">
        <v>99999</v>
      </c>
      <c r="R164" s="276">
        <v>0</v>
      </c>
      <c r="S164" s="7">
        <v>45372.58079861111</v>
      </c>
      <c r="AG164" t="s">
        <v>234</v>
      </c>
      <c r="AH164">
        <v>2023</v>
      </c>
      <c r="AI164">
        <v>5345</v>
      </c>
      <c r="AJ164">
        <v>264</v>
      </c>
      <c r="AK164">
        <v>2</v>
      </c>
      <c r="AL164">
        <v>2</v>
      </c>
      <c r="AM164">
        <v>22</v>
      </c>
      <c r="AN164">
        <v>60</v>
      </c>
      <c r="AO164">
        <v>241</v>
      </c>
      <c r="AP164">
        <v>2</v>
      </c>
      <c r="AQ164">
        <v>11</v>
      </c>
      <c r="AR164">
        <v>9</v>
      </c>
      <c r="AS164">
        <v>99</v>
      </c>
      <c r="AT164">
        <v>9</v>
      </c>
      <c r="AU164">
        <v>3</v>
      </c>
      <c r="AV164">
        <v>99999</v>
      </c>
      <c r="AW164">
        <v>0</v>
      </c>
      <c r="AX164" s="7">
        <v>45372.583067129628</v>
      </c>
      <c r="AY164" s="7"/>
      <c r="BO164" s="276">
        <f t="shared" si="4"/>
        <v>0</v>
      </c>
      <c r="BV164" t="str">
        <f t="shared" si="5"/>
        <v/>
      </c>
    </row>
    <row r="165" spans="1:74">
      <c r="A165">
        <v>163</v>
      </c>
      <c r="B165" t="s">
        <v>150</v>
      </c>
      <c r="C165">
        <v>2023</v>
      </c>
      <c r="D165">
        <v>5367</v>
      </c>
      <c r="E165">
        <v>217</v>
      </c>
      <c r="F165">
        <v>1</v>
      </c>
      <c r="G165">
        <v>3</v>
      </c>
      <c r="H165">
        <v>50</v>
      </c>
      <c r="I165">
        <v>52</v>
      </c>
      <c r="J165">
        <v>11</v>
      </c>
      <c r="K165">
        <v>99</v>
      </c>
      <c r="L165">
        <v>999</v>
      </c>
      <c r="M165">
        <v>9</v>
      </c>
      <c r="N165">
        <v>99</v>
      </c>
      <c r="O165">
        <v>9</v>
      </c>
      <c r="P165">
        <v>2</v>
      </c>
      <c r="Q165">
        <v>99999</v>
      </c>
      <c r="R165" s="276">
        <v>0</v>
      </c>
      <c r="S165" s="7">
        <v>45372.58079861111</v>
      </c>
      <c r="AG165" t="s">
        <v>234</v>
      </c>
      <c r="AH165">
        <v>2023</v>
      </c>
      <c r="AI165">
        <v>5345</v>
      </c>
      <c r="AJ165">
        <v>264</v>
      </c>
      <c r="AK165">
        <v>2</v>
      </c>
      <c r="AL165">
        <v>2</v>
      </c>
      <c r="AM165">
        <v>22</v>
      </c>
      <c r="AN165">
        <v>60</v>
      </c>
      <c r="AO165">
        <v>241</v>
      </c>
      <c r="AP165">
        <v>2</v>
      </c>
      <c r="AQ165">
        <v>9</v>
      </c>
      <c r="AR165">
        <v>9</v>
      </c>
      <c r="AS165">
        <v>99</v>
      </c>
      <c r="AT165">
        <v>9</v>
      </c>
      <c r="AU165">
        <v>3</v>
      </c>
      <c r="AV165">
        <v>99999</v>
      </c>
      <c r="AW165" s="32">
        <v>0</v>
      </c>
      <c r="AX165" s="7">
        <v>45372.583067129628</v>
      </c>
      <c r="AY165" s="7"/>
      <c r="BO165" s="276">
        <f t="shared" si="4"/>
        <v>0</v>
      </c>
      <c r="BV165" t="str">
        <f t="shared" si="5"/>
        <v/>
      </c>
    </row>
    <row r="166" spans="1:74">
      <c r="A166">
        <v>164</v>
      </c>
      <c r="B166" t="s">
        <v>150</v>
      </c>
      <c r="C166">
        <v>2023</v>
      </c>
      <c r="D166">
        <v>5367</v>
      </c>
      <c r="E166">
        <v>217</v>
      </c>
      <c r="F166">
        <v>1</v>
      </c>
      <c r="G166">
        <v>3</v>
      </c>
      <c r="H166">
        <v>50</v>
      </c>
      <c r="I166">
        <v>52</v>
      </c>
      <c r="J166">
        <v>11</v>
      </c>
      <c r="K166">
        <v>99</v>
      </c>
      <c r="L166">
        <v>999</v>
      </c>
      <c r="M166">
        <v>9</v>
      </c>
      <c r="N166">
        <v>99</v>
      </c>
      <c r="O166">
        <v>9</v>
      </c>
      <c r="P166">
        <v>3</v>
      </c>
      <c r="Q166">
        <v>99999</v>
      </c>
      <c r="R166" s="276">
        <v>0</v>
      </c>
      <c r="S166" s="7">
        <v>45372.58079861111</v>
      </c>
      <c r="AG166" t="s">
        <v>234</v>
      </c>
      <c r="AH166">
        <v>2023</v>
      </c>
      <c r="AI166">
        <v>5345</v>
      </c>
      <c r="AJ166">
        <v>264</v>
      </c>
      <c r="AK166">
        <v>2</v>
      </c>
      <c r="AL166">
        <v>2</v>
      </c>
      <c r="AM166">
        <v>22</v>
      </c>
      <c r="AN166">
        <v>60</v>
      </c>
      <c r="AO166">
        <v>241</v>
      </c>
      <c r="AP166">
        <v>2</v>
      </c>
      <c r="AQ166">
        <v>8</v>
      </c>
      <c r="AR166">
        <v>9</v>
      </c>
      <c r="AS166">
        <v>99</v>
      </c>
      <c r="AT166">
        <v>9</v>
      </c>
      <c r="AU166">
        <v>3</v>
      </c>
      <c r="AV166">
        <v>99999</v>
      </c>
      <c r="AW166">
        <v>0</v>
      </c>
      <c r="AX166" s="7">
        <v>45372.583067129628</v>
      </c>
      <c r="AY166" s="7"/>
      <c r="BO166" s="276">
        <f t="shared" si="4"/>
        <v>0</v>
      </c>
      <c r="BV166" t="str">
        <f t="shared" si="5"/>
        <v/>
      </c>
    </row>
    <row r="167" spans="1:74">
      <c r="A167">
        <v>165</v>
      </c>
      <c r="B167" t="s">
        <v>150</v>
      </c>
      <c r="C167">
        <v>2023</v>
      </c>
      <c r="D167">
        <v>5367</v>
      </c>
      <c r="E167">
        <v>217</v>
      </c>
      <c r="F167">
        <v>2</v>
      </c>
      <c r="G167">
        <v>2</v>
      </c>
      <c r="H167">
        <v>22</v>
      </c>
      <c r="I167">
        <v>60</v>
      </c>
      <c r="J167">
        <v>241</v>
      </c>
      <c r="K167">
        <v>3</v>
      </c>
      <c r="L167">
        <v>18</v>
      </c>
      <c r="M167">
        <v>9</v>
      </c>
      <c r="N167">
        <v>99</v>
      </c>
      <c r="O167">
        <v>9</v>
      </c>
      <c r="P167">
        <v>3</v>
      </c>
      <c r="Q167">
        <v>99999</v>
      </c>
      <c r="R167" s="276">
        <v>0</v>
      </c>
      <c r="S167" s="7">
        <v>45372.58079861111</v>
      </c>
      <c r="AG167" t="s">
        <v>234</v>
      </c>
      <c r="AH167">
        <v>2023</v>
      </c>
      <c r="AI167">
        <v>5345</v>
      </c>
      <c r="AJ167">
        <v>264</v>
      </c>
      <c r="AK167">
        <v>2</v>
      </c>
      <c r="AL167">
        <v>2</v>
      </c>
      <c r="AM167">
        <v>22</v>
      </c>
      <c r="AN167">
        <v>60</v>
      </c>
      <c r="AO167">
        <v>241</v>
      </c>
      <c r="AP167">
        <v>2</v>
      </c>
      <c r="AQ167">
        <v>10</v>
      </c>
      <c r="AR167">
        <v>9</v>
      </c>
      <c r="AS167">
        <v>99</v>
      </c>
      <c r="AT167">
        <v>9</v>
      </c>
      <c r="AU167">
        <v>3</v>
      </c>
      <c r="AV167">
        <v>99999</v>
      </c>
      <c r="AW167">
        <v>0</v>
      </c>
      <c r="AX167" s="7">
        <v>45372.583067129628</v>
      </c>
      <c r="AY167" s="7"/>
      <c r="BO167" s="276">
        <f t="shared" si="4"/>
        <v>0</v>
      </c>
      <c r="BV167" t="str">
        <f t="shared" si="5"/>
        <v/>
      </c>
    </row>
    <row r="168" spans="1:74">
      <c r="A168">
        <v>166</v>
      </c>
      <c r="B168" t="s">
        <v>150</v>
      </c>
      <c r="C168">
        <v>2023</v>
      </c>
      <c r="D168">
        <v>5367</v>
      </c>
      <c r="E168">
        <v>217</v>
      </c>
      <c r="F168">
        <v>2</v>
      </c>
      <c r="G168">
        <v>2</v>
      </c>
      <c r="H168">
        <v>22</v>
      </c>
      <c r="I168">
        <v>60</v>
      </c>
      <c r="J168">
        <v>241</v>
      </c>
      <c r="K168">
        <v>3</v>
      </c>
      <c r="L168">
        <v>16</v>
      </c>
      <c r="M168">
        <v>9</v>
      </c>
      <c r="N168">
        <v>99</v>
      </c>
      <c r="O168">
        <v>9</v>
      </c>
      <c r="P168">
        <v>3</v>
      </c>
      <c r="Q168">
        <v>99999</v>
      </c>
      <c r="R168" s="276">
        <v>0</v>
      </c>
      <c r="S168" s="7">
        <v>45372.58079861111</v>
      </c>
      <c r="AG168" t="s">
        <v>234</v>
      </c>
      <c r="AH168">
        <v>2023</v>
      </c>
      <c r="AI168">
        <v>5345</v>
      </c>
      <c r="AJ168">
        <v>264</v>
      </c>
      <c r="AK168">
        <v>2</v>
      </c>
      <c r="AL168">
        <v>2</v>
      </c>
      <c r="AM168">
        <v>22</v>
      </c>
      <c r="AN168">
        <v>60</v>
      </c>
      <c r="AO168">
        <v>241</v>
      </c>
      <c r="AP168">
        <v>2</v>
      </c>
      <c r="AQ168">
        <v>24</v>
      </c>
      <c r="AR168">
        <v>9</v>
      </c>
      <c r="AS168">
        <v>99</v>
      </c>
      <c r="AT168">
        <v>9</v>
      </c>
      <c r="AU168">
        <v>3</v>
      </c>
      <c r="AV168">
        <v>99999</v>
      </c>
      <c r="AW168" s="32">
        <v>0</v>
      </c>
      <c r="AX168" s="7">
        <v>45372.583067129628</v>
      </c>
      <c r="AY168" s="7"/>
      <c r="BO168" s="276">
        <f t="shared" si="4"/>
        <v>0</v>
      </c>
      <c r="BV168" t="str">
        <f t="shared" si="5"/>
        <v/>
      </c>
    </row>
    <row r="169" spans="1:74">
      <c r="A169">
        <v>167</v>
      </c>
      <c r="B169" t="s">
        <v>150</v>
      </c>
      <c r="C169">
        <v>2023</v>
      </c>
      <c r="D169">
        <v>5367</v>
      </c>
      <c r="E169">
        <v>217</v>
      </c>
      <c r="F169">
        <v>2</v>
      </c>
      <c r="G169">
        <v>2</v>
      </c>
      <c r="H169">
        <v>22</v>
      </c>
      <c r="I169">
        <v>60</v>
      </c>
      <c r="J169">
        <v>241</v>
      </c>
      <c r="K169">
        <v>3</v>
      </c>
      <c r="L169">
        <v>17</v>
      </c>
      <c r="M169">
        <v>9</v>
      </c>
      <c r="N169">
        <v>99</v>
      </c>
      <c r="O169">
        <v>9</v>
      </c>
      <c r="P169">
        <v>3</v>
      </c>
      <c r="Q169">
        <v>99999</v>
      </c>
      <c r="R169" s="276">
        <v>40022.245799999997</v>
      </c>
      <c r="S169" s="7">
        <v>45372.58079861111</v>
      </c>
      <c r="AG169" t="s">
        <v>234</v>
      </c>
      <c r="AH169">
        <v>2023</v>
      </c>
      <c r="AI169">
        <v>5345</v>
      </c>
      <c r="AJ169">
        <v>264</v>
      </c>
      <c r="AK169">
        <v>2</v>
      </c>
      <c r="AL169">
        <v>2</v>
      </c>
      <c r="AM169">
        <v>22</v>
      </c>
      <c r="AN169">
        <v>60</v>
      </c>
      <c r="AO169">
        <v>241</v>
      </c>
      <c r="AP169">
        <v>3</v>
      </c>
      <c r="AQ169">
        <v>15</v>
      </c>
      <c r="AR169">
        <v>9</v>
      </c>
      <c r="AS169">
        <v>99</v>
      </c>
      <c r="AT169">
        <v>9</v>
      </c>
      <c r="AU169">
        <v>3</v>
      </c>
      <c r="AV169">
        <v>99999</v>
      </c>
      <c r="AW169">
        <v>0</v>
      </c>
      <c r="AX169" s="7">
        <v>45372.583067129628</v>
      </c>
      <c r="AY169" s="7"/>
      <c r="BO169" s="276">
        <f t="shared" si="4"/>
        <v>0</v>
      </c>
      <c r="BV169" t="str">
        <f t="shared" si="5"/>
        <v/>
      </c>
    </row>
    <row r="170" spans="1:74">
      <c r="A170">
        <v>168</v>
      </c>
      <c r="B170" t="s">
        <v>150</v>
      </c>
      <c r="C170">
        <v>2023</v>
      </c>
      <c r="D170">
        <v>5367</v>
      </c>
      <c r="E170">
        <v>217</v>
      </c>
      <c r="F170">
        <v>2</v>
      </c>
      <c r="G170">
        <v>2</v>
      </c>
      <c r="H170">
        <v>22</v>
      </c>
      <c r="I170">
        <v>60</v>
      </c>
      <c r="J170">
        <v>241</v>
      </c>
      <c r="K170">
        <v>1</v>
      </c>
      <c r="L170">
        <v>1</v>
      </c>
      <c r="M170">
        <v>9</v>
      </c>
      <c r="N170">
        <v>99</v>
      </c>
      <c r="O170">
        <v>9</v>
      </c>
      <c r="P170">
        <v>3</v>
      </c>
      <c r="Q170">
        <v>99999</v>
      </c>
      <c r="R170" s="276">
        <v>0</v>
      </c>
      <c r="S170" s="7">
        <v>45372.58079861111</v>
      </c>
      <c r="AG170" t="s">
        <v>234</v>
      </c>
      <c r="AH170">
        <v>2023</v>
      </c>
      <c r="AI170">
        <v>5345</v>
      </c>
      <c r="AJ170">
        <v>264</v>
      </c>
      <c r="AK170">
        <v>2</v>
      </c>
      <c r="AL170">
        <v>2</v>
      </c>
      <c r="AM170">
        <v>22</v>
      </c>
      <c r="AN170">
        <v>60</v>
      </c>
      <c r="AO170">
        <v>241</v>
      </c>
      <c r="AP170">
        <v>3</v>
      </c>
      <c r="AQ170">
        <v>25</v>
      </c>
      <c r="AR170">
        <v>9</v>
      </c>
      <c r="AS170">
        <v>99</v>
      </c>
      <c r="AT170">
        <v>9</v>
      </c>
      <c r="AU170">
        <v>3</v>
      </c>
      <c r="AV170">
        <v>99999</v>
      </c>
      <c r="AW170">
        <v>0</v>
      </c>
      <c r="AX170" s="7">
        <v>45372.583067129628</v>
      </c>
      <c r="AY170" s="7"/>
      <c r="BO170" s="276">
        <f t="shared" si="4"/>
        <v>0</v>
      </c>
      <c r="BV170" t="str">
        <f t="shared" si="5"/>
        <v/>
      </c>
    </row>
    <row r="171" spans="1:74">
      <c r="A171">
        <v>169</v>
      </c>
      <c r="B171" t="s">
        <v>150</v>
      </c>
      <c r="C171">
        <v>2023</v>
      </c>
      <c r="D171">
        <v>5367</v>
      </c>
      <c r="E171">
        <v>217</v>
      </c>
      <c r="F171">
        <v>2</v>
      </c>
      <c r="G171">
        <v>2</v>
      </c>
      <c r="H171">
        <v>22</v>
      </c>
      <c r="I171">
        <v>60</v>
      </c>
      <c r="J171">
        <v>241</v>
      </c>
      <c r="K171">
        <v>2</v>
      </c>
      <c r="L171">
        <v>11</v>
      </c>
      <c r="M171">
        <v>9</v>
      </c>
      <c r="N171">
        <v>99</v>
      </c>
      <c r="O171">
        <v>9</v>
      </c>
      <c r="P171">
        <v>3</v>
      </c>
      <c r="Q171">
        <v>99999</v>
      </c>
      <c r="R171" s="276">
        <v>-911177.56989348703</v>
      </c>
      <c r="S171" s="7">
        <v>45372.58079861111</v>
      </c>
      <c r="AG171" t="s">
        <v>234</v>
      </c>
      <c r="AH171">
        <v>2023</v>
      </c>
      <c r="AI171">
        <v>5345</v>
      </c>
      <c r="AJ171">
        <v>264</v>
      </c>
      <c r="AK171">
        <v>2</v>
      </c>
      <c r="AL171">
        <v>2</v>
      </c>
      <c r="AM171">
        <v>22</v>
      </c>
      <c r="AN171">
        <v>60</v>
      </c>
      <c r="AO171">
        <v>241</v>
      </c>
      <c r="AP171">
        <v>1</v>
      </c>
      <c r="AQ171">
        <v>1</v>
      </c>
      <c r="AR171">
        <v>9</v>
      </c>
      <c r="AS171">
        <v>99</v>
      </c>
      <c r="AT171">
        <v>9</v>
      </c>
      <c r="AU171">
        <v>3</v>
      </c>
      <c r="AV171">
        <v>99999</v>
      </c>
      <c r="AW171">
        <v>0</v>
      </c>
      <c r="AX171" s="7">
        <v>45372.583067129628</v>
      </c>
      <c r="AY171" s="7"/>
      <c r="BO171" s="276">
        <f t="shared" si="4"/>
        <v>0</v>
      </c>
      <c r="BV171" t="str">
        <f t="shared" si="5"/>
        <v/>
      </c>
    </row>
    <row r="172" spans="1:74">
      <c r="A172">
        <v>170</v>
      </c>
      <c r="B172" t="s">
        <v>150</v>
      </c>
      <c r="C172">
        <v>2023</v>
      </c>
      <c r="D172">
        <v>5367</v>
      </c>
      <c r="E172">
        <v>217</v>
      </c>
      <c r="F172">
        <v>2</v>
      </c>
      <c r="G172">
        <v>2</v>
      </c>
      <c r="H172">
        <v>22</v>
      </c>
      <c r="I172">
        <v>60</v>
      </c>
      <c r="J172">
        <v>241</v>
      </c>
      <c r="K172">
        <v>2</v>
      </c>
      <c r="L172">
        <v>9</v>
      </c>
      <c r="M172">
        <v>9</v>
      </c>
      <c r="N172">
        <v>99</v>
      </c>
      <c r="O172">
        <v>9</v>
      </c>
      <c r="P172">
        <v>3</v>
      </c>
      <c r="Q172">
        <v>99999</v>
      </c>
      <c r="R172" s="276">
        <v>0</v>
      </c>
      <c r="S172" s="7">
        <v>45372.58079861111</v>
      </c>
      <c r="AG172" t="s">
        <v>234</v>
      </c>
      <c r="AH172">
        <v>2023</v>
      </c>
      <c r="AI172">
        <v>5345</v>
      </c>
      <c r="AJ172">
        <v>264</v>
      </c>
      <c r="AK172">
        <v>2</v>
      </c>
      <c r="AL172">
        <v>2</v>
      </c>
      <c r="AM172">
        <v>22</v>
      </c>
      <c r="AN172">
        <v>60</v>
      </c>
      <c r="AO172">
        <v>241</v>
      </c>
      <c r="AP172">
        <v>1</v>
      </c>
      <c r="AQ172">
        <v>1</v>
      </c>
      <c r="AR172">
        <v>9</v>
      </c>
      <c r="AS172">
        <v>99</v>
      </c>
      <c r="AT172">
        <v>9</v>
      </c>
      <c r="AU172">
        <v>3</v>
      </c>
      <c r="AV172">
        <v>99999</v>
      </c>
      <c r="AW172">
        <v>0</v>
      </c>
      <c r="AX172" s="7">
        <v>45372.583067129628</v>
      </c>
      <c r="AY172" s="7"/>
      <c r="BO172" s="276">
        <f t="shared" si="4"/>
        <v>0</v>
      </c>
      <c r="BV172" t="str">
        <f t="shared" si="5"/>
        <v/>
      </c>
    </row>
    <row r="173" spans="1:74">
      <c r="A173">
        <v>171</v>
      </c>
      <c r="B173" t="s">
        <v>150</v>
      </c>
      <c r="C173">
        <v>2023</v>
      </c>
      <c r="D173">
        <v>5367</v>
      </c>
      <c r="E173">
        <v>217</v>
      </c>
      <c r="F173">
        <v>2</v>
      </c>
      <c r="G173">
        <v>2</v>
      </c>
      <c r="H173">
        <v>22</v>
      </c>
      <c r="I173">
        <v>60</v>
      </c>
      <c r="J173">
        <v>241</v>
      </c>
      <c r="K173">
        <v>2</v>
      </c>
      <c r="L173">
        <v>8</v>
      </c>
      <c r="M173">
        <v>9</v>
      </c>
      <c r="N173">
        <v>99</v>
      </c>
      <c r="O173">
        <v>9</v>
      </c>
      <c r="P173">
        <v>3</v>
      </c>
      <c r="Q173">
        <v>99999</v>
      </c>
      <c r="R173" s="276">
        <v>-149002.27014704101</v>
      </c>
      <c r="S173" s="7">
        <v>45372.58079861111</v>
      </c>
      <c r="AG173" t="s">
        <v>234</v>
      </c>
      <c r="AH173">
        <v>2023</v>
      </c>
      <c r="AI173">
        <v>5345</v>
      </c>
      <c r="AJ173">
        <v>264</v>
      </c>
      <c r="AK173">
        <v>2</v>
      </c>
      <c r="AL173">
        <v>2</v>
      </c>
      <c r="AM173">
        <v>22</v>
      </c>
      <c r="AN173">
        <v>60</v>
      </c>
      <c r="AO173">
        <v>241</v>
      </c>
      <c r="AP173">
        <v>1</v>
      </c>
      <c r="AQ173">
        <v>1</v>
      </c>
      <c r="AR173">
        <v>9</v>
      </c>
      <c r="AS173">
        <v>99</v>
      </c>
      <c r="AT173">
        <v>9</v>
      </c>
      <c r="AU173">
        <v>3</v>
      </c>
      <c r="AV173">
        <v>99999</v>
      </c>
      <c r="AW173">
        <v>0</v>
      </c>
      <c r="AX173" s="7">
        <v>45372.583067129628</v>
      </c>
      <c r="AY173" s="7"/>
      <c r="BO173" s="276">
        <f t="shared" si="4"/>
        <v>0</v>
      </c>
      <c r="BV173" t="str">
        <f t="shared" si="5"/>
        <v/>
      </c>
    </row>
    <row r="174" spans="1:74">
      <c r="A174">
        <v>172</v>
      </c>
      <c r="B174" t="s">
        <v>150</v>
      </c>
      <c r="C174">
        <v>2023</v>
      </c>
      <c r="D174">
        <v>5367</v>
      </c>
      <c r="E174">
        <v>217</v>
      </c>
      <c r="F174">
        <v>2</v>
      </c>
      <c r="G174">
        <v>2</v>
      </c>
      <c r="H174">
        <v>22</v>
      </c>
      <c r="I174">
        <v>60</v>
      </c>
      <c r="J174">
        <v>241</v>
      </c>
      <c r="K174">
        <v>2</v>
      </c>
      <c r="L174">
        <v>10</v>
      </c>
      <c r="M174">
        <v>9</v>
      </c>
      <c r="N174">
        <v>99</v>
      </c>
      <c r="O174">
        <v>9</v>
      </c>
      <c r="P174">
        <v>3</v>
      </c>
      <c r="Q174">
        <v>99999</v>
      </c>
      <c r="R174" s="276">
        <v>-3826.9166478441198</v>
      </c>
      <c r="S174" s="7">
        <v>45372.58079861111</v>
      </c>
      <c r="AG174" t="s">
        <v>234</v>
      </c>
      <c r="AH174">
        <v>2023</v>
      </c>
      <c r="AI174">
        <v>5345</v>
      </c>
      <c r="AJ174">
        <v>264</v>
      </c>
      <c r="AK174">
        <v>2</v>
      </c>
      <c r="AL174">
        <v>2</v>
      </c>
      <c r="AM174">
        <v>22</v>
      </c>
      <c r="AN174">
        <v>60</v>
      </c>
      <c r="AO174">
        <v>241</v>
      </c>
      <c r="AP174">
        <v>1</v>
      </c>
      <c r="AQ174">
        <v>1</v>
      </c>
      <c r="AR174">
        <v>9</v>
      </c>
      <c r="AS174">
        <v>99</v>
      </c>
      <c r="AT174">
        <v>9</v>
      </c>
      <c r="AU174">
        <v>3</v>
      </c>
      <c r="AV174">
        <v>99999</v>
      </c>
      <c r="AW174">
        <v>0</v>
      </c>
      <c r="AX174" s="7">
        <v>45372.583067129628</v>
      </c>
      <c r="AY174" s="7"/>
      <c r="BO174" s="276">
        <f t="shared" si="4"/>
        <v>0</v>
      </c>
      <c r="BV174" t="str">
        <f t="shared" si="5"/>
        <v/>
      </c>
    </row>
    <row r="175" spans="1:74">
      <c r="A175">
        <v>173</v>
      </c>
      <c r="B175" t="s">
        <v>150</v>
      </c>
      <c r="C175">
        <v>2023</v>
      </c>
      <c r="D175">
        <v>5367</v>
      </c>
      <c r="E175">
        <v>217</v>
      </c>
      <c r="F175">
        <v>2</v>
      </c>
      <c r="G175">
        <v>2</v>
      </c>
      <c r="H175">
        <v>22</v>
      </c>
      <c r="I175">
        <v>60</v>
      </c>
      <c r="J175">
        <v>241</v>
      </c>
      <c r="K175">
        <v>2</v>
      </c>
      <c r="L175">
        <v>24</v>
      </c>
      <c r="M175">
        <v>9</v>
      </c>
      <c r="N175">
        <v>99</v>
      </c>
      <c r="O175">
        <v>9</v>
      </c>
      <c r="P175">
        <v>3</v>
      </c>
      <c r="Q175">
        <v>99999</v>
      </c>
      <c r="R175" s="276">
        <v>-23402.332111627798</v>
      </c>
      <c r="S175" s="7">
        <v>45372.58079861111</v>
      </c>
      <c r="AG175" t="s">
        <v>234</v>
      </c>
      <c r="AH175">
        <v>2023</v>
      </c>
      <c r="AI175">
        <v>5345</v>
      </c>
      <c r="AJ175">
        <v>264</v>
      </c>
      <c r="AK175">
        <v>2</v>
      </c>
      <c r="AL175">
        <v>2</v>
      </c>
      <c r="AM175">
        <v>22</v>
      </c>
      <c r="AN175">
        <v>60</v>
      </c>
      <c r="AO175">
        <v>106</v>
      </c>
      <c r="AP175">
        <v>2</v>
      </c>
      <c r="AQ175">
        <v>11</v>
      </c>
      <c r="AR175">
        <v>9</v>
      </c>
      <c r="AS175">
        <v>99</v>
      </c>
      <c r="AT175">
        <v>9</v>
      </c>
      <c r="AU175">
        <v>3</v>
      </c>
      <c r="AV175">
        <v>99999</v>
      </c>
      <c r="AW175">
        <v>0</v>
      </c>
      <c r="AX175" s="7">
        <v>45372.583067129628</v>
      </c>
      <c r="AY175" s="7"/>
      <c r="BO175" s="276">
        <f t="shared" si="4"/>
        <v>0</v>
      </c>
      <c r="BV175" t="str">
        <f t="shared" si="5"/>
        <v/>
      </c>
    </row>
    <row r="176" spans="1:74">
      <c r="A176">
        <v>174</v>
      </c>
      <c r="B176" t="s">
        <v>150</v>
      </c>
      <c r="C176">
        <v>2023</v>
      </c>
      <c r="D176">
        <v>5367</v>
      </c>
      <c r="E176">
        <v>217</v>
      </c>
      <c r="F176">
        <v>2</v>
      </c>
      <c r="G176">
        <v>2</v>
      </c>
      <c r="H176">
        <v>22</v>
      </c>
      <c r="I176">
        <v>60</v>
      </c>
      <c r="J176">
        <v>241</v>
      </c>
      <c r="K176">
        <v>3</v>
      </c>
      <c r="L176">
        <v>15</v>
      </c>
      <c r="M176">
        <v>9</v>
      </c>
      <c r="N176">
        <v>99</v>
      </c>
      <c r="O176">
        <v>9</v>
      </c>
      <c r="P176">
        <v>3</v>
      </c>
      <c r="Q176">
        <v>99999</v>
      </c>
      <c r="R176" s="276">
        <v>0</v>
      </c>
      <c r="S176" s="7">
        <v>45372.58079861111</v>
      </c>
      <c r="AG176" t="s">
        <v>234</v>
      </c>
      <c r="AH176">
        <v>2023</v>
      </c>
      <c r="AI176">
        <v>5345</v>
      </c>
      <c r="AJ176">
        <v>264</v>
      </c>
      <c r="AK176">
        <v>2</v>
      </c>
      <c r="AL176">
        <v>2</v>
      </c>
      <c r="AM176">
        <v>22</v>
      </c>
      <c r="AN176">
        <v>60</v>
      </c>
      <c r="AO176">
        <v>106</v>
      </c>
      <c r="AP176">
        <v>2</v>
      </c>
      <c r="AQ176">
        <v>9</v>
      </c>
      <c r="AR176">
        <v>9</v>
      </c>
      <c r="AS176">
        <v>99</v>
      </c>
      <c r="AT176">
        <v>9</v>
      </c>
      <c r="AU176">
        <v>3</v>
      </c>
      <c r="AV176">
        <v>99999</v>
      </c>
      <c r="AW176">
        <v>0</v>
      </c>
      <c r="AX176" s="7">
        <v>45372.583067129628</v>
      </c>
      <c r="AY176" s="7"/>
      <c r="BO176" s="276">
        <f t="shared" si="4"/>
        <v>0</v>
      </c>
      <c r="BV176" t="str">
        <f t="shared" si="5"/>
        <v/>
      </c>
    </row>
    <row r="177" spans="1:74">
      <c r="A177">
        <v>175</v>
      </c>
      <c r="B177" t="s">
        <v>150</v>
      </c>
      <c r="C177">
        <v>2023</v>
      </c>
      <c r="D177">
        <v>5367</v>
      </c>
      <c r="E177">
        <v>217</v>
      </c>
      <c r="F177">
        <v>2</v>
      </c>
      <c r="G177">
        <v>2</v>
      </c>
      <c r="H177">
        <v>22</v>
      </c>
      <c r="I177">
        <v>60</v>
      </c>
      <c r="J177">
        <v>241</v>
      </c>
      <c r="K177">
        <v>3</v>
      </c>
      <c r="L177">
        <v>25</v>
      </c>
      <c r="M177">
        <v>9</v>
      </c>
      <c r="N177">
        <v>99</v>
      </c>
      <c r="O177">
        <v>9</v>
      </c>
      <c r="P177">
        <v>3</v>
      </c>
      <c r="Q177">
        <v>99999</v>
      </c>
      <c r="R177" s="276">
        <v>0</v>
      </c>
      <c r="S177" s="7">
        <v>45372.58079861111</v>
      </c>
      <c r="AG177" t="s">
        <v>234</v>
      </c>
      <c r="AH177">
        <v>2023</v>
      </c>
      <c r="AI177">
        <v>5345</v>
      </c>
      <c r="AJ177">
        <v>264</v>
      </c>
      <c r="AK177">
        <v>2</v>
      </c>
      <c r="AL177">
        <v>2</v>
      </c>
      <c r="AM177">
        <v>22</v>
      </c>
      <c r="AN177">
        <v>60</v>
      </c>
      <c r="AO177">
        <v>106</v>
      </c>
      <c r="AP177">
        <v>2</v>
      </c>
      <c r="AQ177">
        <v>8</v>
      </c>
      <c r="AR177">
        <v>9</v>
      </c>
      <c r="AS177">
        <v>99</v>
      </c>
      <c r="AT177">
        <v>9</v>
      </c>
      <c r="AU177">
        <v>3</v>
      </c>
      <c r="AV177">
        <v>99999</v>
      </c>
      <c r="AW177">
        <v>0</v>
      </c>
      <c r="AX177" s="7">
        <v>45372.583067129628</v>
      </c>
      <c r="AY177" s="7"/>
      <c r="BV177" t="str">
        <f t="shared" si="5"/>
        <v/>
      </c>
    </row>
    <row r="178" spans="1:74">
      <c r="A178">
        <v>176</v>
      </c>
      <c r="B178" t="s">
        <v>150</v>
      </c>
      <c r="C178">
        <v>2023</v>
      </c>
      <c r="D178">
        <v>5367</v>
      </c>
      <c r="E178">
        <v>217</v>
      </c>
      <c r="F178">
        <v>2</v>
      </c>
      <c r="G178">
        <v>2</v>
      </c>
      <c r="H178">
        <v>22</v>
      </c>
      <c r="I178">
        <v>60</v>
      </c>
      <c r="J178">
        <v>241</v>
      </c>
      <c r="K178">
        <v>1</v>
      </c>
      <c r="L178">
        <v>1</v>
      </c>
      <c r="M178">
        <v>9</v>
      </c>
      <c r="N178">
        <v>99</v>
      </c>
      <c r="O178">
        <v>9</v>
      </c>
      <c r="P178">
        <v>3</v>
      </c>
      <c r="Q178">
        <v>99999</v>
      </c>
      <c r="R178" s="276">
        <v>0</v>
      </c>
      <c r="S178" s="7">
        <v>45372.58079861111</v>
      </c>
      <c r="AG178" t="s">
        <v>234</v>
      </c>
      <c r="AH178">
        <v>2023</v>
      </c>
      <c r="AI178">
        <v>5345</v>
      </c>
      <c r="AJ178">
        <v>264</v>
      </c>
      <c r="AK178">
        <v>2</v>
      </c>
      <c r="AL178">
        <v>2</v>
      </c>
      <c r="AM178">
        <v>22</v>
      </c>
      <c r="AN178">
        <v>60</v>
      </c>
      <c r="AO178">
        <v>106</v>
      </c>
      <c r="AP178">
        <v>2</v>
      </c>
      <c r="AQ178">
        <v>10</v>
      </c>
      <c r="AR178">
        <v>9</v>
      </c>
      <c r="AS178">
        <v>99</v>
      </c>
      <c r="AT178">
        <v>9</v>
      </c>
      <c r="AU178">
        <v>3</v>
      </c>
      <c r="AV178">
        <v>99999</v>
      </c>
      <c r="AW178">
        <v>0</v>
      </c>
      <c r="AX178" s="7">
        <v>45372.583067129628</v>
      </c>
      <c r="AY178" s="7"/>
      <c r="BV178" t="str">
        <f t="shared" si="5"/>
        <v/>
      </c>
    </row>
    <row r="179" spans="1:74">
      <c r="A179">
        <v>177</v>
      </c>
      <c r="B179" t="s">
        <v>150</v>
      </c>
      <c r="C179">
        <v>2023</v>
      </c>
      <c r="D179">
        <v>5367</v>
      </c>
      <c r="E179">
        <v>217</v>
      </c>
      <c r="F179">
        <v>2</v>
      </c>
      <c r="G179">
        <v>2</v>
      </c>
      <c r="H179">
        <v>22</v>
      </c>
      <c r="I179">
        <v>60</v>
      </c>
      <c r="J179">
        <v>241</v>
      </c>
      <c r="K179">
        <v>1</v>
      </c>
      <c r="L179">
        <v>1</v>
      </c>
      <c r="M179">
        <v>9</v>
      </c>
      <c r="N179">
        <v>99</v>
      </c>
      <c r="O179">
        <v>9</v>
      </c>
      <c r="P179">
        <v>3</v>
      </c>
      <c r="Q179">
        <v>99999</v>
      </c>
      <c r="R179" s="276">
        <v>0</v>
      </c>
      <c r="S179" s="7">
        <v>45372.58079861111</v>
      </c>
      <c r="AG179" t="s">
        <v>234</v>
      </c>
      <c r="AH179">
        <v>2023</v>
      </c>
      <c r="AI179">
        <v>5345</v>
      </c>
      <c r="AJ179">
        <v>264</v>
      </c>
      <c r="AK179">
        <v>2</v>
      </c>
      <c r="AL179">
        <v>2</v>
      </c>
      <c r="AM179">
        <v>22</v>
      </c>
      <c r="AN179">
        <v>60</v>
      </c>
      <c r="AO179">
        <v>106</v>
      </c>
      <c r="AP179">
        <v>2</v>
      </c>
      <c r="AQ179">
        <v>24</v>
      </c>
      <c r="AR179">
        <v>9</v>
      </c>
      <c r="AS179">
        <v>99</v>
      </c>
      <c r="AT179">
        <v>9</v>
      </c>
      <c r="AU179">
        <v>3</v>
      </c>
      <c r="AV179">
        <v>99999</v>
      </c>
      <c r="AW179">
        <v>0</v>
      </c>
      <c r="AX179" s="7">
        <v>45372.583067129628</v>
      </c>
      <c r="AY179" s="7"/>
      <c r="BV179" t="str">
        <f t="shared" si="5"/>
        <v/>
      </c>
    </row>
    <row r="180" spans="1:74">
      <c r="A180">
        <v>178</v>
      </c>
      <c r="B180" t="s">
        <v>150</v>
      </c>
      <c r="C180">
        <v>2023</v>
      </c>
      <c r="D180">
        <v>5367</v>
      </c>
      <c r="E180">
        <v>217</v>
      </c>
      <c r="F180">
        <v>2</v>
      </c>
      <c r="G180">
        <v>2</v>
      </c>
      <c r="H180">
        <v>22</v>
      </c>
      <c r="I180">
        <v>60</v>
      </c>
      <c r="J180">
        <v>241</v>
      </c>
      <c r="K180">
        <v>1</v>
      </c>
      <c r="L180">
        <v>1</v>
      </c>
      <c r="M180">
        <v>9</v>
      </c>
      <c r="N180">
        <v>99</v>
      </c>
      <c r="O180">
        <v>9</v>
      </c>
      <c r="P180">
        <v>3</v>
      </c>
      <c r="Q180">
        <v>99999</v>
      </c>
      <c r="R180" s="276">
        <v>0</v>
      </c>
      <c r="S180" s="7">
        <v>45372.58079861111</v>
      </c>
      <c r="AG180" t="s">
        <v>234</v>
      </c>
      <c r="AH180">
        <v>2023</v>
      </c>
      <c r="AI180">
        <v>5345</v>
      </c>
      <c r="AJ180">
        <v>264</v>
      </c>
      <c r="AK180">
        <v>2</v>
      </c>
      <c r="AL180">
        <v>2</v>
      </c>
      <c r="AM180">
        <v>22</v>
      </c>
      <c r="AN180">
        <v>60</v>
      </c>
      <c r="AO180">
        <v>120</v>
      </c>
      <c r="AP180">
        <v>4</v>
      </c>
      <c r="AQ180">
        <v>999</v>
      </c>
      <c r="AR180">
        <v>9</v>
      </c>
      <c r="AS180">
        <v>99</v>
      </c>
      <c r="AT180">
        <v>9</v>
      </c>
      <c r="AU180">
        <v>3</v>
      </c>
      <c r="AV180">
        <v>99999</v>
      </c>
      <c r="AW180">
        <v>0</v>
      </c>
      <c r="AX180" s="7">
        <v>45372.583067129628</v>
      </c>
      <c r="AY180" s="7"/>
      <c r="BV180" t="str">
        <f t="shared" si="5"/>
        <v/>
      </c>
    </row>
    <row r="181" spans="1:74">
      <c r="A181">
        <v>179</v>
      </c>
      <c r="B181" t="s">
        <v>150</v>
      </c>
      <c r="C181">
        <v>2023</v>
      </c>
      <c r="D181">
        <v>5367</v>
      </c>
      <c r="E181">
        <v>217</v>
      </c>
      <c r="F181">
        <v>2</v>
      </c>
      <c r="G181">
        <v>2</v>
      </c>
      <c r="H181">
        <v>22</v>
      </c>
      <c r="I181">
        <v>60</v>
      </c>
      <c r="J181">
        <v>241</v>
      </c>
      <c r="K181">
        <v>1</v>
      </c>
      <c r="L181">
        <v>1</v>
      </c>
      <c r="M181">
        <v>9</v>
      </c>
      <c r="N181">
        <v>99</v>
      </c>
      <c r="O181">
        <v>9</v>
      </c>
      <c r="P181">
        <v>3</v>
      </c>
      <c r="Q181">
        <v>99999</v>
      </c>
      <c r="R181" s="276">
        <v>0</v>
      </c>
      <c r="S181" s="7">
        <v>45372.58079861111</v>
      </c>
      <c r="AG181" t="s">
        <v>234</v>
      </c>
      <c r="AH181">
        <v>2023</v>
      </c>
      <c r="AI181">
        <v>5345</v>
      </c>
      <c r="AJ181">
        <v>264</v>
      </c>
      <c r="AK181">
        <v>2</v>
      </c>
      <c r="AL181">
        <v>2</v>
      </c>
      <c r="AM181">
        <v>22</v>
      </c>
      <c r="AN181">
        <v>60</v>
      </c>
      <c r="AO181">
        <v>167</v>
      </c>
      <c r="AP181">
        <v>4</v>
      </c>
      <c r="AQ181">
        <v>999</v>
      </c>
      <c r="AR181">
        <v>9</v>
      </c>
      <c r="AS181">
        <v>99</v>
      </c>
      <c r="AT181">
        <v>9</v>
      </c>
      <c r="AU181">
        <v>3</v>
      </c>
      <c r="AV181">
        <v>99999</v>
      </c>
      <c r="AW181">
        <v>0</v>
      </c>
      <c r="AX181" s="7">
        <v>45372.583067129628</v>
      </c>
      <c r="AY181" s="7"/>
      <c r="BV181" t="str">
        <f t="shared" si="5"/>
        <v/>
      </c>
    </row>
    <row r="182" spans="1:74">
      <c r="A182">
        <v>180</v>
      </c>
      <c r="B182" t="s">
        <v>150</v>
      </c>
      <c r="C182">
        <v>2023</v>
      </c>
      <c r="D182">
        <v>5367</v>
      </c>
      <c r="E182">
        <v>217</v>
      </c>
      <c r="F182">
        <v>2</v>
      </c>
      <c r="G182">
        <v>2</v>
      </c>
      <c r="H182">
        <v>22</v>
      </c>
      <c r="I182">
        <v>60</v>
      </c>
      <c r="J182">
        <v>106</v>
      </c>
      <c r="K182">
        <v>2</v>
      </c>
      <c r="L182">
        <v>11</v>
      </c>
      <c r="M182">
        <v>9</v>
      </c>
      <c r="N182">
        <v>99</v>
      </c>
      <c r="O182">
        <v>9</v>
      </c>
      <c r="P182">
        <v>3</v>
      </c>
      <c r="Q182">
        <v>99999</v>
      </c>
      <c r="R182" s="276">
        <v>-309628.60434499901</v>
      </c>
      <c r="S182" s="7">
        <v>45372.58079861111</v>
      </c>
      <c r="AG182" t="s">
        <v>234</v>
      </c>
      <c r="AH182">
        <v>2023</v>
      </c>
      <c r="AI182">
        <v>5345</v>
      </c>
      <c r="AJ182">
        <v>264</v>
      </c>
      <c r="AK182">
        <v>2</v>
      </c>
      <c r="AL182">
        <v>2</v>
      </c>
      <c r="AM182">
        <v>22</v>
      </c>
      <c r="AN182">
        <v>60</v>
      </c>
      <c r="AO182">
        <v>178</v>
      </c>
      <c r="AP182">
        <v>1</v>
      </c>
      <c r="AQ182">
        <v>7</v>
      </c>
      <c r="AR182">
        <v>9</v>
      </c>
      <c r="AS182">
        <v>99</v>
      </c>
      <c r="AT182">
        <v>9</v>
      </c>
      <c r="AU182">
        <v>3</v>
      </c>
      <c r="AV182">
        <v>99999</v>
      </c>
      <c r="AW182" s="32">
        <v>-54185.986114617903</v>
      </c>
      <c r="AX182" s="7">
        <v>45372.583067129628</v>
      </c>
      <c r="AY182" s="7"/>
      <c r="BV182" t="str">
        <f t="shared" si="5"/>
        <v/>
      </c>
    </row>
    <row r="183" spans="1:74">
      <c r="A183">
        <v>181</v>
      </c>
      <c r="B183" t="s">
        <v>150</v>
      </c>
      <c r="C183">
        <v>2023</v>
      </c>
      <c r="D183">
        <v>5367</v>
      </c>
      <c r="E183">
        <v>217</v>
      </c>
      <c r="F183">
        <v>2</v>
      </c>
      <c r="G183">
        <v>2</v>
      </c>
      <c r="H183">
        <v>22</v>
      </c>
      <c r="I183">
        <v>60</v>
      </c>
      <c r="J183">
        <v>106</v>
      </c>
      <c r="K183">
        <v>2</v>
      </c>
      <c r="L183">
        <v>9</v>
      </c>
      <c r="M183">
        <v>9</v>
      </c>
      <c r="N183">
        <v>99</v>
      </c>
      <c r="O183">
        <v>9</v>
      </c>
      <c r="P183">
        <v>3</v>
      </c>
      <c r="Q183">
        <v>99999</v>
      </c>
      <c r="R183" s="276">
        <v>0</v>
      </c>
      <c r="S183" s="7">
        <v>45372.58079861111</v>
      </c>
      <c r="AG183" t="s">
        <v>234</v>
      </c>
      <c r="AH183">
        <v>2023</v>
      </c>
      <c r="AI183">
        <v>5345</v>
      </c>
      <c r="AJ183">
        <v>264</v>
      </c>
      <c r="AK183">
        <v>2</v>
      </c>
      <c r="AL183">
        <v>2</v>
      </c>
      <c r="AM183">
        <v>20</v>
      </c>
      <c r="AN183">
        <v>60</v>
      </c>
      <c r="AO183">
        <v>179</v>
      </c>
      <c r="AP183">
        <v>99</v>
      </c>
      <c r="AQ183">
        <v>999</v>
      </c>
      <c r="AR183">
        <v>3</v>
      </c>
      <c r="AS183">
        <v>99</v>
      </c>
      <c r="AT183">
        <v>9</v>
      </c>
      <c r="AU183">
        <v>3</v>
      </c>
      <c r="AV183">
        <v>99999</v>
      </c>
      <c r="AW183" s="32">
        <v>0</v>
      </c>
      <c r="AX183" s="7">
        <v>45372.583067129628</v>
      </c>
      <c r="AY183" s="7"/>
      <c r="BV183" t="str">
        <f t="shared" si="5"/>
        <v/>
      </c>
    </row>
    <row r="184" spans="1:74">
      <c r="A184">
        <v>182</v>
      </c>
      <c r="B184" t="s">
        <v>150</v>
      </c>
      <c r="C184">
        <v>2023</v>
      </c>
      <c r="D184">
        <v>5367</v>
      </c>
      <c r="E184">
        <v>217</v>
      </c>
      <c r="F184">
        <v>2</v>
      </c>
      <c r="G184">
        <v>2</v>
      </c>
      <c r="H184">
        <v>22</v>
      </c>
      <c r="I184">
        <v>60</v>
      </c>
      <c r="J184">
        <v>106</v>
      </c>
      <c r="K184">
        <v>2</v>
      </c>
      <c r="L184">
        <v>8</v>
      </c>
      <c r="M184">
        <v>9</v>
      </c>
      <c r="N184">
        <v>99</v>
      </c>
      <c r="O184">
        <v>9</v>
      </c>
      <c r="P184">
        <v>3</v>
      </c>
      <c r="Q184">
        <v>99999</v>
      </c>
      <c r="R184" s="276">
        <v>-50632.6828866715</v>
      </c>
      <c r="S184" s="7">
        <v>45372.58079861111</v>
      </c>
      <c r="AG184" t="s">
        <v>234</v>
      </c>
      <c r="AH184">
        <v>2023</v>
      </c>
      <c r="AI184">
        <v>5345</v>
      </c>
      <c r="AJ184">
        <v>264</v>
      </c>
      <c r="AK184">
        <v>2</v>
      </c>
      <c r="AL184">
        <v>2</v>
      </c>
      <c r="AM184">
        <v>22</v>
      </c>
      <c r="AN184">
        <v>60</v>
      </c>
      <c r="AO184">
        <v>179</v>
      </c>
      <c r="AP184">
        <v>99</v>
      </c>
      <c r="AQ184">
        <v>999</v>
      </c>
      <c r="AR184">
        <v>3</v>
      </c>
      <c r="AS184">
        <v>99</v>
      </c>
      <c r="AT184">
        <v>9</v>
      </c>
      <c r="AU184">
        <v>3</v>
      </c>
      <c r="AV184">
        <v>99999</v>
      </c>
      <c r="AW184">
        <v>0</v>
      </c>
      <c r="AX184" s="7">
        <v>45372.583067129628</v>
      </c>
      <c r="AY184" s="7"/>
      <c r="BV184" t="str">
        <f t="shared" si="5"/>
        <v/>
      </c>
    </row>
    <row r="185" spans="1:74">
      <c r="A185">
        <v>183</v>
      </c>
      <c r="B185" t="s">
        <v>150</v>
      </c>
      <c r="C185">
        <v>2023</v>
      </c>
      <c r="D185">
        <v>5367</v>
      </c>
      <c r="E185">
        <v>217</v>
      </c>
      <c r="F185">
        <v>2</v>
      </c>
      <c r="G185">
        <v>2</v>
      </c>
      <c r="H185">
        <v>22</v>
      </c>
      <c r="I185">
        <v>60</v>
      </c>
      <c r="J185">
        <v>106</v>
      </c>
      <c r="K185">
        <v>2</v>
      </c>
      <c r="L185">
        <v>10</v>
      </c>
      <c r="M185">
        <v>9</v>
      </c>
      <c r="N185">
        <v>99</v>
      </c>
      <c r="O185">
        <v>9</v>
      </c>
      <c r="P185">
        <v>3</v>
      </c>
      <c r="Q185">
        <v>99999</v>
      </c>
      <c r="R185" s="276">
        <v>-1300.43023420246</v>
      </c>
      <c r="S185" s="7">
        <v>45372.58079861111</v>
      </c>
      <c r="AG185" t="s">
        <v>234</v>
      </c>
      <c r="AH185">
        <v>2023</v>
      </c>
      <c r="AI185">
        <v>5345</v>
      </c>
      <c r="AJ185">
        <v>264</v>
      </c>
      <c r="AK185">
        <v>2</v>
      </c>
      <c r="AL185">
        <v>2</v>
      </c>
      <c r="AM185">
        <v>22</v>
      </c>
      <c r="AN185">
        <v>60</v>
      </c>
      <c r="AO185">
        <v>220</v>
      </c>
      <c r="AP185">
        <v>2</v>
      </c>
      <c r="AQ185">
        <v>9</v>
      </c>
      <c r="AR185">
        <v>9</v>
      </c>
      <c r="AS185">
        <v>99</v>
      </c>
      <c r="AT185">
        <v>9</v>
      </c>
      <c r="AU185">
        <v>3</v>
      </c>
      <c r="AV185">
        <v>99999</v>
      </c>
      <c r="AW185">
        <v>0</v>
      </c>
      <c r="AX185" s="7">
        <v>45372.583067129628</v>
      </c>
      <c r="AY185" s="7"/>
      <c r="BV185" t="str">
        <f t="shared" si="5"/>
        <v/>
      </c>
    </row>
    <row r="186" spans="1:74">
      <c r="A186">
        <v>184</v>
      </c>
      <c r="B186" t="s">
        <v>150</v>
      </c>
      <c r="C186">
        <v>2023</v>
      </c>
      <c r="D186">
        <v>5367</v>
      </c>
      <c r="E186">
        <v>217</v>
      </c>
      <c r="F186">
        <v>2</v>
      </c>
      <c r="G186">
        <v>2</v>
      </c>
      <c r="H186">
        <v>22</v>
      </c>
      <c r="I186">
        <v>60</v>
      </c>
      <c r="J186">
        <v>106</v>
      </c>
      <c r="K186">
        <v>2</v>
      </c>
      <c r="L186">
        <v>24</v>
      </c>
      <c r="M186">
        <v>9</v>
      </c>
      <c r="N186">
        <v>99</v>
      </c>
      <c r="O186">
        <v>9</v>
      </c>
      <c r="P186">
        <v>3</v>
      </c>
      <c r="Q186">
        <v>99999</v>
      </c>
      <c r="R186" s="276">
        <v>-7952.3812586700296</v>
      </c>
      <c r="S186" s="7">
        <v>45372.58079861111</v>
      </c>
      <c r="AG186" t="s">
        <v>234</v>
      </c>
      <c r="AH186">
        <v>2023</v>
      </c>
      <c r="AI186">
        <v>5345</v>
      </c>
      <c r="AJ186">
        <v>264</v>
      </c>
      <c r="AK186">
        <v>2</v>
      </c>
      <c r="AL186">
        <v>2</v>
      </c>
      <c r="AM186">
        <v>22</v>
      </c>
      <c r="AN186">
        <v>60</v>
      </c>
      <c r="AO186">
        <v>220</v>
      </c>
      <c r="AP186">
        <v>2</v>
      </c>
      <c r="AQ186">
        <v>8</v>
      </c>
      <c r="AR186">
        <v>9</v>
      </c>
      <c r="AS186">
        <v>99</v>
      </c>
      <c r="AT186">
        <v>9</v>
      </c>
      <c r="AU186">
        <v>3</v>
      </c>
      <c r="AV186">
        <v>99999</v>
      </c>
      <c r="AW186" s="32">
        <v>0</v>
      </c>
      <c r="AX186" s="7">
        <v>45372.583067129628</v>
      </c>
      <c r="AY186" s="7"/>
      <c r="BV186" t="str">
        <f t="shared" si="5"/>
        <v/>
      </c>
    </row>
    <row r="187" spans="1:74">
      <c r="A187">
        <v>185</v>
      </c>
      <c r="B187" t="s">
        <v>150</v>
      </c>
      <c r="C187">
        <v>2023</v>
      </c>
      <c r="D187">
        <v>5367</v>
      </c>
      <c r="E187">
        <v>217</v>
      </c>
      <c r="F187">
        <v>3</v>
      </c>
      <c r="G187">
        <v>99</v>
      </c>
      <c r="H187">
        <v>24</v>
      </c>
      <c r="I187">
        <v>63</v>
      </c>
      <c r="J187">
        <v>110</v>
      </c>
      <c r="K187">
        <v>99</v>
      </c>
      <c r="L187">
        <v>999</v>
      </c>
      <c r="M187">
        <v>9</v>
      </c>
      <c r="N187">
        <v>99</v>
      </c>
      <c r="O187">
        <v>9</v>
      </c>
      <c r="P187">
        <v>3</v>
      </c>
      <c r="Q187">
        <v>99999</v>
      </c>
      <c r="R187" s="276">
        <v>0</v>
      </c>
      <c r="S187" s="7">
        <v>45372.58079861111</v>
      </c>
      <c r="AG187" t="s">
        <v>234</v>
      </c>
      <c r="AH187">
        <v>2023</v>
      </c>
      <c r="AI187">
        <v>5345</v>
      </c>
      <c r="AJ187">
        <v>264</v>
      </c>
      <c r="AK187">
        <v>2</v>
      </c>
      <c r="AL187">
        <v>2</v>
      </c>
      <c r="AM187">
        <v>22</v>
      </c>
      <c r="AN187">
        <v>60</v>
      </c>
      <c r="AO187">
        <v>220</v>
      </c>
      <c r="AP187">
        <v>2</v>
      </c>
      <c r="AQ187">
        <v>10</v>
      </c>
      <c r="AR187">
        <v>9</v>
      </c>
      <c r="AS187">
        <v>99</v>
      </c>
      <c r="AT187">
        <v>9</v>
      </c>
      <c r="AU187">
        <v>3</v>
      </c>
      <c r="AV187">
        <v>99999</v>
      </c>
      <c r="AW187" s="32">
        <v>0</v>
      </c>
      <c r="AX187" s="7">
        <v>45372.583067129628</v>
      </c>
      <c r="AY187" s="7"/>
      <c r="BV187" t="str">
        <f t="shared" si="5"/>
        <v/>
      </c>
    </row>
    <row r="188" spans="1:74">
      <c r="A188">
        <v>186</v>
      </c>
      <c r="B188" t="s">
        <v>150</v>
      </c>
      <c r="C188">
        <v>2023</v>
      </c>
      <c r="D188">
        <v>5367</v>
      </c>
      <c r="E188">
        <v>217</v>
      </c>
      <c r="F188">
        <v>3</v>
      </c>
      <c r="G188">
        <v>99</v>
      </c>
      <c r="H188">
        <v>24</v>
      </c>
      <c r="I188">
        <v>61</v>
      </c>
      <c r="J188">
        <v>110</v>
      </c>
      <c r="K188">
        <v>99</v>
      </c>
      <c r="L188">
        <v>999</v>
      </c>
      <c r="M188">
        <v>9</v>
      </c>
      <c r="N188">
        <v>99</v>
      </c>
      <c r="O188">
        <v>9</v>
      </c>
      <c r="P188">
        <v>3</v>
      </c>
      <c r="Q188">
        <v>99999</v>
      </c>
      <c r="R188" s="276">
        <v>0</v>
      </c>
      <c r="S188" s="7">
        <v>45372.58079861111</v>
      </c>
      <c r="AG188" t="s">
        <v>234</v>
      </c>
      <c r="AH188">
        <v>2023</v>
      </c>
      <c r="AI188">
        <v>5345</v>
      </c>
      <c r="AJ188">
        <v>264</v>
      </c>
      <c r="AK188">
        <v>2</v>
      </c>
      <c r="AL188">
        <v>2</v>
      </c>
      <c r="AM188">
        <v>22</v>
      </c>
      <c r="AN188">
        <v>60</v>
      </c>
      <c r="AO188">
        <v>220</v>
      </c>
      <c r="AP188">
        <v>2</v>
      </c>
      <c r="AQ188">
        <v>24</v>
      </c>
      <c r="AR188">
        <v>9</v>
      </c>
      <c r="AS188">
        <v>99</v>
      </c>
      <c r="AT188">
        <v>9</v>
      </c>
      <c r="AU188">
        <v>3</v>
      </c>
      <c r="AV188">
        <v>99999</v>
      </c>
      <c r="AW188" s="32">
        <v>0</v>
      </c>
      <c r="AX188" s="7">
        <v>45372.583067129628</v>
      </c>
      <c r="AY188" s="7"/>
      <c r="BV188" t="str">
        <f t="shared" si="5"/>
        <v/>
      </c>
    </row>
    <row r="189" spans="1:74">
      <c r="A189">
        <v>187</v>
      </c>
      <c r="B189" t="s">
        <v>150</v>
      </c>
      <c r="C189">
        <v>2023</v>
      </c>
      <c r="D189">
        <v>5367</v>
      </c>
      <c r="E189">
        <v>217</v>
      </c>
      <c r="F189">
        <v>3</v>
      </c>
      <c r="G189">
        <v>99</v>
      </c>
      <c r="H189">
        <v>24</v>
      </c>
      <c r="I189">
        <v>79</v>
      </c>
      <c r="J189">
        <v>110</v>
      </c>
      <c r="K189">
        <v>99</v>
      </c>
      <c r="L189">
        <v>999</v>
      </c>
      <c r="M189">
        <v>9</v>
      </c>
      <c r="N189">
        <v>99</v>
      </c>
      <c r="O189">
        <v>9</v>
      </c>
      <c r="P189">
        <v>3</v>
      </c>
      <c r="Q189">
        <v>99999</v>
      </c>
      <c r="R189" s="276">
        <v>0</v>
      </c>
      <c r="S189" s="7">
        <v>45372.58079861111</v>
      </c>
      <c r="AG189" t="s">
        <v>234</v>
      </c>
      <c r="AH189">
        <v>2023</v>
      </c>
      <c r="AI189">
        <v>5345</v>
      </c>
      <c r="AJ189">
        <v>264</v>
      </c>
      <c r="AK189">
        <v>2</v>
      </c>
      <c r="AL189">
        <v>2</v>
      </c>
      <c r="AM189">
        <v>22</v>
      </c>
      <c r="AN189">
        <v>62</v>
      </c>
      <c r="AO189">
        <v>220</v>
      </c>
      <c r="AP189">
        <v>2</v>
      </c>
      <c r="AQ189">
        <v>11</v>
      </c>
      <c r="AR189">
        <v>9</v>
      </c>
      <c r="AS189">
        <v>99</v>
      </c>
      <c r="AT189">
        <v>9</v>
      </c>
      <c r="AU189">
        <v>3</v>
      </c>
      <c r="AV189">
        <v>99999</v>
      </c>
      <c r="AW189" s="32">
        <v>0</v>
      </c>
      <c r="AX189" s="7">
        <v>45372.583067129628</v>
      </c>
      <c r="AY189" s="7"/>
      <c r="BV189" t="str">
        <f t="shared" si="5"/>
        <v/>
      </c>
    </row>
    <row r="190" spans="1:74">
      <c r="A190">
        <v>188</v>
      </c>
      <c r="B190" t="s">
        <v>150</v>
      </c>
      <c r="C190">
        <v>2023</v>
      </c>
      <c r="D190">
        <v>5367</v>
      </c>
      <c r="E190">
        <v>217</v>
      </c>
      <c r="F190">
        <v>3</v>
      </c>
      <c r="G190">
        <v>99</v>
      </c>
      <c r="H190">
        <v>24</v>
      </c>
      <c r="I190">
        <v>63</v>
      </c>
      <c r="J190">
        <v>111</v>
      </c>
      <c r="K190">
        <v>99</v>
      </c>
      <c r="L190">
        <v>999</v>
      </c>
      <c r="M190">
        <v>9</v>
      </c>
      <c r="N190">
        <v>99</v>
      </c>
      <c r="O190">
        <v>9</v>
      </c>
      <c r="P190">
        <v>3</v>
      </c>
      <c r="Q190">
        <v>99999</v>
      </c>
      <c r="R190" s="276">
        <v>0</v>
      </c>
      <c r="S190" s="7">
        <v>45372.58079861111</v>
      </c>
      <c r="AG190" t="s">
        <v>234</v>
      </c>
      <c r="AH190">
        <v>2023</v>
      </c>
      <c r="AI190">
        <v>5345</v>
      </c>
      <c r="AJ190">
        <v>264</v>
      </c>
      <c r="AK190">
        <v>2</v>
      </c>
      <c r="AL190">
        <v>2</v>
      </c>
      <c r="AM190">
        <v>22</v>
      </c>
      <c r="AN190">
        <v>62</v>
      </c>
      <c r="AO190">
        <v>220</v>
      </c>
      <c r="AP190">
        <v>2</v>
      </c>
      <c r="AQ190">
        <v>9</v>
      </c>
      <c r="AR190">
        <v>9</v>
      </c>
      <c r="AS190">
        <v>99</v>
      </c>
      <c r="AT190">
        <v>9</v>
      </c>
      <c r="AU190">
        <v>3</v>
      </c>
      <c r="AV190">
        <v>99999</v>
      </c>
      <c r="AW190" s="32">
        <v>0</v>
      </c>
      <c r="AX190" s="7">
        <v>45372.583067129628</v>
      </c>
      <c r="AY190" s="7"/>
      <c r="BV190" t="str">
        <f t="shared" si="5"/>
        <v/>
      </c>
    </row>
    <row r="191" spans="1:74">
      <c r="A191">
        <v>189</v>
      </c>
      <c r="B191" t="s">
        <v>150</v>
      </c>
      <c r="C191">
        <v>2023</v>
      </c>
      <c r="D191">
        <v>5367</v>
      </c>
      <c r="E191">
        <v>217</v>
      </c>
      <c r="F191">
        <v>3</v>
      </c>
      <c r="G191">
        <v>99</v>
      </c>
      <c r="H191">
        <v>24</v>
      </c>
      <c r="I191">
        <v>61</v>
      </c>
      <c r="J191">
        <v>111</v>
      </c>
      <c r="K191">
        <v>99</v>
      </c>
      <c r="L191">
        <v>999</v>
      </c>
      <c r="M191">
        <v>9</v>
      </c>
      <c r="N191">
        <v>99</v>
      </c>
      <c r="O191">
        <v>9</v>
      </c>
      <c r="P191">
        <v>3</v>
      </c>
      <c r="Q191">
        <v>99999</v>
      </c>
      <c r="R191" s="276">
        <v>0</v>
      </c>
      <c r="S191" s="7">
        <v>45372.58079861111</v>
      </c>
      <c r="AG191" t="s">
        <v>234</v>
      </c>
      <c r="AH191">
        <v>2023</v>
      </c>
      <c r="AI191">
        <v>5345</v>
      </c>
      <c r="AJ191">
        <v>264</v>
      </c>
      <c r="AK191">
        <v>2</v>
      </c>
      <c r="AL191">
        <v>2</v>
      </c>
      <c r="AM191">
        <v>22</v>
      </c>
      <c r="AN191">
        <v>62</v>
      </c>
      <c r="AO191">
        <v>220</v>
      </c>
      <c r="AP191">
        <v>2</v>
      </c>
      <c r="AQ191">
        <v>8</v>
      </c>
      <c r="AR191">
        <v>9</v>
      </c>
      <c r="AS191">
        <v>99</v>
      </c>
      <c r="AT191">
        <v>9</v>
      </c>
      <c r="AU191">
        <v>3</v>
      </c>
      <c r="AV191">
        <v>99999</v>
      </c>
      <c r="AW191" s="32">
        <v>0</v>
      </c>
      <c r="AX191" s="7">
        <v>45372.583067129628</v>
      </c>
      <c r="AY191" s="7"/>
      <c r="BV191" t="str">
        <f t="shared" si="5"/>
        <v/>
      </c>
    </row>
    <row r="192" spans="1:74">
      <c r="A192">
        <v>190</v>
      </c>
      <c r="B192" t="s">
        <v>150</v>
      </c>
      <c r="C192">
        <v>2023</v>
      </c>
      <c r="D192">
        <v>5367</v>
      </c>
      <c r="E192">
        <v>217</v>
      </c>
      <c r="F192">
        <v>3</v>
      </c>
      <c r="G192">
        <v>99</v>
      </c>
      <c r="H192">
        <v>24</v>
      </c>
      <c r="I192">
        <v>79</v>
      </c>
      <c r="J192">
        <v>111</v>
      </c>
      <c r="K192">
        <v>99</v>
      </c>
      <c r="L192">
        <v>999</v>
      </c>
      <c r="M192">
        <v>9</v>
      </c>
      <c r="N192">
        <v>99</v>
      </c>
      <c r="O192">
        <v>9</v>
      </c>
      <c r="P192">
        <v>3</v>
      </c>
      <c r="Q192">
        <v>99999</v>
      </c>
      <c r="R192" s="276">
        <v>0</v>
      </c>
      <c r="S192" s="7">
        <v>45372.58079861111</v>
      </c>
      <c r="AG192" t="s">
        <v>234</v>
      </c>
      <c r="AH192">
        <v>2023</v>
      </c>
      <c r="AI192">
        <v>5345</v>
      </c>
      <c r="AJ192">
        <v>264</v>
      </c>
      <c r="AK192">
        <v>2</v>
      </c>
      <c r="AL192">
        <v>2</v>
      </c>
      <c r="AM192">
        <v>22</v>
      </c>
      <c r="AN192">
        <v>62</v>
      </c>
      <c r="AO192">
        <v>220</v>
      </c>
      <c r="AP192">
        <v>2</v>
      </c>
      <c r="AQ192">
        <v>10</v>
      </c>
      <c r="AR192">
        <v>9</v>
      </c>
      <c r="AS192">
        <v>99</v>
      </c>
      <c r="AT192">
        <v>9</v>
      </c>
      <c r="AU192">
        <v>3</v>
      </c>
      <c r="AV192">
        <v>99999</v>
      </c>
      <c r="AW192">
        <v>0</v>
      </c>
      <c r="AX192" s="7">
        <v>45372.583067129628</v>
      </c>
      <c r="AY192" s="7"/>
      <c r="BV192" t="str">
        <f t="shared" si="5"/>
        <v/>
      </c>
    </row>
    <row r="193" spans="1:74">
      <c r="A193">
        <v>191</v>
      </c>
      <c r="B193" t="s">
        <v>150</v>
      </c>
      <c r="C193">
        <v>2023</v>
      </c>
      <c r="D193">
        <v>5367</v>
      </c>
      <c r="E193">
        <v>217</v>
      </c>
      <c r="F193">
        <v>3</v>
      </c>
      <c r="G193">
        <v>99</v>
      </c>
      <c r="H193">
        <v>24</v>
      </c>
      <c r="I193">
        <v>63</v>
      </c>
      <c r="J193">
        <v>112</v>
      </c>
      <c r="K193">
        <v>99</v>
      </c>
      <c r="L193">
        <v>999</v>
      </c>
      <c r="M193">
        <v>9</v>
      </c>
      <c r="N193">
        <v>99</v>
      </c>
      <c r="O193">
        <v>9</v>
      </c>
      <c r="P193">
        <v>3</v>
      </c>
      <c r="Q193">
        <v>99999</v>
      </c>
      <c r="R193" s="276">
        <v>564.55051003393896</v>
      </c>
      <c r="S193" s="7">
        <v>45372.58079861111</v>
      </c>
      <c r="AG193" t="s">
        <v>234</v>
      </c>
      <c r="AH193">
        <v>2023</v>
      </c>
      <c r="AI193">
        <v>5345</v>
      </c>
      <c r="AJ193">
        <v>264</v>
      </c>
      <c r="AK193">
        <v>2</v>
      </c>
      <c r="AL193">
        <v>2</v>
      </c>
      <c r="AM193">
        <v>22</v>
      </c>
      <c r="AN193">
        <v>62</v>
      </c>
      <c r="AO193">
        <v>220</v>
      </c>
      <c r="AP193">
        <v>2</v>
      </c>
      <c r="AQ193">
        <v>24</v>
      </c>
      <c r="AR193">
        <v>9</v>
      </c>
      <c r="AS193">
        <v>99</v>
      </c>
      <c r="AT193">
        <v>9</v>
      </c>
      <c r="AU193">
        <v>3</v>
      </c>
      <c r="AV193">
        <v>99999</v>
      </c>
      <c r="AW193">
        <v>0</v>
      </c>
      <c r="AX193" s="7">
        <v>45372.583067129628</v>
      </c>
      <c r="AY193" s="7"/>
      <c r="BV193" t="str">
        <f t="shared" si="5"/>
        <v/>
      </c>
    </row>
    <row r="194" spans="1:74">
      <c r="A194">
        <v>192</v>
      </c>
      <c r="B194" t="s">
        <v>150</v>
      </c>
      <c r="C194">
        <v>2023</v>
      </c>
      <c r="D194">
        <v>5367</v>
      </c>
      <c r="E194">
        <v>217</v>
      </c>
      <c r="F194">
        <v>3</v>
      </c>
      <c r="G194">
        <v>99</v>
      </c>
      <c r="H194">
        <v>24</v>
      </c>
      <c r="I194">
        <v>61</v>
      </c>
      <c r="J194">
        <v>112</v>
      </c>
      <c r="K194">
        <v>99</v>
      </c>
      <c r="L194">
        <v>999</v>
      </c>
      <c r="M194">
        <v>9</v>
      </c>
      <c r="N194">
        <v>99</v>
      </c>
      <c r="O194">
        <v>9</v>
      </c>
      <c r="P194">
        <v>3</v>
      </c>
      <c r="Q194">
        <v>99999</v>
      </c>
      <c r="R194" s="276">
        <v>5112.7148441876598</v>
      </c>
      <c r="S194" s="7">
        <v>45372.58079861111</v>
      </c>
      <c r="AG194" t="s">
        <v>234</v>
      </c>
      <c r="AH194">
        <v>2023</v>
      </c>
      <c r="AI194">
        <v>5345</v>
      </c>
      <c r="AJ194">
        <v>264</v>
      </c>
      <c r="AK194">
        <v>2</v>
      </c>
      <c r="AL194">
        <v>2</v>
      </c>
      <c r="AM194">
        <v>22</v>
      </c>
      <c r="AN194">
        <v>60</v>
      </c>
      <c r="AO194">
        <v>220</v>
      </c>
      <c r="AP194">
        <v>2</v>
      </c>
      <c r="AQ194">
        <v>11</v>
      </c>
      <c r="AR194">
        <v>9</v>
      </c>
      <c r="AS194">
        <v>99</v>
      </c>
      <c r="AT194">
        <v>9</v>
      </c>
      <c r="AU194">
        <v>3</v>
      </c>
      <c r="AV194">
        <v>99999</v>
      </c>
      <c r="AW194">
        <v>0</v>
      </c>
      <c r="AX194" s="7">
        <v>45372.583067129628</v>
      </c>
      <c r="AY194" s="7"/>
      <c r="BV194" t="str">
        <f t="shared" si="5"/>
        <v/>
      </c>
    </row>
    <row r="195" spans="1:74">
      <c r="A195">
        <v>193</v>
      </c>
      <c r="B195" t="s">
        <v>150</v>
      </c>
      <c r="C195">
        <v>2023</v>
      </c>
      <c r="D195">
        <v>5367</v>
      </c>
      <c r="E195">
        <v>217</v>
      </c>
      <c r="F195">
        <v>3</v>
      </c>
      <c r="G195">
        <v>99</v>
      </c>
      <c r="H195">
        <v>24</v>
      </c>
      <c r="I195">
        <v>79</v>
      </c>
      <c r="J195">
        <v>112</v>
      </c>
      <c r="K195">
        <v>99</v>
      </c>
      <c r="L195">
        <v>999</v>
      </c>
      <c r="M195">
        <v>9</v>
      </c>
      <c r="N195">
        <v>99</v>
      </c>
      <c r="O195">
        <v>9</v>
      </c>
      <c r="P195">
        <v>3</v>
      </c>
      <c r="Q195">
        <v>99999</v>
      </c>
      <c r="R195" s="276">
        <v>5677.2653542216003</v>
      </c>
      <c r="S195" s="7">
        <v>45372.58079861111</v>
      </c>
      <c r="AG195" t="s">
        <v>234</v>
      </c>
      <c r="AH195">
        <v>2023</v>
      </c>
      <c r="AI195">
        <v>5345</v>
      </c>
      <c r="AJ195">
        <v>264</v>
      </c>
      <c r="AK195">
        <v>2</v>
      </c>
      <c r="AL195">
        <v>2</v>
      </c>
      <c r="AM195">
        <v>22</v>
      </c>
      <c r="AN195">
        <v>60</v>
      </c>
      <c r="AO195">
        <v>235</v>
      </c>
      <c r="AP195">
        <v>4</v>
      </c>
      <c r="AQ195">
        <v>999</v>
      </c>
      <c r="AR195">
        <v>9</v>
      </c>
      <c r="AS195">
        <v>99</v>
      </c>
      <c r="AT195">
        <v>9</v>
      </c>
      <c r="AU195">
        <v>3</v>
      </c>
      <c r="AV195">
        <v>99999</v>
      </c>
      <c r="AW195">
        <v>0</v>
      </c>
      <c r="AX195" s="7">
        <v>45372.583067129628</v>
      </c>
      <c r="AY195" s="7"/>
      <c r="BV195" t="str">
        <f t="shared" ref="BV195:BV258" si="6">CONCATENATE(BX195,BY195,BW195,CA195)</f>
        <v/>
      </c>
    </row>
    <row r="196" spans="1:74">
      <c r="A196">
        <v>194</v>
      </c>
      <c r="B196" t="s">
        <v>150</v>
      </c>
      <c r="C196">
        <v>2023</v>
      </c>
      <c r="D196">
        <v>5367</v>
      </c>
      <c r="E196">
        <v>217</v>
      </c>
      <c r="F196">
        <v>2</v>
      </c>
      <c r="G196">
        <v>2</v>
      </c>
      <c r="H196">
        <v>22</v>
      </c>
      <c r="I196">
        <v>60</v>
      </c>
      <c r="J196">
        <v>120</v>
      </c>
      <c r="K196">
        <v>4</v>
      </c>
      <c r="L196">
        <v>999</v>
      </c>
      <c r="M196">
        <v>9</v>
      </c>
      <c r="N196">
        <v>99</v>
      </c>
      <c r="O196">
        <v>9</v>
      </c>
      <c r="P196">
        <v>3</v>
      </c>
      <c r="Q196">
        <v>99999</v>
      </c>
      <c r="R196" s="276">
        <v>0</v>
      </c>
      <c r="S196" s="7">
        <v>45372.58079861111</v>
      </c>
      <c r="AG196" t="s">
        <v>234</v>
      </c>
      <c r="AH196">
        <v>2023</v>
      </c>
      <c r="AI196">
        <v>5345</v>
      </c>
      <c r="AJ196">
        <v>264</v>
      </c>
      <c r="AK196">
        <v>2</v>
      </c>
      <c r="AL196">
        <v>2</v>
      </c>
      <c r="AM196">
        <v>22</v>
      </c>
      <c r="AN196">
        <v>60</v>
      </c>
      <c r="AO196">
        <v>242</v>
      </c>
      <c r="AP196">
        <v>4</v>
      </c>
      <c r="AQ196">
        <v>999</v>
      </c>
      <c r="AR196">
        <v>9</v>
      </c>
      <c r="AS196">
        <v>99</v>
      </c>
      <c r="AT196">
        <v>9</v>
      </c>
      <c r="AU196">
        <v>3</v>
      </c>
      <c r="AV196">
        <v>99999</v>
      </c>
      <c r="AW196">
        <v>-6656141.1525480896</v>
      </c>
      <c r="AX196" s="7">
        <v>45372.583067129628</v>
      </c>
      <c r="AY196" s="7"/>
      <c r="BV196" t="str">
        <f t="shared" si="6"/>
        <v/>
      </c>
    </row>
    <row r="197" spans="1:74">
      <c r="A197">
        <v>195</v>
      </c>
      <c r="B197" t="s">
        <v>150</v>
      </c>
      <c r="C197">
        <v>2023</v>
      </c>
      <c r="D197">
        <v>5367</v>
      </c>
      <c r="E197">
        <v>217</v>
      </c>
      <c r="F197">
        <v>2</v>
      </c>
      <c r="G197">
        <v>2</v>
      </c>
      <c r="H197">
        <v>22</v>
      </c>
      <c r="I197">
        <v>60</v>
      </c>
      <c r="J197">
        <v>167</v>
      </c>
      <c r="K197">
        <v>4</v>
      </c>
      <c r="L197">
        <v>999</v>
      </c>
      <c r="M197">
        <v>9</v>
      </c>
      <c r="N197">
        <v>99</v>
      </c>
      <c r="O197">
        <v>9</v>
      </c>
      <c r="P197">
        <v>3</v>
      </c>
      <c r="Q197">
        <v>99999</v>
      </c>
      <c r="R197" s="276">
        <v>0</v>
      </c>
      <c r="S197" s="7">
        <v>45372.58079861111</v>
      </c>
      <c r="AG197" t="s">
        <v>234</v>
      </c>
      <c r="AH197">
        <v>2023</v>
      </c>
      <c r="AI197">
        <v>5345</v>
      </c>
      <c r="AJ197">
        <v>264</v>
      </c>
      <c r="AK197">
        <v>2</v>
      </c>
      <c r="AL197">
        <v>2</v>
      </c>
      <c r="AM197">
        <v>22</v>
      </c>
      <c r="AN197">
        <v>60</v>
      </c>
      <c r="AO197">
        <v>242</v>
      </c>
      <c r="AP197">
        <v>4</v>
      </c>
      <c r="AQ197">
        <v>999</v>
      </c>
      <c r="AR197">
        <v>9</v>
      </c>
      <c r="AS197">
        <v>99</v>
      </c>
      <c r="AT197">
        <v>9</v>
      </c>
      <c r="AU197">
        <v>3</v>
      </c>
      <c r="AV197">
        <v>99999</v>
      </c>
      <c r="AW197">
        <v>0</v>
      </c>
      <c r="AX197" s="7">
        <v>45372.583067129628</v>
      </c>
      <c r="AY197" s="7"/>
      <c r="BV197" t="str">
        <f t="shared" si="6"/>
        <v/>
      </c>
    </row>
    <row r="198" spans="1:74">
      <c r="A198">
        <v>196</v>
      </c>
      <c r="B198" t="s">
        <v>150</v>
      </c>
      <c r="C198">
        <v>2023</v>
      </c>
      <c r="D198">
        <v>5367</v>
      </c>
      <c r="E198">
        <v>217</v>
      </c>
      <c r="F198">
        <v>2</v>
      </c>
      <c r="G198">
        <v>2</v>
      </c>
      <c r="H198">
        <v>22</v>
      </c>
      <c r="I198">
        <v>60</v>
      </c>
      <c r="J198">
        <v>178</v>
      </c>
      <c r="K198">
        <v>1</v>
      </c>
      <c r="L198">
        <v>7</v>
      </c>
      <c r="M198">
        <v>9</v>
      </c>
      <c r="N198">
        <v>99</v>
      </c>
      <c r="O198">
        <v>9</v>
      </c>
      <c r="P198">
        <v>3</v>
      </c>
      <c r="Q198">
        <v>99999</v>
      </c>
      <c r="R198" s="276">
        <v>-12881.8067004103</v>
      </c>
      <c r="S198" s="7">
        <v>45372.58079861111</v>
      </c>
      <c r="AG198" t="s">
        <v>234</v>
      </c>
      <c r="AH198">
        <v>2023</v>
      </c>
      <c r="AI198">
        <v>5345</v>
      </c>
      <c r="AJ198">
        <v>264</v>
      </c>
      <c r="AK198">
        <v>2</v>
      </c>
      <c r="AL198">
        <v>2</v>
      </c>
      <c r="AM198">
        <v>22</v>
      </c>
      <c r="AN198">
        <v>60</v>
      </c>
      <c r="AO198">
        <v>522</v>
      </c>
      <c r="AP198">
        <v>3</v>
      </c>
      <c r="AQ198">
        <v>15</v>
      </c>
      <c r="AR198">
        <v>9</v>
      </c>
      <c r="AS198">
        <v>99</v>
      </c>
      <c r="AT198">
        <v>9</v>
      </c>
      <c r="AU198">
        <v>3</v>
      </c>
      <c r="AV198">
        <v>99999</v>
      </c>
      <c r="AW198">
        <v>0</v>
      </c>
      <c r="AX198" s="7">
        <v>45372.583067129628</v>
      </c>
      <c r="AY198" s="7"/>
      <c r="BV198" t="str">
        <f t="shared" si="6"/>
        <v/>
      </c>
    </row>
    <row r="199" spans="1:74">
      <c r="A199">
        <v>197</v>
      </c>
      <c r="B199" t="s">
        <v>150</v>
      </c>
      <c r="C199">
        <v>2023</v>
      </c>
      <c r="D199">
        <v>5367</v>
      </c>
      <c r="E199">
        <v>217</v>
      </c>
      <c r="F199">
        <v>2</v>
      </c>
      <c r="G199">
        <v>2</v>
      </c>
      <c r="H199">
        <v>20</v>
      </c>
      <c r="I199">
        <v>60</v>
      </c>
      <c r="J199">
        <v>179</v>
      </c>
      <c r="K199">
        <v>99</v>
      </c>
      <c r="L199">
        <v>999</v>
      </c>
      <c r="M199">
        <v>3</v>
      </c>
      <c r="N199">
        <v>99</v>
      </c>
      <c r="O199">
        <v>9</v>
      </c>
      <c r="P199">
        <v>3</v>
      </c>
      <c r="Q199">
        <v>99999</v>
      </c>
      <c r="R199" s="276">
        <v>0</v>
      </c>
      <c r="S199" s="7">
        <v>45372.58079861111</v>
      </c>
      <c r="AG199" t="s">
        <v>234</v>
      </c>
      <c r="AH199">
        <v>2023</v>
      </c>
      <c r="AI199">
        <v>5345</v>
      </c>
      <c r="AJ199">
        <v>264</v>
      </c>
      <c r="AK199">
        <v>2</v>
      </c>
      <c r="AL199">
        <v>2</v>
      </c>
      <c r="AM199">
        <v>22</v>
      </c>
      <c r="AN199">
        <v>60</v>
      </c>
      <c r="AO199">
        <v>522</v>
      </c>
      <c r="AP199">
        <v>1</v>
      </c>
      <c r="AQ199">
        <v>1</v>
      </c>
      <c r="AR199">
        <v>9</v>
      </c>
      <c r="AS199">
        <v>99</v>
      </c>
      <c r="AT199">
        <v>9</v>
      </c>
      <c r="AU199">
        <v>3</v>
      </c>
      <c r="AV199">
        <v>99999</v>
      </c>
      <c r="AW199">
        <v>0</v>
      </c>
      <c r="AX199" s="7">
        <v>45372.583067129628</v>
      </c>
      <c r="AY199" s="7"/>
      <c r="BV199" t="str">
        <f t="shared" si="6"/>
        <v/>
      </c>
    </row>
    <row r="200" spans="1:74">
      <c r="A200">
        <v>198</v>
      </c>
      <c r="B200" t="s">
        <v>150</v>
      </c>
      <c r="C200">
        <v>2023</v>
      </c>
      <c r="D200">
        <v>5367</v>
      </c>
      <c r="E200">
        <v>217</v>
      </c>
      <c r="F200">
        <v>2</v>
      </c>
      <c r="G200">
        <v>2</v>
      </c>
      <c r="H200">
        <v>22</v>
      </c>
      <c r="I200">
        <v>60</v>
      </c>
      <c r="J200">
        <v>179</v>
      </c>
      <c r="K200">
        <v>99</v>
      </c>
      <c r="L200">
        <v>999</v>
      </c>
      <c r="M200">
        <v>3</v>
      </c>
      <c r="N200">
        <v>99</v>
      </c>
      <c r="O200">
        <v>9</v>
      </c>
      <c r="P200">
        <v>3</v>
      </c>
      <c r="Q200">
        <v>99999</v>
      </c>
      <c r="R200" s="276">
        <v>0</v>
      </c>
      <c r="S200" s="7">
        <v>45372.58079861111</v>
      </c>
      <c r="AG200" t="s">
        <v>234</v>
      </c>
      <c r="AH200">
        <v>2023</v>
      </c>
      <c r="AI200">
        <v>5345</v>
      </c>
      <c r="AJ200">
        <v>264</v>
      </c>
      <c r="AK200">
        <v>2</v>
      </c>
      <c r="AL200">
        <v>2</v>
      </c>
      <c r="AM200">
        <v>22</v>
      </c>
      <c r="AN200">
        <v>60</v>
      </c>
      <c r="AO200">
        <v>522</v>
      </c>
      <c r="AP200">
        <v>1</v>
      </c>
      <c r="AQ200">
        <v>1</v>
      </c>
      <c r="AR200">
        <v>9</v>
      </c>
      <c r="AS200">
        <v>99</v>
      </c>
      <c r="AT200">
        <v>9</v>
      </c>
      <c r="AU200">
        <v>3</v>
      </c>
      <c r="AV200">
        <v>99999</v>
      </c>
      <c r="AW200">
        <v>0</v>
      </c>
      <c r="AX200" s="7">
        <v>45372.583067129628</v>
      </c>
      <c r="AY200" s="7"/>
      <c r="BV200" t="str">
        <f t="shared" si="6"/>
        <v/>
      </c>
    </row>
    <row r="201" spans="1:74">
      <c r="A201">
        <v>199</v>
      </c>
      <c r="B201" t="s">
        <v>150</v>
      </c>
      <c r="C201">
        <v>2023</v>
      </c>
      <c r="D201">
        <v>5367</v>
      </c>
      <c r="E201">
        <v>217</v>
      </c>
      <c r="F201">
        <v>3</v>
      </c>
      <c r="G201">
        <v>99</v>
      </c>
      <c r="H201">
        <v>24</v>
      </c>
      <c r="I201">
        <v>63</v>
      </c>
      <c r="J201">
        <v>182</v>
      </c>
      <c r="K201">
        <v>99</v>
      </c>
      <c r="L201">
        <v>999</v>
      </c>
      <c r="M201">
        <v>9</v>
      </c>
      <c r="N201">
        <v>99</v>
      </c>
      <c r="O201">
        <v>9</v>
      </c>
      <c r="P201">
        <v>3</v>
      </c>
      <c r="Q201">
        <v>99999</v>
      </c>
      <c r="R201" s="276">
        <v>0</v>
      </c>
      <c r="S201" s="7">
        <v>45372.58079861111</v>
      </c>
      <c r="AG201" t="s">
        <v>234</v>
      </c>
      <c r="AH201">
        <v>2023</v>
      </c>
      <c r="AI201">
        <v>5345</v>
      </c>
      <c r="AJ201">
        <v>264</v>
      </c>
      <c r="AK201">
        <v>2</v>
      </c>
      <c r="AL201">
        <v>2</v>
      </c>
      <c r="AM201">
        <v>22</v>
      </c>
      <c r="AN201">
        <v>60</v>
      </c>
      <c r="AO201">
        <v>522</v>
      </c>
      <c r="AP201">
        <v>1</v>
      </c>
      <c r="AQ201">
        <v>1</v>
      </c>
      <c r="AR201">
        <v>9</v>
      </c>
      <c r="AS201">
        <v>99</v>
      </c>
      <c r="AT201">
        <v>9</v>
      </c>
      <c r="AU201">
        <v>3</v>
      </c>
      <c r="AV201">
        <v>99999</v>
      </c>
      <c r="AW201">
        <v>0</v>
      </c>
      <c r="AX201" s="7">
        <v>45372.583067129628</v>
      </c>
      <c r="AY201" s="7"/>
      <c r="BV201" t="str">
        <f t="shared" si="6"/>
        <v/>
      </c>
    </row>
    <row r="202" spans="1:74">
      <c r="A202">
        <v>200</v>
      </c>
      <c r="B202" t="s">
        <v>150</v>
      </c>
      <c r="C202">
        <v>2023</v>
      </c>
      <c r="D202">
        <v>5367</v>
      </c>
      <c r="E202">
        <v>217</v>
      </c>
      <c r="F202">
        <v>3</v>
      </c>
      <c r="G202">
        <v>99</v>
      </c>
      <c r="H202">
        <v>24</v>
      </c>
      <c r="I202">
        <v>61</v>
      </c>
      <c r="J202">
        <v>182</v>
      </c>
      <c r="K202">
        <v>99</v>
      </c>
      <c r="L202">
        <v>999</v>
      </c>
      <c r="M202">
        <v>9</v>
      </c>
      <c r="N202">
        <v>99</v>
      </c>
      <c r="O202">
        <v>9</v>
      </c>
      <c r="P202">
        <v>3</v>
      </c>
      <c r="Q202">
        <v>99999</v>
      </c>
      <c r="R202" s="276">
        <v>0</v>
      </c>
      <c r="S202" s="7">
        <v>45372.58079861111</v>
      </c>
      <c r="AG202" t="s">
        <v>234</v>
      </c>
      <c r="AH202">
        <v>2023</v>
      </c>
      <c r="AI202">
        <v>5345</v>
      </c>
      <c r="AJ202">
        <v>264</v>
      </c>
      <c r="AK202">
        <v>2</v>
      </c>
      <c r="AL202">
        <v>2</v>
      </c>
      <c r="AM202">
        <v>22</v>
      </c>
      <c r="AN202">
        <v>60</v>
      </c>
      <c r="AO202">
        <v>522</v>
      </c>
      <c r="AP202">
        <v>1</v>
      </c>
      <c r="AQ202">
        <v>1</v>
      </c>
      <c r="AR202">
        <v>9</v>
      </c>
      <c r="AS202">
        <v>99</v>
      </c>
      <c r="AT202">
        <v>9</v>
      </c>
      <c r="AU202">
        <v>3</v>
      </c>
      <c r="AV202">
        <v>99999</v>
      </c>
      <c r="AW202">
        <v>0</v>
      </c>
      <c r="AX202" s="7">
        <v>45372.583067129628</v>
      </c>
      <c r="AY202" s="7"/>
      <c r="BV202" t="str">
        <f t="shared" si="6"/>
        <v/>
      </c>
    </row>
    <row r="203" spans="1:74">
      <c r="A203">
        <v>201</v>
      </c>
      <c r="B203" t="s">
        <v>150</v>
      </c>
      <c r="C203">
        <v>2023</v>
      </c>
      <c r="D203">
        <v>5367</v>
      </c>
      <c r="E203">
        <v>217</v>
      </c>
      <c r="F203">
        <v>3</v>
      </c>
      <c r="G203">
        <v>99</v>
      </c>
      <c r="H203">
        <v>24</v>
      </c>
      <c r="I203">
        <v>79</v>
      </c>
      <c r="J203">
        <v>182</v>
      </c>
      <c r="K203">
        <v>99</v>
      </c>
      <c r="L203">
        <v>999</v>
      </c>
      <c r="M203">
        <v>9</v>
      </c>
      <c r="N203">
        <v>99</v>
      </c>
      <c r="O203">
        <v>9</v>
      </c>
      <c r="P203">
        <v>3</v>
      </c>
      <c r="Q203">
        <v>99999</v>
      </c>
      <c r="R203" s="276">
        <v>0</v>
      </c>
      <c r="S203" s="7">
        <v>45372.58079861111</v>
      </c>
      <c r="AG203" t="s">
        <v>234</v>
      </c>
      <c r="AH203">
        <v>2023</v>
      </c>
      <c r="AI203">
        <v>5345</v>
      </c>
      <c r="AJ203">
        <v>264</v>
      </c>
      <c r="AK203">
        <v>2</v>
      </c>
      <c r="AL203">
        <v>2</v>
      </c>
      <c r="AM203">
        <v>22</v>
      </c>
      <c r="AN203">
        <v>60</v>
      </c>
      <c r="AO203">
        <v>522</v>
      </c>
      <c r="AP203">
        <v>2</v>
      </c>
      <c r="AQ203">
        <v>11</v>
      </c>
      <c r="AR203">
        <v>9</v>
      </c>
      <c r="AS203">
        <v>99</v>
      </c>
      <c r="AT203">
        <v>9</v>
      </c>
      <c r="AU203">
        <v>3</v>
      </c>
      <c r="AV203">
        <v>99999</v>
      </c>
      <c r="AW203">
        <v>0</v>
      </c>
      <c r="AX203" s="7">
        <v>45372.583067129628</v>
      </c>
      <c r="AY203" s="7"/>
      <c r="BV203" t="str">
        <f t="shared" si="6"/>
        <v/>
      </c>
    </row>
    <row r="204" spans="1:74">
      <c r="A204">
        <v>202</v>
      </c>
      <c r="B204" t="s">
        <v>150</v>
      </c>
      <c r="C204">
        <v>2023</v>
      </c>
      <c r="D204">
        <v>5367</v>
      </c>
      <c r="E204">
        <v>217</v>
      </c>
      <c r="F204">
        <v>3</v>
      </c>
      <c r="G204">
        <v>99</v>
      </c>
      <c r="H204">
        <v>24</v>
      </c>
      <c r="I204">
        <v>63</v>
      </c>
      <c r="J204">
        <v>183</v>
      </c>
      <c r="K204">
        <v>99</v>
      </c>
      <c r="L204">
        <v>999</v>
      </c>
      <c r="M204">
        <v>9</v>
      </c>
      <c r="N204">
        <v>99</v>
      </c>
      <c r="O204">
        <v>9</v>
      </c>
      <c r="P204">
        <v>3</v>
      </c>
      <c r="Q204">
        <v>99999</v>
      </c>
      <c r="R204" s="276">
        <v>446.25749844633202</v>
      </c>
      <c r="S204" s="7">
        <v>45372.58079861111</v>
      </c>
      <c r="AG204" t="s">
        <v>234</v>
      </c>
      <c r="AH204">
        <v>2023</v>
      </c>
      <c r="AI204">
        <v>5345</v>
      </c>
      <c r="AJ204">
        <v>264</v>
      </c>
      <c r="AK204">
        <v>2</v>
      </c>
      <c r="AL204">
        <v>2</v>
      </c>
      <c r="AM204">
        <v>22</v>
      </c>
      <c r="AN204">
        <v>60</v>
      </c>
      <c r="AO204">
        <v>522</v>
      </c>
      <c r="AP204">
        <v>2</v>
      </c>
      <c r="AQ204">
        <v>9</v>
      </c>
      <c r="AR204">
        <v>9</v>
      </c>
      <c r="AS204">
        <v>99</v>
      </c>
      <c r="AT204">
        <v>9</v>
      </c>
      <c r="AU204">
        <v>3</v>
      </c>
      <c r="AV204">
        <v>99999</v>
      </c>
      <c r="AW204">
        <v>0</v>
      </c>
      <c r="AX204" s="7">
        <v>45372.583067129628</v>
      </c>
      <c r="AY204" s="7"/>
      <c r="BV204" t="str">
        <f t="shared" si="6"/>
        <v/>
      </c>
    </row>
    <row r="205" spans="1:74">
      <c r="A205">
        <v>203</v>
      </c>
      <c r="B205" t="s">
        <v>150</v>
      </c>
      <c r="C205">
        <v>2023</v>
      </c>
      <c r="D205">
        <v>5367</v>
      </c>
      <c r="E205">
        <v>217</v>
      </c>
      <c r="F205">
        <v>3</v>
      </c>
      <c r="G205">
        <v>99</v>
      </c>
      <c r="H205">
        <v>24</v>
      </c>
      <c r="I205">
        <v>61</v>
      </c>
      <c r="J205">
        <v>183</v>
      </c>
      <c r="K205">
        <v>99</v>
      </c>
      <c r="L205">
        <v>999</v>
      </c>
      <c r="M205">
        <v>9</v>
      </c>
      <c r="N205">
        <v>99</v>
      </c>
      <c r="O205">
        <v>9</v>
      </c>
      <c r="P205">
        <v>3</v>
      </c>
      <c r="Q205">
        <v>99999</v>
      </c>
      <c r="R205" s="276">
        <v>0</v>
      </c>
      <c r="S205" s="7">
        <v>45372.58079861111</v>
      </c>
      <c r="AG205" t="s">
        <v>234</v>
      </c>
      <c r="AH205">
        <v>2023</v>
      </c>
      <c r="AI205">
        <v>5345</v>
      </c>
      <c r="AJ205">
        <v>264</v>
      </c>
      <c r="AK205">
        <v>2</v>
      </c>
      <c r="AL205">
        <v>2</v>
      </c>
      <c r="AM205">
        <v>22</v>
      </c>
      <c r="AN205">
        <v>60</v>
      </c>
      <c r="AO205">
        <v>522</v>
      </c>
      <c r="AP205">
        <v>2</v>
      </c>
      <c r="AQ205">
        <v>8</v>
      </c>
      <c r="AR205">
        <v>9</v>
      </c>
      <c r="AS205">
        <v>99</v>
      </c>
      <c r="AT205">
        <v>9</v>
      </c>
      <c r="AU205">
        <v>3</v>
      </c>
      <c r="AV205">
        <v>99999</v>
      </c>
      <c r="AW205">
        <v>0</v>
      </c>
      <c r="AX205" s="7">
        <v>45372.583067129628</v>
      </c>
      <c r="AY205" s="7"/>
      <c r="BV205" t="str">
        <f t="shared" si="6"/>
        <v/>
      </c>
    </row>
    <row r="206" spans="1:74">
      <c r="A206">
        <v>204</v>
      </c>
      <c r="B206" t="s">
        <v>150</v>
      </c>
      <c r="C206">
        <v>2023</v>
      </c>
      <c r="D206">
        <v>5367</v>
      </c>
      <c r="E206">
        <v>217</v>
      </c>
      <c r="F206">
        <v>3</v>
      </c>
      <c r="G206">
        <v>99</v>
      </c>
      <c r="H206">
        <v>24</v>
      </c>
      <c r="I206">
        <v>79</v>
      </c>
      <c r="J206">
        <v>183</v>
      </c>
      <c r="K206">
        <v>99</v>
      </c>
      <c r="L206">
        <v>999</v>
      </c>
      <c r="M206">
        <v>9</v>
      </c>
      <c r="N206">
        <v>99</v>
      </c>
      <c r="O206">
        <v>9</v>
      </c>
      <c r="P206">
        <v>3</v>
      </c>
      <c r="Q206">
        <v>99999</v>
      </c>
      <c r="R206" s="276">
        <v>446.25749844633202</v>
      </c>
      <c r="S206" s="7">
        <v>45372.58079861111</v>
      </c>
      <c r="AG206" t="s">
        <v>234</v>
      </c>
      <c r="AH206">
        <v>2023</v>
      </c>
      <c r="AI206">
        <v>5345</v>
      </c>
      <c r="AJ206">
        <v>264</v>
      </c>
      <c r="AK206">
        <v>2</v>
      </c>
      <c r="AL206">
        <v>2</v>
      </c>
      <c r="AM206">
        <v>22</v>
      </c>
      <c r="AN206">
        <v>60</v>
      </c>
      <c r="AO206">
        <v>522</v>
      </c>
      <c r="AP206">
        <v>2</v>
      </c>
      <c r="AQ206">
        <v>10</v>
      </c>
      <c r="AR206">
        <v>9</v>
      </c>
      <c r="AS206">
        <v>99</v>
      </c>
      <c r="AT206">
        <v>9</v>
      </c>
      <c r="AU206">
        <v>3</v>
      </c>
      <c r="AV206">
        <v>99999</v>
      </c>
      <c r="AW206">
        <v>0</v>
      </c>
      <c r="AX206" s="7">
        <v>45372.583067129628</v>
      </c>
      <c r="AY206" s="7"/>
      <c r="BV206" t="str">
        <f t="shared" si="6"/>
        <v/>
      </c>
    </row>
    <row r="207" spans="1:74">
      <c r="A207">
        <v>205</v>
      </c>
      <c r="B207" t="s">
        <v>150</v>
      </c>
      <c r="C207">
        <v>2023</v>
      </c>
      <c r="D207">
        <v>5367</v>
      </c>
      <c r="E207">
        <v>217</v>
      </c>
      <c r="F207">
        <v>3</v>
      </c>
      <c r="G207">
        <v>99</v>
      </c>
      <c r="H207">
        <v>24</v>
      </c>
      <c r="I207">
        <v>63</v>
      </c>
      <c r="J207">
        <v>184</v>
      </c>
      <c r="K207">
        <v>99</v>
      </c>
      <c r="L207">
        <v>999</v>
      </c>
      <c r="M207">
        <v>9</v>
      </c>
      <c r="N207">
        <v>99</v>
      </c>
      <c r="O207">
        <v>9</v>
      </c>
      <c r="P207">
        <v>3</v>
      </c>
      <c r="Q207">
        <v>99999</v>
      </c>
      <c r="R207" s="276">
        <v>1398.23086531273</v>
      </c>
      <c r="S207" s="7">
        <v>45372.58079861111</v>
      </c>
      <c r="AG207" t="s">
        <v>234</v>
      </c>
      <c r="AH207">
        <v>2023</v>
      </c>
      <c r="AI207">
        <v>5345</v>
      </c>
      <c r="AJ207">
        <v>264</v>
      </c>
      <c r="AK207">
        <v>2</v>
      </c>
      <c r="AL207">
        <v>2</v>
      </c>
      <c r="AM207">
        <v>22</v>
      </c>
      <c r="AN207">
        <v>60</v>
      </c>
      <c r="AO207">
        <v>522</v>
      </c>
      <c r="AP207">
        <v>2</v>
      </c>
      <c r="AQ207">
        <v>24</v>
      </c>
      <c r="AR207">
        <v>9</v>
      </c>
      <c r="AS207">
        <v>99</v>
      </c>
      <c r="AT207">
        <v>9</v>
      </c>
      <c r="AU207">
        <v>3</v>
      </c>
      <c r="AV207">
        <v>99999</v>
      </c>
      <c r="AW207">
        <v>0</v>
      </c>
      <c r="AX207" s="7">
        <v>45372.583067129628</v>
      </c>
      <c r="AY207" s="7"/>
      <c r="BV207" t="str">
        <f t="shared" si="6"/>
        <v/>
      </c>
    </row>
    <row r="208" spans="1:74">
      <c r="A208">
        <v>206</v>
      </c>
      <c r="B208" t="s">
        <v>150</v>
      </c>
      <c r="C208">
        <v>2023</v>
      </c>
      <c r="D208">
        <v>5367</v>
      </c>
      <c r="E208">
        <v>217</v>
      </c>
      <c r="F208">
        <v>3</v>
      </c>
      <c r="G208">
        <v>99</v>
      </c>
      <c r="H208">
        <v>24</v>
      </c>
      <c r="I208">
        <v>61</v>
      </c>
      <c r="J208">
        <v>184</v>
      </c>
      <c r="K208">
        <v>99</v>
      </c>
      <c r="L208">
        <v>999</v>
      </c>
      <c r="M208">
        <v>9</v>
      </c>
      <c r="N208">
        <v>99</v>
      </c>
      <c r="O208">
        <v>9</v>
      </c>
      <c r="P208">
        <v>3</v>
      </c>
      <c r="Q208">
        <v>99999</v>
      </c>
      <c r="R208" s="276">
        <v>0</v>
      </c>
      <c r="S208" s="7">
        <v>45372.58079861111</v>
      </c>
      <c r="AG208" t="s">
        <v>234</v>
      </c>
      <c r="AH208">
        <v>2023</v>
      </c>
      <c r="AI208">
        <v>5345</v>
      </c>
      <c r="AJ208">
        <v>264</v>
      </c>
      <c r="AK208">
        <v>2</v>
      </c>
      <c r="AL208">
        <v>2</v>
      </c>
      <c r="AM208">
        <v>22</v>
      </c>
      <c r="AN208">
        <v>60</v>
      </c>
      <c r="AO208">
        <v>522</v>
      </c>
      <c r="AP208">
        <v>3</v>
      </c>
      <c r="AQ208">
        <v>18</v>
      </c>
      <c r="AR208">
        <v>9</v>
      </c>
      <c r="AS208">
        <v>99</v>
      </c>
      <c r="AT208">
        <v>9</v>
      </c>
      <c r="AU208">
        <v>3</v>
      </c>
      <c r="AV208">
        <v>99999</v>
      </c>
      <c r="AW208">
        <v>0</v>
      </c>
      <c r="AX208" s="7">
        <v>45372.583067129628</v>
      </c>
      <c r="AY208" s="7"/>
      <c r="BV208" t="str">
        <f t="shared" si="6"/>
        <v/>
      </c>
    </row>
    <row r="209" spans="1:74">
      <c r="A209">
        <v>207</v>
      </c>
      <c r="B209" t="s">
        <v>150</v>
      </c>
      <c r="C209">
        <v>2023</v>
      </c>
      <c r="D209">
        <v>5367</v>
      </c>
      <c r="E209">
        <v>217</v>
      </c>
      <c r="F209">
        <v>3</v>
      </c>
      <c r="G209">
        <v>99</v>
      </c>
      <c r="H209">
        <v>24</v>
      </c>
      <c r="I209">
        <v>79</v>
      </c>
      <c r="J209">
        <v>184</v>
      </c>
      <c r="K209">
        <v>99</v>
      </c>
      <c r="L209">
        <v>999</v>
      </c>
      <c r="M209">
        <v>9</v>
      </c>
      <c r="N209">
        <v>99</v>
      </c>
      <c r="O209">
        <v>9</v>
      </c>
      <c r="P209">
        <v>3</v>
      </c>
      <c r="Q209">
        <v>99999</v>
      </c>
      <c r="R209" s="276">
        <v>1398.23086531273</v>
      </c>
      <c r="S209" s="7">
        <v>45372.58079861111</v>
      </c>
      <c r="AG209" t="s">
        <v>234</v>
      </c>
      <c r="AH209">
        <v>2023</v>
      </c>
      <c r="AI209">
        <v>5345</v>
      </c>
      <c r="AJ209">
        <v>264</v>
      </c>
      <c r="AK209">
        <v>2</v>
      </c>
      <c r="AL209">
        <v>2</v>
      </c>
      <c r="AM209">
        <v>22</v>
      </c>
      <c r="AN209">
        <v>60</v>
      </c>
      <c r="AO209">
        <v>523</v>
      </c>
      <c r="AP209">
        <v>2</v>
      </c>
      <c r="AQ209">
        <v>30</v>
      </c>
      <c r="AR209">
        <v>9</v>
      </c>
      <c r="AS209">
        <v>99</v>
      </c>
      <c r="AT209">
        <v>9</v>
      </c>
      <c r="AU209">
        <v>3</v>
      </c>
      <c r="AV209">
        <v>99999</v>
      </c>
      <c r="AW209">
        <v>0</v>
      </c>
      <c r="AX209" s="7">
        <v>45372.583067129628</v>
      </c>
      <c r="AY209" s="7"/>
      <c r="BV209" t="str">
        <f t="shared" si="6"/>
        <v/>
      </c>
    </row>
    <row r="210" spans="1:74">
      <c r="A210">
        <v>208</v>
      </c>
      <c r="B210" t="s">
        <v>150</v>
      </c>
      <c r="C210">
        <v>2023</v>
      </c>
      <c r="D210">
        <v>5367</v>
      </c>
      <c r="E210">
        <v>217</v>
      </c>
      <c r="F210">
        <v>1</v>
      </c>
      <c r="G210">
        <v>1</v>
      </c>
      <c r="H210">
        <v>205</v>
      </c>
      <c r="I210">
        <v>350</v>
      </c>
      <c r="J210">
        <v>201</v>
      </c>
      <c r="K210">
        <v>4</v>
      </c>
      <c r="L210">
        <v>999</v>
      </c>
      <c r="M210">
        <v>9</v>
      </c>
      <c r="N210">
        <v>99</v>
      </c>
      <c r="O210">
        <v>9</v>
      </c>
      <c r="P210">
        <v>99</v>
      </c>
      <c r="Q210">
        <v>99999</v>
      </c>
      <c r="R210" s="276">
        <v>20475</v>
      </c>
      <c r="S210" s="7">
        <v>45372.58079861111</v>
      </c>
      <c r="AG210" t="s">
        <v>234</v>
      </c>
      <c r="AH210">
        <v>2023</v>
      </c>
      <c r="AI210">
        <v>5345</v>
      </c>
      <c r="AJ210">
        <v>264</v>
      </c>
      <c r="AK210">
        <v>2</v>
      </c>
      <c r="AL210">
        <v>2</v>
      </c>
      <c r="AM210">
        <v>22</v>
      </c>
      <c r="AN210">
        <v>60</v>
      </c>
      <c r="AO210">
        <v>524</v>
      </c>
      <c r="AP210">
        <v>1</v>
      </c>
      <c r="AQ210">
        <v>7</v>
      </c>
      <c r="AR210">
        <v>9</v>
      </c>
      <c r="AS210">
        <v>99</v>
      </c>
      <c r="AT210">
        <v>9</v>
      </c>
      <c r="AU210">
        <v>3</v>
      </c>
      <c r="AV210">
        <v>99999</v>
      </c>
      <c r="AW210">
        <v>0</v>
      </c>
      <c r="AX210" s="7">
        <v>45372.583067129628</v>
      </c>
      <c r="AY210" s="7"/>
      <c r="BV210" t="str">
        <f t="shared" si="6"/>
        <v/>
      </c>
    </row>
    <row r="211" spans="1:74">
      <c r="A211">
        <v>209</v>
      </c>
      <c r="B211" t="s">
        <v>150</v>
      </c>
      <c r="C211">
        <v>2023</v>
      </c>
      <c r="D211">
        <v>5367</v>
      </c>
      <c r="E211">
        <v>217</v>
      </c>
      <c r="F211">
        <v>2</v>
      </c>
      <c r="G211">
        <v>2</v>
      </c>
      <c r="H211">
        <v>22</v>
      </c>
      <c r="I211">
        <v>60</v>
      </c>
      <c r="J211">
        <v>220</v>
      </c>
      <c r="K211">
        <v>2</v>
      </c>
      <c r="L211">
        <v>9</v>
      </c>
      <c r="M211">
        <v>9</v>
      </c>
      <c r="N211">
        <v>99</v>
      </c>
      <c r="O211">
        <v>9</v>
      </c>
      <c r="P211">
        <v>3</v>
      </c>
      <c r="Q211">
        <v>99999</v>
      </c>
      <c r="R211" s="276">
        <v>0</v>
      </c>
      <c r="S211" s="7">
        <v>45372.58079861111</v>
      </c>
      <c r="AG211" t="s">
        <v>234</v>
      </c>
      <c r="AH211">
        <v>2023</v>
      </c>
      <c r="AI211">
        <v>5345</v>
      </c>
      <c r="AJ211">
        <v>264</v>
      </c>
      <c r="AK211">
        <v>2</v>
      </c>
      <c r="AL211">
        <v>2</v>
      </c>
      <c r="AM211">
        <v>22</v>
      </c>
      <c r="AN211">
        <v>60</v>
      </c>
      <c r="AO211">
        <v>524</v>
      </c>
      <c r="AP211">
        <v>2</v>
      </c>
      <c r="AQ211">
        <v>30</v>
      </c>
      <c r="AR211">
        <v>9</v>
      </c>
      <c r="AS211">
        <v>99</v>
      </c>
      <c r="AT211">
        <v>9</v>
      </c>
      <c r="AU211">
        <v>3</v>
      </c>
      <c r="AV211">
        <v>99999</v>
      </c>
      <c r="AW211">
        <v>0</v>
      </c>
      <c r="AX211" s="7">
        <v>45372.583067129628</v>
      </c>
      <c r="AY211" s="7"/>
      <c r="BV211" t="str">
        <f t="shared" si="6"/>
        <v/>
      </c>
    </row>
    <row r="212" spans="1:74">
      <c r="A212">
        <v>210</v>
      </c>
      <c r="B212" t="s">
        <v>150</v>
      </c>
      <c r="C212">
        <v>2023</v>
      </c>
      <c r="D212">
        <v>5367</v>
      </c>
      <c r="E212">
        <v>217</v>
      </c>
      <c r="F212">
        <v>2</v>
      </c>
      <c r="G212">
        <v>2</v>
      </c>
      <c r="H212">
        <v>22</v>
      </c>
      <c r="I212">
        <v>60</v>
      </c>
      <c r="J212">
        <v>220</v>
      </c>
      <c r="K212">
        <v>2</v>
      </c>
      <c r="L212">
        <v>8</v>
      </c>
      <c r="M212">
        <v>9</v>
      </c>
      <c r="N212">
        <v>99</v>
      </c>
      <c r="O212">
        <v>9</v>
      </c>
      <c r="P212">
        <v>3</v>
      </c>
      <c r="Q212">
        <v>99999</v>
      </c>
      <c r="R212" s="276">
        <v>153841.06691581101</v>
      </c>
      <c r="S212" s="7">
        <v>45372.58079861111</v>
      </c>
      <c r="AG212" t="s">
        <v>234</v>
      </c>
      <c r="AH212">
        <v>2023</v>
      </c>
      <c r="AI212">
        <v>5345</v>
      </c>
      <c r="AJ212">
        <v>264</v>
      </c>
      <c r="AK212">
        <v>2</v>
      </c>
      <c r="AL212">
        <v>2</v>
      </c>
      <c r="AM212">
        <v>22</v>
      </c>
      <c r="AN212">
        <v>60</v>
      </c>
      <c r="AO212">
        <v>525</v>
      </c>
      <c r="AP212">
        <v>2</v>
      </c>
      <c r="AQ212">
        <v>30</v>
      </c>
      <c r="AR212">
        <v>9</v>
      </c>
      <c r="AS212">
        <v>99</v>
      </c>
      <c r="AT212">
        <v>9</v>
      </c>
      <c r="AU212">
        <v>3</v>
      </c>
      <c r="AV212">
        <v>99999</v>
      </c>
      <c r="AW212">
        <v>-21.309481847574499</v>
      </c>
      <c r="AX212" s="7">
        <v>45372.583067129628</v>
      </c>
      <c r="AY212" s="7"/>
      <c r="BV212" t="str">
        <f t="shared" si="6"/>
        <v/>
      </c>
    </row>
    <row r="213" spans="1:74">
      <c r="A213">
        <v>211</v>
      </c>
      <c r="B213" t="s">
        <v>150</v>
      </c>
      <c r="C213">
        <v>2023</v>
      </c>
      <c r="D213">
        <v>5367</v>
      </c>
      <c r="E213">
        <v>217</v>
      </c>
      <c r="F213">
        <v>2</v>
      </c>
      <c r="G213">
        <v>2</v>
      </c>
      <c r="H213">
        <v>22</v>
      </c>
      <c r="I213">
        <v>60</v>
      </c>
      <c r="J213">
        <v>220</v>
      </c>
      <c r="K213">
        <v>2</v>
      </c>
      <c r="L213">
        <v>10</v>
      </c>
      <c r="M213">
        <v>9</v>
      </c>
      <c r="N213">
        <v>99</v>
      </c>
      <c r="O213">
        <v>9</v>
      </c>
      <c r="P213">
        <v>3</v>
      </c>
      <c r="Q213">
        <v>99999</v>
      </c>
      <c r="R213" s="276">
        <v>3951.1944316098602</v>
      </c>
      <c r="S213" s="7">
        <v>45372.58079861111</v>
      </c>
      <c r="AG213" t="s">
        <v>234</v>
      </c>
      <c r="AH213">
        <v>2023</v>
      </c>
      <c r="AI213">
        <v>5345</v>
      </c>
      <c r="AJ213">
        <v>264</v>
      </c>
      <c r="AK213">
        <v>2</v>
      </c>
      <c r="AL213">
        <v>2</v>
      </c>
      <c r="AM213">
        <v>22</v>
      </c>
      <c r="AN213">
        <v>60</v>
      </c>
      <c r="AO213">
        <v>526</v>
      </c>
      <c r="AP213">
        <v>1</v>
      </c>
      <c r="AQ213">
        <v>7</v>
      </c>
      <c r="AR213">
        <v>9</v>
      </c>
      <c r="AS213">
        <v>99</v>
      </c>
      <c r="AT213">
        <v>9</v>
      </c>
      <c r="AU213">
        <v>3</v>
      </c>
      <c r="AV213">
        <v>99999</v>
      </c>
      <c r="AW213">
        <v>115979.164865983</v>
      </c>
      <c r="AX213" s="7">
        <v>45372.583067129628</v>
      </c>
      <c r="AY213" s="7"/>
      <c r="BV213" t="str">
        <f t="shared" si="6"/>
        <v/>
      </c>
    </row>
    <row r="214" spans="1:74">
      <c r="A214">
        <v>212</v>
      </c>
      <c r="B214" t="s">
        <v>150</v>
      </c>
      <c r="C214">
        <v>2023</v>
      </c>
      <c r="D214">
        <v>5367</v>
      </c>
      <c r="E214">
        <v>217</v>
      </c>
      <c r="F214">
        <v>2</v>
      </c>
      <c r="G214">
        <v>2</v>
      </c>
      <c r="H214">
        <v>22</v>
      </c>
      <c r="I214">
        <v>60</v>
      </c>
      <c r="J214">
        <v>220</v>
      </c>
      <c r="K214">
        <v>2</v>
      </c>
      <c r="L214">
        <v>24</v>
      </c>
      <c r="M214">
        <v>9</v>
      </c>
      <c r="N214">
        <v>99</v>
      </c>
      <c r="O214">
        <v>9</v>
      </c>
      <c r="P214">
        <v>3</v>
      </c>
      <c r="Q214">
        <v>99999</v>
      </c>
      <c r="R214" s="276">
        <v>24162.314687005099</v>
      </c>
      <c r="S214" s="7">
        <v>45372.58079861111</v>
      </c>
      <c r="AG214" t="s">
        <v>234</v>
      </c>
      <c r="AH214">
        <v>2023</v>
      </c>
      <c r="AI214">
        <v>5345</v>
      </c>
      <c r="AJ214">
        <v>264</v>
      </c>
      <c r="AK214">
        <v>2</v>
      </c>
      <c r="AL214">
        <v>2</v>
      </c>
      <c r="AM214">
        <v>22</v>
      </c>
      <c r="AN214">
        <v>60</v>
      </c>
      <c r="AO214">
        <v>526</v>
      </c>
      <c r="AP214">
        <v>2</v>
      </c>
      <c r="AQ214">
        <v>11</v>
      </c>
      <c r="AR214">
        <v>9</v>
      </c>
      <c r="AS214">
        <v>99</v>
      </c>
      <c r="AT214">
        <v>9</v>
      </c>
      <c r="AU214">
        <v>3</v>
      </c>
      <c r="AV214">
        <v>99999</v>
      </c>
      <c r="AW214">
        <v>128721.530575806</v>
      </c>
      <c r="AX214" s="7">
        <v>45372.583067129628</v>
      </c>
      <c r="AY214" s="7"/>
      <c r="BV214" t="str">
        <f t="shared" si="6"/>
        <v/>
      </c>
    </row>
    <row r="215" spans="1:74">
      <c r="A215">
        <v>213</v>
      </c>
      <c r="B215" t="s">
        <v>150</v>
      </c>
      <c r="C215">
        <v>2023</v>
      </c>
      <c r="D215">
        <v>5367</v>
      </c>
      <c r="E215">
        <v>217</v>
      </c>
      <c r="F215">
        <v>2</v>
      </c>
      <c r="G215">
        <v>2</v>
      </c>
      <c r="H215">
        <v>22</v>
      </c>
      <c r="I215">
        <v>62</v>
      </c>
      <c r="J215">
        <v>220</v>
      </c>
      <c r="K215">
        <v>2</v>
      </c>
      <c r="L215">
        <v>11</v>
      </c>
      <c r="M215">
        <v>9</v>
      </c>
      <c r="N215">
        <v>99</v>
      </c>
      <c r="O215">
        <v>9</v>
      </c>
      <c r="P215">
        <v>3</v>
      </c>
      <c r="Q215">
        <v>99999</v>
      </c>
      <c r="R215" s="276">
        <v>-833298.20489136199</v>
      </c>
      <c r="S215" s="7">
        <v>45372.58079861111</v>
      </c>
      <c r="AG215" t="s">
        <v>234</v>
      </c>
      <c r="AH215">
        <v>2023</v>
      </c>
      <c r="AI215">
        <v>5345</v>
      </c>
      <c r="AJ215">
        <v>264</v>
      </c>
      <c r="AK215">
        <v>2</v>
      </c>
      <c r="AL215">
        <v>2</v>
      </c>
      <c r="AM215">
        <v>22</v>
      </c>
      <c r="AN215">
        <v>60</v>
      </c>
      <c r="AO215">
        <v>526</v>
      </c>
      <c r="AP215">
        <v>2</v>
      </c>
      <c r="AQ215">
        <v>9</v>
      </c>
      <c r="AR215">
        <v>9</v>
      </c>
      <c r="AS215">
        <v>99</v>
      </c>
      <c r="AT215">
        <v>9</v>
      </c>
      <c r="AU215">
        <v>3</v>
      </c>
      <c r="AV215">
        <v>99999</v>
      </c>
      <c r="AW215">
        <v>0</v>
      </c>
      <c r="AX215" s="7">
        <v>45372.583067129628</v>
      </c>
      <c r="AY215" s="7"/>
      <c r="BV215" t="str">
        <f t="shared" si="6"/>
        <v/>
      </c>
    </row>
    <row r="216" spans="1:74">
      <c r="A216">
        <v>214</v>
      </c>
      <c r="B216" t="s">
        <v>150</v>
      </c>
      <c r="C216">
        <v>2023</v>
      </c>
      <c r="D216">
        <v>5367</v>
      </c>
      <c r="E216">
        <v>217</v>
      </c>
      <c r="F216">
        <v>2</v>
      </c>
      <c r="G216">
        <v>2</v>
      </c>
      <c r="H216">
        <v>22</v>
      </c>
      <c r="I216">
        <v>62</v>
      </c>
      <c r="J216">
        <v>220</v>
      </c>
      <c r="K216">
        <v>2</v>
      </c>
      <c r="L216">
        <v>9</v>
      </c>
      <c r="M216">
        <v>9</v>
      </c>
      <c r="N216">
        <v>99</v>
      </c>
      <c r="O216">
        <v>9</v>
      </c>
      <c r="P216">
        <v>3</v>
      </c>
      <c r="Q216">
        <v>99999</v>
      </c>
      <c r="R216" s="276">
        <v>0</v>
      </c>
      <c r="S216" s="7">
        <v>45372.58079861111</v>
      </c>
      <c r="AG216" t="s">
        <v>234</v>
      </c>
      <c r="AH216">
        <v>2023</v>
      </c>
      <c r="AI216">
        <v>5345</v>
      </c>
      <c r="AJ216">
        <v>264</v>
      </c>
      <c r="AK216">
        <v>2</v>
      </c>
      <c r="AL216">
        <v>2</v>
      </c>
      <c r="AM216">
        <v>22</v>
      </c>
      <c r="AN216">
        <v>60</v>
      </c>
      <c r="AO216">
        <v>526</v>
      </c>
      <c r="AP216">
        <v>2</v>
      </c>
      <c r="AQ216">
        <v>8</v>
      </c>
      <c r="AR216">
        <v>9</v>
      </c>
      <c r="AS216">
        <v>99</v>
      </c>
      <c r="AT216">
        <v>9</v>
      </c>
      <c r="AU216">
        <v>3</v>
      </c>
      <c r="AV216">
        <v>99999</v>
      </c>
      <c r="AW216">
        <v>20373.403104916299</v>
      </c>
      <c r="AX216" s="7">
        <v>45372.583067129628</v>
      </c>
      <c r="AY216" s="7"/>
      <c r="BV216" t="str">
        <f t="shared" si="6"/>
        <v/>
      </c>
    </row>
    <row r="217" spans="1:74">
      <c r="A217">
        <v>215</v>
      </c>
      <c r="B217" t="s">
        <v>150</v>
      </c>
      <c r="C217">
        <v>2023</v>
      </c>
      <c r="D217">
        <v>5367</v>
      </c>
      <c r="E217">
        <v>217</v>
      </c>
      <c r="F217">
        <v>2</v>
      </c>
      <c r="G217">
        <v>2</v>
      </c>
      <c r="H217">
        <v>22</v>
      </c>
      <c r="I217">
        <v>62</v>
      </c>
      <c r="J217">
        <v>220</v>
      </c>
      <c r="K217">
        <v>2</v>
      </c>
      <c r="L217">
        <v>8</v>
      </c>
      <c r="M217">
        <v>9</v>
      </c>
      <c r="N217">
        <v>99</v>
      </c>
      <c r="O217">
        <v>9</v>
      </c>
      <c r="P217">
        <v>3</v>
      </c>
      <c r="Q217">
        <v>99999</v>
      </c>
      <c r="R217" s="276">
        <v>-136266.87963003901</v>
      </c>
      <c r="S217" s="7">
        <v>45372.58079861111</v>
      </c>
      <c r="AG217" t="s">
        <v>234</v>
      </c>
      <c r="AH217">
        <v>2023</v>
      </c>
      <c r="AI217">
        <v>5345</v>
      </c>
      <c r="AJ217">
        <v>264</v>
      </c>
      <c r="AK217">
        <v>2</v>
      </c>
      <c r="AL217">
        <v>2</v>
      </c>
      <c r="AM217">
        <v>22</v>
      </c>
      <c r="AN217">
        <v>60</v>
      </c>
      <c r="AO217">
        <v>526</v>
      </c>
      <c r="AP217">
        <v>2</v>
      </c>
      <c r="AQ217">
        <v>10</v>
      </c>
      <c r="AR217">
        <v>9</v>
      </c>
      <c r="AS217">
        <v>99</v>
      </c>
      <c r="AT217">
        <v>9</v>
      </c>
      <c r="AU217">
        <v>3</v>
      </c>
      <c r="AV217">
        <v>99999</v>
      </c>
      <c r="AW217">
        <v>0</v>
      </c>
      <c r="AX217" s="7">
        <v>45372.583067129628</v>
      </c>
      <c r="AY217" s="7"/>
      <c r="BV217" t="str">
        <f t="shared" si="6"/>
        <v/>
      </c>
    </row>
    <row r="218" spans="1:74">
      <c r="A218">
        <v>216</v>
      </c>
      <c r="B218" t="s">
        <v>150</v>
      </c>
      <c r="C218">
        <v>2023</v>
      </c>
      <c r="D218">
        <v>5367</v>
      </c>
      <c r="E218">
        <v>217</v>
      </c>
      <c r="F218">
        <v>2</v>
      </c>
      <c r="G218">
        <v>2</v>
      </c>
      <c r="H218">
        <v>22</v>
      </c>
      <c r="I218">
        <v>62</v>
      </c>
      <c r="J218">
        <v>220</v>
      </c>
      <c r="K218">
        <v>2</v>
      </c>
      <c r="L218">
        <v>10</v>
      </c>
      <c r="M218">
        <v>9</v>
      </c>
      <c r="N218">
        <v>99</v>
      </c>
      <c r="O218">
        <v>9</v>
      </c>
      <c r="P218">
        <v>3</v>
      </c>
      <c r="Q218">
        <v>99999</v>
      </c>
      <c r="R218" s="276">
        <v>-3499.8258059514701</v>
      </c>
      <c r="S218" s="7">
        <v>45372.58079861111</v>
      </c>
      <c r="AG218" t="s">
        <v>234</v>
      </c>
      <c r="AH218">
        <v>2023</v>
      </c>
      <c r="AI218">
        <v>5345</v>
      </c>
      <c r="AJ218">
        <v>264</v>
      </c>
      <c r="AK218">
        <v>2</v>
      </c>
      <c r="AL218">
        <v>2</v>
      </c>
      <c r="AM218">
        <v>22</v>
      </c>
      <c r="AN218">
        <v>60</v>
      </c>
      <c r="AO218">
        <v>526</v>
      </c>
      <c r="AP218">
        <v>2</v>
      </c>
      <c r="AQ218">
        <v>24</v>
      </c>
      <c r="AR218">
        <v>9</v>
      </c>
      <c r="AS218">
        <v>99</v>
      </c>
      <c r="AT218">
        <v>9</v>
      </c>
      <c r="AU218">
        <v>3</v>
      </c>
      <c r="AV218">
        <v>99999</v>
      </c>
      <c r="AW218">
        <v>0</v>
      </c>
      <c r="AX218" s="7">
        <v>45372.583067129628</v>
      </c>
      <c r="AY218" s="7"/>
      <c r="BV218" t="str">
        <f t="shared" si="6"/>
        <v/>
      </c>
    </row>
    <row r="219" spans="1:74">
      <c r="A219">
        <v>217</v>
      </c>
      <c r="B219" t="s">
        <v>150</v>
      </c>
      <c r="C219">
        <v>2023</v>
      </c>
      <c r="D219">
        <v>5367</v>
      </c>
      <c r="E219">
        <v>217</v>
      </c>
      <c r="F219">
        <v>2</v>
      </c>
      <c r="G219">
        <v>2</v>
      </c>
      <c r="H219">
        <v>22</v>
      </c>
      <c r="I219">
        <v>62</v>
      </c>
      <c r="J219">
        <v>220</v>
      </c>
      <c r="K219">
        <v>2</v>
      </c>
      <c r="L219">
        <v>24</v>
      </c>
      <c r="M219">
        <v>9</v>
      </c>
      <c r="N219">
        <v>99</v>
      </c>
      <c r="O219">
        <v>9</v>
      </c>
      <c r="P219">
        <v>3</v>
      </c>
      <c r="Q219">
        <v>99999</v>
      </c>
      <c r="R219" s="276">
        <v>-21402.108637475001</v>
      </c>
      <c r="S219" s="7">
        <v>45372.58079861111</v>
      </c>
      <c r="AG219" t="s">
        <v>234</v>
      </c>
      <c r="AH219">
        <v>2023</v>
      </c>
      <c r="AI219">
        <v>5345</v>
      </c>
      <c r="AJ219">
        <v>264</v>
      </c>
      <c r="AK219">
        <v>2</v>
      </c>
      <c r="AL219">
        <v>2</v>
      </c>
      <c r="AM219">
        <v>22</v>
      </c>
      <c r="AN219">
        <v>60</v>
      </c>
      <c r="AO219">
        <v>510</v>
      </c>
      <c r="AP219">
        <v>4</v>
      </c>
      <c r="AQ219">
        <v>999</v>
      </c>
      <c r="AR219">
        <v>9</v>
      </c>
      <c r="AS219">
        <v>99</v>
      </c>
      <c r="AT219">
        <v>9</v>
      </c>
      <c r="AU219">
        <v>3</v>
      </c>
      <c r="AV219">
        <v>99999</v>
      </c>
      <c r="AW219">
        <v>0</v>
      </c>
      <c r="AX219" s="7">
        <v>45372.583067129628</v>
      </c>
      <c r="AY219" s="7"/>
      <c r="BV219" t="str">
        <f t="shared" si="6"/>
        <v/>
      </c>
    </row>
    <row r="220" spans="1:74">
      <c r="A220">
        <v>218</v>
      </c>
      <c r="B220" t="s">
        <v>150</v>
      </c>
      <c r="C220">
        <v>2023</v>
      </c>
      <c r="D220">
        <v>5367</v>
      </c>
      <c r="E220">
        <v>217</v>
      </c>
      <c r="F220">
        <v>2</v>
      </c>
      <c r="G220">
        <v>2</v>
      </c>
      <c r="H220">
        <v>22</v>
      </c>
      <c r="I220">
        <v>60</v>
      </c>
      <c r="J220">
        <v>220</v>
      </c>
      <c r="K220">
        <v>2</v>
      </c>
      <c r="L220">
        <v>11</v>
      </c>
      <c r="M220">
        <v>9</v>
      </c>
      <c r="N220">
        <v>99</v>
      </c>
      <c r="O220">
        <v>9</v>
      </c>
      <c r="P220">
        <v>3</v>
      </c>
      <c r="Q220">
        <v>99999</v>
      </c>
      <c r="R220" s="276">
        <v>940767.743765502</v>
      </c>
      <c r="S220" s="7">
        <v>45372.58079861111</v>
      </c>
      <c r="AG220" t="s">
        <v>277</v>
      </c>
      <c r="AH220">
        <v>2023</v>
      </c>
      <c r="AI220">
        <v>5346</v>
      </c>
      <c r="AJ220">
        <v>263</v>
      </c>
      <c r="AK220">
        <v>2</v>
      </c>
      <c r="AL220">
        <v>2</v>
      </c>
      <c r="AM220">
        <v>999</v>
      </c>
      <c r="AN220">
        <v>999999</v>
      </c>
      <c r="AO220">
        <v>999</v>
      </c>
      <c r="AP220">
        <v>99</v>
      </c>
      <c r="AQ220">
        <v>999</v>
      </c>
      <c r="AR220">
        <v>9</v>
      </c>
      <c r="AS220">
        <v>99</v>
      </c>
      <c r="AT220">
        <v>9</v>
      </c>
      <c r="AU220">
        <v>3</v>
      </c>
      <c r="AV220">
        <v>99999</v>
      </c>
      <c r="AW220">
        <v>0</v>
      </c>
      <c r="AX220" s="7">
        <v>45383.489039351851</v>
      </c>
      <c r="AY220" s="7"/>
      <c r="BV220" t="str">
        <f t="shared" si="6"/>
        <v/>
      </c>
    </row>
    <row r="221" spans="1:74">
      <c r="A221">
        <v>219</v>
      </c>
      <c r="B221" t="s">
        <v>150</v>
      </c>
      <c r="C221">
        <v>2023</v>
      </c>
      <c r="D221">
        <v>5367</v>
      </c>
      <c r="E221">
        <v>217</v>
      </c>
      <c r="F221">
        <v>2</v>
      </c>
      <c r="G221">
        <v>2</v>
      </c>
      <c r="H221">
        <v>22</v>
      </c>
      <c r="I221">
        <v>60</v>
      </c>
      <c r="J221">
        <v>235</v>
      </c>
      <c r="K221">
        <v>4</v>
      </c>
      <c r="L221">
        <v>999</v>
      </c>
      <c r="M221">
        <v>9</v>
      </c>
      <c r="N221">
        <v>99</v>
      </c>
      <c r="O221">
        <v>9</v>
      </c>
      <c r="P221">
        <v>3</v>
      </c>
      <c r="Q221">
        <v>99999</v>
      </c>
      <c r="R221" s="276">
        <v>0</v>
      </c>
      <c r="S221" s="7">
        <v>45372.58079861111</v>
      </c>
      <c r="AG221" t="s">
        <v>277</v>
      </c>
      <c r="AH221">
        <v>2023</v>
      </c>
      <c r="AI221">
        <v>5346</v>
      </c>
      <c r="AJ221">
        <v>263</v>
      </c>
      <c r="AK221">
        <v>2</v>
      </c>
      <c r="AL221">
        <v>2</v>
      </c>
      <c r="AM221">
        <v>999</v>
      </c>
      <c r="AN221">
        <v>999999</v>
      </c>
      <c r="AO221">
        <v>999</v>
      </c>
      <c r="AP221">
        <v>99</v>
      </c>
      <c r="AQ221">
        <v>999</v>
      </c>
      <c r="AR221">
        <v>9</v>
      </c>
      <c r="AS221">
        <v>99</v>
      </c>
      <c r="AT221">
        <v>9</v>
      </c>
      <c r="AU221">
        <v>3</v>
      </c>
      <c r="AV221">
        <v>99999</v>
      </c>
      <c r="AW221">
        <v>0</v>
      </c>
      <c r="AX221" s="7">
        <v>45383.489039351851</v>
      </c>
      <c r="AY221" s="7"/>
      <c r="BV221" t="str">
        <f t="shared" si="6"/>
        <v/>
      </c>
    </row>
    <row r="222" spans="1:74">
      <c r="A222">
        <v>220</v>
      </c>
      <c r="B222" t="s">
        <v>150</v>
      </c>
      <c r="C222">
        <v>2023</v>
      </c>
      <c r="D222">
        <v>5367</v>
      </c>
      <c r="E222">
        <v>217</v>
      </c>
      <c r="F222">
        <v>2</v>
      </c>
      <c r="G222">
        <v>2</v>
      </c>
      <c r="H222">
        <v>22</v>
      </c>
      <c r="I222">
        <v>60</v>
      </c>
      <c r="J222">
        <v>242</v>
      </c>
      <c r="K222">
        <v>4</v>
      </c>
      <c r="L222">
        <v>999</v>
      </c>
      <c r="M222">
        <v>9</v>
      </c>
      <c r="N222">
        <v>99</v>
      </c>
      <c r="O222">
        <v>9</v>
      </c>
      <c r="P222">
        <v>3</v>
      </c>
      <c r="Q222">
        <v>99999</v>
      </c>
      <c r="R222" s="276">
        <v>-13396235.4811807</v>
      </c>
      <c r="S222" s="7">
        <v>45372.58079861111</v>
      </c>
      <c r="AG222" t="s">
        <v>277</v>
      </c>
      <c r="AH222">
        <v>2023</v>
      </c>
      <c r="AI222">
        <v>5346</v>
      </c>
      <c r="AJ222">
        <v>263</v>
      </c>
      <c r="AK222">
        <v>2</v>
      </c>
      <c r="AL222">
        <v>2</v>
      </c>
      <c r="AM222">
        <v>22</v>
      </c>
      <c r="AN222">
        <v>60</v>
      </c>
      <c r="AO222">
        <v>999</v>
      </c>
      <c r="AP222">
        <v>2</v>
      </c>
      <c r="AQ222">
        <v>9</v>
      </c>
      <c r="AR222">
        <v>9</v>
      </c>
      <c r="AS222">
        <v>99</v>
      </c>
      <c r="AT222">
        <v>9</v>
      </c>
      <c r="AU222">
        <v>3</v>
      </c>
      <c r="AV222">
        <v>99999</v>
      </c>
      <c r="AW222">
        <v>0</v>
      </c>
      <c r="AX222" s="7">
        <v>45383.489039351851</v>
      </c>
      <c r="AY222" s="7"/>
      <c r="BV222" t="str">
        <f t="shared" si="6"/>
        <v/>
      </c>
    </row>
    <row r="223" spans="1:74">
      <c r="A223">
        <v>221</v>
      </c>
      <c r="B223" t="s">
        <v>150</v>
      </c>
      <c r="C223">
        <v>2023</v>
      </c>
      <c r="D223">
        <v>5367</v>
      </c>
      <c r="E223">
        <v>217</v>
      </c>
      <c r="F223">
        <v>2</v>
      </c>
      <c r="G223">
        <v>2</v>
      </c>
      <c r="H223">
        <v>22</v>
      </c>
      <c r="I223">
        <v>60</v>
      </c>
      <c r="J223">
        <v>242</v>
      </c>
      <c r="K223">
        <v>4</v>
      </c>
      <c r="L223">
        <v>999</v>
      </c>
      <c r="M223">
        <v>9</v>
      </c>
      <c r="N223">
        <v>99</v>
      </c>
      <c r="O223">
        <v>9</v>
      </c>
      <c r="P223">
        <v>3</v>
      </c>
      <c r="Q223">
        <v>99999</v>
      </c>
      <c r="R223" s="276">
        <v>0</v>
      </c>
      <c r="S223" s="7">
        <v>45372.58079861111</v>
      </c>
      <c r="AG223" t="s">
        <v>277</v>
      </c>
      <c r="AH223">
        <v>2023</v>
      </c>
      <c r="AI223">
        <v>5346</v>
      </c>
      <c r="AJ223">
        <v>263</v>
      </c>
      <c r="AK223">
        <v>2</v>
      </c>
      <c r="AL223">
        <v>2</v>
      </c>
      <c r="AM223">
        <v>22</v>
      </c>
      <c r="AN223">
        <v>60</v>
      </c>
      <c r="AO223">
        <v>999</v>
      </c>
      <c r="AP223">
        <v>2</v>
      </c>
      <c r="AQ223">
        <v>8</v>
      </c>
      <c r="AR223">
        <v>9</v>
      </c>
      <c r="AS223">
        <v>99</v>
      </c>
      <c r="AT223">
        <v>9</v>
      </c>
      <c r="AU223">
        <v>3</v>
      </c>
      <c r="AV223">
        <v>99999</v>
      </c>
      <c r="AW223">
        <v>0</v>
      </c>
      <c r="AX223" s="7">
        <v>45383.489039351851</v>
      </c>
      <c r="AY223" s="7"/>
      <c r="BV223" t="str">
        <f t="shared" si="6"/>
        <v/>
      </c>
    </row>
    <row r="224" spans="1:74">
      <c r="A224">
        <v>222</v>
      </c>
      <c r="B224" t="s">
        <v>150</v>
      </c>
      <c r="C224">
        <v>2023</v>
      </c>
      <c r="D224">
        <v>5367</v>
      </c>
      <c r="E224">
        <v>217</v>
      </c>
      <c r="F224">
        <v>3</v>
      </c>
      <c r="G224">
        <v>99</v>
      </c>
      <c r="H224">
        <v>24</v>
      </c>
      <c r="I224">
        <v>63</v>
      </c>
      <c r="J224">
        <v>198</v>
      </c>
      <c r="K224">
        <v>99</v>
      </c>
      <c r="L224">
        <v>999</v>
      </c>
      <c r="M224">
        <v>9</v>
      </c>
      <c r="N224">
        <v>99</v>
      </c>
      <c r="O224">
        <v>9</v>
      </c>
      <c r="P224">
        <v>3</v>
      </c>
      <c r="Q224">
        <v>99999</v>
      </c>
      <c r="R224" s="276">
        <v>136517.878364387</v>
      </c>
      <c r="S224" s="7">
        <v>45372.58079861111</v>
      </c>
      <c r="AG224" t="s">
        <v>277</v>
      </c>
      <c r="AH224">
        <v>2023</v>
      </c>
      <c r="AI224">
        <v>5346</v>
      </c>
      <c r="AJ224">
        <v>263</v>
      </c>
      <c r="AK224">
        <v>2</v>
      </c>
      <c r="AL224">
        <v>2</v>
      </c>
      <c r="AM224">
        <v>22</v>
      </c>
      <c r="AN224">
        <v>60</v>
      </c>
      <c r="AO224">
        <v>999</v>
      </c>
      <c r="AP224">
        <v>2</v>
      </c>
      <c r="AQ224">
        <v>10</v>
      </c>
      <c r="AR224">
        <v>9</v>
      </c>
      <c r="AS224">
        <v>99</v>
      </c>
      <c r="AT224">
        <v>9</v>
      </c>
      <c r="AU224">
        <v>3</v>
      </c>
      <c r="AV224">
        <v>99999</v>
      </c>
      <c r="AW224">
        <v>0</v>
      </c>
      <c r="AX224" s="7">
        <v>45383.489039351851</v>
      </c>
      <c r="AY224" s="7"/>
      <c r="BV224" t="str">
        <f t="shared" si="6"/>
        <v/>
      </c>
    </row>
    <row r="225" spans="1:74">
      <c r="A225">
        <v>223</v>
      </c>
      <c r="B225" t="s">
        <v>150</v>
      </c>
      <c r="C225">
        <v>2023</v>
      </c>
      <c r="D225">
        <v>5367</v>
      </c>
      <c r="E225">
        <v>217</v>
      </c>
      <c r="F225">
        <v>3</v>
      </c>
      <c r="G225">
        <v>99</v>
      </c>
      <c r="H225">
        <v>24</v>
      </c>
      <c r="I225">
        <v>61</v>
      </c>
      <c r="J225">
        <v>198</v>
      </c>
      <c r="K225">
        <v>99</v>
      </c>
      <c r="L225">
        <v>999</v>
      </c>
      <c r="M225">
        <v>9</v>
      </c>
      <c r="N225">
        <v>99</v>
      </c>
      <c r="O225">
        <v>9</v>
      </c>
      <c r="P225">
        <v>3</v>
      </c>
      <c r="Q225">
        <v>99999</v>
      </c>
      <c r="R225" s="276">
        <v>81197.484339027404</v>
      </c>
      <c r="S225" s="7">
        <v>45372.58079861111</v>
      </c>
      <c r="AG225" t="s">
        <v>277</v>
      </c>
      <c r="AH225">
        <v>2023</v>
      </c>
      <c r="AI225">
        <v>5346</v>
      </c>
      <c r="AJ225">
        <v>263</v>
      </c>
      <c r="AK225">
        <v>2</v>
      </c>
      <c r="AL225">
        <v>2</v>
      </c>
      <c r="AM225">
        <v>22</v>
      </c>
      <c r="AN225">
        <v>60</v>
      </c>
      <c r="AO225">
        <v>999</v>
      </c>
      <c r="AP225">
        <v>2</v>
      </c>
      <c r="AQ225">
        <v>24</v>
      </c>
      <c r="AR225">
        <v>9</v>
      </c>
      <c r="AS225">
        <v>99</v>
      </c>
      <c r="AT225">
        <v>9</v>
      </c>
      <c r="AU225">
        <v>3</v>
      </c>
      <c r="AV225">
        <v>99999</v>
      </c>
      <c r="AW225">
        <v>0</v>
      </c>
      <c r="AX225" s="7">
        <v>45383.489039351851</v>
      </c>
      <c r="AY225" s="7"/>
      <c r="BV225" t="str">
        <f t="shared" si="6"/>
        <v/>
      </c>
    </row>
    <row r="226" spans="1:74">
      <c r="A226">
        <v>224</v>
      </c>
      <c r="B226" t="s">
        <v>150</v>
      </c>
      <c r="C226">
        <v>2023</v>
      </c>
      <c r="D226">
        <v>5367</v>
      </c>
      <c r="E226">
        <v>217</v>
      </c>
      <c r="F226">
        <v>3</v>
      </c>
      <c r="G226">
        <v>99</v>
      </c>
      <c r="H226">
        <v>24</v>
      </c>
      <c r="I226">
        <v>79</v>
      </c>
      <c r="J226">
        <v>198</v>
      </c>
      <c r="K226">
        <v>99</v>
      </c>
      <c r="L226">
        <v>999</v>
      </c>
      <c r="M226">
        <v>9</v>
      </c>
      <c r="N226">
        <v>99</v>
      </c>
      <c r="O226">
        <v>9</v>
      </c>
      <c r="P226">
        <v>3</v>
      </c>
      <c r="Q226">
        <v>99999</v>
      </c>
      <c r="R226" s="276">
        <v>217715.36270341399</v>
      </c>
      <c r="S226" s="7">
        <v>45372.58079861111</v>
      </c>
      <c r="AG226" t="s">
        <v>277</v>
      </c>
      <c r="AH226">
        <v>2023</v>
      </c>
      <c r="AI226">
        <v>5346</v>
      </c>
      <c r="AJ226">
        <v>263</v>
      </c>
      <c r="AK226">
        <v>2</v>
      </c>
      <c r="AL226">
        <v>2</v>
      </c>
      <c r="AM226">
        <v>999</v>
      </c>
      <c r="AN226">
        <v>999999</v>
      </c>
      <c r="AO226">
        <v>999</v>
      </c>
      <c r="AP226">
        <v>99</v>
      </c>
      <c r="AQ226">
        <v>999</v>
      </c>
      <c r="AR226">
        <v>9</v>
      </c>
      <c r="AS226">
        <v>99</v>
      </c>
      <c r="AT226">
        <v>9</v>
      </c>
      <c r="AU226">
        <v>3</v>
      </c>
      <c r="AV226">
        <v>99999</v>
      </c>
      <c r="AW226">
        <v>0</v>
      </c>
      <c r="AX226" s="7">
        <v>45383.489039351851</v>
      </c>
      <c r="AY226" s="7"/>
      <c r="BV226" t="str">
        <f t="shared" si="6"/>
        <v/>
      </c>
    </row>
    <row r="227" spans="1:74">
      <c r="A227">
        <v>225</v>
      </c>
      <c r="B227" t="s">
        <v>150</v>
      </c>
      <c r="C227">
        <v>2023</v>
      </c>
      <c r="D227">
        <v>5367</v>
      </c>
      <c r="E227">
        <v>217</v>
      </c>
      <c r="F227">
        <v>2</v>
      </c>
      <c r="G227">
        <v>2</v>
      </c>
      <c r="H227">
        <v>22</v>
      </c>
      <c r="I227">
        <v>60</v>
      </c>
      <c r="J227">
        <v>522</v>
      </c>
      <c r="K227">
        <v>3</v>
      </c>
      <c r="L227">
        <v>15</v>
      </c>
      <c r="M227">
        <v>9</v>
      </c>
      <c r="N227">
        <v>99</v>
      </c>
      <c r="O227">
        <v>9</v>
      </c>
      <c r="P227">
        <v>3</v>
      </c>
      <c r="Q227">
        <v>99999</v>
      </c>
      <c r="R227" s="276">
        <v>0</v>
      </c>
      <c r="S227" s="7">
        <v>45372.58079861111</v>
      </c>
      <c r="AG227" t="s">
        <v>277</v>
      </c>
      <c r="AH227">
        <v>2023</v>
      </c>
      <c r="AI227">
        <v>5346</v>
      </c>
      <c r="AJ227">
        <v>263</v>
      </c>
      <c r="AK227">
        <v>2</v>
      </c>
      <c r="AL227">
        <v>2</v>
      </c>
      <c r="AM227">
        <v>999</v>
      </c>
      <c r="AN227">
        <v>999999</v>
      </c>
      <c r="AO227">
        <v>999</v>
      </c>
      <c r="AP227">
        <v>99</v>
      </c>
      <c r="AQ227">
        <v>999</v>
      </c>
      <c r="AR227">
        <v>9</v>
      </c>
      <c r="AS227">
        <v>99</v>
      </c>
      <c r="AT227">
        <v>9</v>
      </c>
      <c r="AU227">
        <v>3</v>
      </c>
      <c r="AV227">
        <v>99999</v>
      </c>
      <c r="AW227">
        <v>0</v>
      </c>
      <c r="AX227" s="7">
        <v>45383.489039351851</v>
      </c>
      <c r="AY227" s="7"/>
      <c r="BV227" t="str">
        <f t="shared" si="6"/>
        <v/>
      </c>
    </row>
    <row r="228" spans="1:74">
      <c r="A228">
        <v>226</v>
      </c>
      <c r="B228" t="s">
        <v>150</v>
      </c>
      <c r="C228">
        <v>2023</v>
      </c>
      <c r="D228">
        <v>5367</v>
      </c>
      <c r="E228">
        <v>217</v>
      </c>
      <c r="F228">
        <v>2</v>
      </c>
      <c r="G228">
        <v>2</v>
      </c>
      <c r="H228">
        <v>22</v>
      </c>
      <c r="I228">
        <v>60</v>
      </c>
      <c r="J228">
        <v>522</v>
      </c>
      <c r="K228">
        <v>1</v>
      </c>
      <c r="L228">
        <v>1</v>
      </c>
      <c r="M228">
        <v>9</v>
      </c>
      <c r="N228">
        <v>99</v>
      </c>
      <c r="O228">
        <v>9</v>
      </c>
      <c r="P228">
        <v>3</v>
      </c>
      <c r="Q228">
        <v>99999</v>
      </c>
      <c r="R228" s="276">
        <v>0</v>
      </c>
      <c r="S228" s="7">
        <v>45372.58079861111</v>
      </c>
      <c r="AG228" t="s">
        <v>277</v>
      </c>
      <c r="AH228">
        <v>2023</v>
      </c>
      <c r="AI228">
        <v>5346</v>
      </c>
      <c r="AJ228">
        <v>263</v>
      </c>
      <c r="AK228">
        <v>2</v>
      </c>
      <c r="AL228">
        <v>2</v>
      </c>
      <c r="AM228">
        <v>22</v>
      </c>
      <c r="AN228">
        <v>60</v>
      </c>
      <c r="AO228">
        <v>999</v>
      </c>
      <c r="AP228">
        <v>3</v>
      </c>
      <c r="AQ228">
        <v>28</v>
      </c>
      <c r="AR228">
        <v>9</v>
      </c>
      <c r="AS228">
        <v>99</v>
      </c>
      <c r="AT228">
        <v>9</v>
      </c>
      <c r="AU228">
        <v>3</v>
      </c>
      <c r="AV228">
        <v>99999</v>
      </c>
      <c r="AW228">
        <v>0</v>
      </c>
      <c r="AX228" s="7">
        <v>45383.489039351851</v>
      </c>
      <c r="AY228" s="7"/>
      <c r="BV228" t="str">
        <f t="shared" si="6"/>
        <v/>
      </c>
    </row>
    <row r="229" spans="1:74">
      <c r="A229">
        <v>227</v>
      </c>
      <c r="B229" t="s">
        <v>150</v>
      </c>
      <c r="C229">
        <v>2023</v>
      </c>
      <c r="D229">
        <v>5367</v>
      </c>
      <c r="E229">
        <v>217</v>
      </c>
      <c r="F229">
        <v>2</v>
      </c>
      <c r="G229">
        <v>2</v>
      </c>
      <c r="H229">
        <v>22</v>
      </c>
      <c r="I229">
        <v>60</v>
      </c>
      <c r="J229">
        <v>522</v>
      </c>
      <c r="K229">
        <v>1</v>
      </c>
      <c r="L229">
        <v>1</v>
      </c>
      <c r="M229">
        <v>9</v>
      </c>
      <c r="N229">
        <v>99</v>
      </c>
      <c r="O229">
        <v>9</v>
      </c>
      <c r="P229">
        <v>3</v>
      </c>
      <c r="Q229">
        <v>99999</v>
      </c>
      <c r="R229" s="276">
        <v>0</v>
      </c>
      <c r="S229" s="7">
        <v>45372.58079861111</v>
      </c>
      <c r="AG229" t="s">
        <v>277</v>
      </c>
      <c r="AH229">
        <v>2023</v>
      </c>
      <c r="AI229">
        <v>5346</v>
      </c>
      <c r="AJ229">
        <v>263</v>
      </c>
      <c r="AK229">
        <v>2</v>
      </c>
      <c r="AL229">
        <v>2</v>
      </c>
      <c r="AM229">
        <v>22</v>
      </c>
      <c r="AN229">
        <v>60</v>
      </c>
      <c r="AO229">
        <v>999</v>
      </c>
      <c r="AP229">
        <v>3</v>
      </c>
      <c r="AQ229">
        <v>29</v>
      </c>
      <c r="AR229">
        <v>9</v>
      </c>
      <c r="AS229">
        <v>99</v>
      </c>
      <c r="AT229">
        <v>9</v>
      </c>
      <c r="AU229">
        <v>3</v>
      </c>
      <c r="AV229">
        <v>99999</v>
      </c>
      <c r="AW229">
        <v>0</v>
      </c>
      <c r="AX229" s="7">
        <v>45383.489039351851</v>
      </c>
      <c r="AY229" s="7"/>
      <c r="BV229" t="str">
        <f t="shared" si="6"/>
        <v/>
      </c>
    </row>
    <row r="230" spans="1:74">
      <c r="A230">
        <v>228</v>
      </c>
      <c r="B230" t="s">
        <v>150</v>
      </c>
      <c r="C230">
        <v>2023</v>
      </c>
      <c r="D230">
        <v>5367</v>
      </c>
      <c r="E230">
        <v>217</v>
      </c>
      <c r="F230">
        <v>2</v>
      </c>
      <c r="G230">
        <v>2</v>
      </c>
      <c r="H230">
        <v>22</v>
      </c>
      <c r="I230">
        <v>60</v>
      </c>
      <c r="J230">
        <v>522</v>
      </c>
      <c r="K230">
        <v>1</v>
      </c>
      <c r="L230">
        <v>1</v>
      </c>
      <c r="M230">
        <v>9</v>
      </c>
      <c r="N230">
        <v>99</v>
      </c>
      <c r="O230">
        <v>9</v>
      </c>
      <c r="P230">
        <v>3</v>
      </c>
      <c r="Q230">
        <v>99999</v>
      </c>
      <c r="R230" s="276">
        <v>0</v>
      </c>
      <c r="S230" s="7">
        <v>45372.58079861111</v>
      </c>
      <c r="AG230" t="s">
        <v>277</v>
      </c>
      <c r="AH230">
        <v>2023</v>
      </c>
      <c r="AI230">
        <v>5346</v>
      </c>
      <c r="AJ230">
        <v>263</v>
      </c>
      <c r="AK230">
        <v>2</v>
      </c>
      <c r="AL230">
        <v>2</v>
      </c>
      <c r="AM230">
        <v>20</v>
      </c>
      <c r="AN230">
        <v>60</v>
      </c>
      <c r="AO230">
        <v>999</v>
      </c>
      <c r="AP230">
        <v>4</v>
      </c>
      <c r="AQ230">
        <v>999</v>
      </c>
      <c r="AR230">
        <v>9</v>
      </c>
      <c r="AS230">
        <v>99</v>
      </c>
      <c r="AT230">
        <v>9</v>
      </c>
      <c r="AU230">
        <v>3</v>
      </c>
      <c r="AV230">
        <v>99999</v>
      </c>
      <c r="AW230">
        <v>0</v>
      </c>
      <c r="AX230" s="7">
        <v>45383.489039351851</v>
      </c>
      <c r="AY230" s="7"/>
      <c r="BV230" t="str">
        <f t="shared" si="6"/>
        <v/>
      </c>
    </row>
    <row r="231" spans="1:74">
      <c r="A231">
        <v>229</v>
      </c>
      <c r="B231" t="s">
        <v>150</v>
      </c>
      <c r="C231">
        <v>2023</v>
      </c>
      <c r="D231">
        <v>5367</v>
      </c>
      <c r="E231">
        <v>217</v>
      </c>
      <c r="F231">
        <v>2</v>
      </c>
      <c r="G231">
        <v>2</v>
      </c>
      <c r="H231">
        <v>22</v>
      </c>
      <c r="I231">
        <v>60</v>
      </c>
      <c r="J231">
        <v>522</v>
      </c>
      <c r="K231">
        <v>1</v>
      </c>
      <c r="L231">
        <v>1</v>
      </c>
      <c r="M231">
        <v>9</v>
      </c>
      <c r="N231">
        <v>99</v>
      </c>
      <c r="O231">
        <v>9</v>
      </c>
      <c r="P231">
        <v>3</v>
      </c>
      <c r="Q231">
        <v>99999</v>
      </c>
      <c r="R231" s="276">
        <v>0</v>
      </c>
      <c r="S231" s="7">
        <v>45372.58079861111</v>
      </c>
      <c r="AG231" t="s">
        <v>277</v>
      </c>
      <c r="AH231">
        <v>2023</v>
      </c>
      <c r="AI231">
        <v>5346</v>
      </c>
      <c r="AJ231">
        <v>263</v>
      </c>
      <c r="AK231">
        <v>2</v>
      </c>
      <c r="AL231">
        <v>2</v>
      </c>
      <c r="AM231">
        <v>999</v>
      </c>
      <c r="AN231">
        <v>999999</v>
      </c>
      <c r="AO231">
        <v>999</v>
      </c>
      <c r="AP231">
        <v>99</v>
      </c>
      <c r="AQ231">
        <v>999</v>
      </c>
      <c r="AR231">
        <v>9</v>
      </c>
      <c r="AS231">
        <v>99</v>
      </c>
      <c r="AT231">
        <v>9</v>
      </c>
      <c r="AU231">
        <v>3</v>
      </c>
      <c r="AV231">
        <v>99999</v>
      </c>
      <c r="AW231">
        <v>0</v>
      </c>
      <c r="AX231" s="7">
        <v>45383.489039351851</v>
      </c>
      <c r="AY231" s="7"/>
      <c r="BV231" t="str">
        <f t="shared" si="6"/>
        <v/>
      </c>
    </row>
    <row r="232" spans="1:74">
      <c r="A232">
        <v>230</v>
      </c>
      <c r="B232" t="s">
        <v>150</v>
      </c>
      <c r="C232">
        <v>2023</v>
      </c>
      <c r="D232">
        <v>5367</v>
      </c>
      <c r="E232">
        <v>217</v>
      </c>
      <c r="F232">
        <v>2</v>
      </c>
      <c r="G232">
        <v>2</v>
      </c>
      <c r="H232">
        <v>22</v>
      </c>
      <c r="I232">
        <v>60</v>
      </c>
      <c r="J232">
        <v>522</v>
      </c>
      <c r="K232">
        <v>2</v>
      </c>
      <c r="L232">
        <v>11</v>
      </c>
      <c r="M232">
        <v>9</v>
      </c>
      <c r="N232">
        <v>99</v>
      </c>
      <c r="O232">
        <v>9</v>
      </c>
      <c r="P232">
        <v>3</v>
      </c>
      <c r="Q232">
        <v>99999</v>
      </c>
      <c r="R232" s="276">
        <v>-131950.084430635</v>
      </c>
      <c r="S232" s="7">
        <v>45372.58079861111</v>
      </c>
      <c r="AG232" t="s">
        <v>277</v>
      </c>
      <c r="AH232">
        <v>2023</v>
      </c>
      <c r="AI232">
        <v>5346</v>
      </c>
      <c r="AJ232">
        <v>263</v>
      </c>
      <c r="AK232">
        <v>2</v>
      </c>
      <c r="AL232">
        <v>2</v>
      </c>
      <c r="AM232">
        <v>999</v>
      </c>
      <c r="AN232">
        <v>999999</v>
      </c>
      <c r="AO232">
        <v>999</v>
      </c>
      <c r="AP232">
        <v>99</v>
      </c>
      <c r="AQ232">
        <v>999</v>
      </c>
      <c r="AR232">
        <v>9</v>
      </c>
      <c r="AS232">
        <v>99</v>
      </c>
      <c r="AT232">
        <v>9</v>
      </c>
      <c r="AU232">
        <v>3</v>
      </c>
      <c r="AV232">
        <v>99999</v>
      </c>
      <c r="AW232">
        <v>0</v>
      </c>
      <c r="AX232" s="7">
        <v>45383.489039351851</v>
      </c>
      <c r="AY232" s="7"/>
      <c r="BV232" t="str">
        <f t="shared" si="6"/>
        <v/>
      </c>
    </row>
    <row r="233" spans="1:74">
      <c r="A233">
        <v>231</v>
      </c>
      <c r="B233" t="s">
        <v>150</v>
      </c>
      <c r="C233">
        <v>2023</v>
      </c>
      <c r="D233">
        <v>5367</v>
      </c>
      <c r="E233">
        <v>217</v>
      </c>
      <c r="F233">
        <v>2</v>
      </c>
      <c r="G233">
        <v>2</v>
      </c>
      <c r="H233">
        <v>22</v>
      </c>
      <c r="I233">
        <v>60</v>
      </c>
      <c r="J233">
        <v>522</v>
      </c>
      <c r="K233">
        <v>2</v>
      </c>
      <c r="L233">
        <v>9</v>
      </c>
      <c r="M233">
        <v>9</v>
      </c>
      <c r="N233">
        <v>99</v>
      </c>
      <c r="O233">
        <v>9</v>
      </c>
      <c r="P233">
        <v>3</v>
      </c>
      <c r="Q233">
        <v>99999</v>
      </c>
      <c r="R233" s="276">
        <v>0</v>
      </c>
      <c r="S233" s="7">
        <v>45372.58079861111</v>
      </c>
      <c r="AG233" t="s">
        <v>277</v>
      </c>
      <c r="AH233">
        <v>2023</v>
      </c>
      <c r="AI233">
        <v>5346</v>
      </c>
      <c r="AJ233">
        <v>263</v>
      </c>
      <c r="AK233">
        <v>2</v>
      </c>
      <c r="AL233">
        <v>2</v>
      </c>
      <c r="AM233">
        <v>22</v>
      </c>
      <c r="AN233">
        <v>60</v>
      </c>
      <c r="AO233">
        <v>999</v>
      </c>
      <c r="AP233">
        <v>2</v>
      </c>
      <c r="AQ233">
        <v>11</v>
      </c>
      <c r="AR233">
        <v>9</v>
      </c>
      <c r="AS233">
        <v>99</v>
      </c>
      <c r="AT233">
        <v>9</v>
      </c>
      <c r="AU233">
        <v>3</v>
      </c>
      <c r="AV233">
        <v>99999</v>
      </c>
      <c r="AW233">
        <v>0</v>
      </c>
      <c r="AX233" s="7">
        <v>45383.489039351851</v>
      </c>
      <c r="AY233" s="7"/>
      <c r="BV233" t="str">
        <f t="shared" si="6"/>
        <v/>
      </c>
    </row>
    <row r="234" spans="1:74">
      <c r="A234">
        <v>232</v>
      </c>
      <c r="B234" t="s">
        <v>150</v>
      </c>
      <c r="C234">
        <v>2023</v>
      </c>
      <c r="D234">
        <v>5367</v>
      </c>
      <c r="E234">
        <v>217</v>
      </c>
      <c r="F234">
        <v>2</v>
      </c>
      <c r="G234">
        <v>2</v>
      </c>
      <c r="H234">
        <v>22</v>
      </c>
      <c r="I234">
        <v>60</v>
      </c>
      <c r="J234">
        <v>522</v>
      </c>
      <c r="K234">
        <v>2</v>
      </c>
      <c r="L234">
        <v>8</v>
      </c>
      <c r="M234">
        <v>9</v>
      </c>
      <c r="N234">
        <v>99</v>
      </c>
      <c r="O234">
        <v>9</v>
      </c>
      <c r="P234">
        <v>3</v>
      </c>
      <c r="Q234">
        <v>99999</v>
      </c>
      <c r="R234" s="276">
        <v>-16719.844965551401</v>
      </c>
      <c r="S234" s="7">
        <v>45372.58079861111</v>
      </c>
      <c r="AG234" t="s">
        <v>277</v>
      </c>
      <c r="AH234">
        <v>2023</v>
      </c>
      <c r="AI234">
        <v>5346</v>
      </c>
      <c r="AJ234">
        <v>263</v>
      </c>
      <c r="AK234">
        <v>2</v>
      </c>
      <c r="AL234">
        <v>2</v>
      </c>
      <c r="AM234">
        <v>22</v>
      </c>
      <c r="AN234">
        <v>60</v>
      </c>
      <c r="AO234">
        <v>999</v>
      </c>
      <c r="AP234">
        <v>2</v>
      </c>
      <c r="AQ234">
        <v>30</v>
      </c>
      <c r="AR234">
        <v>9</v>
      </c>
      <c r="AS234">
        <v>99</v>
      </c>
      <c r="AT234">
        <v>9</v>
      </c>
      <c r="AU234">
        <v>3</v>
      </c>
      <c r="AV234">
        <v>99999</v>
      </c>
      <c r="AW234">
        <v>0</v>
      </c>
      <c r="AX234" s="7">
        <v>45383.489039351851</v>
      </c>
      <c r="AY234" s="7"/>
      <c r="BV234" t="str">
        <f t="shared" si="6"/>
        <v/>
      </c>
    </row>
    <row r="235" spans="1:74">
      <c r="A235">
        <v>233</v>
      </c>
      <c r="B235" t="s">
        <v>150</v>
      </c>
      <c r="C235">
        <v>2023</v>
      </c>
      <c r="D235">
        <v>5367</v>
      </c>
      <c r="E235">
        <v>217</v>
      </c>
      <c r="F235">
        <v>2</v>
      </c>
      <c r="G235">
        <v>2</v>
      </c>
      <c r="H235">
        <v>22</v>
      </c>
      <c r="I235">
        <v>60</v>
      </c>
      <c r="J235">
        <v>522</v>
      </c>
      <c r="K235">
        <v>2</v>
      </c>
      <c r="L235">
        <v>10</v>
      </c>
      <c r="M235">
        <v>9</v>
      </c>
      <c r="N235">
        <v>99</v>
      </c>
      <c r="O235">
        <v>9</v>
      </c>
      <c r="P235">
        <v>3</v>
      </c>
      <c r="Q235">
        <v>99999</v>
      </c>
      <c r="R235" s="276">
        <v>-390.27057117409998</v>
      </c>
      <c r="S235" s="7">
        <v>45372.58079861111</v>
      </c>
      <c r="AG235" t="s">
        <v>277</v>
      </c>
      <c r="AH235">
        <v>2023</v>
      </c>
      <c r="AI235">
        <v>5346</v>
      </c>
      <c r="AJ235">
        <v>263</v>
      </c>
      <c r="AK235">
        <v>2</v>
      </c>
      <c r="AL235">
        <v>2</v>
      </c>
      <c r="AM235">
        <v>22</v>
      </c>
      <c r="AN235">
        <v>60</v>
      </c>
      <c r="AO235">
        <v>999</v>
      </c>
      <c r="AP235">
        <v>3</v>
      </c>
      <c r="AQ235">
        <v>19</v>
      </c>
      <c r="AR235">
        <v>9</v>
      </c>
      <c r="AS235">
        <v>99</v>
      </c>
      <c r="AT235">
        <v>9</v>
      </c>
      <c r="AU235">
        <v>3</v>
      </c>
      <c r="AV235">
        <v>99999</v>
      </c>
      <c r="AW235">
        <v>0</v>
      </c>
      <c r="AX235" s="7">
        <v>45383.489039351851</v>
      </c>
      <c r="AY235" s="7"/>
      <c r="BV235" t="str">
        <f t="shared" si="6"/>
        <v/>
      </c>
    </row>
    <row r="236" spans="1:74">
      <c r="A236">
        <v>234</v>
      </c>
      <c r="B236" t="s">
        <v>150</v>
      </c>
      <c r="C236">
        <v>2023</v>
      </c>
      <c r="D236">
        <v>5367</v>
      </c>
      <c r="E236">
        <v>217</v>
      </c>
      <c r="F236">
        <v>2</v>
      </c>
      <c r="G236">
        <v>2</v>
      </c>
      <c r="H236">
        <v>22</v>
      </c>
      <c r="I236">
        <v>60</v>
      </c>
      <c r="J236">
        <v>522</v>
      </c>
      <c r="K236">
        <v>2</v>
      </c>
      <c r="L236">
        <v>24</v>
      </c>
      <c r="M236">
        <v>9</v>
      </c>
      <c r="N236">
        <v>99</v>
      </c>
      <c r="O236">
        <v>9</v>
      </c>
      <c r="P236">
        <v>3</v>
      </c>
      <c r="Q236">
        <v>99999</v>
      </c>
      <c r="R236" s="276">
        <v>-3079.9469087969801</v>
      </c>
      <c r="S236" s="7">
        <v>45372.58079861111</v>
      </c>
      <c r="AG236" t="s">
        <v>277</v>
      </c>
      <c r="AH236">
        <v>2023</v>
      </c>
      <c r="AI236">
        <v>5346</v>
      </c>
      <c r="AJ236">
        <v>263</v>
      </c>
      <c r="AK236">
        <v>2</v>
      </c>
      <c r="AL236">
        <v>2</v>
      </c>
      <c r="AM236">
        <v>999</v>
      </c>
      <c r="AN236">
        <v>999999</v>
      </c>
      <c r="AO236">
        <v>999</v>
      </c>
      <c r="AP236">
        <v>99</v>
      </c>
      <c r="AQ236">
        <v>999</v>
      </c>
      <c r="AR236">
        <v>9</v>
      </c>
      <c r="AS236">
        <v>99</v>
      </c>
      <c r="AT236">
        <v>9</v>
      </c>
      <c r="AU236">
        <v>3</v>
      </c>
      <c r="AV236">
        <v>99999</v>
      </c>
      <c r="AW236">
        <v>0</v>
      </c>
      <c r="AX236" s="7">
        <v>45383.489039351851</v>
      </c>
      <c r="AY236" s="7"/>
      <c r="BV236" t="str">
        <f t="shared" si="6"/>
        <v/>
      </c>
    </row>
    <row r="237" spans="1:74">
      <c r="A237">
        <v>235</v>
      </c>
      <c r="B237" t="s">
        <v>150</v>
      </c>
      <c r="C237">
        <v>2023</v>
      </c>
      <c r="D237">
        <v>5367</v>
      </c>
      <c r="E237">
        <v>217</v>
      </c>
      <c r="F237">
        <v>2</v>
      </c>
      <c r="G237">
        <v>2</v>
      </c>
      <c r="H237">
        <v>22</v>
      </c>
      <c r="I237">
        <v>60</v>
      </c>
      <c r="J237">
        <v>522</v>
      </c>
      <c r="K237">
        <v>3</v>
      </c>
      <c r="L237">
        <v>18</v>
      </c>
      <c r="M237">
        <v>9</v>
      </c>
      <c r="N237">
        <v>99</v>
      </c>
      <c r="O237">
        <v>9</v>
      </c>
      <c r="P237">
        <v>3</v>
      </c>
      <c r="Q237">
        <v>99999</v>
      </c>
      <c r="R237" s="276">
        <v>0</v>
      </c>
      <c r="S237" s="7">
        <v>45372.58079861111</v>
      </c>
      <c r="AG237" t="s">
        <v>277</v>
      </c>
      <c r="AH237">
        <v>2023</v>
      </c>
      <c r="AI237">
        <v>5346</v>
      </c>
      <c r="AJ237">
        <v>263</v>
      </c>
      <c r="AK237">
        <v>2</v>
      </c>
      <c r="AL237">
        <v>2</v>
      </c>
      <c r="AM237">
        <v>22</v>
      </c>
      <c r="AN237">
        <v>60</v>
      </c>
      <c r="AO237">
        <v>999</v>
      </c>
      <c r="AP237">
        <v>1</v>
      </c>
      <c r="AQ237">
        <v>7</v>
      </c>
      <c r="AR237">
        <v>9</v>
      </c>
      <c r="AS237">
        <v>99</v>
      </c>
      <c r="AT237">
        <v>9</v>
      </c>
      <c r="AU237">
        <v>3</v>
      </c>
      <c r="AV237">
        <v>99999</v>
      </c>
      <c r="AW237">
        <v>0</v>
      </c>
      <c r="AX237" s="7">
        <v>45383.489039351851</v>
      </c>
      <c r="AY237" s="7"/>
      <c r="BV237" t="str">
        <f t="shared" si="6"/>
        <v/>
      </c>
    </row>
    <row r="238" spans="1:74">
      <c r="A238">
        <v>236</v>
      </c>
      <c r="B238" t="s">
        <v>150</v>
      </c>
      <c r="C238">
        <v>2023</v>
      </c>
      <c r="D238">
        <v>5367</v>
      </c>
      <c r="E238">
        <v>217</v>
      </c>
      <c r="F238">
        <v>2</v>
      </c>
      <c r="G238">
        <v>2</v>
      </c>
      <c r="H238">
        <v>22</v>
      </c>
      <c r="I238">
        <v>60</v>
      </c>
      <c r="J238">
        <v>523</v>
      </c>
      <c r="K238">
        <v>2</v>
      </c>
      <c r="L238">
        <v>30</v>
      </c>
      <c r="M238">
        <v>9</v>
      </c>
      <c r="N238">
        <v>99</v>
      </c>
      <c r="O238">
        <v>9</v>
      </c>
      <c r="P238">
        <v>3</v>
      </c>
      <c r="Q238">
        <v>99999</v>
      </c>
      <c r="R238" s="276">
        <v>0</v>
      </c>
      <c r="S238" s="7">
        <v>45372.58079861111</v>
      </c>
      <c r="AG238" t="s">
        <v>277</v>
      </c>
      <c r="AH238">
        <v>2023</v>
      </c>
      <c r="AI238">
        <v>5346</v>
      </c>
      <c r="AJ238">
        <v>263</v>
      </c>
      <c r="AK238">
        <v>2</v>
      </c>
      <c r="AL238">
        <v>2</v>
      </c>
      <c r="AM238">
        <v>22</v>
      </c>
      <c r="AN238">
        <v>60</v>
      </c>
      <c r="AO238">
        <v>999</v>
      </c>
      <c r="AP238">
        <v>2</v>
      </c>
      <c r="AQ238">
        <v>30</v>
      </c>
      <c r="AR238">
        <v>9</v>
      </c>
      <c r="AS238">
        <v>99</v>
      </c>
      <c r="AT238">
        <v>9</v>
      </c>
      <c r="AU238">
        <v>3</v>
      </c>
      <c r="AV238">
        <v>99999</v>
      </c>
      <c r="AW238">
        <v>0</v>
      </c>
      <c r="AX238" s="7">
        <v>45383.489039351851</v>
      </c>
      <c r="AY238" s="7"/>
      <c r="BV238" t="str">
        <f t="shared" si="6"/>
        <v/>
      </c>
    </row>
    <row r="239" spans="1:74">
      <c r="A239">
        <v>237</v>
      </c>
      <c r="B239" t="s">
        <v>150</v>
      </c>
      <c r="C239">
        <v>2023</v>
      </c>
      <c r="D239">
        <v>5367</v>
      </c>
      <c r="E239">
        <v>217</v>
      </c>
      <c r="F239">
        <v>2</v>
      </c>
      <c r="G239">
        <v>2</v>
      </c>
      <c r="H239">
        <v>22</v>
      </c>
      <c r="I239">
        <v>60</v>
      </c>
      <c r="J239">
        <v>524</v>
      </c>
      <c r="K239">
        <v>1</v>
      </c>
      <c r="L239">
        <v>7</v>
      </c>
      <c r="M239">
        <v>9</v>
      </c>
      <c r="N239">
        <v>99</v>
      </c>
      <c r="O239">
        <v>9</v>
      </c>
      <c r="P239">
        <v>3</v>
      </c>
      <c r="Q239">
        <v>99999</v>
      </c>
      <c r="R239" s="276">
        <v>0</v>
      </c>
      <c r="S239" s="7">
        <v>45372.58079861111</v>
      </c>
      <c r="AG239" t="s">
        <v>277</v>
      </c>
      <c r="AH239">
        <v>2023</v>
      </c>
      <c r="AI239">
        <v>5346</v>
      </c>
      <c r="AJ239">
        <v>263</v>
      </c>
      <c r="AK239">
        <v>2</v>
      </c>
      <c r="AL239">
        <v>2</v>
      </c>
      <c r="AM239">
        <v>22</v>
      </c>
      <c r="AN239">
        <v>60</v>
      </c>
      <c r="AO239">
        <v>999</v>
      </c>
      <c r="AP239">
        <v>4</v>
      </c>
      <c r="AQ239">
        <v>999</v>
      </c>
      <c r="AR239">
        <v>9</v>
      </c>
      <c r="AS239">
        <v>99</v>
      </c>
      <c r="AT239">
        <v>9</v>
      </c>
      <c r="AU239">
        <v>3</v>
      </c>
      <c r="AV239">
        <v>99999</v>
      </c>
      <c r="AW239">
        <v>0</v>
      </c>
      <c r="AX239" s="7">
        <v>45383.489039351851</v>
      </c>
      <c r="AY239" s="7"/>
      <c r="BV239" t="str">
        <f t="shared" si="6"/>
        <v/>
      </c>
    </row>
    <row r="240" spans="1:74">
      <c r="A240">
        <v>238</v>
      </c>
      <c r="B240" t="s">
        <v>150</v>
      </c>
      <c r="C240">
        <v>2023</v>
      </c>
      <c r="D240">
        <v>5367</v>
      </c>
      <c r="E240">
        <v>217</v>
      </c>
      <c r="F240">
        <v>2</v>
      </c>
      <c r="G240">
        <v>2</v>
      </c>
      <c r="H240">
        <v>22</v>
      </c>
      <c r="I240">
        <v>60</v>
      </c>
      <c r="J240">
        <v>524</v>
      </c>
      <c r="K240">
        <v>2</v>
      </c>
      <c r="L240">
        <v>30</v>
      </c>
      <c r="M240">
        <v>9</v>
      </c>
      <c r="N240">
        <v>99</v>
      </c>
      <c r="O240">
        <v>9</v>
      </c>
      <c r="P240">
        <v>3</v>
      </c>
      <c r="Q240">
        <v>99999</v>
      </c>
      <c r="R240" s="276">
        <v>0</v>
      </c>
      <c r="S240" s="7">
        <v>45372.58079861111</v>
      </c>
      <c r="AG240" t="s">
        <v>277</v>
      </c>
      <c r="AH240">
        <v>2023</v>
      </c>
      <c r="AI240">
        <v>5346</v>
      </c>
      <c r="AJ240">
        <v>263</v>
      </c>
      <c r="AK240">
        <v>2</v>
      </c>
      <c r="AL240">
        <v>2</v>
      </c>
      <c r="AM240">
        <v>20</v>
      </c>
      <c r="AN240">
        <v>60</v>
      </c>
      <c r="AO240">
        <v>999</v>
      </c>
      <c r="AP240">
        <v>2</v>
      </c>
      <c r="AQ240">
        <v>24</v>
      </c>
      <c r="AR240">
        <v>9</v>
      </c>
      <c r="AS240">
        <v>99</v>
      </c>
      <c r="AT240">
        <v>9</v>
      </c>
      <c r="AU240">
        <v>3</v>
      </c>
      <c r="AV240">
        <v>99999</v>
      </c>
      <c r="AW240">
        <v>0</v>
      </c>
      <c r="AX240" s="7">
        <v>45383.489039351851</v>
      </c>
      <c r="AY240" s="7"/>
      <c r="BV240" t="str">
        <f t="shared" si="6"/>
        <v/>
      </c>
    </row>
    <row r="241" spans="1:74">
      <c r="A241">
        <v>239</v>
      </c>
      <c r="B241" t="s">
        <v>150</v>
      </c>
      <c r="C241">
        <v>2023</v>
      </c>
      <c r="D241">
        <v>5367</v>
      </c>
      <c r="E241">
        <v>217</v>
      </c>
      <c r="F241">
        <v>2</v>
      </c>
      <c r="G241">
        <v>2</v>
      </c>
      <c r="H241">
        <v>22</v>
      </c>
      <c r="I241">
        <v>60</v>
      </c>
      <c r="J241">
        <v>525</v>
      </c>
      <c r="K241">
        <v>2</v>
      </c>
      <c r="L241">
        <v>30</v>
      </c>
      <c r="M241">
        <v>9</v>
      </c>
      <c r="N241">
        <v>99</v>
      </c>
      <c r="O241">
        <v>9</v>
      </c>
      <c r="P241">
        <v>3</v>
      </c>
      <c r="Q241">
        <v>99999</v>
      </c>
      <c r="R241" s="276">
        <v>0</v>
      </c>
      <c r="S241" s="7">
        <v>45372.58079861111</v>
      </c>
      <c r="AG241" t="s">
        <v>277</v>
      </c>
      <c r="AH241">
        <v>2023</v>
      </c>
      <c r="AI241">
        <v>5346</v>
      </c>
      <c r="AJ241">
        <v>263</v>
      </c>
      <c r="AK241">
        <v>2</v>
      </c>
      <c r="AL241">
        <v>2</v>
      </c>
      <c r="AM241">
        <v>20</v>
      </c>
      <c r="AN241">
        <v>60</v>
      </c>
      <c r="AO241">
        <v>999</v>
      </c>
      <c r="AP241">
        <v>3</v>
      </c>
      <c r="AQ241">
        <v>17</v>
      </c>
      <c r="AR241">
        <v>9</v>
      </c>
      <c r="AS241">
        <v>99</v>
      </c>
      <c r="AT241">
        <v>9</v>
      </c>
      <c r="AU241">
        <v>3</v>
      </c>
      <c r="AV241">
        <v>99999</v>
      </c>
      <c r="AW241">
        <v>0</v>
      </c>
      <c r="AX241" s="7">
        <v>45383.489039351851</v>
      </c>
      <c r="AY241" s="7"/>
      <c r="BV241" t="str">
        <f t="shared" si="6"/>
        <v/>
      </c>
    </row>
    <row r="242" spans="1:74">
      <c r="A242">
        <v>240</v>
      </c>
      <c r="B242" t="s">
        <v>150</v>
      </c>
      <c r="C242">
        <v>2023</v>
      </c>
      <c r="D242">
        <v>5367</v>
      </c>
      <c r="E242">
        <v>217</v>
      </c>
      <c r="F242">
        <v>2</v>
      </c>
      <c r="G242">
        <v>2</v>
      </c>
      <c r="H242">
        <v>22</v>
      </c>
      <c r="I242">
        <v>60</v>
      </c>
      <c r="J242">
        <v>526</v>
      </c>
      <c r="K242">
        <v>1</v>
      </c>
      <c r="L242">
        <v>7</v>
      </c>
      <c r="M242">
        <v>9</v>
      </c>
      <c r="N242">
        <v>99</v>
      </c>
      <c r="O242">
        <v>9</v>
      </c>
      <c r="P242">
        <v>3</v>
      </c>
      <c r="Q242">
        <v>99999</v>
      </c>
      <c r="R242" s="276">
        <v>254149.62690274901</v>
      </c>
      <c r="S242" s="7">
        <v>45372.58079861111</v>
      </c>
      <c r="AG242" t="s">
        <v>277</v>
      </c>
      <c r="AH242">
        <v>2023</v>
      </c>
      <c r="AI242">
        <v>5346</v>
      </c>
      <c r="AJ242">
        <v>263</v>
      </c>
      <c r="AK242">
        <v>2</v>
      </c>
      <c r="AL242">
        <v>2</v>
      </c>
      <c r="AM242">
        <v>999</v>
      </c>
      <c r="AN242">
        <v>999999</v>
      </c>
      <c r="AO242">
        <v>999</v>
      </c>
      <c r="AP242">
        <v>99</v>
      </c>
      <c r="AQ242">
        <v>999</v>
      </c>
      <c r="AR242">
        <v>9</v>
      </c>
      <c r="AS242">
        <v>99</v>
      </c>
      <c r="AT242">
        <v>9</v>
      </c>
      <c r="AU242">
        <v>3</v>
      </c>
      <c r="AV242">
        <v>99999</v>
      </c>
      <c r="AW242">
        <v>0</v>
      </c>
      <c r="AX242" s="7">
        <v>45383.489039351851</v>
      </c>
      <c r="AY242" s="7"/>
      <c r="BV242" t="str">
        <f t="shared" si="6"/>
        <v/>
      </c>
    </row>
    <row r="243" spans="1:74">
      <c r="A243">
        <v>241</v>
      </c>
      <c r="B243" t="s">
        <v>150</v>
      </c>
      <c r="C243">
        <v>2023</v>
      </c>
      <c r="D243">
        <v>5367</v>
      </c>
      <c r="E243">
        <v>217</v>
      </c>
      <c r="F243">
        <v>2</v>
      </c>
      <c r="G243">
        <v>2</v>
      </c>
      <c r="H243">
        <v>22</v>
      </c>
      <c r="I243">
        <v>60</v>
      </c>
      <c r="J243">
        <v>526</v>
      </c>
      <c r="K243">
        <v>2</v>
      </c>
      <c r="L243">
        <v>11</v>
      </c>
      <c r="M243">
        <v>9</v>
      </c>
      <c r="N243">
        <v>99</v>
      </c>
      <c r="O243">
        <v>9</v>
      </c>
      <c r="P243">
        <v>3</v>
      </c>
      <c r="Q243">
        <v>99999</v>
      </c>
      <c r="R243" s="276">
        <v>23364.725696289301</v>
      </c>
      <c r="S243" s="7">
        <v>45372.58079861111</v>
      </c>
      <c r="AG243" t="s">
        <v>277</v>
      </c>
      <c r="AH243">
        <v>2023</v>
      </c>
      <c r="AI243">
        <v>5346</v>
      </c>
      <c r="AJ243">
        <v>263</v>
      </c>
      <c r="AK243">
        <v>2</v>
      </c>
      <c r="AL243">
        <v>2</v>
      </c>
      <c r="AM243">
        <v>22</v>
      </c>
      <c r="AN243">
        <v>60</v>
      </c>
      <c r="AO243">
        <v>999</v>
      </c>
      <c r="AP243">
        <v>1</v>
      </c>
      <c r="AQ243">
        <v>1</v>
      </c>
      <c r="AR243">
        <v>9</v>
      </c>
      <c r="AS243">
        <v>99</v>
      </c>
      <c r="AT243">
        <v>9</v>
      </c>
      <c r="AU243">
        <v>3</v>
      </c>
      <c r="AV243">
        <v>99999</v>
      </c>
      <c r="AW243">
        <v>0</v>
      </c>
      <c r="AX243" s="7">
        <v>45383.489039351851</v>
      </c>
      <c r="AY243" s="7"/>
      <c r="BV243" t="str">
        <f t="shared" si="6"/>
        <v/>
      </c>
    </row>
    <row r="244" spans="1:74">
      <c r="A244">
        <v>242</v>
      </c>
      <c r="B244" t="s">
        <v>150</v>
      </c>
      <c r="C244">
        <v>2023</v>
      </c>
      <c r="D244">
        <v>5367</v>
      </c>
      <c r="E244">
        <v>217</v>
      </c>
      <c r="F244">
        <v>2</v>
      </c>
      <c r="G244">
        <v>2</v>
      </c>
      <c r="H244">
        <v>22</v>
      </c>
      <c r="I244">
        <v>60</v>
      </c>
      <c r="J244">
        <v>526</v>
      </c>
      <c r="K244">
        <v>2</v>
      </c>
      <c r="L244">
        <v>9</v>
      </c>
      <c r="M244">
        <v>9</v>
      </c>
      <c r="N244">
        <v>99</v>
      </c>
      <c r="O244">
        <v>9</v>
      </c>
      <c r="P244">
        <v>3</v>
      </c>
      <c r="Q244">
        <v>99999</v>
      </c>
      <c r="R244" s="276">
        <v>0</v>
      </c>
      <c r="S244" s="7">
        <v>45372.58079861111</v>
      </c>
      <c r="AG244" t="s">
        <v>277</v>
      </c>
      <c r="AH244">
        <v>2023</v>
      </c>
      <c r="AI244">
        <v>5346</v>
      </c>
      <c r="AJ244">
        <v>263</v>
      </c>
      <c r="AK244">
        <v>2</v>
      </c>
      <c r="AL244">
        <v>2</v>
      </c>
      <c r="AM244">
        <v>22</v>
      </c>
      <c r="AN244">
        <v>60</v>
      </c>
      <c r="AO244">
        <v>999</v>
      </c>
      <c r="AP244">
        <v>1</v>
      </c>
      <c r="AQ244">
        <v>2</v>
      </c>
      <c r="AR244">
        <v>9</v>
      </c>
      <c r="AS244">
        <v>99</v>
      </c>
      <c r="AT244">
        <v>9</v>
      </c>
      <c r="AU244">
        <v>3</v>
      </c>
      <c r="AV244">
        <v>99999</v>
      </c>
      <c r="AW244">
        <v>0</v>
      </c>
      <c r="AX244" s="7">
        <v>45383.489039351851</v>
      </c>
      <c r="AY244" s="7"/>
      <c r="BV244" t="str">
        <f t="shared" si="6"/>
        <v/>
      </c>
    </row>
    <row r="245" spans="1:74">
      <c r="A245">
        <v>243</v>
      </c>
      <c r="B245" t="s">
        <v>150</v>
      </c>
      <c r="C245">
        <v>2023</v>
      </c>
      <c r="D245">
        <v>5367</v>
      </c>
      <c r="E245">
        <v>217</v>
      </c>
      <c r="F245">
        <v>2</v>
      </c>
      <c r="G245">
        <v>2</v>
      </c>
      <c r="H245">
        <v>22</v>
      </c>
      <c r="I245">
        <v>60</v>
      </c>
      <c r="J245">
        <v>526</v>
      </c>
      <c r="K245">
        <v>2</v>
      </c>
      <c r="L245">
        <v>8</v>
      </c>
      <c r="M245">
        <v>9</v>
      </c>
      <c r="N245">
        <v>99</v>
      </c>
      <c r="O245">
        <v>9</v>
      </c>
      <c r="P245">
        <v>3</v>
      </c>
      <c r="Q245">
        <v>99999</v>
      </c>
      <c r="R245" s="276">
        <v>3820.7669779634398</v>
      </c>
      <c r="S245" s="7">
        <v>45372.58079861111</v>
      </c>
      <c r="AG245" t="s">
        <v>277</v>
      </c>
      <c r="AH245">
        <v>2023</v>
      </c>
      <c r="AI245">
        <v>5346</v>
      </c>
      <c r="AJ245">
        <v>263</v>
      </c>
      <c r="AK245">
        <v>2</v>
      </c>
      <c r="AL245">
        <v>2</v>
      </c>
      <c r="AM245">
        <v>999</v>
      </c>
      <c r="AN245">
        <v>999999</v>
      </c>
      <c r="AO245">
        <v>999</v>
      </c>
      <c r="AP245">
        <v>99</v>
      </c>
      <c r="AQ245">
        <v>999</v>
      </c>
      <c r="AR245">
        <v>9</v>
      </c>
      <c r="AS245">
        <v>99</v>
      </c>
      <c r="AT245">
        <v>9</v>
      </c>
      <c r="AU245">
        <v>3</v>
      </c>
      <c r="AV245">
        <v>99999</v>
      </c>
      <c r="AW245">
        <v>0</v>
      </c>
      <c r="AX245" s="7">
        <v>45383.489039351851</v>
      </c>
      <c r="AY245" s="7"/>
      <c r="BV245" t="str">
        <f t="shared" si="6"/>
        <v/>
      </c>
    </row>
    <row r="246" spans="1:74">
      <c r="A246">
        <v>244</v>
      </c>
      <c r="B246" t="s">
        <v>150</v>
      </c>
      <c r="C246">
        <v>2023</v>
      </c>
      <c r="D246">
        <v>5367</v>
      </c>
      <c r="E246">
        <v>217</v>
      </c>
      <c r="F246">
        <v>2</v>
      </c>
      <c r="G246">
        <v>2</v>
      </c>
      <c r="H246">
        <v>22</v>
      </c>
      <c r="I246">
        <v>60</v>
      </c>
      <c r="J246">
        <v>526</v>
      </c>
      <c r="K246">
        <v>2</v>
      </c>
      <c r="L246">
        <v>10</v>
      </c>
      <c r="M246">
        <v>9</v>
      </c>
      <c r="N246">
        <v>99</v>
      </c>
      <c r="O246">
        <v>9</v>
      </c>
      <c r="P246">
        <v>3</v>
      </c>
      <c r="Q246">
        <v>99999</v>
      </c>
      <c r="R246" s="276">
        <v>98.131100560226898</v>
      </c>
      <c r="S246" s="7">
        <v>45372.58079861111</v>
      </c>
      <c r="AG246" t="s">
        <v>277</v>
      </c>
      <c r="AH246">
        <v>2023</v>
      </c>
      <c r="AI246">
        <v>5346</v>
      </c>
      <c r="AJ246">
        <v>263</v>
      </c>
      <c r="AK246">
        <v>2</v>
      </c>
      <c r="AL246">
        <v>2</v>
      </c>
      <c r="AM246">
        <v>20</v>
      </c>
      <c r="AN246">
        <v>60</v>
      </c>
      <c r="AO246">
        <v>999</v>
      </c>
      <c r="AP246">
        <v>3</v>
      </c>
      <c r="AQ246">
        <v>19</v>
      </c>
      <c r="AR246">
        <v>9</v>
      </c>
      <c r="AS246">
        <v>99</v>
      </c>
      <c r="AT246">
        <v>9</v>
      </c>
      <c r="AU246">
        <v>3</v>
      </c>
      <c r="AV246">
        <v>99999</v>
      </c>
      <c r="AW246">
        <v>0</v>
      </c>
      <c r="AX246" s="7">
        <v>45383.489039351851</v>
      </c>
      <c r="AY246" s="7"/>
      <c r="BV246" t="str">
        <f t="shared" si="6"/>
        <v/>
      </c>
    </row>
    <row r="247" spans="1:74">
      <c r="A247">
        <v>245</v>
      </c>
      <c r="B247" t="s">
        <v>150</v>
      </c>
      <c r="C247">
        <v>2023</v>
      </c>
      <c r="D247">
        <v>5367</v>
      </c>
      <c r="E247">
        <v>217</v>
      </c>
      <c r="F247">
        <v>2</v>
      </c>
      <c r="G247">
        <v>2</v>
      </c>
      <c r="H247">
        <v>22</v>
      </c>
      <c r="I247">
        <v>60</v>
      </c>
      <c r="J247">
        <v>526</v>
      </c>
      <c r="K247">
        <v>2</v>
      </c>
      <c r="L247">
        <v>24</v>
      </c>
      <c r="M247">
        <v>9</v>
      </c>
      <c r="N247">
        <v>99</v>
      </c>
      <c r="O247">
        <v>9</v>
      </c>
      <c r="P247">
        <v>3</v>
      </c>
      <c r="Q247">
        <v>99999</v>
      </c>
      <c r="R247" s="276">
        <v>600.09057346041095</v>
      </c>
      <c r="S247" s="7">
        <v>45372.58079861111</v>
      </c>
      <c r="AG247" t="s">
        <v>277</v>
      </c>
      <c r="AH247">
        <v>2023</v>
      </c>
      <c r="AI247">
        <v>5346</v>
      </c>
      <c r="AJ247">
        <v>263</v>
      </c>
      <c r="AK247">
        <v>2</v>
      </c>
      <c r="AL247">
        <v>2</v>
      </c>
      <c r="AM247">
        <v>20</v>
      </c>
      <c r="AN247">
        <v>60</v>
      </c>
      <c r="AO247">
        <v>999</v>
      </c>
      <c r="AP247">
        <v>4</v>
      </c>
      <c r="AQ247">
        <v>999</v>
      </c>
      <c r="AR247">
        <v>9</v>
      </c>
      <c r="AS247">
        <v>99</v>
      </c>
      <c r="AT247">
        <v>9</v>
      </c>
      <c r="AU247">
        <v>3</v>
      </c>
      <c r="AV247">
        <v>99999</v>
      </c>
      <c r="AW247">
        <v>0</v>
      </c>
      <c r="AX247" s="7">
        <v>45383.489039351851</v>
      </c>
      <c r="AY247" s="7"/>
      <c r="BV247" t="str">
        <f t="shared" si="6"/>
        <v/>
      </c>
    </row>
    <row r="248" spans="1:74">
      <c r="A248">
        <v>246</v>
      </c>
      <c r="B248" t="s">
        <v>150</v>
      </c>
      <c r="C248">
        <v>2023</v>
      </c>
      <c r="D248">
        <v>5367</v>
      </c>
      <c r="E248">
        <v>217</v>
      </c>
      <c r="F248">
        <v>2</v>
      </c>
      <c r="G248">
        <v>2</v>
      </c>
      <c r="H248">
        <v>22</v>
      </c>
      <c r="I248">
        <v>60</v>
      </c>
      <c r="J248">
        <v>510</v>
      </c>
      <c r="K248">
        <v>4</v>
      </c>
      <c r="L248">
        <v>999</v>
      </c>
      <c r="M248">
        <v>9</v>
      </c>
      <c r="N248">
        <v>99</v>
      </c>
      <c r="O248">
        <v>9</v>
      </c>
      <c r="P248">
        <v>3</v>
      </c>
      <c r="Q248">
        <v>99999</v>
      </c>
      <c r="R248" s="276">
        <v>0</v>
      </c>
      <c r="S248" s="7">
        <v>45372.58079861111</v>
      </c>
      <c r="AG248" t="s">
        <v>277</v>
      </c>
      <c r="AH248">
        <v>2023</v>
      </c>
      <c r="AI248">
        <v>5346</v>
      </c>
      <c r="AJ248">
        <v>263</v>
      </c>
      <c r="AK248">
        <v>2</v>
      </c>
      <c r="AL248">
        <v>2</v>
      </c>
      <c r="AM248">
        <v>20</v>
      </c>
      <c r="AN248">
        <v>60</v>
      </c>
      <c r="AO248">
        <v>999</v>
      </c>
      <c r="AP248">
        <v>2</v>
      </c>
      <c r="AQ248">
        <v>11</v>
      </c>
      <c r="AR248">
        <v>9</v>
      </c>
      <c r="AS248">
        <v>99</v>
      </c>
      <c r="AT248">
        <v>9</v>
      </c>
      <c r="AU248">
        <v>3</v>
      </c>
      <c r="AV248">
        <v>99999</v>
      </c>
      <c r="AW248">
        <v>0</v>
      </c>
      <c r="AX248" s="7">
        <v>45383.489039351851</v>
      </c>
      <c r="AY248" s="7"/>
      <c r="BV248" t="str">
        <f t="shared" si="6"/>
        <v/>
      </c>
    </row>
    <row r="249" spans="1:74">
      <c r="A249">
        <v>247</v>
      </c>
      <c r="B249" t="s">
        <v>234</v>
      </c>
      <c r="C249">
        <v>2023</v>
      </c>
      <c r="D249">
        <v>5345</v>
      </c>
      <c r="E249">
        <v>264</v>
      </c>
      <c r="F249">
        <v>1</v>
      </c>
      <c r="G249">
        <v>1</v>
      </c>
      <c r="H249">
        <v>15</v>
      </c>
      <c r="I249">
        <v>144</v>
      </c>
      <c r="J249">
        <v>999</v>
      </c>
      <c r="K249">
        <v>2</v>
      </c>
      <c r="L249">
        <v>999</v>
      </c>
      <c r="M249">
        <v>9</v>
      </c>
      <c r="N249">
        <v>99</v>
      </c>
      <c r="O249">
        <v>9</v>
      </c>
      <c r="P249">
        <v>4</v>
      </c>
      <c r="Q249">
        <v>0</v>
      </c>
      <c r="R249" s="276">
        <v>0</v>
      </c>
      <c r="S249" s="7">
        <v>45372.583067129628</v>
      </c>
      <c r="AG249" t="s">
        <v>277</v>
      </c>
      <c r="AH249">
        <v>2023</v>
      </c>
      <c r="AI249">
        <v>5346</v>
      </c>
      <c r="AJ249">
        <v>263</v>
      </c>
      <c r="AK249">
        <v>2</v>
      </c>
      <c r="AL249">
        <v>2</v>
      </c>
      <c r="AM249">
        <v>20</v>
      </c>
      <c r="AN249">
        <v>60</v>
      </c>
      <c r="AO249">
        <v>999</v>
      </c>
      <c r="AP249">
        <v>2</v>
      </c>
      <c r="AQ249">
        <v>9</v>
      </c>
      <c r="AR249">
        <v>9</v>
      </c>
      <c r="AS249">
        <v>99</v>
      </c>
      <c r="AT249">
        <v>9</v>
      </c>
      <c r="AU249">
        <v>3</v>
      </c>
      <c r="AV249">
        <v>99999</v>
      </c>
      <c r="AW249">
        <v>0</v>
      </c>
      <c r="AX249" s="7">
        <v>45383.489039351851</v>
      </c>
      <c r="AY249" s="7"/>
      <c r="BV249" t="str">
        <f t="shared" si="6"/>
        <v/>
      </c>
    </row>
    <row r="250" spans="1:74">
      <c r="A250">
        <v>248</v>
      </c>
      <c r="B250" t="s">
        <v>234</v>
      </c>
      <c r="C250">
        <v>2023</v>
      </c>
      <c r="D250">
        <v>5345</v>
      </c>
      <c r="E250">
        <v>264</v>
      </c>
      <c r="F250">
        <v>1</v>
      </c>
      <c r="G250">
        <v>1</v>
      </c>
      <c r="H250">
        <v>15</v>
      </c>
      <c r="I250">
        <v>144</v>
      </c>
      <c r="J250">
        <v>999</v>
      </c>
      <c r="K250">
        <v>2</v>
      </c>
      <c r="L250">
        <v>999</v>
      </c>
      <c r="M250">
        <v>9</v>
      </c>
      <c r="N250">
        <v>99</v>
      </c>
      <c r="O250">
        <v>9</v>
      </c>
      <c r="P250">
        <v>4</v>
      </c>
      <c r="Q250">
        <v>0</v>
      </c>
      <c r="R250" s="276">
        <v>0</v>
      </c>
      <c r="S250" s="7">
        <v>45372.583067129628</v>
      </c>
      <c r="AG250" t="s">
        <v>277</v>
      </c>
      <c r="AH250">
        <v>2023</v>
      </c>
      <c r="AI250">
        <v>5346</v>
      </c>
      <c r="AJ250">
        <v>263</v>
      </c>
      <c r="AK250">
        <v>2</v>
      </c>
      <c r="AL250">
        <v>2</v>
      </c>
      <c r="AM250">
        <v>20</v>
      </c>
      <c r="AN250">
        <v>60</v>
      </c>
      <c r="AO250">
        <v>999</v>
      </c>
      <c r="AP250">
        <v>2</v>
      </c>
      <c r="AQ250">
        <v>8</v>
      </c>
      <c r="AR250">
        <v>9</v>
      </c>
      <c r="AS250">
        <v>99</v>
      </c>
      <c r="AT250">
        <v>9</v>
      </c>
      <c r="AU250">
        <v>3</v>
      </c>
      <c r="AV250">
        <v>99999</v>
      </c>
      <c r="AW250">
        <v>0</v>
      </c>
      <c r="AX250" s="7">
        <v>45383.489039351851</v>
      </c>
      <c r="AY250" s="7"/>
      <c r="BV250" t="str">
        <f t="shared" si="6"/>
        <v/>
      </c>
    </row>
    <row r="251" spans="1:74">
      <c r="A251">
        <v>249</v>
      </c>
      <c r="B251" t="s">
        <v>234</v>
      </c>
      <c r="C251">
        <v>2023</v>
      </c>
      <c r="D251">
        <v>5345</v>
      </c>
      <c r="E251">
        <v>264</v>
      </c>
      <c r="F251">
        <v>7</v>
      </c>
      <c r="G251">
        <v>1</v>
      </c>
      <c r="H251">
        <v>52</v>
      </c>
      <c r="I251">
        <v>999999</v>
      </c>
      <c r="J251">
        <v>999</v>
      </c>
      <c r="K251">
        <v>1</v>
      </c>
      <c r="L251">
        <v>7</v>
      </c>
      <c r="M251">
        <v>9</v>
      </c>
      <c r="N251">
        <v>99</v>
      </c>
      <c r="O251">
        <v>9</v>
      </c>
      <c r="P251">
        <v>3</v>
      </c>
      <c r="Q251">
        <v>99999</v>
      </c>
      <c r="R251" s="276">
        <v>3009317.16464093</v>
      </c>
      <c r="S251" s="7">
        <v>45372.583067129628</v>
      </c>
      <c r="AG251" t="s">
        <v>277</v>
      </c>
      <c r="AH251">
        <v>2023</v>
      </c>
      <c r="AI251">
        <v>5346</v>
      </c>
      <c r="AJ251">
        <v>263</v>
      </c>
      <c r="AK251">
        <v>2</v>
      </c>
      <c r="AL251">
        <v>2</v>
      </c>
      <c r="AM251">
        <v>20</v>
      </c>
      <c r="AN251">
        <v>60</v>
      </c>
      <c r="AO251">
        <v>999</v>
      </c>
      <c r="AP251">
        <v>2</v>
      </c>
      <c r="AQ251">
        <v>10</v>
      </c>
      <c r="AR251">
        <v>9</v>
      </c>
      <c r="AS251">
        <v>99</v>
      </c>
      <c r="AT251">
        <v>9</v>
      </c>
      <c r="AU251">
        <v>3</v>
      </c>
      <c r="AV251">
        <v>99999</v>
      </c>
      <c r="AW251">
        <v>0</v>
      </c>
      <c r="AX251" s="7">
        <v>45383.489039351851</v>
      </c>
      <c r="AY251" s="7"/>
      <c r="BV251" t="str">
        <f t="shared" si="6"/>
        <v/>
      </c>
    </row>
    <row r="252" spans="1:74">
      <c r="A252">
        <v>250</v>
      </c>
      <c r="B252" t="s">
        <v>234</v>
      </c>
      <c r="C252">
        <v>2023</v>
      </c>
      <c r="D252">
        <v>5345</v>
      </c>
      <c r="E252">
        <v>264</v>
      </c>
      <c r="F252">
        <v>7</v>
      </c>
      <c r="G252">
        <v>1</v>
      </c>
      <c r="H252">
        <v>52</v>
      </c>
      <c r="I252">
        <v>101</v>
      </c>
      <c r="J252">
        <v>999</v>
      </c>
      <c r="K252">
        <v>4</v>
      </c>
      <c r="L252">
        <v>999</v>
      </c>
      <c r="M252">
        <v>9</v>
      </c>
      <c r="N252">
        <v>99</v>
      </c>
      <c r="O252">
        <v>9</v>
      </c>
      <c r="P252">
        <v>3</v>
      </c>
      <c r="Q252">
        <v>99999</v>
      </c>
      <c r="R252" s="276">
        <v>12674381.698389901</v>
      </c>
      <c r="S252" s="7">
        <v>45372.583067129628</v>
      </c>
      <c r="AG252" t="s">
        <v>277</v>
      </c>
      <c r="AH252">
        <v>2023</v>
      </c>
      <c r="AI252">
        <v>5346</v>
      </c>
      <c r="AJ252">
        <v>263</v>
      </c>
      <c r="AK252">
        <v>2</v>
      </c>
      <c r="AL252">
        <v>2</v>
      </c>
      <c r="AM252">
        <v>20</v>
      </c>
      <c r="AN252">
        <v>60</v>
      </c>
      <c r="AO252">
        <v>999</v>
      </c>
      <c r="AP252">
        <v>3</v>
      </c>
      <c r="AQ252">
        <v>14</v>
      </c>
      <c r="AR252">
        <v>9</v>
      </c>
      <c r="AS252">
        <v>99</v>
      </c>
      <c r="AT252">
        <v>9</v>
      </c>
      <c r="AU252">
        <v>3</v>
      </c>
      <c r="AV252">
        <v>99999</v>
      </c>
      <c r="AW252">
        <v>-6577.25648378806</v>
      </c>
      <c r="AX252" s="7">
        <v>45383.489039351851</v>
      </c>
      <c r="AY252" s="7"/>
      <c r="BV252" t="str">
        <f t="shared" si="6"/>
        <v/>
      </c>
    </row>
    <row r="253" spans="1:74">
      <c r="A253">
        <v>251</v>
      </c>
      <c r="B253" t="s">
        <v>234</v>
      </c>
      <c r="C253">
        <v>2023</v>
      </c>
      <c r="D253">
        <v>5345</v>
      </c>
      <c r="E253">
        <v>264</v>
      </c>
      <c r="F253">
        <v>1</v>
      </c>
      <c r="G253">
        <v>1</v>
      </c>
      <c r="H253">
        <v>6</v>
      </c>
      <c r="I253">
        <v>999999</v>
      </c>
      <c r="J253">
        <v>999</v>
      </c>
      <c r="K253">
        <v>2</v>
      </c>
      <c r="L253">
        <v>999</v>
      </c>
      <c r="M253">
        <v>9</v>
      </c>
      <c r="N253">
        <v>99</v>
      </c>
      <c r="O253">
        <v>9</v>
      </c>
      <c r="P253">
        <v>2</v>
      </c>
      <c r="Q253">
        <v>99999</v>
      </c>
      <c r="R253" s="276">
        <v>0</v>
      </c>
      <c r="S253" s="7">
        <v>45372.583067129628</v>
      </c>
      <c r="AG253" t="s">
        <v>277</v>
      </c>
      <c r="AH253">
        <v>2023</v>
      </c>
      <c r="AI253">
        <v>5346</v>
      </c>
      <c r="AJ253">
        <v>263</v>
      </c>
      <c r="AK253">
        <v>2</v>
      </c>
      <c r="AL253">
        <v>2</v>
      </c>
      <c r="AM253">
        <v>20</v>
      </c>
      <c r="AN253">
        <v>60</v>
      </c>
      <c r="AO253">
        <v>999</v>
      </c>
      <c r="AP253">
        <v>3</v>
      </c>
      <c r="AQ253">
        <v>15</v>
      </c>
      <c r="AR253">
        <v>9</v>
      </c>
      <c r="AS253">
        <v>99</v>
      </c>
      <c r="AT253">
        <v>9</v>
      </c>
      <c r="AU253">
        <v>3</v>
      </c>
      <c r="AV253">
        <v>99999</v>
      </c>
      <c r="AW253">
        <v>-248251.59665730901</v>
      </c>
      <c r="AX253" s="7">
        <v>45383.489039351851</v>
      </c>
      <c r="AY253" s="7"/>
      <c r="BV253" t="str">
        <f t="shared" si="6"/>
        <v/>
      </c>
    </row>
    <row r="254" spans="1:74">
      <c r="A254">
        <v>252</v>
      </c>
      <c r="B254" t="s">
        <v>234</v>
      </c>
      <c r="C254">
        <v>2023</v>
      </c>
      <c r="D254">
        <v>5345</v>
      </c>
      <c r="E254">
        <v>264</v>
      </c>
      <c r="F254">
        <v>1</v>
      </c>
      <c r="G254">
        <v>1</v>
      </c>
      <c r="H254">
        <v>15</v>
      </c>
      <c r="I254">
        <v>144</v>
      </c>
      <c r="J254">
        <v>999</v>
      </c>
      <c r="K254">
        <v>2</v>
      </c>
      <c r="L254">
        <v>999</v>
      </c>
      <c r="M254">
        <v>9</v>
      </c>
      <c r="N254">
        <v>5</v>
      </c>
      <c r="O254">
        <v>9</v>
      </c>
      <c r="P254">
        <v>4</v>
      </c>
      <c r="Q254">
        <v>5707</v>
      </c>
      <c r="R254" s="276">
        <v>205.69210000000001</v>
      </c>
      <c r="S254" s="7">
        <v>45372.583067129628</v>
      </c>
      <c r="AG254" t="s">
        <v>277</v>
      </c>
      <c r="AH254">
        <v>2023</v>
      </c>
      <c r="AI254">
        <v>5346</v>
      </c>
      <c r="AJ254">
        <v>263</v>
      </c>
      <c r="AK254">
        <v>2</v>
      </c>
      <c r="AL254">
        <v>2</v>
      </c>
      <c r="AM254">
        <v>20</v>
      </c>
      <c r="AN254">
        <v>60</v>
      </c>
      <c r="AO254">
        <v>999</v>
      </c>
      <c r="AP254">
        <v>3</v>
      </c>
      <c r="AQ254">
        <v>16</v>
      </c>
      <c r="AR254">
        <v>9</v>
      </c>
      <c r="AS254">
        <v>99</v>
      </c>
      <c r="AT254">
        <v>9</v>
      </c>
      <c r="AU254">
        <v>3</v>
      </c>
      <c r="AV254">
        <v>99999</v>
      </c>
      <c r="AW254">
        <v>0</v>
      </c>
      <c r="AX254" s="7">
        <v>45383.489039351851</v>
      </c>
      <c r="AY254" s="7"/>
      <c r="BV254" t="str">
        <f t="shared" si="6"/>
        <v/>
      </c>
    </row>
    <row r="255" spans="1:74">
      <c r="A255">
        <v>253</v>
      </c>
      <c r="B255" t="s">
        <v>234</v>
      </c>
      <c r="C255">
        <v>2023</v>
      </c>
      <c r="D255">
        <v>5345</v>
      </c>
      <c r="E255">
        <v>264</v>
      </c>
      <c r="F255">
        <v>1</v>
      </c>
      <c r="G255">
        <v>1</v>
      </c>
      <c r="H255">
        <v>15</v>
      </c>
      <c r="I255">
        <v>144</v>
      </c>
      <c r="J255">
        <v>999</v>
      </c>
      <c r="K255">
        <v>2</v>
      </c>
      <c r="L255">
        <v>999</v>
      </c>
      <c r="M255">
        <v>9</v>
      </c>
      <c r="N255">
        <v>99</v>
      </c>
      <c r="O255">
        <v>9</v>
      </c>
      <c r="P255">
        <v>4</v>
      </c>
      <c r="Q255">
        <v>0</v>
      </c>
      <c r="R255" s="276">
        <v>0</v>
      </c>
      <c r="S255" s="7">
        <v>45372.583067129628</v>
      </c>
      <c r="AG255" t="s">
        <v>277</v>
      </c>
      <c r="AH255">
        <v>2023</v>
      </c>
      <c r="AI255">
        <v>5346</v>
      </c>
      <c r="AJ255">
        <v>263</v>
      </c>
      <c r="AK255">
        <v>2</v>
      </c>
      <c r="AL255">
        <v>2</v>
      </c>
      <c r="AM255">
        <v>20</v>
      </c>
      <c r="AN255">
        <v>60</v>
      </c>
      <c r="AO255">
        <v>999</v>
      </c>
      <c r="AP255">
        <v>3</v>
      </c>
      <c r="AQ255">
        <v>17</v>
      </c>
      <c r="AR255">
        <v>9</v>
      </c>
      <c r="AS255">
        <v>99</v>
      </c>
      <c r="AT255">
        <v>9</v>
      </c>
      <c r="AU255">
        <v>3</v>
      </c>
      <c r="AV255">
        <v>99999</v>
      </c>
      <c r="AW255">
        <v>0</v>
      </c>
      <c r="AX255" s="7">
        <v>45383.489039351851</v>
      </c>
      <c r="AY255" s="7"/>
      <c r="BV255" t="str">
        <f t="shared" si="6"/>
        <v/>
      </c>
    </row>
    <row r="256" spans="1:74">
      <c r="A256">
        <v>254</v>
      </c>
      <c r="B256" t="s">
        <v>234</v>
      </c>
      <c r="C256">
        <v>2023</v>
      </c>
      <c r="D256">
        <v>5345</v>
      </c>
      <c r="E256">
        <v>264</v>
      </c>
      <c r="F256">
        <v>1</v>
      </c>
      <c r="G256">
        <v>1</v>
      </c>
      <c r="H256">
        <v>15</v>
      </c>
      <c r="I256">
        <v>144</v>
      </c>
      <c r="J256">
        <v>999</v>
      </c>
      <c r="K256">
        <v>2</v>
      </c>
      <c r="L256">
        <v>999</v>
      </c>
      <c r="M256">
        <v>9</v>
      </c>
      <c r="N256">
        <v>99</v>
      </c>
      <c r="O256">
        <v>9</v>
      </c>
      <c r="P256">
        <v>4</v>
      </c>
      <c r="Q256">
        <v>0</v>
      </c>
      <c r="R256" s="276">
        <v>0</v>
      </c>
      <c r="S256" s="7">
        <v>45372.583067129628</v>
      </c>
      <c r="AG256" t="s">
        <v>277</v>
      </c>
      <c r="AH256">
        <v>2023</v>
      </c>
      <c r="AI256">
        <v>5346</v>
      </c>
      <c r="AJ256">
        <v>263</v>
      </c>
      <c r="AK256">
        <v>2</v>
      </c>
      <c r="AL256">
        <v>2</v>
      </c>
      <c r="AM256">
        <v>20</v>
      </c>
      <c r="AN256">
        <v>60</v>
      </c>
      <c r="AO256">
        <v>999</v>
      </c>
      <c r="AP256">
        <v>3</v>
      </c>
      <c r="AQ256">
        <v>18</v>
      </c>
      <c r="AR256">
        <v>9</v>
      </c>
      <c r="AS256">
        <v>99</v>
      </c>
      <c r="AT256">
        <v>9</v>
      </c>
      <c r="AU256">
        <v>3</v>
      </c>
      <c r="AV256">
        <v>99999</v>
      </c>
      <c r="AW256">
        <v>-41084.085563556102</v>
      </c>
      <c r="AX256" s="7">
        <v>45383.489039351851</v>
      </c>
      <c r="AY256" s="7"/>
      <c r="BV256" t="str">
        <f t="shared" si="6"/>
        <v/>
      </c>
    </row>
    <row r="257" spans="1:74">
      <c r="A257">
        <v>255</v>
      </c>
      <c r="B257" t="s">
        <v>234</v>
      </c>
      <c r="C257">
        <v>2023</v>
      </c>
      <c r="D257">
        <v>5345</v>
      </c>
      <c r="E257">
        <v>264</v>
      </c>
      <c r="F257">
        <v>7</v>
      </c>
      <c r="G257">
        <v>1</v>
      </c>
      <c r="H257">
        <v>52</v>
      </c>
      <c r="I257">
        <v>999999</v>
      </c>
      <c r="J257">
        <v>999</v>
      </c>
      <c r="K257">
        <v>3</v>
      </c>
      <c r="L257">
        <v>17</v>
      </c>
      <c r="M257">
        <v>9</v>
      </c>
      <c r="N257">
        <v>99</v>
      </c>
      <c r="O257">
        <v>9</v>
      </c>
      <c r="P257">
        <v>3</v>
      </c>
      <c r="Q257">
        <v>99999</v>
      </c>
      <c r="R257" s="276">
        <v>0</v>
      </c>
      <c r="S257" s="7">
        <v>45372.583067129628</v>
      </c>
      <c r="AG257" t="s">
        <v>277</v>
      </c>
      <c r="AH257">
        <v>2023</v>
      </c>
      <c r="AI257">
        <v>5346</v>
      </c>
      <c r="AJ257">
        <v>263</v>
      </c>
      <c r="AK257">
        <v>2</v>
      </c>
      <c r="AL257">
        <v>2</v>
      </c>
      <c r="AM257">
        <v>20</v>
      </c>
      <c r="AN257">
        <v>60</v>
      </c>
      <c r="AO257">
        <v>999</v>
      </c>
      <c r="AP257">
        <v>3</v>
      </c>
      <c r="AQ257">
        <v>12</v>
      </c>
      <c r="AR257">
        <v>9</v>
      </c>
      <c r="AS257">
        <v>99</v>
      </c>
      <c r="AT257">
        <v>9</v>
      </c>
      <c r="AU257">
        <v>3</v>
      </c>
      <c r="AV257">
        <v>99999</v>
      </c>
      <c r="AW257">
        <v>0</v>
      </c>
      <c r="AX257" s="7">
        <v>45383.489039351851</v>
      </c>
      <c r="AY257" s="7"/>
      <c r="BV257" t="str">
        <f t="shared" si="6"/>
        <v/>
      </c>
    </row>
    <row r="258" spans="1:74">
      <c r="A258">
        <v>256</v>
      </c>
      <c r="B258" t="s">
        <v>234</v>
      </c>
      <c r="C258">
        <v>2023</v>
      </c>
      <c r="D258">
        <v>5345</v>
      </c>
      <c r="E258">
        <v>264</v>
      </c>
      <c r="F258">
        <v>7</v>
      </c>
      <c r="G258">
        <v>1</v>
      </c>
      <c r="H258">
        <v>52</v>
      </c>
      <c r="I258">
        <v>999999</v>
      </c>
      <c r="J258">
        <v>999</v>
      </c>
      <c r="K258">
        <v>3</v>
      </c>
      <c r="L258">
        <v>18</v>
      </c>
      <c r="M258">
        <v>9</v>
      </c>
      <c r="N258">
        <v>99</v>
      </c>
      <c r="O258">
        <v>9</v>
      </c>
      <c r="P258">
        <v>3</v>
      </c>
      <c r="Q258">
        <v>99999</v>
      </c>
      <c r="R258" s="276">
        <v>234957.454108529</v>
      </c>
      <c r="S258" s="7">
        <v>45372.583067129628</v>
      </c>
      <c r="AG258" t="s">
        <v>277</v>
      </c>
      <c r="AH258">
        <v>2023</v>
      </c>
      <c r="AI258">
        <v>5346</v>
      </c>
      <c r="AJ258">
        <v>263</v>
      </c>
      <c r="AK258">
        <v>2</v>
      </c>
      <c r="AL258">
        <v>2</v>
      </c>
      <c r="AM258">
        <v>22</v>
      </c>
      <c r="AN258">
        <v>60</v>
      </c>
      <c r="AO258">
        <v>240</v>
      </c>
      <c r="AP258">
        <v>2</v>
      </c>
      <c r="AQ258">
        <v>10</v>
      </c>
      <c r="AR258">
        <v>9</v>
      </c>
      <c r="AS258">
        <v>99</v>
      </c>
      <c r="AT258">
        <v>9</v>
      </c>
      <c r="AU258">
        <v>3</v>
      </c>
      <c r="AV258">
        <v>99999</v>
      </c>
      <c r="AW258">
        <v>0</v>
      </c>
      <c r="AX258" s="7">
        <v>45383.489039351851</v>
      </c>
      <c r="AY258" s="7"/>
      <c r="BV258" t="str">
        <f t="shared" si="6"/>
        <v/>
      </c>
    </row>
    <row r="259" spans="1:74">
      <c r="A259">
        <v>257</v>
      </c>
      <c r="B259" t="s">
        <v>234</v>
      </c>
      <c r="C259">
        <v>2023</v>
      </c>
      <c r="D259">
        <v>5345</v>
      </c>
      <c r="E259">
        <v>264</v>
      </c>
      <c r="F259">
        <v>7</v>
      </c>
      <c r="G259">
        <v>1</v>
      </c>
      <c r="H259">
        <v>52</v>
      </c>
      <c r="I259">
        <v>55</v>
      </c>
      <c r="J259">
        <v>999</v>
      </c>
      <c r="K259">
        <v>2</v>
      </c>
      <c r="L259">
        <v>999</v>
      </c>
      <c r="M259">
        <v>9</v>
      </c>
      <c r="N259">
        <v>99</v>
      </c>
      <c r="O259">
        <v>9</v>
      </c>
      <c r="P259">
        <v>3</v>
      </c>
      <c r="Q259">
        <v>99999</v>
      </c>
      <c r="R259" s="276">
        <v>3258721.5883321902</v>
      </c>
      <c r="S259" s="7">
        <v>45372.583067129628</v>
      </c>
      <c r="AG259" t="s">
        <v>277</v>
      </c>
      <c r="AH259">
        <v>2023</v>
      </c>
      <c r="AI259">
        <v>5346</v>
      </c>
      <c r="AJ259">
        <v>263</v>
      </c>
      <c r="AK259">
        <v>2</v>
      </c>
      <c r="AL259">
        <v>2</v>
      </c>
      <c r="AM259">
        <v>22</v>
      </c>
      <c r="AN259">
        <v>60</v>
      </c>
      <c r="AO259">
        <v>240</v>
      </c>
      <c r="AP259">
        <v>2</v>
      </c>
      <c r="AQ259">
        <v>24</v>
      </c>
      <c r="AR259">
        <v>9</v>
      </c>
      <c r="AS259">
        <v>99</v>
      </c>
      <c r="AT259">
        <v>9</v>
      </c>
      <c r="AU259">
        <v>3</v>
      </c>
      <c r="AV259">
        <v>99999</v>
      </c>
      <c r="AW259">
        <v>0</v>
      </c>
      <c r="AX259" s="7">
        <v>45383.489039351851</v>
      </c>
      <c r="AY259" s="7"/>
      <c r="BV259" t="str">
        <f t="shared" ref="BV259:BV322" si="7">CONCATENATE(BX259,BY259,BW259,CA259)</f>
        <v/>
      </c>
    </row>
    <row r="260" spans="1:74">
      <c r="A260">
        <v>258</v>
      </c>
      <c r="B260" t="s">
        <v>234</v>
      </c>
      <c r="C260">
        <v>2023</v>
      </c>
      <c r="D260">
        <v>5345</v>
      </c>
      <c r="E260">
        <v>264</v>
      </c>
      <c r="F260">
        <v>7</v>
      </c>
      <c r="G260">
        <v>1</v>
      </c>
      <c r="H260">
        <v>52</v>
      </c>
      <c r="I260">
        <v>999999</v>
      </c>
      <c r="J260">
        <v>999</v>
      </c>
      <c r="K260">
        <v>1</v>
      </c>
      <c r="L260">
        <v>1</v>
      </c>
      <c r="M260">
        <v>9</v>
      </c>
      <c r="N260">
        <v>99</v>
      </c>
      <c r="O260">
        <v>9</v>
      </c>
      <c r="P260">
        <v>3</v>
      </c>
      <c r="Q260">
        <v>99999</v>
      </c>
      <c r="R260" s="276">
        <v>0</v>
      </c>
      <c r="S260" s="7">
        <v>45372.583067129628</v>
      </c>
      <c r="AG260" t="s">
        <v>277</v>
      </c>
      <c r="AH260">
        <v>2023</v>
      </c>
      <c r="AI260">
        <v>5346</v>
      </c>
      <c r="AJ260">
        <v>263</v>
      </c>
      <c r="AK260">
        <v>2</v>
      </c>
      <c r="AL260">
        <v>2</v>
      </c>
      <c r="AM260">
        <v>22</v>
      </c>
      <c r="AN260">
        <v>60</v>
      </c>
      <c r="AO260">
        <v>240</v>
      </c>
      <c r="AP260">
        <v>2</v>
      </c>
      <c r="AQ260">
        <v>10</v>
      </c>
      <c r="AR260">
        <v>9</v>
      </c>
      <c r="AS260">
        <v>99</v>
      </c>
      <c r="AT260">
        <v>9</v>
      </c>
      <c r="AU260">
        <v>3</v>
      </c>
      <c r="AV260">
        <v>99999</v>
      </c>
      <c r="AW260">
        <v>0</v>
      </c>
      <c r="AX260" s="7">
        <v>45383.489039351851</v>
      </c>
      <c r="AY260" s="7"/>
      <c r="BV260" t="str">
        <f t="shared" si="7"/>
        <v/>
      </c>
    </row>
    <row r="261" spans="1:74">
      <c r="A261">
        <v>259</v>
      </c>
      <c r="B261" t="s">
        <v>234</v>
      </c>
      <c r="C261">
        <v>2023</v>
      </c>
      <c r="D261">
        <v>5345</v>
      </c>
      <c r="E261">
        <v>264</v>
      </c>
      <c r="F261">
        <v>7</v>
      </c>
      <c r="G261">
        <v>1</v>
      </c>
      <c r="H261">
        <v>52</v>
      </c>
      <c r="I261">
        <v>999999</v>
      </c>
      <c r="J261">
        <v>999</v>
      </c>
      <c r="K261">
        <v>1</v>
      </c>
      <c r="L261">
        <v>2</v>
      </c>
      <c r="M261">
        <v>9</v>
      </c>
      <c r="N261">
        <v>99</v>
      </c>
      <c r="O261">
        <v>9</v>
      </c>
      <c r="P261">
        <v>3</v>
      </c>
      <c r="Q261">
        <v>99999</v>
      </c>
      <c r="R261" s="276">
        <v>0</v>
      </c>
      <c r="S261" s="7">
        <v>45372.583067129628</v>
      </c>
      <c r="AG261" t="s">
        <v>277</v>
      </c>
      <c r="AH261">
        <v>2023</v>
      </c>
      <c r="AI261">
        <v>5346</v>
      </c>
      <c r="AJ261">
        <v>263</v>
      </c>
      <c r="AK261">
        <v>2</v>
      </c>
      <c r="AL261">
        <v>2</v>
      </c>
      <c r="AM261">
        <v>22</v>
      </c>
      <c r="AN261">
        <v>60</v>
      </c>
      <c r="AO261">
        <v>240</v>
      </c>
      <c r="AP261">
        <v>2</v>
      </c>
      <c r="AQ261">
        <v>24</v>
      </c>
      <c r="AR261">
        <v>9</v>
      </c>
      <c r="AS261">
        <v>99</v>
      </c>
      <c r="AT261">
        <v>9</v>
      </c>
      <c r="AU261">
        <v>3</v>
      </c>
      <c r="AV261">
        <v>99999</v>
      </c>
      <c r="AW261">
        <v>0</v>
      </c>
      <c r="AX261" s="7">
        <v>45383.489039351851</v>
      </c>
      <c r="AY261" s="7"/>
      <c r="BV261" t="str">
        <f t="shared" si="7"/>
        <v/>
      </c>
    </row>
    <row r="262" spans="1:74">
      <c r="A262">
        <v>260</v>
      </c>
      <c r="B262" t="s">
        <v>234</v>
      </c>
      <c r="C262">
        <v>2023</v>
      </c>
      <c r="D262">
        <v>5345</v>
      </c>
      <c r="E262">
        <v>264</v>
      </c>
      <c r="F262">
        <v>7</v>
      </c>
      <c r="G262">
        <v>1</v>
      </c>
      <c r="H262">
        <v>52</v>
      </c>
      <c r="I262">
        <v>999999</v>
      </c>
      <c r="J262">
        <v>999</v>
      </c>
      <c r="K262">
        <v>1</v>
      </c>
      <c r="L262">
        <v>3</v>
      </c>
      <c r="M262">
        <v>9</v>
      </c>
      <c r="N262">
        <v>99</v>
      </c>
      <c r="O262">
        <v>9</v>
      </c>
      <c r="P262">
        <v>3</v>
      </c>
      <c r="Q262">
        <v>99999</v>
      </c>
      <c r="R262" s="276">
        <v>0</v>
      </c>
      <c r="S262" s="7">
        <v>45372.583067129628</v>
      </c>
      <c r="AG262" t="s">
        <v>277</v>
      </c>
      <c r="AH262">
        <v>2023</v>
      </c>
      <c r="AI262">
        <v>5346</v>
      </c>
      <c r="AJ262">
        <v>263</v>
      </c>
      <c r="AK262">
        <v>2</v>
      </c>
      <c r="AL262">
        <v>2</v>
      </c>
      <c r="AM262">
        <v>22</v>
      </c>
      <c r="AN262">
        <v>60</v>
      </c>
      <c r="AO262">
        <v>240</v>
      </c>
      <c r="AP262">
        <v>3</v>
      </c>
      <c r="AQ262">
        <v>17</v>
      </c>
      <c r="AR262">
        <v>9</v>
      </c>
      <c r="AS262">
        <v>99</v>
      </c>
      <c r="AT262">
        <v>9</v>
      </c>
      <c r="AU262">
        <v>3</v>
      </c>
      <c r="AV262">
        <v>99999</v>
      </c>
      <c r="AW262">
        <v>0</v>
      </c>
      <c r="AX262" s="7">
        <v>45383.489039351851</v>
      </c>
      <c r="AY262" s="7"/>
      <c r="BV262" t="str">
        <f t="shared" si="7"/>
        <v/>
      </c>
    </row>
    <row r="263" spans="1:74">
      <c r="A263">
        <v>261</v>
      </c>
      <c r="B263" t="s">
        <v>234</v>
      </c>
      <c r="C263">
        <v>2023</v>
      </c>
      <c r="D263">
        <v>5345</v>
      </c>
      <c r="E263">
        <v>264</v>
      </c>
      <c r="F263">
        <v>7</v>
      </c>
      <c r="G263">
        <v>1</v>
      </c>
      <c r="H263">
        <v>52</v>
      </c>
      <c r="I263">
        <v>999999</v>
      </c>
      <c r="J263">
        <v>999</v>
      </c>
      <c r="K263">
        <v>3</v>
      </c>
      <c r="L263">
        <v>15</v>
      </c>
      <c r="M263">
        <v>9</v>
      </c>
      <c r="N263">
        <v>99</v>
      </c>
      <c r="O263">
        <v>9</v>
      </c>
      <c r="P263">
        <v>3</v>
      </c>
      <c r="Q263">
        <v>99999</v>
      </c>
      <c r="R263" s="276">
        <v>1481693.9234313101</v>
      </c>
      <c r="S263" s="7">
        <v>45372.583067129628</v>
      </c>
      <c r="AG263" t="s">
        <v>277</v>
      </c>
      <c r="AH263">
        <v>2023</v>
      </c>
      <c r="AI263">
        <v>5346</v>
      </c>
      <c r="AJ263">
        <v>263</v>
      </c>
      <c r="AK263">
        <v>2</v>
      </c>
      <c r="AL263">
        <v>2</v>
      </c>
      <c r="AM263">
        <v>22</v>
      </c>
      <c r="AN263">
        <v>60</v>
      </c>
      <c r="AO263">
        <v>240</v>
      </c>
      <c r="AP263">
        <v>2</v>
      </c>
      <c r="AQ263">
        <v>11</v>
      </c>
      <c r="AR263">
        <v>9</v>
      </c>
      <c r="AS263">
        <v>99</v>
      </c>
      <c r="AT263">
        <v>9</v>
      </c>
      <c r="AU263">
        <v>3</v>
      </c>
      <c r="AV263">
        <v>99999</v>
      </c>
      <c r="AW263">
        <v>0</v>
      </c>
      <c r="AX263" s="7">
        <v>45383.489039351851</v>
      </c>
      <c r="AY263" s="7"/>
      <c r="BV263" t="str">
        <f t="shared" si="7"/>
        <v/>
      </c>
    </row>
    <row r="264" spans="1:74">
      <c r="A264">
        <v>262</v>
      </c>
      <c r="B264" t="s">
        <v>234</v>
      </c>
      <c r="C264">
        <v>2023</v>
      </c>
      <c r="D264">
        <v>5345</v>
      </c>
      <c r="E264">
        <v>264</v>
      </c>
      <c r="F264">
        <v>7</v>
      </c>
      <c r="G264">
        <v>1</v>
      </c>
      <c r="H264">
        <v>52</v>
      </c>
      <c r="I264">
        <v>73</v>
      </c>
      <c r="J264">
        <v>999</v>
      </c>
      <c r="K264">
        <v>3</v>
      </c>
      <c r="L264">
        <v>15</v>
      </c>
      <c r="M264">
        <v>9</v>
      </c>
      <c r="N264">
        <v>99</v>
      </c>
      <c r="O264">
        <v>9</v>
      </c>
      <c r="P264">
        <v>3</v>
      </c>
      <c r="Q264">
        <v>99999</v>
      </c>
      <c r="R264" s="276">
        <v>0</v>
      </c>
      <c r="S264" s="7">
        <v>45372.583067129628</v>
      </c>
      <c r="AG264" t="s">
        <v>277</v>
      </c>
      <c r="AH264">
        <v>2023</v>
      </c>
      <c r="AI264">
        <v>5346</v>
      </c>
      <c r="AJ264">
        <v>263</v>
      </c>
      <c r="AK264">
        <v>2</v>
      </c>
      <c r="AL264">
        <v>2</v>
      </c>
      <c r="AM264">
        <v>22</v>
      </c>
      <c r="AN264">
        <v>60</v>
      </c>
      <c r="AO264">
        <v>240</v>
      </c>
      <c r="AP264">
        <v>2</v>
      </c>
      <c r="AQ264">
        <v>9</v>
      </c>
      <c r="AR264">
        <v>9</v>
      </c>
      <c r="AS264">
        <v>99</v>
      </c>
      <c r="AT264">
        <v>9</v>
      </c>
      <c r="AU264">
        <v>3</v>
      </c>
      <c r="AV264">
        <v>99999</v>
      </c>
      <c r="AW264">
        <v>0</v>
      </c>
      <c r="AX264" s="7">
        <v>45383.489039351851</v>
      </c>
      <c r="AY264" s="7"/>
      <c r="BV264" t="str">
        <f t="shared" si="7"/>
        <v/>
      </c>
    </row>
    <row r="265" spans="1:74">
      <c r="A265">
        <v>263</v>
      </c>
      <c r="B265" t="s">
        <v>234</v>
      </c>
      <c r="C265">
        <v>2023</v>
      </c>
      <c r="D265">
        <v>5345</v>
      </c>
      <c r="E265">
        <v>264</v>
      </c>
      <c r="F265">
        <v>7</v>
      </c>
      <c r="G265">
        <v>1</v>
      </c>
      <c r="H265">
        <v>52</v>
      </c>
      <c r="I265">
        <v>999999</v>
      </c>
      <c r="J265">
        <v>999</v>
      </c>
      <c r="K265">
        <v>3</v>
      </c>
      <c r="L265">
        <v>28</v>
      </c>
      <c r="M265">
        <v>9</v>
      </c>
      <c r="N265">
        <v>99</v>
      </c>
      <c r="O265">
        <v>9</v>
      </c>
      <c r="P265">
        <v>3</v>
      </c>
      <c r="Q265">
        <v>99999</v>
      </c>
      <c r="R265" s="276">
        <v>0</v>
      </c>
      <c r="S265" s="7">
        <v>45372.583067129628</v>
      </c>
      <c r="AG265" t="s">
        <v>277</v>
      </c>
      <c r="AH265">
        <v>2023</v>
      </c>
      <c r="AI265">
        <v>5346</v>
      </c>
      <c r="AJ265">
        <v>263</v>
      </c>
      <c r="AK265">
        <v>2</v>
      </c>
      <c r="AL265">
        <v>2</v>
      </c>
      <c r="AM265">
        <v>22</v>
      </c>
      <c r="AN265">
        <v>60</v>
      </c>
      <c r="AO265">
        <v>240</v>
      </c>
      <c r="AP265">
        <v>2</v>
      </c>
      <c r="AQ265">
        <v>8</v>
      </c>
      <c r="AR265">
        <v>9</v>
      </c>
      <c r="AS265">
        <v>99</v>
      </c>
      <c r="AT265">
        <v>9</v>
      </c>
      <c r="AU265">
        <v>3</v>
      </c>
      <c r="AV265">
        <v>99999</v>
      </c>
      <c r="AW265">
        <v>0</v>
      </c>
      <c r="AX265" s="7">
        <v>45383.489039351851</v>
      </c>
      <c r="AY265" s="7"/>
      <c r="BV265" t="str">
        <f t="shared" si="7"/>
        <v/>
      </c>
    </row>
    <row r="266" spans="1:74">
      <c r="A266">
        <v>264</v>
      </c>
      <c r="B266" t="s">
        <v>234</v>
      </c>
      <c r="C266">
        <v>2023</v>
      </c>
      <c r="D266">
        <v>5345</v>
      </c>
      <c r="E266">
        <v>264</v>
      </c>
      <c r="F266">
        <v>7</v>
      </c>
      <c r="G266">
        <v>1</v>
      </c>
      <c r="H266">
        <v>52</v>
      </c>
      <c r="I266">
        <v>999999</v>
      </c>
      <c r="J266">
        <v>999</v>
      </c>
      <c r="K266">
        <v>3</v>
      </c>
      <c r="L266">
        <v>29</v>
      </c>
      <c r="M266">
        <v>9</v>
      </c>
      <c r="N266">
        <v>99</v>
      </c>
      <c r="O266">
        <v>9</v>
      </c>
      <c r="P266">
        <v>3</v>
      </c>
      <c r="Q266">
        <v>99999</v>
      </c>
      <c r="R266" s="276">
        <v>0</v>
      </c>
      <c r="S266" s="7">
        <v>45372.583067129628</v>
      </c>
      <c r="AG266" t="s">
        <v>277</v>
      </c>
      <c r="AH266">
        <v>2023</v>
      </c>
      <c r="AI266">
        <v>5346</v>
      </c>
      <c r="AJ266">
        <v>263</v>
      </c>
      <c r="AK266">
        <v>2</v>
      </c>
      <c r="AL266">
        <v>2</v>
      </c>
      <c r="AM266">
        <v>22</v>
      </c>
      <c r="AN266">
        <v>60</v>
      </c>
      <c r="AO266">
        <v>240</v>
      </c>
      <c r="AP266">
        <v>2</v>
      </c>
      <c r="AQ266">
        <v>11</v>
      </c>
      <c r="AR266">
        <v>9</v>
      </c>
      <c r="AS266">
        <v>99</v>
      </c>
      <c r="AT266">
        <v>9</v>
      </c>
      <c r="AU266">
        <v>3</v>
      </c>
      <c r="AV266">
        <v>99999</v>
      </c>
      <c r="AW266">
        <v>0</v>
      </c>
      <c r="AX266" s="7">
        <v>45383.489039351851</v>
      </c>
      <c r="AY266" s="7"/>
      <c r="BV266" t="str">
        <f t="shared" si="7"/>
        <v/>
      </c>
    </row>
    <row r="267" spans="1:74">
      <c r="A267">
        <v>265</v>
      </c>
      <c r="B267" t="s">
        <v>234</v>
      </c>
      <c r="C267">
        <v>2023</v>
      </c>
      <c r="D267">
        <v>5345</v>
      </c>
      <c r="E267">
        <v>264</v>
      </c>
      <c r="F267">
        <v>7</v>
      </c>
      <c r="G267">
        <v>1</v>
      </c>
      <c r="H267">
        <v>52</v>
      </c>
      <c r="I267">
        <v>81</v>
      </c>
      <c r="J267">
        <v>999</v>
      </c>
      <c r="K267">
        <v>3</v>
      </c>
      <c r="L267">
        <v>15</v>
      </c>
      <c r="M267">
        <v>9</v>
      </c>
      <c r="N267">
        <v>99</v>
      </c>
      <c r="O267">
        <v>9</v>
      </c>
      <c r="P267">
        <v>3</v>
      </c>
      <c r="Q267">
        <v>99999</v>
      </c>
      <c r="R267" s="276">
        <v>0</v>
      </c>
      <c r="S267" s="7">
        <v>45372.583067129628</v>
      </c>
      <c r="AG267" t="s">
        <v>277</v>
      </c>
      <c r="AH267">
        <v>2023</v>
      </c>
      <c r="AI267">
        <v>5346</v>
      </c>
      <c r="AJ267">
        <v>263</v>
      </c>
      <c r="AK267">
        <v>2</v>
      </c>
      <c r="AL267">
        <v>2</v>
      </c>
      <c r="AM267">
        <v>22</v>
      </c>
      <c r="AN267">
        <v>60</v>
      </c>
      <c r="AO267">
        <v>240</v>
      </c>
      <c r="AP267">
        <v>2</v>
      </c>
      <c r="AQ267">
        <v>9</v>
      </c>
      <c r="AR267">
        <v>9</v>
      </c>
      <c r="AS267">
        <v>99</v>
      </c>
      <c r="AT267">
        <v>9</v>
      </c>
      <c r="AU267">
        <v>3</v>
      </c>
      <c r="AV267">
        <v>99999</v>
      </c>
      <c r="AW267">
        <v>0</v>
      </c>
      <c r="AX267" s="7">
        <v>45383.489039351851</v>
      </c>
      <c r="AY267" s="7"/>
      <c r="BV267" t="str">
        <f t="shared" si="7"/>
        <v/>
      </c>
    </row>
    <row r="268" spans="1:74">
      <c r="A268">
        <v>266</v>
      </c>
      <c r="B268" t="s">
        <v>234</v>
      </c>
      <c r="C268">
        <v>2023</v>
      </c>
      <c r="D268">
        <v>5345</v>
      </c>
      <c r="E268">
        <v>264</v>
      </c>
      <c r="F268">
        <v>7</v>
      </c>
      <c r="G268">
        <v>1</v>
      </c>
      <c r="H268">
        <v>52</v>
      </c>
      <c r="I268">
        <v>82</v>
      </c>
      <c r="J268">
        <v>999</v>
      </c>
      <c r="K268">
        <v>3</v>
      </c>
      <c r="L268">
        <v>25</v>
      </c>
      <c r="M268">
        <v>9</v>
      </c>
      <c r="N268">
        <v>99</v>
      </c>
      <c r="O268">
        <v>9</v>
      </c>
      <c r="P268">
        <v>3</v>
      </c>
      <c r="Q268">
        <v>99999</v>
      </c>
      <c r="R268" s="276">
        <v>0</v>
      </c>
      <c r="S268" s="7">
        <v>45372.583067129628</v>
      </c>
      <c r="AG268" t="s">
        <v>277</v>
      </c>
      <c r="AH268">
        <v>2023</v>
      </c>
      <c r="AI268">
        <v>5346</v>
      </c>
      <c r="AJ268">
        <v>263</v>
      </c>
      <c r="AK268">
        <v>2</v>
      </c>
      <c r="AL268">
        <v>2</v>
      </c>
      <c r="AM268">
        <v>22</v>
      </c>
      <c r="AN268">
        <v>60</v>
      </c>
      <c r="AO268">
        <v>240</v>
      </c>
      <c r="AP268">
        <v>2</v>
      </c>
      <c r="AQ268">
        <v>8</v>
      </c>
      <c r="AR268">
        <v>9</v>
      </c>
      <c r="AS268">
        <v>99</v>
      </c>
      <c r="AT268">
        <v>9</v>
      </c>
      <c r="AU268">
        <v>3</v>
      </c>
      <c r="AV268">
        <v>99999</v>
      </c>
      <c r="AW268">
        <v>0</v>
      </c>
      <c r="AX268" s="7">
        <v>45383.489039351851</v>
      </c>
      <c r="AY268" s="7"/>
      <c r="BV268" t="str">
        <f t="shared" si="7"/>
        <v/>
      </c>
    </row>
    <row r="269" spans="1:74">
      <c r="A269">
        <v>267</v>
      </c>
      <c r="B269" t="s">
        <v>234</v>
      </c>
      <c r="C269">
        <v>2023</v>
      </c>
      <c r="D269">
        <v>5345</v>
      </c>
      <c r="E269">
        <v>264</v>
      </c>
      <c r="F269">
        <v>2</v>
      </c>
      <c r="G269">
        <v>1</v>
      </c>
      <c r="H269">
        <v>51</v>
      </c>
      <c r="I269">
        <v>999999</v>
      </c>
      <c r="J269">
        <v>999</v>
      </c>
      <c r="K269">
        <v>3</v>
      </c>
      <c r="L269">
        <v>29</v>
      </c>
      <c r="M269">
        <v>2</v>
      </c>
      <c r="N269">
        <v>99</v>
      </c>
      <c r="O269">
        <v>9</v>
      </c>
      <c r="P269">
        <v>3</v>
      </c>
      <c r="Q269">
        <v>99999</v>
      </c>
      <c r="R269" s="276">
        <v>108894.80684999999</v>
      </c>
      <c r="S269" s="7">
        <v>45372.583067129628</v>
      </c>
      <c r="AG269" t="s">
        <v>277</v>
      </c>
      <c r="AH269">
        <v>2023</v>
      </c>
      <c r="AI269">
        <v>5346</v>
      </c>
      <c r="AJ269">
        <v>263</v>
      </c>
      <c r="AK269">
        <v>2</v>
      </c>
      <c r="AL269">
        <v>2</v>
      </c>
      <c r="AM269">
        <v>22</v>
      </c>
      <c r="AN269">
        <v>60</v>
      </c>
      <c r="AO269">
        <v>241</v>
      </c>
      <c r="AP269">
        <v>2</v>
      </c>
      <c r="AQ269">
        <v>8</v>
      </c>
      <c r="AR269">
        <v>9</v>
      </c>
      <c r="AS269">
        <v>99</v>
      </c>
      <c r="AT269">
        <v>9</v>
      </c>
      <c r="AU269">
        <v>3</v>
      </c>
      <c r="AV269">
        <v>99999</v>
      </c>
      <c r="AW269">
        <v>0</v>
      </c>
      <c r="AX269" s="7">
        <v>45383.489039351851</v>
      </c>
      <c r="AY269" s="7"/>
      <c r="BV269" t="str">
        <f t="shared" si="7"/>
        <v/>
      </c>
    </row>
    <row r="270" spans="1:74">
      <c r="A270">
        <v>268</v>
      </c>
      <c r="B270" t="s">
        <v>234</v>
      </c>
      <c r="C270">
        <v>2023</v>
      </c>
      <c r="D270">
        <v>5345</v>
      </c>
      <c r="E270">
        <v>264</v>
      </c>
      <c r="F270">
        <v>7</v>
      </c>
      <c r="G270">
        <v>99</v>
      </c>
      <c r="H270">
        <v>120</v>
      </c>
      <c r="I270">
        <v>999999</v>
      </c>
      <c r="J270">
        <v>999</v>
      </c>
      <c r="K270">
        <v>99</v>
      </c>
      <c r="L270">
        <v>999</v>
      </c>
      <c r="M270">
        <v>9</v>
      </c>
      <c r="N270">
        <v>20</v>
      </c>
      <c r="O270">
        <v>9</v>
      </c>
      <c r="P270">
        <v>4</v>
      </c>
      <c r="Q270">
        <v>99999</v>
      </c>
      <c r="R270" s="276">
        <v>5.9272655213420601E-2</v>
      </c>
      <c r="S270" s="7">
        <v>45372.583067129628</v>
      </c>
      <c r="AG270" t="s">
        <v>277</v>
      </c>
      <c r="AH270">
        <v>2023</v>
      </c>
      <c r="AI270">
        <v>5346</v>
      </c>
      <c r="AJ270">
        <v>263</v>
      </c>
      <c r="AK270">
        <v>2</v>
      </c>
      <c r="AL270">
        <v>2</v>
      </c>
      <c r="AM270">
        <v>22</v>
      </c>
      <c r="AN270">
        <v>60</v>
      </c>
      <c r="AO270">
        <v>241</v>
      </c>
      <c r="AP270">
        <v>2</v>
      </c>
      <c r="AQ270">
        <v>10</v>
      </c>
      <c r="AR270">
        <v>9</v>
      </c>
      <c r="AS270">
        <v>99</v>
      </c>
      <c r="AT270">
        <v>9</v>
      </c>
      <c r="AU270">
        <v>3</v>
      </c>
      <c r="AV270">
        <v>99999</v>
      </c>
      <c r="AW270">
        <v>0</v>
      </c>
      <c r="AX270" s="7">
        <v>45383.489039351851</v>
      </c>
      <c r="AY270" s="7"/>
      <c r="BV270" t="str">
        <f t="shared" si="7"/>
        <v/>
      </c>
    </row>
    <row r="271" spans="1:74">
      <c r="A271">
        <v>269</v>
      </c>
      <c r="B271" t="s">
        <v>234</v>
      </c>
      <c r="C271">
        <v>2023</v>
      </c>
      <c r="D271">
        <v>5345</v>
      </c>
      <c r="E271">
        <v>264</v>
      </c>
      <c r="F271">
        <v>7</v>
      </c>
      <c r="G271">
        <v>99</v>
      </c>
      <c r="H271">
        <v>120</v>
      </c>
      <c r="I271">
        <v>999999</v>
      </c>
      <c r="J271">
        <v>999</v>
      </c>
      <c r="K271">
        <v>99</v>
      </c>
      <c r="L271">
        <v>999</v>
      </c>
      <c r="M271">
        <v>9</v>
      </c>
      <c r="N271">
        <v>21</v>
      </c>
      <c r="O271">
        <v>9</v>
      </c>
      <c r="P271">
        <v>4</v>
      </c>
      <c r="Q271">
        <v>99999</v>
      </c>
      <c r="R271" s="276">
        <v>0.100523238021966</v>
      </c>
      <c r="S271" s="7">
        <v>45372.583067129628</v>
      </c>
      <c r="AG271" t="s">
        <v>277</v>
      </c>
      <c r="AH271">
        <v>2023</v>
      </c>
      <c r="AI271">
        <v>5346</v>
      </c>
      <c r="AJ271">
        <v>263</v>
      </c>
      <c r="AK271">
        <v>2</v>
      </c>
      <c r="AL271">
        <v>2</v>
      </c>
      <c r="AM271">
        <v>22</v>
      </c>
      <c r="AN271">
        <v>60</v>
      </c>
      <c r="AO271">
        <v>241</v>
      </c>
      <c r="AP271">
        <v>2</v>
      </c>
      <c r="AQ271">
        <v>24</v>
      </c>
      <c r="AR271">
        <v>9</v>
      </c>
      <c r="AS271">
        <v>99</v>
      </c>
      <c r="AT271">
        <v>9</v>
      </c>
      <c r="AU271">
        <v>3</v>
      </c>
      <c r="AV271">
        <v>99999</v>
      </c>
      <c r="AW271">
        <v>0</v>
      </c>
      <c r="AX271" s="7">
        <v>45383.489039351851</v>
      </c>
      <c r="AY271" s="7"/>
      <c r="BV271" t="str">
        <f t="shared" si="7"/>
        <v/>
      </c>
    </row>
    <row r="272" spans="1:74">
      <c r="A272">
        <v>270</v>
      </c>
      <c r="B272" t="s">
        <v>234</v>
      </c>
      <c r="C272">
        <v>2023</v>
      </c>
      <c r="D272">
        <v>5345</v>
      </c>
      <c r="E272">
        <v>264</v>
      </c>
      <c r="F272">
        <v>7</v>
      </c>
      <c r="G272">
        <v>99</v>
      </c>
      <c r="H272">
        <v>120</v>
      </c>
      <c r="I272">
        <v>999999</v>
      </c>
      <c r="J272">
        <v>999</v>
      </c>
      <c r="K272">
        <v>99</v>
      </c>
      <c r="L272">
        <v>999</v>
      </c>
      <c r="M272">
        <v>9</v>
      </c>
      <c r="N272">
        <v>22</v>
      </c>
      <c r="O272">
        <v>9</v>
      </c>
      <c r="P272">
        <v>4</v>
      </c>
      <c r="Q272">
        <v>99999</v>
      </c>
      <c r="R272" s="276">
        <v>0.10001301539485</v>
      </c>
      <c r="S272" s="7">
        <v>45372.583067129628</v>
      </c>
      <c r="AG272" t="s">
        <v>277</v>
      </c>
      <c r="AH272">
        <v>2023</v>
      </c>
      <c r="AI272">
        <v>5346</v>
      </c>
      <c r="AJ272">
        <v>263</v>
      </c>
      <c r="AK272">
        <v>2</v>
      </c>
      <c r="AL272">
        <v>2</v>
      </c>
      <c r="AM272">
        <v>22</v>
      </c>
      <c r="AN272">
        <v>60</v>
      </c>
      <c r="AO272">
        <v>241</v>
      </c>
      <c r="AP272">
        <v>3</v>
      </c>
      <c r="AQ272">
        <v>18</v>
      </c>
      <c r="AR272">
        <v>9</v>
      </c>
      <c r="AS272">
        <v>99</v>
      </c>
      <c r="AT272">
        <v>9</v>
      </c>
      <c r="AU272">
        <v>3</v>
      </c>
      <c r="AV272">
        <v>99999</v>
      </c>
      <c r="AW272">
        <v>0</v>
      </c>
      <c r="AX272" s="7">
        <v>45383.489039351851</v>
      </c>
      <c r="AY272" s="7"/>
      <c r="BV272" t="str">
        <f t="shared" si="7"/>
        <v/>
      </c>
    </row>
    <row r="273" spans="1:74">
      <c r="A273">
        <v>271</v>
      </c>
      <c r="B273" t="s">
        <v>234</v>
      </c>
      <c r="C273">
        <v>2023</v>
      </c>
      <c r="D273">
        <v>5345</v>
      </c>
      <c r="E273">
        <v>264</v>
      </c>
      <c r="F273">
        <v>7</v>
      </c>
      <c r="G273">
        <v>99</v>
      </c>
      <c r="H273">
        <v>130</v>
      </c>
      <c r="I273">
        <v>999999</v>
      </c>
      <c r="J273">
        <v>999</v>
      </c>
      <c r="K273">
        <v>99</v>
      </c>
      <c r="L273">
        <v>999</v>
      </c>
      <c r="M273">
        <v>9</v>
      </c>
      <c r="N273">
        <v>99</v>
      </c>
      <c r="O273">
        <v>9</v>
      </c>
      <c r="P273">
        <v>5</v>
      </c>
      <c r="Q273">
        <v>99999</v>
      </c>
      <c r="R273" s="276">
        <v>966</v>
      </c>
      <c r="S273" s="7">
        <v>45372.583067129628</v>
      </c>
      <c r="AG273" t="s">
        <v>277</v>
      </c>
      <c r="AH273">
        <v>2023</v>
      </c>
      <c r="AI273">
        <v>5346</v>
      </c>
      <c r="AJ273">
        <v>263</v>
      </c>
      <c r="AK273">
        <v>2</v>
      </c>
      <c r="AL273">
        <v>2</v>
      </c>
      <c r="AM273">
        <v>22</v>
      </c>
      <c r="AN273">
        <v>60</v>
      </c>
      <c r="AO273">
        <v>241</v>
      </c>
      <c r="AP273">
        <v>3</v>
      </c>
      <c r="AQ273">
        <v>16</v>
      </c>
      <c r="AR273">
        <v>9</v>
      </c>
      <c r="AS273">
        <v>99</v>
      </c>
      <c r="AT273">
        <v>9</v>
      </c>
      <c r="AU273">
        <v>3</v>
      </c>
      <c r="AV273">
        <v>99999</v>
      </c>
      <c r="AW273">
        <v>0</v>
      </c>
      <c r="AX273" s="7">
        <v>45383.489039351851</v>
      </c>
      <c r="AY273" s="7"/>
      <c r="BV273" t="str">
        <f t="shared" si="7"/>
        <v/>
      </c>
    </row>
    <row r="274" spans="1:74">
      <c r="A274">
        <v>272</v>
      </c>
      <c r="B274" t="s">
        <v>234</v>
      </c>
      <c r="C274">
        <v>2023</v>
      </c>
      <c r="D274">
        <v>5345</v>
      </c>
      <c r="E274">
        <v>264</v>
      </c>
      <c r="F274">
        <v>7</v>
      </c>
      <c r="G274">
        <v>1</v>
      </c>
      <c r="H274">
        <v>52</v>
      </c>
      <c r="I274">
        <v>999999</v>
      </c>
      <c r="J274">
        <v>999</v>
      </c>
      <c r="K274">
        <v>3</v>
      </c>
      <c r="L274">
        <v>14</v>
      </c>
      <c r="M274">
        <v>9</v>
      </c>
      <c r="N274">
        <v>99</v>
      </c>
      <c r="O274">
        <v>9</v>
      </c>
      <c r="P274">
        <v>3</v>
      </c>
      <c r="Q274">
        <v>99999</v>
      </c>
      <c r="R274" s="276">
        <v>55711.3312270807</v>
      </c>
      <c r="S274" s="7">
        <v>45372.583067129628</v>
      </c>
      <c r="AG274" t="s">
        <v>277</v>
      </c>
      <c r="AH274">
        <v>2023</v>
      </c>
      <c r="AI274">
        <v>5346</v>
      </c>
      <c r="AJ274">
        <v>263</v>
      </c>
      <c r="AK274">
        <v>2</v>
      </c>
      <c r="AL274">
        <v>2</v>
      </c>
      <c r="AM274">
        <v>22</v>
      </c>
      <c r="AN274">
        <v>60</v>
      </c>
      <c r="AO274">
        <v>241</v>
      </c>
      <c r="AP274">
        <v>3</v>
      </c>
      <c r="AQ274">
        <v>17</v>
      </c>
      <c r="AR274">
        <v>9</v>
      </c>
      <c r="AS274">
        <v>99</v>
      </c>
      <c r="AT274">
        <v>9</v>
      </c>
      <c r="AU274">
        <v>3</v>
      </c>
      <c r="AV274">
        <v>99999</v>
      </c>
      <c r="AW274">
        <v>0</v>
      </c>
      <c r="AX274" s="7">
        <v>45383.489039351851</v>
      </c>
      <c r="AY274" s="7"/>
      <c r="BV274" t="str">
        <f t="shared" si="7"/>
        <v/>
      </c>
    </row>
    <row r="275" spans="1:74">
      <c r="A275">
        <v>273</v>
      </c>
      <c r="B275" t="s">
        <v>234</v>
      </c>
      <c r="C275">
        <v>2023</v>
      </c>
      <c r="D275">
        <v>5345</v>
      </c>
      <c r="E275">
        <v>264</v>
      </c>
      <c r="F275">
        <v>2</v>
      </c>
      <c r="G275">
        <v>1</v>
      </c>
      <c r="H275">
        <v>51</v>
      </c>
      <c r="I275">
        <v>82</v>
      </c>
      <c r="J275">
        <v>999</v>
      </c>
      <c r="K275">
        <v>3</v>
      </c>
      <c r="L275">
        <v>25</v>
      </c>
      <c r="M275">
        <v>2</v>
      </c>
      <c r="N275">
        <v>99</v>
      </c>
      <c r="O275">
        <v>9</v>
      </c>
      <c r="P275">
        <v>3</v>
      </c>
      <c r="Q275">
        <v>99999</v>
      </c>
      <c r="R275" s="276">
        <v>67404.503564488899</v>
      </c>
      <c r="S275" s="7">
        <v>45372.583067129628</v>
      </c>
      <c r="AG275" t="s">
        <v>277</v>
      </c>
      <c r="AH275">
        <v>2023</v>
      </c>
      <c r="AI275">
        <v>5346</v>
      </c>
      <c r="AJ275">
        <v>263</v>
      </c>
      <c r="AK275">
        <v>2</v>
      </c>
      <c r="AL275">
        <v>2</v>
      </c>
      <c r="AM275">
        <v>22</v>
      </c>
      <c r="AN275">
        <v>60</v>
      </c>
      <c r="AO275">
        <v>241</v>
      </c>
      <c r="AP275">
        <v>1</v>
      </c>
      <c r="AQ275">
        <v>1</v>
      </c>
      <c r="AR275">
        <v>9</v>
      </c>
      <c r="AS275">
        <v>99</v>
      </c>
      <c r="AT275">
        <v>9</v>
      </c>
      <c r="AU275">
        <v>3</v>
      </c>
      <c r="AV275">
        <v>99999</v>
      </c>
      <c r="AW275">
        <v>0</v>
      </c>
      <c r="AX275" s="7">
        <v>45383.489039351851</v>
      </c>
      <c r="AY275" s="7"/>
      <c r="BV275" t="str">
        <f t="shared" si="7"/>
        <v/>
      </c>
    </row>
    <row r="276" spans="1:74">
      <c r="A276">
        <v>274</v>
      </c>
      <c r="B276" t="s">
        <v>234</v>
      </c>
      <c r="C276">
        <v>2023</v>
      </c>
      <c r="D276">
        <v>5345</v>
      </c>
      <c r="E276">
        <v>264</v>
      </c>
      <c r="F276">
        <v>2</v>
      </c>
      <c r="G276">
        <v>1</v>
      </c>
      <c r="H276">
        <v>51</v>
      </c>
      <c r="I276">
        <v>81</v>
      </c>
      <c r="J276">
        <v>999</v>
      </c>
      <c r="K276">
        <v>3</v>
      </c>
      <c r="L276">
        <v>15</v>
      </c>
      <c r="M276">
        <v>1</v>
      </c>
      <c r="N276">
        <v>99</v>
      </c>
      <c r="O276">
        <v>9</v>
      </c>
      <c r="P276">
        <v>3</v>
      </c>
      <c r="Q276">
        <v>99999</v>
      </c>
      <c r="R276" s="276">
        <v>0</v>
      </c>
      <c r="S276" s="7">
        <v>45372.583067129628</v>
      </c>
      <c r="AG276" t="s">
        <v>277</v>
      </c>
      <c r="AH276">
        <v>2023</v>
      </c>
      <c r="AI276">
        <v>5346</v>
      </c>
      <c r="AJ276">
        <v>263</v>
      </c>
      <c r="AK276">
        <v>2</v>
      </c>
      <c r="AL276">
        <v>2</v>
      </c>
      <c r="AM276">
        <v>22</v>
      </c>
      <c r="AN276">
        <v>60</v>
      </c>
      <c r="AO276">
        <v>241</v>
      </c>
      <c r="AP276">
        <v>1</v>
      </c>
      <c r="AQ276">
        <v>1</v>
      </c>
      <c r="AR276">
        <v>9</v>
      </c>
      <c r="AS276">
        <v>99</v>
      </c>
      <c r="AT276">
        <v>9</v>
      </c>
      <c r="AU276">
        <v>3</v>
      </c>
      <c r="AV276">
        <v>99999</v>
      </c>
      <c r="AW276">
        <v>0</v>
      </c>
      <c r="AX276" s="7">
        <v>45383.489039351851</v>
      </c>
      <c r="AY276" s="7"/>
      <c r="BV276" t="str">
        <f t="shared" si="7"/>
        <v/>
      </c>
    </row>
    <row r="277" spans="1:74">
      <c r="A277">
        <v>275</v>
      </c>
      <c r="B277" t="s">
        <v>234</v>
      </c>
      <c r="C277">
        <v>2023</v>
      </c>
      <c r="D277">
        <v>5345</v>
      </c>
      <c r="E277">
        <v>264</v>
      </c>
      <c r="F277">
        <v>1</v>
      </c>
      <c r="G277">
        <v>3</v>
      </c>
      <c r="H277">
        <v>51</v>
      </c>
      <c r="I277">
        <v>81</v>
      </c>
      <c r="J277">
        <v>999</v>
      </c>
      <c r="K277">
        <v>3</v>
      </c>
      <c r="L277">
        <v>999</v>
      </c>
      <c r="M277">
        <v>1</v>
      </c>
      <c r="N277">
        <v>99</v>
      </c>
      <c r="O277">
        <v>9</v>
      </c>
      <c r="P277">
        <v>4</v>
      </c>
      <c r="Q277">
        <v>99999</v>
      </c>
      <c r="R277" s="276">
        <v>0</v>
      </c>
      <c r="S277" s="7">
        <v>45372.583067129628</v>
      </c>
      <c r="AG277" t="s">
        <v>277</v>
      </c>
      <c r="AH277">
        <v>2023</v>
      </c>
      <c r="AI277">
        <v>5346</v>
      </c>
      <c r="AJ277">
        <v>263</v>
      </c>
      <c r="AK277">
        <v>2</v>
      </c>
      <c r="AL277">
        <v>2</v>
      </c>
      <c r="AM277">
        <v>22</v>
      </c>
      <c r="AN277">
        <v>60</v>
      </c>
      <c r="AO277">
        <v>241</v>
      </c>
      <c r="AP277">
        <v>1</v>
      </c>
      <c r="AQ277">
        <v>1</v>
      </c>
      <c r="AR277">
        <v>9</v>
      </c>
      <c r="AS277">
        <v>99</v>
      </c>
      <c r="AT277">
        <v>9</v>
      </c>
      <c r="AU277">
        <v>3</v>
      </c>
      <c r="AV277">
        <v>99999</v>
      </c>
      <c r="AW277">
        <v>0</v>
      </c>
      <c r="AX277" s="7">
        <v>45383.489039351851</v>
      </c>
      <c r="AY277" s="7"/>
      <c r="BV277" t="str">
        <f t="shared" si="7"/>
        <v/>
      </c>
    </row>
    <row r="278" spans="1:74">
      <c r="A278">
        <v>276</v>
      </c>
      <c r="B278" t="s">
        <v>234</v>
      </c>
      <c r="C278">
        <v>2023</v>
      </c>
      <c r="D278">
        <v>5345</v>
      </c>
      <c r="E278">
        <v>264</v>
      </c>
      <c r="F278">
        <v>1</v>
      </c>
      <c r="G278">
        <v>3</v>
      </c>
      <c r="H278">
        <v>51</v>
      </c>
      <c r="I278">
        <v>82</v>
      </c>
      <c r="J278">
        <v>999</v>
      </c>
      <c r="K278">
        <v>3</v>
      </c>
      <c r="L278">
        <v>999</v>
      </c>
      <c r="M278">
        <v>2</v>
      </c>
      <c r="N278">
        <v>99</v>
      </c>
      <c r="O278">
        <v>9</v>
      </c>
      <c r="P278">
        <v>4</v>
      </c>
      <c r="Q278">
        <v>99999</v>
      </c>
      <c r="R278" s="276">
        <v>1</v>
      </c>
      <c r="S278" s="7">
        <v>45372.583067129628</v>
      </c>
      <c r="AG278" t="s">
        <v>277</v>
      </c>
      <c r="AH278">
        <v>2023</v>
      </c>
      <c r="AI278">
        <v>5346</v>
      </c>
      <c r="AJ278">
        <v>263</v>
      </c>
      <c r="AK278">
        <v>2</v>
      </c>
      <c r="AL278">
        <v>2</v>
      </c>
      <c r="AM278">
        <v>22</v>
      </c>
      <c r="AN278">
        <v>60</v>
      </c>
      <c r="AO278">
        <v>241</v>
      </c>
      <c r="AP278">
        <v>1</v>
      </c>
      <c r="AQ278">
        <v>1</v>
      </c>
      <c r="AR278">
        <v>9</v>
      </c>
      <c r="AS278">
        <v>99</v>
      </c>
      <c r="AT278">
        <v>9</v>
      </c>
      <c r="AU278">
        <v>3</v>
      </c>
      <c r="AV278">
        <v>99999</v>
      </c>
      <c r="AW278">
        <v>0</v>
      </c>
      <c r="AX278" s="7">
        <v>45383.489039351851</v>
      </c>
      <c r="AY278" s="7"/>
      <c r="BV278" t="str">
        <f t="shared" si="7"/>
        <v/>
      </c>
    </row>
    <row r="279" spans="1:74">
      <c r="A279">
        <v>277</v>
      </c>
      <c r="B279" t="s">
        <v>234</v>
      </c>
      <c r="C279">
        <v>2023</v>
      </c>
      <c r="D279">
        <v>5345</v>
      </c>
      <c r="E279">
        <v>264</v>
      </c>
      <c r="F279">
        <v>1</v>
      </c>
      <c r="G279">
        <v>3</v>
      </c>
      <c r="H279">
        <v>51</v>
      </c>
      <c r="I279">
        <v>73</v>
      </c>
      <c r="J279">
        <v>999</v>
      </c>
      <c r="K279">
        <v>3</v>
      </c>
      <c r="L279">
        <v>999</v>
      </c>
      <c r="M279">
        <v>1</v>
      </c>
      <c r="N279">
        <v>99</v>
      </c>
      <c r="O279">
        <v>9</v>
      </c>
      <c r="P279">
        <v>4</v>
      </c>
      <c r="Q279">
        <v>99999</v>
      </c>
      <c r="R279" s="276">
        <v>0</v>
      </c>
      <c r="S279" s="7">
        <v>45372.583067129628</v>
      </c>
      <c r="AG279" t="s">
        <v>277</v>
      </c>
      <c r="AH279">
        <v>2023</v>
      </c>
      <c r="AI279">
        <v>5346</v>
      </c>
      <c r="AJ279">
        <v>263</v>
      </c>
      <c r="AK279">
        <v>2</v>
      </c>
      <c r="AL279">
        <v>2</v>
      </c>
      <c r="AM279">
        <v>22</v>
      </c>
      <c r="AN279">
        <v>60</v>
      </c>
      <c r="AO279">
        <v>241</v>
      </c>
      <c r="AP279">
        <v>2</v>
      </c>
      <c r="AQ279">
        <v>11</v>
      </c>
      <c r="AR279">
        <v>9</v>
      </c>
      <c r="AS279">
        <v>99</v>
      </c>
      <c r="AT279">
        <v>9</v>
      </c>
      <c r="AU279">
        <v>3</v>
      </c>
      <c r="AV279">
        <v>99999</v>
      </c>
      <c r="AW279">
        <v>0</v>
      </c>
      <c r="AX279" s="7">
        <v>45383.489039351851</v>
      </c>
      <c r="AY279" s="7"/>
      <c r="BV279" t="str">
        <f t="shared" si="7"/>
        <v/>
      </c>
    </row>
    <row r="280" spans="1:74">
      <c r="A280">
        <v>278</v>
      </c>
      <c r="B280" t="s">
        <v>234</v>
      </c>
      <c r="C280">
        <v>2023</v>
      </c>
      <c r="D280">
        <v>5345</v>
      </c>
      <c r="E280">
        <v>264</v>
      </c>
      <c r="F280">
        <v>1</v>
      </c>
      <c r="G280">
        <v>3</v>
      </c>
      <c r="H280">
        <v>51</v>
      </c>
      <c r="I280">
        <v>74</v>
      </c>
      <c r="J280">
        <v>999</v>
      </c>
      <c r="K280">
        <v>3</v>
      </c>
      <c r="L280">
        <v>999</v>
      </c>
      <c r="M280">
        <v>2</v>
      </c>
      <c r="N280">
        <v>99</v>
      </c>
      <c r="O280">
        <v>9</v>
      </c>
      <c r="P280">
        <v>4</v>
      </c>
      <c r="Q280">
        <v>99999</v>
      </c>
      <c r="R280" s="276">
        <v>0</v>
      </c>
      <c r="S280" s="7">
        <v>45372.583067129628</v>
      </c>
      <c r="AG280" t="s">
        <v>277</v>
      </c>
      <c r="AH280">
        <v>2023</v>
      </c>
      <c r="AI280">
        <v>5346</v>
      </c>
      <c r="AJ280">
        <v>263</v>
      </c>
      <c r="AK280">
        <v>2</v>
      </c>
      <c r="AL280">
        <v>2</v>
      </c>
      <c r="AM280">
        <v>22</v>
      </c>
      <c r="AN280">
        <v>60</v>
      </c>
      <c r="AO280">
        <v>241</v>
      </c>
      <c r="AP280">
        <v>2</v>
      </c>
      <c r="AQ280">
        <v>9</v>
      </c>
      <c r="AR280">
        <v>9</v>
      </c>
      <c r="AS280">
        <v>99</v>
      </c>
      <c r="AT280">
        <v>9</v>
      </c>
      <c r="AU280">
        <v>3</v>
      </c>
      <c r="AV280">
        <v>99999</v>
      </c>
      <c r="AW280">
        <v>0</v>
      </c>
      <c r="AX280" s="7">
        <v>45383.489039351851</v>
      </c>
      <c r="AY280" s="7"/>
      <c r="BV280" t="str">
        <f t="shared" si="7"/>
        <v/>
      </c>
    </row>
    <row r="281" spans="1:74">
      <c r="A281">
        <v>279</v>
      </c>
      <c r="B281" t="s">
        <v>234</v>
      </c>
      <c r="C281">
        <v>2023</v>
      </c>
      <c r="D281">
        <v>5345</v>
      </c>
      <c r="E281">
        <v>264</v>
      </c>
      <c r="F281">
        <v>2</v>
      </c>
      <c r="G281">
        <v>2</v>
      </c>
      <c r="H281">
        <v>22</v>
      </c>
      <c r="I281">
        <v>60</v>
      </c>
      <c r="J281">
        <v>999</v>
      </c>
      <c r="K281">
        <v>2</v>
      </c>
      <c r="L281">
        <v>10</v>
      </c>
      <c r="M281">
        <v>9</v>
      </c>
      <c r="N281">
        <v>99</v>
      </c>
      <c r="O281">
        <v>9</v>
      </c>
      <c r="P281">
        <v>3</v>
      </c>
      <c r="Q281">
        <v>99999</v>
      </c>
      <c r="R281" s="276">
        <v>0</v>
      </c>
      <c r="S281" s="7">
        <v>45372.583067129628</v>
      </c>
      <c r="AG281" t="s">
        <v>277</v>
      </c>
      <c r="AH281">
        <v>2023</v>
      </c>
      <c r="AI281">
        <v>5346</v>
      </c>
      <c r="AJ281">
        <v>263</v>
      </c>
      <c r="AK281">
        <v>2</v>
      </c>
      <c r="AL281">
        <v>2</v>
      </c>
      <c r="AM281">
        <v>22</v>
      </c>
      <c r="AN281">
        <v>60</v>
      </c>
      <c r="AO281">
        <v>241</v>
      </c>
      <c r="AP281">
        <v>3</v>
      </c>
      <c r="AQ281">
        <v>15</v>
      </c>
      <c r="AR281">
        <v>9</v>
      </c>
      <c r="AS281">
        <v>99</v>
      </c>
      <c r="AT281">
        <v>9</v>
      </c>
      <c r="AU281">
        <v>3</v>
      </c>
      <c r="AV281">
        <v>99999</v>
      </c>
      <c r="AW281">
        <v>0</v>
      </c>
      <c r="AX281" s="7">
        <v>45383.489039351851</v>
      </c>
      <c r="AY281" s="7"/>
      <c r="BV281" t="str">
        <f t="shared" si="7"/>
        <v/>
      </c>
    </row>
    <row r="282" spans="1:74">
      <c r="A282">
        <v>280</v>
      </c>
      <c r="B282" t="s">
        <v>234</v>
      </c>
      <c r="C282">
        <v>2023</v>
      </c>
      <c r="D282">
        <v>5345</v>
      </c>
      <c r="E282">
        <v>264</v>
      </c>
      <c r="F282">
        <v>2</v>
      </c>
      <c r="G282">
        <v>2</v>
      </c>
      <c r="H282">
        <v>22</v>
      </c>
      <c r="I282">
        <v>60</v>
      </c>
      <c r="J282">
        <v>999</v>
      </c>
      <c r="K282">
        <v>2</v>
      </c>
      <c r="L282">
        <v>24</v>
      </c>
      <c r="M282">
        <v>9</v>
      </c>
      <c r="N282">
        <v>99</v>
      </c>
      <c r="O282">
        <v>9</v>
      </c>
      <c r="P282">
        <v>3</v>
      </c>
      <c r="Q282">
        <v>99999</v>
      </c>
      <c r="R282" s="276">
        <v>0</v>
      </c>
      <c r="S282" s="7">
        <v>45372.583067129628</v>
      </c>
      <c r="AG282" t="s">
        <v>277</v>
      </c>
      <c r="AH282">
        <v>2023</v>
      </c>
      <c r="AI282">
        <v>5346</v>
      </c>
      <c r="AJ282">
        <v>263</v>
      </c>
      <c r="AK282">
        <v>2</v>
      </c>
      <c r="AL282">
        <v>2</v>
      </c>
      <c r="AM282">
        <v>22</v>
      </c>
      <c r="AN282">
        <v>60</v>
      </c>
      <c r="AO282">
        <v>241</v>
      </c>
      <c r="AP282">
        <v>3</v>
      </c>
      <c r="AQ282">
        <v>25</v>
      </c>
      <c r="AR282">
        <v>9</v>
      </c>
      <c r="AS282">
        <v>99</v>
      </c>
      <c r="AT282">
        <v>9</v>
      </c>
      <c r="AU282">
        <v>3</v>
      </c>
      <c r="AV282">
        <v>99999</v>
      </c>
      <c r="AW282">
        <v>0</v>
      </c>
      <c r="AX282" s="7">
        <v>45383.489039351851</v>
      </c>
      <c r="AY282" s="7"/>
      <c r="BV282" t="str">
        <f t="shared" si="7"/>
        <v/>
      </c>
    </row>
    <row r="283" spans="1:74">
      <c r="A283">
        <v>281</v>
      </c>
      <c r="B283" t="s">
        <v>234</v>
      </c>
      <c r="C283">
        <v>2023</v>
      </c>
      <c r="D283">
        <v>5345</v>
      </c>
      <c r="E283">
        <v>264</v>
      </c>
      <c r="F283">
        <v>2</v>
      </c>
      <c r="G283">
        <v>2</v>
      </c>
      <c r="H283">
        <v>999</v>
      </c>
      <c r="I283">
        <v>999999</v>
      </c>
      <c r="J283">
        <v>999</v>
      </c>
      <c r="K283">
        <v>99</v>
      </c>
      <c r="L283">
        <v>999</v>
      </c>
      <c r="M283">
        <v>9</v>
      </c>
      <c r="N283">
        <v>99</v>
      </c>
      <c r="O283">
        <v>9</v>
      </c>
      <c r="P283">
        <v>3</v>
      </c>
      <c r="Q283">
        <v>99999</v>
      </c>
      <c r="R283" s="276">
        <v>0</v>
      </c>
      <c r="S283" s="7">
        <v>45372.583067129628</v>
      </c>
      <c r="AG283" t="s">
        <v>277</v>
      </c>
      <c r="AH283">
        <v>2023</v>
      </c>
      <c r="AI283">
        <v>5346</v>
      </c>
      <c r="AJ283">
        <v>263</v>
      </c>
      <c r="AK283">
        <v>2</v>
      </c>
      <c r="AL283">
        <v>2</v>
      </c>
      <c r="AM283">
        <v>22</v>
      </c>
      <c r="AN283">
        <v>60</v>
      </c>
      <c r="AO283">
        <v>241</v>
      </c>
      <c r="AP283">
        <v>1</v>
      </c>
      <c r="AQ283">
        <v>1</v>
      </c>
      <c r="AR283">
        <v>9</v>
      </c>
      <c r="AS283">
        <v>99</v>
      </c>
      <c r="AT283">
        <v>9</v>
      </c>
      <c r="AU283">
        <v>3</v>
      </c>
      <c r="AV283">
        <v>99999</v>
      </c>
      <c r="AW283">
        <v>0</v>
      </c>
      <c r="AX283" s="7">
        <v>45383.489039351851</v>
      </c>
      <c r="AY283" s="7"/>
      <c r="BV283" t="str">
        <f t="shared" si="7"/>
        <v/>
      </c>
    </row>
    <row r="284" spans="1:74">
      <c r="A284">
        <v>282</v>
      </c>
      <c r="B284" t="s">
        <v>234</v>
      </c>
      <c r="C284">
        <v>2023</v>
      </c>
      <c r="D284">
        <v>5345</v>
      </c>
      <c r="E284">
        <v>264</v>
      </c>
      <c r="F284">
        <v>2</v>
      </c>
      <c r="G284">
        <v>2</v>
      </c>
      <c r="H284">
        <v>999</v>
      </c>
      <c r="I284">
        <v>999999</v>
      </c>
      <c r="J284">
        <v>999</v>
      </c>
      <c r="K284">
        <v>99</v>
      </c>
      <c r="L284">
        <v>999</v>
      </c>
      <c r="M284">
        <v>9</v>
      </c>
      <c r="N284">
        <v>99</v>
      </c>
      <c r="O284">
        <v>9</v>
      </c>
      <c r="P284">
        <v>3</v>
      </c>
      <c r="Q284">
        <v>99999</v>
      </c>
      <c r="R284" s="276">
        <v>0</v>
      </c>
      <c r="S284" s="7">
        <v>45372.583067129628</v>
      </c>
      <c r="AG284" t="s">
        <v>277</v>
      </c>
      <c r="AH284">
        <v>2023</v>
      </c>
      <c r="AI284">
        <v>5346</v>
      </c>
      <c r="AJ284">
        <v>263</v>
      </c>
      <c r="AK284">
        <v>2</v>
      </c>
      <c r="AL284">
        <v>2</v>
      </c>
      <c r="AM284">
        <v>22</v>
      </c>
      <c r="AN284">
        <v>60</v>
      </c>
      <c r="AO284">
        <v>106</v>
      </c>
      <c r="AP284">
        <v>2</v>
      </c>
      <c r="AQ284">
        <v>10</v>
      </c>
      <c r="AR284">
        <v>9</v>
      </c>
      <c r="AS284">
        <v>99</v>
      </c>
      <c r="AT284">
        <v>9</v>
      </c>
      <c r="AU284">
        <v>3</v>
      </c>
      <c r="AV284">
        <v>99999</v>
      </c>
      <c r="AW284">
        <v>0</v>
      </c>
      <c r="AX284" s="7">
        <v>45383.489039351851</v>
      </c>
      <c r="AY284" s="7"/>
      <c r="BV284" t="str">
        <f t="shared" si="7"/>
        <v/>
      </c>
    </row>
    <row r="285" spans="1:74">
      <c r="A285">
        <v>283</v>
      </c>
      <c r="B285" t="s">
        <v>234</v>
      </c>
      <c r="C285">
        <v>2023</v>
      </c>
      <c r="D285">
        <v>5345</v>
      </c>
      <c r="E285">
        <v>264</v>
      </c>
      <c r="F285">
        <v>2</v>
      </c>
      <c r="G285">
        <v>2</v>
      </c>
      <c r="H285">
        <v>999</v>
      </c>
      <c r="I285">
        <v>999999</v>
      </c>
      <c r="J285">
        <v>999</v>
      </c>
      <c r="K285">
        <v>99</v>
      </c>
      <c r="L285">
        <v>999</v>
      </c>
      <c r="M285">
        <v>9</v>
      </c>
      <c r="N285">
        <v>99</v>
      </c>
      <c r="O285">
        <v>9</v>
      </c>
      <c r="P285">
        <v>3</v>
      </c>
      <c r="Q285">
        <v>99999</v>
      </c>
      <c r="R285" s="276">
        <v>0</v>
      </c>
      <c r="S285" s="7">
        <v>45372.583067129628</v>
      </c>
      <c r="AG285" t="s">
        <v>277</v>
      </c>
      <c r="AH285">
        <v>2023</v>
      </c>
      <c r="AI285">
        <v>5346</v>
      </c>
      <c r="AJ285">
        <v>263</v>
      </c>
      <c r="AK285">
        <v>2</v>
      </c>
      <c r="AL285">
        <v>2</v>
      </c>
      <c r="AM285">
        <v>22</v>
      </c>
      <c r="AN285">
        <v>60</v>
      </c>
      <c r="AO285">
        <v>106</v>
      </c>
      <c r="AP285">
        <v>2</v>
      </c>
      <c r="AQ285">
        <v>24</v>
      </c>
      <c r="AR285">
        <v>9</v>
      </c>
      <c r="AS285">
        <v>99</v>
      </c>
      <c r="AT285">
        <v>9</v>
      </c>
      <c r="AU285">
        <v>3</v>
      </c>
      <c r="AV285">
        <v>99999</v>
      </c>
      <c r="AW285">
        <v>0</v>
      </c>
      <c r="AX285" s="7">
        <v>45383.489039351851</v>
      </c>
      <c r="AY285" s="7"/>
      <c r="BV285" t="str">
        <f t="shared" si="7"/>
        <v/>
      </c>
    </row>
    <row r="286" spans="1:74">
      <c r="A286">
        <v>284</v>
      </c>
      <c r="B286" t="s">
        <v>234</v>
      </c>
      <c r="C286">
        <v>2023</v>
      </c>
      <c r="D286">
        <v>5345</v>
      </c>
      <c r="E286">
        <v>264</v>
      </c>
      <c r="F286">
        <v>2</v>
      </c>
      <c r="G286">
        <v>2</v>
      </c>
      <c r="H286">
        <v>999</v>
      </c>
      <c r="I286">
        <v>999999</v>
      </c>
      <c r="J286">
        <v>999</v>
      </c>
      <c r="K286">
        <v>99</v>
      </c>
      <c r="L286">
        <v>999</v>
      </c>
      <c r="M286">
        <v>9</v>
      </c>
      <c r="N286">
        <v>99</v>
      </c>
      <c r="O286">
        <v>9</v>
      </c>
      <c r="P286">
        <v>3</v>
      </c>
      <c r="Q286">
        <v>99999</v>
      </c>
      <c r="R286" s="276">
        <v>0</v>
      </c>
      <c r="S286" s="7">
        <v>45372.583067129628</v>
      </c>
      <c r="AG286" t="s">
        <v>277</v>
      </c>
      <c r="AH286">
        <v>2023</v>
      </c>
      <c r="AI286">
        <v>5346</v>
      </c>
      <c r="AJ286">
        <v>263</v>
      </c>
      <c r="AK286">
        <v>2</v>
      </c>
      <c r="AL286">
        <v>2</v>
      </c>
      <c r="AM286">
        <v>22</v>
      </c>
      <c r="AN286">
        <v>60</v>
      </c>
      <c r="AO286">
        <v>106</v>
      </c>
      <c r="AP286">
        <v>2</v>
      </c>
      <c r="AQ286">
        <v>11</v>
      </c>
      <c r="AR286">
        <v>9</v>
      </c>
      <c r="AS286">
        <v>99</v>
      </c>
      <c r="AT286">
        <v>9</v>
      </c>
      <c r="AU286">
        <v>3</v>
      </c>
      <c r="AV286">
        <v>99999</v>
      </c>
      <c r="AW286">
        <v>0</v>
      </c>
      <c r="AX286" s="7">
        <v>45383.489039351851</v>
      </c>
      <c r="AY286" s="7"/>
      <c r="BV286" t="str">
        <f t="shared" si="7"/>
        <v/>
      </c>
    </row>
    <row r="287" spans="1:74">
      <c r="A287">
        <v>285</v>
      </c>
      <c r="B287" t="s">
        <v>234</v>
      </c>
      <c r="C287">
        <v>2023</v>
      </c>
      <c r="D287">
        <v>5345</v>
      </c>
      <c r="E287">
        <v>264</v>
      </c>
      <c r="F287">
        <v>2</v>
      </c>
      <c r="G287">
        <v>2</v>
      </c>
      <c r="H287">
        <v>20</v>
      </c>
      <c r="I287">
        <v>60</v>
      </c>
      <c r="J287">
        <v>999</v>
      </c>
      <c r="K287">
        <v>4</v>
      </c>
      <c r="L287">
        <v>999</v>
      </c>
      <c r="M287">
        <v>9</v>
      </c>
      <c r="N287">
        <v>99</v>
      </c>
      <c r="O287">
        <v>9</v>
      </c>
      <c r="P287">
        <v>3</v>
      </c>
      <c r="Q287">
        <v>99999</v>
      </c>
      <c r="R287" s="276">
        <v>0</v>
      </c>
      <c r="S287" s="7">
        <v>45372.583067129628</v>
      </c>
      <c r="AG287" t="s">
        <v>277</v>
      </c>
      <c r="AH287">
        <v>2023</v>
      </c>
      <c r="AI287">
        <v>5346</v>
      </c>
      <c r="AJ287">
        <v>263</v>
      </c>
      <c r="AK287">
        <v>2</v>
      </c>
      <c r="AL287">
        <v>2</v>
      </c>
      <c r="AM287">
        <v>22</v>
      </c>
      <c r="AN287">
        <v>60</v>
      </c>
      <c r="AO287">
        <v>106</v>
      </c>
      <c r="AP287">
        <v>2</v>
      </c>
      <c r="AQ287">
        <v>9</v>
      </c>
      <c r="AR287">
        <v>9</v>
      </c>
      <c r="AS287">
        <v>99</v>
      </c>
      <c r="AT287">
        <v>9</v>
      </c>
      <c r="AU287">
        <v>3</v>
      </c>
      <c r="AV287">
        <v>99999</v>
      </c>
      <c r="AW287">
        <v>0</v>
      </c>
      <c r="AX287" s="7">
        <v>45383.489039351851</v>
      </c>
      <c r="AY287" s="7"/>
      <c r="BV287" t="str">
        <f t="shared" si="7"/>
        <v/>
      </c>
    </row>
    <row r="288" spans="1:74">
      <c r="A288">
        <v>286</v>
      </c>
      <c r="B288" t="s">
        <v>234</v>
      </c>
      <c r="C288">
        <v>2023</v>
      </c>
      <c r="D288">
        <v>5345</v>
      </c>
      <c r="E288">
        <v>264</v>
      </c>
      <c r="F288">
        <v>2</v>
      </c>
      <c r="G288">
        <v>2</v>
      </c>
      <c r="H288">
        <v>999</v>
      </c>
      <c r="I288">
        <v>999999</v>
      </c>
      <c r="J288">
        <v>999</v>
      </c>
      <c r="K288">
        <v>99</v>
      </c>
      <c r="L288">
        <v>999</v>
      </c>
      <c r="M288">
        <v>9</v>
      </c>
      <c r="N288">
        <v>99</v>
      </c>
      <c r="O288">
        <v>9</v>
      </c>
      <c r="P288">
        <v>3</v>
      </c>
      <c r="Q288">
        <v>99999</v>
      </c>
      <c r="R288" s="276">
        <v>0</v>
      </c>
      <c r="S288" s="7">
        <v>45372.583067129628</v>
      </c>
      <c r="AG288" t="s">
        <v>277</v>
      </c>
      <c r="AH288">
        <v>2023</v>
      </c>
      <c r="AI288">
        <v>5346</v>
      </c>
      <c r="AJ288">
        <v>263</v>
      </c>
      <c r="AK288">
        <v>2</v>
      </c>
      <c r="AL288">
        <v>2</v>
      </c>
      <c r="AM288">
        <v>22</v>
      </c>
      <c r="AN288">
        <v>60</v>
      </c>
      <c r="AO288">
        <v>106</v>
      </c>
      <c r="AP288">
        <v>2</v>
      </c>
      <c r="AQ288">
        <v>8</v>
      </c>
      <c r="AR288">
        <v>9</v>
      </c>
      <c r="AS288">
        <v>99</v>
      </c>
      <c r="AT288">
        <v>9</v>
      </c>
      <c r="AU288">
        <v>3</v>
      </c>
      <c r="AV288">
        <v>99999</v>
      </c>
      <c r="AW288">
        <v>0</v>
      </c>
      <c r="AX288" s="7">
        <v>45383.489039351851</v>
      </c>
      <c r="AY288" s="7"/>
      <c r="BV288" t="str">
        <f t="shared" si="7"/>
        <v/>
      </c>
    </row>
    <row r="289" spans="1:74">
      <c r="A289">
        <v>287</v>
      </c>
      <c r="B289" t="s">
        <v>234</v>
      </c>
      <c r="C289">
        <v>2023</v>
      </c>
      <c r="D289">
        <v>5345</v>
      </c>
      <c r="E289">
        <v>264</v>
      </c>
      <c r="F289">
        <v>2</v>
      </c>
      <c r="G289">
        <v>2</v>
      </c>
      <c r="H289">
        <v>999</v>
      </c>
      <c r="I289">
        <v>999999</v>
      </c>
      <c r="J289">
        <v>999</v>
      </c>
      <c r="K289">
        <v>99</v>
      </c>
      <c r="L289">
        <v>999</v>
      </c>
      <c r="M289">
        <v>9</v>
      </c>
      <c r="N289">
        <v>99</v>
      </c>
      <c r="O289">
        <v>9</v>
      </c>
      <c r="P289">
        <v>3</v>
      </c>
      <c r="Q289">
        <v>99999</v>
      </c>
      <c r="R289" s="276">
        <v>0</v>
      </c>
      <c r="S289" s="7">
        <v>45372.583067129628</v>
      </c>
      <c r="AG289" t="s">
        <v>277</v>
      </c>
      <c r="AH289">
        <v>2023</v>
      </c>
      <c r="AI289">
        <v>5346</v>
      </c>
      <c r="AJ289">
        <v>263</v>
      </c>
      <c r="AK289">
        <v>2</v>
      </c>
      <c r="AL289">
        <v>2</v>
      </c>
      <c r="AM289">
        <v>22</v>
      </c>
      <c r="AN289">
        <v>60</v>
      </c>
      <c r="AO289">
        <v>120</v>
      </c>
      <c r="AP289">
        <v>4</v>
      </c>
      <c r="AQ289">
        <v>999</v>
      </c>
      <c r="AR289">
        <v>9</v>
      </c>
      <c r="AS289">
        <v>99</v>
      </c>
      <c r="AT289">
        <v>9</v>
      </c>
      <c r="AU289">
        <v>3</v>
      </c>
      <c r="AV289">
        <v>99999</v>
      </c>
      <c r="AW289">
        <v>0</v>
      </c>
      <c r="AX289" s="7">
        <v>45383.489039351851</v>
      </c>
      <c r="AY289" s="7"/>
      <c r="BV289" t="str">
        <f t="shared" si="7"/>
        <v/>
      </c>
    </row>
    <row r="290" spans="1:74">
      <c r="A290">
        <v>288</v>
      </c>
      <c r="B290" t="s">
        <v>234</v>
      </c>
      <c r="C290">
        <v>2023</v>
      </c>
      <c r="D290">
        <v>5345</v>
      </c>
      <c r="E290">
        <v>264</v>
      </c>
      <c r="F290">
        <v>2</v>
      </c>
      <c r="G290">
        <v>2</v>
      </c>
      <c r="H290">
        <v>22</v>
      </c>
      <c r="I290">
        <v>60</v>
      </c>
      <c r="J290">
        <v>999</v>
      </c>
      <c r="K290">
        <v>2</v>
      </c>
      <c r="L290">
        <v>11</v>
      </c>
      <c r="M290">
        <v>9</v>
      </c>
      <c r="N290">
        <v>99</v>
      </c>
      <c r="O290">
        <v>9</v>
      </c>
      <c r="P290">
        <v>3</v>
      </c>
      <c r="Q290">
        <v>99999</v>
      </c>
      <c r="R290" s="276">
        <v>0</v>
      </c>
      <c r="S290" s="7">
        <v>45372.583067129628</v>
      </c>
      <c r="AG290" t="s">
        <v>277</v>
      </c>
      <c r="AH290">
        <v>2023</v>
      </c>
      <c r="AI290">
        <v>5346</v>
      </c>
      <c r="AJ290">
        <v>263</v>
      </c>
      <c r="AK290">
        <v>2</v>
      </c>
      <c r="AL290">
        <v>2</v>
      </c>
      <c r="AM290">
        <v>22</v>
      </c>
      <c r="AN290">
        <v>60</v>
      </c>
      <c r="AO290">
        <v>167</v>
      </c>
      <c r="AP290">
        <v>4</v>
      </c>
      <c r="AQ290">
        <v>999</v>
      </c>
      <c r="AR290">
        <v>9</v>
      </c>
      <c r="AS290">
        <v>99</v>
      </c>
      <c r="AT290">
        <v>9</v>
      </c>
      <c r="AU290">
        <v>3</v>
      </c>
      <c r="AV290">
        <v>99999</v>
      </c>
      <c r="AW290">
        <v>0</v>
      </c>
      <c r="AX290" s="7">
        <v>45383.489039351851</v>
      </c>
      <c r="AY290" s="7"/>
      <c r="BV290" t="str">
        <f t="shared" si="7"/>
        <v/>
      </c>
    </row>
    <row r="291" spans="1:74">
      <c r="A291">
        <v>289</v>
      </c>
      <c r="B291" t="s">
        <v>234</v>
      </c>
      <c r="C291">
        <v>2023</v>
      </c>
      <c r="D291">
        <v>5345</v>
      </c>
      <c r="E291">
        <v>264</v>
      </c>
      <c r="F291">
        <v>2</v>
      </c>
      <c r="G291">
        <v>2</v>
      </c>
      <c r="H291">
        <v>22</v>
      </c>
      <c r="I291">
        <v>60</v>
      </c>
      <c r="J291">
        <v>999</v>
      </c>
      <c r="K291">
        <v>2</v>
      </c>
      <c r="L291">
        <v>9</v>
      </c>
      <c r="M291">
        <v>9</v>
      </c>
      <c r="N291">
        <v>99</v>
      </c>
      <c r="O291">
        <v>9</v>
      </c>
      <c r="P291">
        <v>3</v>
      </c>
      <c r="Q291">
        <v>99999</v>
      </c>
      <c r="R291" s="276">
        <v>0</v>
      </c>
      <c r="S291" s="7">
        <v>45372.583067129628</v>
      </c>
      <c r="AG291" t="s">
        <v>277</v>
      </c>
      <c r="AH291">
        <v>2023</v>
      </c>
      <c r="AI291">
        <v>5346</v>
      </c>
      <c r="AJ291">
        <v>263</v>
      </c>
      <c r="AK291">
        <v>2</v>
      </c>
      <c r="AL291">
        <v>2</v>
      </c>
      <c r="AM291">
        <v>22</v>
      </c>
      <c r="AN291">
        <v>60</v>
      </c>
      <c r="AO291">
        <v>178</v>
      </c>
      <c r="AP291">
        <v>1</v>
      </c>
      <c r="AQ291">
        <v>7</v>
      </c>
      <c r="AR291">
        <v>9</v>
      </c>
      <c r="AS291">
        <v>99</v>
      </c>
      <c r="AT291">
        <v>9</v>
      </c>
      <c r="AU291">
        <v>3</v>
      </c>
      <c r="AV291">
        <v>99999</v>
      </c>
      <c r="AW291">
        <v>-560301.484692581</v>
      </c>
      <c r="AX291" s="7">
        <v>45383.489039351851</v>
      </c>
      <c r="AY291" s="7"/>
      <c r="BV291" t="str">
        <f t="shared" si="7"/>
        <v/>
      </c>
    </row>
    <row r="292" spans="1:74">
      <c r="A292">
        <v>290</v>
      </c>
      <c r="B292" t="s">
        <v>234</v>
      </c>
      <c r="C292">
        <v>2023</v>
      </c>
      <c r="D292">
        <v>5345</v>
      </c>
      <c r="E292">
        <v>264</v>
      </c>
      <c r="F292">
        <v>2</v>
      </c>
      <c r="G292">
        <v>2</v>
      </c>
      <c r="H292">
        <v>22</v>
      </c>
      <c r="I292">
        <v>60</v>
      </c>
      <c r="J292">
        <v>999</v>
      </c>
      <c r="K292">
        <v>2</v>
      </c>
      <c r="L292">
        <v>8</v>
      </c>
      <c r="M292">
        <v>9</v>
      </c>
      <c r="N292">
        <v>99</v>
      </c>
      <c r="O292">
        <v>9</v>
      </c>
      <c r="P292">
        <v>3</v>
      </c>
      <c r="Q292">
        <v>99999</v>
      </c>
      <c r="R292" s="276">
        <v>0</v>
      </c>
      <c r="S292" s="7">
        <v>45372.583067129628</v>
      </c>
      <c r="AG292" t="s">
        <v>277</v>
      </c>
      <c r="AH292">
        <v>2023</v>
      </c>
      <c r="AI292">
        <v>5346</v>
      </c>
      <c r="AJ292">
        <v>263</v>
      </c>
      <c r="AK292">
        <v>2</v>
      </c>
      <c r="AL292">
        <v>2</v>
      </c>
      <c r="AM292">
        <v>20</v>
      </c>
      <c r="AN292">
        <v>60</v>
      </c>
      <c r="AO292">
        <v>179</v>
      </c>
      <c r="AP292">
        <v>99</v>
      </c>
      <c r="AQ292">
        <v>999</v>
      </c>
      <c r="AR292">
        <v>3</v>
      </c>
      <c r="AS292">
        <v>99</v>
      </c>
      <c r="AT292">
        <v>9</v>
      </c>
      <c r="AU292">
        <v>3</v>
      </c>
      <c r="AV292">
        <v>99999</v>
      </c>
      <c r="AW292">
        <v>0</v>
      </c>
      <c r="AX292" s="7">
        <v>45383.489039351851</v>
      </c>
      <c r="AY292" s="7"/>
      <c r="BV292" t="str">
        <f t="shared" si="7"/>
        <v/>
      </c>
    </row>
    <row r="293" spans="1:74">
      <c r="A293">
        <v>291</v>
      </c>
      <c r="B293" t="s">
        <v>234</v>
      </c>
      <c r="C293">
        <v>2023</v>
      </c>
      <c r="D293">
        <v>5345</v>
      </c>
      <c r="E293">
        <v>264</v>
      </c>
      <c r="F293">
        <v>2</v>
      </c>
      <c r="G293">
        <v>2</v>
      </c>
      <c r="H293">
        <v>999</v>
      </c>
      <c r="I293">
        <v>999999</v>
      </c>
      <c r="J293">
        <v>999</v>
      </c>
      <c r="K293">
        <v>99</v>
      </c>
      <c r="L293">
        <v>999</v>
      </c>
      <c r="M293">
        <v>9</v>
      </c>
      <c r="N293">
        <v>99</v>
      </c>
      <c r="O293">
        <v>9</v>
      </c>
      <c r="P293">
        <v>3</v>
      </c>
      <c r="Q293">
        <v>99999</v>
      </c>
      <c r="R293" s="276">
        <v>0</v>
      </c>
      <c r="S293" s="7">
        <v>45372.583067129628</v>
      </c>
      <c r="AG293" t="s">
        <v>277</v>
      </c>
      <c r="AH293">
        <v>2023</v>
      </c>
      <c r="AI293">
        <v>5346</v>
      </c>
      <c r="AJ293">
        <v>263</v>
      </c>
      <c r="AK293">
        <v>2</v>
      </c>
      <c r="AL293">
        <v>2</v>
      </c>
      <c r="AM293">
        <v>22</v>
      </c>
      <c r="AN293">
        <v>60</v>
      </c>
      <c r="AO293">
        <v>179</v>
      </c>
      <c r="AP293">
        <v>99</v>
      </c>
      <c r="AQ293">
        <v>999</v>
      </c>
      <c r="AR293">
        <v>3</v>
      </c>
      <c r="AS293">
        <v>99</v>
      </c>
      <c r="AT293">
        <v>9</v>
      </c>
      <c r="AU293">
        <v>3</v>
      </c>
      <c r="AV293">
        <v>99999</v>
      </c>
      <c r="AW293">
        <v>0</v>
      </c>
      <c r="AX293" s="7">
        <v>45383.489039351851</v>
      </c>
      <c r="AY293" s="7"/>
      <c r="BV293" t="str">
        <f t="shared" si="7"/>
        <v/>
      </c>
    </row>
    <row r="294" spans="1:74">
      <c r="A294">
        <v>292</v>
      </c>
      <c r="B294" t="s">
        <v>234</v>
      </c>
      <c r="C294">
        <v>2023</v>
      </c>
      <c r="D294">
        <v>5345</v>
      </c>
      <c r="E294">
        <v>264</v>
      </c>
      <c r="F294">
        <v>2</v>
      </c>
      <c r="G294">
        <v>2</v>
      </c>
      <c r="H294">
        <v>22</v>
      </c>
      <c r="I294">
        <v>60</v>
      </c>
      <c r="J294">
        <v>999</v>
      </c>
      <c r="K294">
        <v>1</v>
      </c>
      <c r="L294">
        <v>7</v>
      </c>
      <c r="M294">
        <v>9</v>
      </c>
      <c r="N294">
        <v>99</v>
      </c>
      <c r="O294">
        <v>9</v>
      </c>
      <c r="P294">
        <v>3</v>
      </c>
      <c r="Q294">
        <v>99999</v>
      </c>
      <c r="R294" s="276">
        <v>0</v>
      </c>
      <c r="S294" s="7">
        <v>45372.583067129628</v>
      </c>
      <c r="AG294" t="s">
        <v>277</v>
      </c>
      <c r="AH294">
        <v>2023</v>
      </c>
      <c r="AI294">
        <v>5346</v>
      </c>
      <c r="AJ294">
        <v>263</v>
      </c>
      <c r="AK294">
        <v>2</v>
      </c>
      <c r="AL294">
        <v>2</v>
      </c>
      <c r="AM294">
        <v>22</v>
      </c>
      <c r="AN294">
        <v>60</v>
      </c>
      <c r="AO294">
        <v>220</v>
      </c>
      <c r="AP294">
        <v>2</v>
      </c>
      <c r="AQ294">
        <v>9</v>
      </c>
      <c r="AR294">
        <v>9</v>
      </c>
      <c r="AS294">
        <v>99</v>
      </c>
      <c r="AT294">
        <v>9</v>
      </c>
      <c r="AU294">
        <v>3</v>
      </c>
      <c r="AV294">
        <v>99999</v>
      </c>
      <c r="AW294">
        <v>0</v>
      </c>
      <c r="AX294" s="7">
        <v>45383.489039351851</v>
      </c>
      <c r="AY294" s="7"/>
      <c r="BV294" t="str">
        <f t="shared" si="7"/>
        <v/>
      </c>
    </row>
    <row r="295" spans="1:74">
      <c r="A295">
        <v>293</v>
      </c>
      <c r="B295" t="s">
        <v>234</v>
      </c>
      <c r="C295">
        <v>2023</v>
      </c>
      <c r="D295">
        <v>5345</v>
      </c>
      <c r="E295">
        <v>264</v>
      </c>
      <c r="F295">
        <v>2</v>
      </c>
      <c r="G295">
        <v>2</v>
      </c>
      <c r="H295">
        <v>22</v>
      </c>
      <c r="I295">
        <v>60</v>
      </c>
      <c r="J295">
        <v>999</v>
      </c>
      <c r="K295">
        <v>2</v>
      </c>
      <c r="L295">
        <v>30</v>
      </c>
      <c r="M295">
        <v>9</v>
      </c>
      <c r="N295">
        <v>99</v>
      </c>
      <c r="O295">
        <v>9</v>
      </c>
      <c r="P295">
        <v>3</v>
      </c>
      <c r="Q295">
        <v>99999</v>
      </c>
      <c r="R295" s="276">
        <v>0</v>
      </c>
      <c r="S295" s="7">
        <v>45372.583067129628</v>
      </c>
      <c r="AG295" t="s">
        <v>277</v>
      </c>
      <c r="AH295">
        <v>2023</v>
      </c>
      <c r="AI295">
        <v>5346</v>
      </c>
      <c r="AJ295">
        <v>263</v>
      </c>
      <c r="AK295">
        <v>2</v>
      </c>
      <c r="AL295">
        <v>2</v>
      </c>
      <c r="AM295">
        <v>22</v>
      </c>
      <c r="AN295">
        <v>60</v>
      </c>
      <c r="AO295">
        <v>220</v>
      </c>
      <c r="AP295">
        <v>2</v>
      </c>
      <c r="AQ295">
        <v>8</v>
      </c>
      <c r="AR295">
        <v>9</v>
      </c>
      <c r="AS295">
        <v>99</v>
      </c>
      <c r="AT295">
        <v>9</v>
      </c>
      <c r="AU295">
        <v>3</v>
      </c>
      <c r="AV295">
        <v>99999</v>
      </c>
      <c r="AW295">
        <v>0</v>
      </c>
      <c r="AX295" s="7">
        <v>45383.489039351851</v>
      </c>
      <c r="AY295" s="7"/>
      <c r="BV295" t="str">
        <f t="shared" si="7"/>
        <v/>
      </c>
    </row>
    <row r="296" spans="1:74">
      <c r="A296">
        <v>294</v>
      </c>
      <c r="B296" t="s">
        <v>234</v>
      </c>
      <c r="C296">
        <v>2023</v>
      </c>
      <c r="D296">
        <v>5345</v>
      </c>
      <c r="E296">
        <v>264</v>
      </c>
      <c r="F296">
        <v>2</v>
      </c>
      <c r="G296">
        <v>2</v>
      </c>
      <c r="H296">
        <v>22</v>
      </c>
      <c r="I296">
        <v>60</v>
      </c>
      <c r="J296">
        <v>999</v>
      </c>
      <c r="K296">
        <v>4</v>
      </c>
      <c r="L296">
        <v>999</v>
      </c>
      <c r="M296">
        <v>9</v>
      </c>
      <c r="N296">
        <v>99</v>
      </c>
      <c r="O296">
        <v>9</v>
      </c>
      <c r="P296">
        <v>3</v>
      </c>
      <c r="Q296">
        <v>99999</v>
      </c>
      <c r="R296" s="276">
        <v>0</v>
      </c>
      <c r="S296" s="7">
        <v>45372.583067129628</v>
      </c>
      <c r="AG296" t="s">
        <v>277</v>
      </c>
      <c r="AH296">
        <v>2023</v>
      </c>
      <c r="AI296">
        <v>5346</v>
      </c>
      <c r="AJ296">
        <v>263</v>
      </c>
      <c r="AK296">
        <v>2</v>
      </c>
      <c r="AL296">
        <v>2</v>
      </c>
      <c r="AM296">
        <v>22</v>
      </c>
      <c r="AN296">
        <v>60</v>
      </c>
      <c r="AO296">
        <v>220</v>
      </c>
      <c r="AP296">
        <v>2</v>
      </c>
      <c r="AQ296">
        <v>10</v>
      </c>
      <c r="AR296">
        <v>9</v>
      </c>
      <c r="AS296">
        <v>99</v>
      </c>
      <c r="AT296">
        <v>9</v>
      </c>
      <c r="AU296">
        <v>3</v>
      </c>
      <c r="AV296">
        <v>99999</v>
      </c>
      <c r="AW296">
        <v>0</v>
      </c>
      <c r="AX296" s="7">
        <v>45383.489039351851</v>
      </c>
      <c r="AY296" s="7"/>
      <c r="BV296" t="str">
        <f t="shared" si="7"/>
        <v/>
      </c>
    </row>
    <row r="297" spans="1:74">
      <c r="A297">
        <v>295</v>
      </c>
      <c r="B297" t="s">
        <v>234</v>
      </c>
      <c r="C297">
        <v>2023</v>
      </c>
      <c r="D297">
        <v>5345</v>
      </c>
      <c r="E297">
        <v>264</v>
      </c>
      <c r="F297">
        <v>2</v>
      </c>
      <c r="G297">
        <v>2</v>
      </c>
      <c r="H297">
        <v>22</v>
      </c>
      <c r="I297">
        <v>60</v>
      </c>
      <c r="J297">
        <v>999</v>
      </c>
      <c r="K297">
        <v>3</v>
      </c>
      <c r="L297">
        <v>28</v>
      </c>
      <c r="M297">
        <v>9</v>
      </c>
      <c r="N297">
        <v>99</v>
      </c>
      <c r="O297">
        <v>9</v>
      </c>
      <c r="P297">
        <v>3</v>
      </c>
      <c r="Q297">
        <v>99999</v>
      </c>
      <c r="R297" s="276">
        <v>0</v>
      </c>
      <c r="S297" s="7">
        <v>45372.583067129628</v>
      </c>
      <c r="AG297" t="s">
        <v>277</v>
      </c>
      <c r="AH297">
        <v>2023</v>
      </c>
      <c r="AI297">
        <v>5346</v>
      </c>
      <c r="AJ297">
        <v>263</v>
      </c>
      <c r="AK297">
        <v>2</v>
      </c>
      <c r="AL297">
        <v>2</v>
      </c>
      <c r="AM297">
        <v>22</v>
      </c>
      <c r="AN297">
        <v>60</v>
      </c>
      <c r="AO297">
        <v>220</v>
      </c>
      <c r="AP297">
        <v>2</v>
      </c>
      <c r="AQ297">
        <v>24</v>
      </c>
      <c r="AR297">
        <v>9</v>
      </c>
      <c r="AS297">
        <v>99</v>
      </c>
      <c r="AT297">
        <v>9</v>
      </c>
      <c r="AU297">
        <v>3</v>
      </c>
      <c r="AV297">
        <v>99999</v>
      </c>
      <c r="AW297">
        <v>0</v>
      </c>
      <c r="AX297" s="7">
        <v>45383.489039351851</v>
      </c>
      <c r="AY297" s="7"/>
      <c r="BV297" t="str">
        <f t="shared" si="7"/>
        <v/>
      </c>
    </row>
    <row r="298" spans="1:74">
      <c r="A298">
        <v>296</v>
      </c>
      <c r="B298" t="s">
        <v>234</v>
      </c>
      <c r="C298">
        <v>2023</v>
      </c>
      <c r="D298">
        <v>5345</v>
      </c>
      <c r="E298">
        <v>264</v>
      </c>
      <c r="F298">
        <v>2</v>
      </c>
      <c r="G298">
        <v>2</v>
      </c>
      <c r="H298">
        <v>22</v>
      </c>
      <c r="I298">
        <v>60</v>
      </c>
      <c r="J298">
        <v>999</v>
      </c>
      <c r="K298">
        <v>3</v>
      </c>
      <c r="L298">
        <v>29</v>
      </c>
      <c r="M298">
        <v>9</v>
      </c>
      <c r="N298">
        <v>99</v>
      </c>
      <c r="O298">
        <v>9</v>
      </c>
      <c r="P298">
        <v>3</v>
      </c>
      <c r="Q298">
        <v>99999</v>
      </c>
      <c r="R298" s="276">
        <v>0</v>
      </c>
      <c r="S298" s="7">
        <v>45372.583067129628</v>
      </c>
      <c r="AG298" t="s">
        <v>277</v>
      </c>
      <c r="AH298">
        <v>2023</v>
      </c>
      <c r="AI298">
        <v>5346</v>
      </c>
      <c r="AJ298">
        <v>263</v>
      </c>
      <c r="AK298">
        <v>2</v>
      </c>
      <c r="AL298">
        <v>2</v>
      </c>
      <c r="AM298">
        <v>22</v>
      </c>
      <c r="AN298">
        <v>62</v>
      </c>
      <c r="AO298">
        <v>220</v>
      </c>
      <c r="AP298">
        <v>2</v>
      </c>
      <c r="AQ298">
        <v>11</v>
      </c>
      <c r="AR298">
        <v>9</v>
      </c>
      <c r="AS298">
        <v>99</v>
      </c>
      <c r="AT298">
        <v>9</v>
      </c>
      <c r="AU298">
        <v>3</v>
      </c>
      <c r="AV298">
        <v>99999</v>
      </c>
      <c r="AW298">
        <v>0</v>
      </c>
      <c r="AX298" s="7">
        <v>45383.489039351851</v>
      </c>
      <c r="AY298" s="7"/>
      <c r="BV298" t="str">
        <f t="shared" si="7"/>
        <v/>
      </c>
    </row>
    <row r="299" spans="1:74">
      <c r="A299">
        <v>297</v>
      </c>
      <c r="B299" t="s">
        <v>234</v>
      </c>
      <c r="C299">
        <v>2023</v>
      </c>
      <c r="D299">
        <v>5345</v>
      </c>
      <c r="E299">
        <v>264</v>
      </c>
      <c r="F299">
        <v>2</v>
      </c>
      <c r="G299">
        <v>2</v>
      </c>
      <c r="H299">
        <v>999</v>
      </c>
      <c r="I299">
        <v>999999</v>
      </c>
      <c r="J299">
        <v>999</v>
      </c>
      <c r="K299">
        <v>99</v>
      </c>
      <c r="L299">
        <v>999</v>
      </c>
      <c r="M299">
        <v>9</v>
      </c>
      <c r="N299">
        <v>99</v>
      </c>
      <c r="O299">
        <v>9</v>
      </c>
      <c r="P299">
        <v>3</v>
      </c>
      <c r="Q299">
        <v>99999</v>
      </c>
      <c r="R299" s="276">
        <v>0</v>
      </c>
      <c r="S299" s="7">
        <v>45372.583067129628</v>
      </c>
      <c r="AG299" t="s">
        <v>277</v>
      </c>
      <c r="AH299">
        <v>2023</v>
      </c>
      <c r="AI299">
        <v>5346</v>
      </c>
      <c r="AJ299">
        <v>263</v>
      </c>
      <c r="AK299">
        <v>2</v>
      </c>
      <c r="AL299">
        <v>2</v>
      </c>
      <c r="AM299">
        <v>22</v>
      </c>
      <c r="AN299">
        <v>62</v>
      </c>
      <c r="AO299">
        <v>220</v>
      </c>
      <c r="AP299">
        <v>2</v>
      </c>
      <c r="AQ299">
        <v>9</v>
      </c>
      <c r="AR299">
        <v>9</v>
      </c>
      <c r="AS299">
        <v>99</v>
      </c>
      <c r="AT299">
        <v>9</v>
      </c>
      <c r="AU299">
        <v>3</v>
      </c>
      <c r="AV299">
        <v>99999</v>
      </c>
      <c r="AW299">
        <v>0</v>
      </c>
      <c r="AX299" s="7">
        <v>45383.489039351851</v>
      </c>
      <c r="AY299" s="7"/>
      <c r="BV299" t="str">
        <f t="shared" si="7"/>
        <v/>
      </c>
    </row>
    <row r="300" spans="1:74">
      <c r="A300">
        <v>298</v>
      </c>
      <c r="B300" t="s">
        <v>234</v>
      </c>
      <c r="C300">
        <v>2023</v>
      </c>
      <c r="D300">
        <v>5345</v>
      </c>
      <c r="E300">
        <v>264</v>
      </c>
      <c r="F300">
        <v>2</v>
      </c>
      <c r="G300">
        <v>2</v>
      </c>
      <c r="H300">
        <v>22</v>
      </c>
      <c r="I300">
        <v>60</v>
      </c>
      <c r="J300">
        <v>999</v>
      </c>
      <c r="K300">
        <v>1</v>
      </c>
      <c r="L300">
        <v>1</v>
      </c>
      <c r="M300">
        <v>9</v>
      </c>
      <c r="N300">
        <v>99</v>
      </c>
      <c r="O300">
        <v>9</v>
      </c>
      <c r="P300">
        <v>3</v>
      </c>
      <c r="Q300">
        <v>99999</v>
      </c>
      <c r="R300" s="276">
        <v>0</v>
      </c>
      <c r="S300" s="7">
        <v>45372.583067129628</v>
      </c>
      <c r="AG300" t="s">
        <v>277</v>
      </c>
      <c r="AH300">
        <v>2023</v>
      </c>
      <c r="AI300">
        <v>5346</v>
      </c>
      <c r="AJ300">
        <v>263</v>
      </c>
      <c r="AK300">
        <v>2</v>
      </c>
      <c r="AL300">
        <v>2</v>
      </c>
      <c r="AM300">
        <v>22</v>
      </c>
      <c r="AN300">
        <v>62</v>
      </c>
      <c r="AO300">
        <v>220</v>
      </c>
      <c r="AP300">
        <v>2</v>
      </c>
      <c r="AQ300">
        <v>8</v>
      </c>
      <c r="AR300">
        <v>9</v>
      </c>
      <c r="AS300">
        <v>99</v>
      </c>
      <c r="AT300">
        <v>9</v>
      </c>
      <c r="AU300">
        <v>3</v>
      </c>
      <c r="AV300">
        <v>99999</v>
      </c>
      <c r="AW300">
        <v>0</v>
      </c>
      <c r="AX300" s="7">
        <v>45383.489039351851</v>
      </c>
      <c r="AY300" s="7"/>
      <c r="BV300" t="str">
        <f t="shared" si="7"/>
        <v/>
      </c>
    </row>
    <row r="301" spans="1:74">
      <c r="A301">
        <v>299</v>
      </c>
      <c r="B301" t="s">
        <v>234</v>
      </c>
      <c r="C301">
        <v>2023</v>
      </c>
      <c r="D301">
        <v>5345</v>
      </c>
      <c r="E301">
        <v>264</v>
      </c>
      <c r="F301">
        <v>2</v>
      </c>
      <c r="G301">
        <v>2</v>
      </c>
      <c r="H301">
        <v>22</v>
      </c>
      <c r="I301">
        <v>60</v>
      </c>
      <c r="J301">
        <v>999</v>
      </c>
      <c r="K301">
        <v>1</v>
      </c>
      <c r="L301">
        <v>2</v>
      </c>
      <c r="M301">
        <v>9</v>
      </c>
      <c r="N301">
        <v>99</v>
      </c>
      <c r="O301">
        <v>9</v>
      </c>
      <c r="P301">
        <v>3</v>
      </c>
      <c r="Q301">
        <v>99999</v>
      </c>
      <c r="R301" s="276">
        <v>0</v>
      </c>
      <c r="S301" s="7">
        <v>45372.583067129628</v>
      </c>
      <c r="AG301" t="s">
        <v>277</v>
      </c>
      <c r="AH301">
        <v>2023</v>
      </c>
      <c r="AI301">
        <v>5346</v>
      </c>
      <c r="AJ301">
        <v>263</v>
      </c>
      <c r="AK301">
        <v>2</v>
      </c>
      <c r="AL301">
        <v>2</v>
      </c>
      <c r="AM301">
        <v>22</v>
      </c>
      <c r="AN301">
        <v>62</v>
      </c>
      <c r="AO301">
        <v>220</v>
      </c>
      <c r="AP301">
        <v>2</v>
      </c>
      <c r="AQ301">
        <v>10</v>
      </c>
      <c r="AR301">
        <v>9</v>
      </c>
      <c r="AS301">
        <v>99</v>
      </c>
      <c r="AT301">
        <v>9</v>
      </c>
      <c r="AU301">
        <v>3</v>
      </c>
      <c r="AV301">
        <v>99999</v>
      </c>
      <c r="AW301">
        <v>0</v>
      </c>
      <c r="AX301" s="7">
        <v>45383.489039351851</v>
      </c>
      <c r="AY301" s="7"/>
      <c r="BV301" t="str">
        <f t="shared" si="7"/>
        <v/>
      </c>
    </row>
    <row r="302" spans="1:74">
      <c r="A302">
        <v>300</v>
      </c>
      <c r="B302" t="s">
        <v>234</v>
      </c>
      <c r="C302">
        <v>2023</v>
      </c>
      <c r="D302">
        <v>5345</v>
      </c>
      <c r="E302">
        <v>264</v>
      </c>
      <c r="F302">
        <v>2</v>
      </c>
      <c r="G302">
        <v>2</v>
      </c>
      <c r="H302">
        <v>999</v>
      </c>
      <c r="I302">
        <v>999999</v>
      </c>
      <c r="J302">
        <v>999</v>
      </c>
      <c r="K302">
        <v>99</v>
      </c>
      <c r="L302">
        <v>999</v>
      </c>
      <c r="M302">
        <v>9</v>
      </c>
      <c r="N302">
        <v>99</v>
      </c>
      <c r="O302">
        <v>9</v>
      </c>
      <c r="P302">
        <v>3</v>
      </c>
      <c r="Q302">
        <v>99999</v>
      </c>
      <c r="R302" s="276">
        <v>0</v>
      </c>
      <c r="S302" s="7">
        <v>45372.583067129628</v>
      </c>
      <c r="AG302" t="s">
        <v>277</v>
      </c>
      <c r="AH302">
        <v>2023</v>
      </c>
      <c r="AI302">
        <v>5346</v>
      </c>
      <c r="AJ302">
        <v>263</v>
      </c>
      <c r="AK302">
        <v>2</v>
      </c>
      <c r="AL302">
        <v>2</v>
      </c>
      <c r="AM302">
        <v>22</v>
      </c>
      <c r="AN302">
        <v>62</v>
      </c>
      <c r="AO302">
        <v>220</v>
      </c>
      <c r="AP302">
        <v>2</v>
      </c>
      <c r="AQ302">
        <v>24</v>
      </c>
      <c r="AR302">
        <v>9</v>
      </c>
      <c r="AS302">
        <v>99</v>
      </c>
      <c r="AT302">
        <v>9</v>
      </c>
      <c r="AU302">
        <v>3</v>
      </c>
      <c r="AV302">
        <v>99999</v>
      </c>
      <c r="AW302">
        <v>0</v>
      </c>
      <c r="AX302" s="7">
        <v>45383.489039351851</v>
      </c>
      <c r="AY302" s="7"/>
      <c r="BV302" t="str">
        <f t="shared" si="7"/>
        <v/>
      </c>
    </row>
    <row r="303" spans="1:74">
      <c r="A303">
        <v>301</v>
      </c>
      <c r="B303" t="s">
        <v>234</v>
      </c>
      <c r="C303">
        <v>2023</v>
      </c>
      <c r="D303">
        <v>5345</v>
      </c>
      <c r="E303">
        <v>264</v>
      </c>
      <c r="F303">
        <v>2</v>
      </c>
      <c r="G303">
        <v>2</v>
      </c>
      <c r="H303">
        <v>22</v>
      </c>
      <c r="I303">
        <v>60</v>
      </c>
      <c r="J303">
        <v>999</v>
      </c>
      <c r="K303">
        <v>2</v>
      </c>
      <c r="L303">
        <v>30</v>
      </c>
      <c r="M303">
        <v>9</v>
      </c>
      <c r="N303">
        <v>99</v>
      </c>
      <c r="O303">
        <v>9</v>
      </c>
      <c r="P303">
        <v>3</v>
      </c>
      <c r="Q303">
        <v>99999</v>
      </c>
      <c r="R303" s="276">
        <v>0</v>
      </c>
      <c r="S303" s="7">
        <v>45372.583067129628</v>
      </c>
      <c r="AG303" t="s">
        <v>277</v>
      </c>
      <c r="AH303">
        <v>2023</v>
      </c>
      <c r="AI303">
        <v>5346</v>
      </c>
      <c r="AJ303">
        <v>263</v>
      </c>
      <c r="AK303">
        <v>2</v>
      </c>
      <c r="AL303">
        <v>2</v>
      </c>
      <c r="AM303">
        <v>22</v>
      </c>
      <c r="AN303">
        <v>60</v>
      </c>
      <c r="AO303">
        <v>220</v>
      </c>
      <c r="AP303">
        <v>2</v>
      </c>
      <c r="AQ303">
        <v>11</v>
      </c>
      <c r="AR303">
        <v>9</v>
      </c>
      <c r="AS303">
        <v>99</v>
      </c>
      <c r="AT303">
        <v>9</v>
      </c>
      <c r="AU303">
        <v>3</v>
      </c>
      <c r="AV303">
        <v>99999</v>
      </c>
      <c r="AW303">
        <v>0</v>
      </c>
      <c r="AX303" s="7">
        <v>45383.489039351851</v>
      </c>
      <c r="AY303" s="7"/>
      <c r="BV303" t="str">
        <f t="shared" si="7"/>
        <v/>
      </c>
    </row>
    <row r="304" spans="1:74">
      <c r="A304">
        <v>302</v>
      </c>
      <c r="B304" t="s">
        <v>234</v>
      </c>
      <c r="C304">
        <v>2023</v>
      </c>
      <c r="D304">
        <v>5345</v>
      </c>
      <c r="E304">
        <v>264</v>
      </c>
      <c r="F304">
        <v>2</v>
      </c>
      <c r="G304">
        <v>2</v>
      </c>
      <c r="H304">
        <v>22</v>
      </c>
      <c r="I304">
        <v>60</v>
      </c>
      <c r="J304">
        <v>999</v>
      </c>
      <c r="K304">
        <v>3</v>
      </c>
      <c r="L304">
        <v>19</v>
      </c>
      <c r="M304">
        <v>9</v>
      </c>
      <c r="N304">
        <v>99</v>
      </c>
      <c r="O304">
        <v>9</v>
      </c>
      <c r="P304">
        <v>3</v>
      </c>
      <c r="Q304">
        <v>99999</v>
      </c>
      <c r="R304" s="276">
        <v>0</v>
      </c>
      <c r="S304" s="7">
        <v>45372.583067129628</v>
      </c>
      <c r="AG304" t="s">
        <v>277</v>
      </c>
      <c r="AH304">
        <v>2023</v>
      </c>
      <c r="AI304">
        <v>5346</v>
      </c>
      <c r="AJ304">
        <v>263</v>
      </c>
      <c r="AK304">
        <v>2</v>
      </c>
      <c r="AL304">
        <v>2</v>
      </c>
      <c r="AM304">
        <v>22</v>
      </c>
      <c r="AN304">
        <v>60</v>
      </c>
      <c r="AO304">
        <v>235</v>
      </c>
      <c r="AP304">
        <v>4</v>
      </c>
      <c r="AQ304">
        <v>999</v>
      </c>
      <c r="AR304">
        <v>9</v>
      </c>
      <c r="AS304">
        <v>99</v>
      </c>
      <c r="AT304">
        <v>9</v>
      </c>
      <c r="AU304">
        <v>3</v>
      </c>
      <c r="AV304">
        <v>99999</v>
      </c>
      <c r="AW304">
        <v>0</v>
      </c>
      <c r="AX304" s="7">
        <v>45383.489039351851</v>
      </c>
      <c r="AY304" s="7"/>
      <c r="BV304" t="str">
        <f t="shared" si="7"/>
        <v/>
      </c>
    </row>
    <row r="305" spans="1:74">
      <c r="A305">
        <v>303</v>
      </c>
      <c r="B305" t="s">
        <v>234</v>
      </c>
      <c r="C305">
        <v>2023</v>
      </c>
      <c r="D305">
        <v>5345</v>
      </c>
      <c r="E305">
        <v>264</v>
      </c>
      <c r="F305">
        <v>2</v>
      </c>
      <c r="G305">
        <v>2</v>
      </c>
      <c r="H305">
        <v>20</v>
      </c>
      <c r="I305">
        <v>60</v>
      </c>
      <c r="J305">
        <v>999</v>
      </c>
      <c r="K305">
        <v>2</v>
      </c>
      <c r="L305">
        <v>11</v>
      </c>
      <c r="M305">
        <v>9</v>
      </c>
      <c r="N305">
        <v>99</v>
      </c>
      <c r="O305">
        <v>9</v>
      </c>
      <c r="P305">
        <v>3</v>
      </c>
      <c r="Q305">
        <v>99999</v>
      </c>
      <c r="R305" s="276">
        <v>0</v>
      </c>
      <c r="S305" s="7">
        <v>45372.583067129628</v>
      </c>
      <c r="AG305" t="s">
        <v>277</v>
      </c>
      <c r="AH305">
        <v>2023</v>
      </c>
      <c r="AI305">
        <v>5346</v>
      </c>
      <c r="AJ305">
        <v>263</v>
      </c>
      <c r="AK305">
        <v>2</v>
      </c>
      <c r="AL305">
        <v>2</v>
      </c>
      <c r="AM305">
        <v>22</v>
      </c>
      <c r="AN305">
        <v>60</v>
      </c>
      <c r="AO305">
        <v>242</v>
      </c>
      <c r="AP305">
        <v>4</v>
      </c>
      <c r="AQ305">
        <v>999</v>
      </c>
      <c r="AR305">
        <v>9</v>
      </c>
      <c r="AS305">
        <v>99</v>
      </c>
      <c r="AT305">
        <v>9</v>
      </c>
      <c r="AU305">
        <v>3</v>
      </c>
      <c r="AV305">
        <v>99999</v>
      </c>
      <c r="AW305">
        <v>-11162470.8473772</v>
      </c>
      <c r="AX305" s="7">
        <v>45383.489039351851</v>
      </c>
      <c r="AY305" s="7"/>
      <c r="BV305" t="str">
        <f t="shared" si="7"/>
        <v/>
      </c>
    </row>
    <row r="306" spans="1:74">
      <c r="A306">
        <v>304</v>
      </c>
      <c r="B306" t="s">
        <v>234</v>
      </c>
      <c r="C306">
        <v>2023</v>
      </c>
      <c r="D306">
        <v>5345</v>
      </c>
      <c r="E306">
        <v>264</v>
      </c>
      <c r="F306">
        <v>2</v>
      </c>
      <c r="G306">
        <v>2</v>
      </c>
      <c r="H306">
        <v>20</v>
      </c>
      <c r="I306">
        <v>60</v>
      </c>
      <c r="J306">
        <v>999</v>
      </c>
      <c r="K306">
        <v>2</v>
      </c>
      <c r="L306">
        <v>9</v>
      </c>
      <c r="M306">
        <v>9</v>
      </c>
      <c r="N306">
        <v>99</v>
      </c>
      <c r="O306">
        <v>9</v>
      </c>
      <c r="P306">
        <v>3</v>
      </c>
      <c r="Q306">
        <v>99999</v>
      </c>
      <c r="R306" s="276">
        <v>0</v>
      </c>
      <c r="S306" s="7">
        <v>45372.583067129628</v>
      </c>
      <c r="AG306" t="s">
        <v>277</v>
      </c>
      <c r="AH306">
        <v>2023</v>
      </c>
      <c r="AI306">
        <v>5346</v>
      </c>
      <c r="AJ306">
        <v>263</v>
      </c>
      <c r="AK306">
        <v>2</v>
      </c>
      <c r="AL306">
        <v>2</v>
      </c>
      <c r="AM306">
        <v>22</v>
      </c>
      <c r="AN306">
        <v>60</v>
      </c>
      <c r="AO306">
        <v>242</v>
      </c>
      <c r="AP306">
        <v>4</v>
      </c>
      <c r="AQ306">
        <v>999</v>
      </c>
      <c r="AR306">
        <v>9</v>
      </c>
      <c r="AS306">
        <v>99</v>
      </c>
      <c r="AT306">
        <v>9</v>
      </c>
      <c r="AU306">
        <v>3</v>
      </c>
      <c r="AV306">
        <v>99999</v>
      </c>
      <c r="AW306">
        <v>0</v>
      </c>
      <c r="AX306" s="7">
        <v>45383.489039351851</v>
      </c>
      <c r="AY306" s="7"/>
      <c r="BV306" t="str">
        <f t="shared" si="7"/>
        <v/>
      </c>
    </row>
    <row r="307" spans="1:74">
      <c r="A307">
        <v>305</v>
      </c>
      <c r="B307" t="s">
        <v>234</v>
      </c>
      <c r="C307">
        <v>2023</v>
      </c>
      <c r="D307">
        <v>5345</v>
      </c>
      <c r="E307">
        <v>264</v>
      </c>
      <c r="F307">
        <v>2</v>
      </c>
      <c r="G307">
        <v>2</v>
      </c>
      <c r="H307">
        <v>20</v>
      </c>
      <c r="I307">
        <v>60</v>
      </c>
      <c r="J307">
        <v>999</v>
      </c>
      <c r="K307">
        <v>2</v>
      </c>
      <c r="L307">
        <v>8</v>
      </c>
      <c r="M307">
        <v>9</v>
      </c>
      <c r="N307">
        <v>99</v>
      </c>
      <c r="O307">
        <v>9</v>
      </c>
      <c r="P307">
        <v>3</v>
      </c>
      <c r="Q307">
        <v>99999</v>
      </c>
      <c r="R307" s="276">
        <v>0</v>
      </c>
      <c r="S307" s="7">
        <v>45372.583067129628</v>
      </c>
      <c r="AG307" t="s">
        <v>277</v>
      </c>
      <c r="AH307">
        <v>2023</v>
      </c>
      <c r="AI307">
        <v>5346</v>
      </c>
      <c r="AJ307">
        <v>263</v>
      </c>
      <c r="AK307">
        <v>2</v>
      </c>
      <c r="AL307">
        <v>2</v>
      </c>
      <c r="AM307">
        <v>22</v>
      </c>
      <c r="AN307">
        <v>60</v>
      </c>
      <c r="AO307">
        <v>522</v>
      </c>
      <c r="AP307">
        <v>3</v>
      </c>
      <c r="AQ307">
        <v>15</v>
      </c>
      <c r="AR307">
        <v>9</v>
      </c>
      <c r="AS307">
        <v>99</v>
      </c>
      <c r="AT307">
        <v>9</v>
      </c>
      <c r="AU307">
        <v>3</v>
      </c>
      <c r="AV307">
        <v>99999</v>
      </c>
      <c r="AW307">
        <v>0</v>
      </c>
      <c r="AX307" s="7">
        <v>45383.489039351851</v>
      </c>
      <c r="AY307" s="7"/>
      <c r="BV307" t="str">
        <f t="shared" si="7"/>
        <v/>
      </c>
    </row>
    <row r="308" spans="1:74">
      <c r="A308">
        <v>306</v>
      </c>
      <c r="B308" t="s">
        <v>234</v>
      </c>
      <c r="C308">
        <v>2023</v>
      </c>
      <c r="D308">
        <v>5345</v>
      </c>
      <c r="E308">
        <v>264</v>
      </c>
      <c r="F308">
        <v>2</v>
      </c>
      <c r="G308">
        <v>2</v>
      </c>
      <c r="H308">
        <v>20</v>
      </c>
      <c r="I308">
        <v>60</v>
      </c>
      <c r="J308">
        <v>999</v>
      </c>
      <c r="K308">
        <v>2</v>
      </c>
      <c r="L308">
        <v>10</v>
      </c>
      <c r="M308">
        <v>9</v>
      </c>
      <c r="N308">
        <v>99</v>
      </c>
      <c r="O308">
        <v>9</v>
      </c>
      <c r="P308">
        <v>3</v>
      </c>
      <c r="Q308">
        <v>99999</v>
      </c>
      <c r="R308" s="276">
        <v>0</v>
      </c>
      <c r="S308" s="7">
        <v>45372.583067129628</v>
      </c>
      <c r="AG308" t="s">
        <v>277</v>
      </c>
      <c r="AH308">
        <v>2023</v>
      </c>
      <c r="AI308">
        <v>5346</v>
      </c>
      <c r="AJ308">
        <v>263</v>
      </c>
      <c r="AK308">
        <v>2</v>
      </c>
      <c r="AL308">
        <v>2</v>
      </c>
      <c r="AM308">
        <v>22</v>
      </c>
      <c r="AN308">
        <v>60</v>
      </c>
      <c r="AO308">
        <v>522</v>
      </c>
      <c r="AP308">
        <v>1</v>
      </c>
      <c r="AQ308">
        <v>1</v>
      </c>
      <c r="AR308">
        <v>9</v>
      </c>
      <c r="AS308">
        <v>99</v>
      </c>
      <c r="AT308">
        <v>9</v>
      </c>
      <c r="AU308">
        <v>3</v>
      </c>
      <c r="AV308">
        <v>99999</v>
      </c>
      <c r="AW308">
        <v>0</v>
      </c>
      <c r="AX308" s="7">
        <v>45383.489039351851</v>
      </c>
      <c r="AY308" s="7"/>
      <c r="BV308" t="str">
        <f t="shared" si="7"/>
        <v/>
      </c>
    </row>
    <row r="309" spans="1:74">
      <c r="A309">
        <v>307</v>
      </c>
      <c r="B309" t="s">
        <v>234</v>
      </c>
      <c r="C309">
        <v>2023</v>
      </c>
      <c r="D309">
        <v>5345</v>
      </c>
      <c r="E309">
        <v>264</v>
      </c>
      <c r="F309">
        <v>2</v>
      </c>
      <c r="G309">
        <v>2</v>
      </c>
      <c r="H309">
        <v>20</v>
      </c>
      <c r="I309">
        <v>60</v>
      </c>
      <c r="J309">
        <v>999</v>
      </c>
      <c r="K309">
        <v>2</v>
      </c>
      <c r="L309">
        <v>24</v>
      </c>
      <c r="M309">
        <v>9</v>
      </c>
      <c r="N309">
        <v>99</v>
      </c>
      <c r="O309">
        <v>9</v>
      </c>
      <c r="P309">
        <v>3</v>
      </c>
      <c r="Q309">
        <v>99999</v>
      </c>
      <c r="R309" s="276">
        <v>0</v>
      </c>
      <c r="S309" s="7">
        <v>45372.583067129628</v>
      </c>
      <c r="AG309" t="s">
        <v>277</v>
      </c>
      <c r="AH309">
        <v>2023</v>
      </c>
      <c r="AI309">
        <v>5346</v>
      </c>
      <c r="AJ309">
        <v>263</v>
      </c>
      <c r="AK309">
        <v>2</v>
      </c>
      <c r="AL309">
        <v>2</v>
      </c>
      <c r="AM309">
        <v>22</v>
      </c>
      <c r="AN309">
        <v>60</v>
      </c>
      <c r="AO309">
        <v>522</v>
      </c>
      <c r="AP309">
        <v>1</v>
      </c>
      <c r="AQ309">
        <v>1</v>
      </c>
      <c r="AR309">
        <v>9</v>
      </c>
      <c r="AS309">
        <v>99</v>
      </c>
      <c r="AT309">
        <v>9</v>
      </c>
      <c r="AU309">
        <v>3</v>
      </c>
      <c r="AV309">
        <v>99999</v>
      </c>
      <c r="AW309">
        <v>0</v>
      </c>
      <c r="AX309" s="7">
        <v>45383.489039351851</v>
      </c>
      <c r="AY309" s="7"/>
      <c r="BV309" t="str">
        <f t="shared" si="7"/>
        <v/>
      </c>
    </row>
    <row r="310" spans="1:74">
      <c r="A310">
        <v>308</v>
      </c>
      <c r="B310" t="s">
        <v>234</v>
      </c>
      <c r="C310">
        <v>2023</v>
      </c>
      <c r="D310">
        <v>5345</v>
      </c>
      <c r="E310">
        <v>264</v>
      </c>
      <c r="F310">
        <v>2</v>
      </c>
      <c r="G310">
        <v>2</v>
      </c>
      <c r="H310">
        <v>20</v>
      </c>
      <c r="I310">
        <v>60</v>
      </c>
      <c r="J310">
        <v>999</v>
      </c>
      <c r="K310">
        <v>3</v>
      </c>
      <c r="L310">
        <v>17</v>
      </c>
      <c r="M310">
        <v>9</v>
      </c>
      <c r="N310">
        <v>99</v>
      </c>
      <c r="O310">
        <v>9</v>
      </c>
      <c r="P310">
        <v>3</v>
      </c>
      <c r="Q310">
        <v>99999</v>
      </c>
      <c r="R310" s="276">
        <v>0</v>
      </c>
      <c r="S310" s="7">
        <v>45372.583067129628</v>
      </c>
      <c r="AG310" t="s">
        <v>277</v>
      </c>
      <c r="AH310">
        <v>2023</v>
      </c>
      <c r="AI310">
        <v>5346</v>
      </c>
      <c r="AJ310">
        <v>263</v>
      </c>
      <c r="AK310">
        <v>2</v>
      </c>
      <c r="AL310">
        <v>2</v>
      </c>
      <c r="AM310">
        <v>22</v>
      </c>
      <c r="AN310">
        <v>60</v>
      </c>
      <c r="AO310">
        <v>522</v>
      </c>
      <c r="AP310">
        <v>1</v>
      </c>
      <c r="AQ310">
        <v>1</v>
      </c>
      <c r="AR310">
        <v>9</v>
      </c>
      <c r="AS310">
        <v>99</v>
      </c>
      <c r="AT310">
        <v>9</v>
      </c>
      <c r="AU310">
        <v>3</v>
      </c>
      <c r="AV310">
        <v>99999</v>
      </c>
      <c r="AW310">
        <v>0</v>
      </c>
      <c r="AX310" s="7">
        <v>45383.489039351851</v>
      </c>
      <c r="AY310" s="7"/>
      <c r="BV310" t="str">
        <f t="shared" si="7"/>
        <v/>
      </c>
    </row>
    <row r="311" spans="1:74">
      <c r="A311">
        <v>309</v>
      </c>
      <c r="B311" t="s">
        <v>234</v>
      </c>
      <c r="C311">
        <v>2023</v>
      </c>
      <c r="D311">
        <v>5345</v>
      </c>
      <c r="E311">
        <v>264</v>
      </c>
      <c r="F311">
        <v>2</v>
      </c>
      <c r="G311">
        <v>2</v>
      </c>
      <c r="H311">
        <v>20</v>
      </c>
      <c r="I311">
        <v>60</v>
      </c>
      <c r="J311">
        <v>999</v>
      </c>
      <c r="K311">
        <v>3</v>
      </c>
      <c r="L311">
        <v>16</v>
      </c>
      <c r="M311">
        <v>9</v>
      </c>
      <c r="N311">
        <v>99</v>
      </c>
      <c r="O311">
        <v>9</v>
      </c>
      <c r="P311">
        <v>3</v>
      </c>
      <c r="Q311">
        <v>99999</v>
      </c>
      <c r="R311" s="276">
        <v>0</v>
      </c>
      <c r="S311" s="7">
        <v>45372.583067129628</v>
      </c>
      <c r="AG311" t="s">
        <v>277</v>
      </c>
      <c r="AH311">
        <v>2023</v>
      </c>
      <c r="AI311">
        <v>5346</v>
      </c>
      <c r="AJ311">
        <v>263</v>
      </c>
      <c r="AK311">
        <v>2</v>
      </c>
      <c r="AL311">
        <v>2</v>
      </c>
      <c r="AM311">
        <v>22</v>
      </c>
      <c r="AN311">
        <v>60</v>
      </c>
      <c r="AO311">
        <v>522</v>
      </c>
      <c r="AP311">
        <v>1</v>
      </c>
      <c r="AQ311">
        <v>1</v>
      </c>
      <c r="AR311">
        <v>9</v>
      </c>
      <c r="AS311">
        <v>99</v>
      </c>
      <c r="AT311">
        <v>9</v>
      </c>
      <c r="AU311">
        <v>3</v>
      </c>
      <c r="AV311">
        <v>99999</v>
      </c>
      <c r="AW311">
        <v>0</v>
      </c>
      <c r="AX311" s="7">
        <v>45383.489039351851</v>
      </c>
      <c r="AY311" s="7"/>
      <c r="BV311" t="str">
        <f t="shared" si="7"/>
        <v/>
      </c>
    </row>
    <row r="312" spans="1:74">
      <c r="A312">
        <v>310</v>
      </c>
      <c r="B312" t="s">
        <v>234</v>
      </c>
      <c r="C312">
        <v>2023</v>
      </c>
      <c r="D312">
        <v>5345</v>
      </c>
      <c r="E312">
        <v>264</v>
      </c>
      <c r="F312">
        <v>2</v>
      </c>
      <c r="G312">
        <v>2</v>
      </c>
      <c r="H312">
        <v>20</v>
      </c>
      <c r="I312">
        <v>60</v>
      </c>
      <c r="J312">
        <v>999</v>
      </c>
      <c r="K312">
        <v>3</v>
      </c>
      <c r="L312">
        <v>17</v>
      </c>
      <c r="M312">
        <v>9</v>
      </c>
      <c r="N312">
        <v>99</v>
      </c>
      <c r="O312">
        <v>9</v>
      </c>
      <c r="P312">
        <v>3</v>
      </c>
      <c r="Q312">
        <v>99999</v>
      </c>
      <c r="R312" s="276">
        <v>0</v>
      </c>
      <c r="S312" s="7">
        <v>45372.583067129628</v>
      </c>
      <c r="AG312" t="s">
        <v>277</v>
      </c>
      <c r="AH312">
        <v>2023</v>
      </c>
      <c r="AI312">
        <v>5346</v>
      </c>
      <c r="AJ312">
        <v>263</v>
      </c>
      <c r="AK312">
        <v>2</v>
      </c>
      <c r="AL312">
        <v>2</v>
      </c>
      <c r="AM312">
        <v>22</v>
      </c>
      <c r="AN312">
        <v>60</v>
      </c>
      <c r="AO312">
        <v>522</v>
      </c>
      <c r="AP312">
        <v>2</v>
      </c>
      <c r="AQ312">
        <v>11</v>
      </c>
      <c r="AR312">
        <v>9</v>
      </c>
      <c r="AS312">
        <v>99</v>
      </c>
      <c r="AT312">
        <v>9</v>
      </c>
      <c r="AU312">
        <v>3</v>
      </c>
      <c r="AV312">
        <v>99999</v>
      </c>
      <c r="AW312">
        <v>0</v>
      </c>
      <c r="AX312" s="7">
        <v>45383.489039351851</v>
      </c>
      <c r="AY312" s="7"/>
      <c r="BV312" t="str">
        <f t="shared" si="7"/>
        <v/>
      </c>
    </row>
    <row r="313" spans="1:74">
      <c r="A313">
        <v>311</v>
      </c>
      <c r="B313" t="s">
        <v>234</v>
      </c>
      <c r="C313">
        <v>2023</v>
      </c>
      <c r="D313">
        <v>5345</v>
      </c>
      <c r="E313">
        <v>264</v>
      </c>
      <c r="F313">
        <v>2</v>
      </c>
      <c r="G313">
        <v>2</v>
      </c>
      <c r="H313">
        <v>20</v>
      </c>
      <c r="I313">
        <v>60</v>
      </c>
      <c r="J313">
        <v>999</v>
      </c>
      <c r="K313">
        <v>3</v>
      </c>
      <c r="L313">
        <v>18</v>
      </c>
      <c r="M313">
        <v>9</v>
      </c>
      <c r="N313">
        <v>99</v>
      </c>
      <c r="O313">
        <v>9</v>
      </c>
      <c r="P313">
        <v>3</v>
      </c>
      <c r="Q313">
        <v>99999</v>
      </c>
      <c r="R313" s="276">
        <v>-16281.559393179899</v>
      </c>
      <c r="S313" s="7">
        <v>45372.583067129628</v>
      </c>
      <c r="AG313" t="s">
        <v>277</v>
      </c>
      <c r="AH313">
        <v>2023</v>
      </c>
      <c r="AI313">
        <v>5346</v>
      </c>
      <c r="AJ313">
        <v>263</v>
      </c>
      <c r="AK313">
        <v>2</v>
      </c>
      <c r="AL313">
        <v>2</v>
      </c>
      <c r="AM313">
        <v>22</v>
      </c>
      <c r="AN313">
        <v>60</v>
      </c>
      <c r="AO313">
        <v>522</v>
      </c>
      <c r="AP313">
        <v>2</v>
      </c>
      <c r="AQ313">
        <v>9</v>
      </c>
      <c r="AR313">
        <v>9</v>
      </c>
      <c r="AS313">
        <v>99</v>
      </c>
      <c r="AT313">
        <v>9</v>
      </c>
      <c r="AU313">
        <v>3</v>
      </c>
      <c r="AV313">
        <v>99999</v>
      </c>
      <c r="AW313">
        <v>0</v>
      </c>
      <c r="AX313" s="7">
        <v>45383.489039351851</v>
      </c>
      <c r="AY313" s="7"/>
      <c r="BV313" t="str">
        <f t="shared" si="7"/>
        <v/>
      </c>
    </row>
    <row r="314" spans="1:74">
      <c r="A314">
        <v>312</v>
      </c>
      <c r="B314" t="s">
        <v>234</v>
      </c>
      <c r="C314">
        <v>2023</v>
      </c>
      <c r="D314">
        <v>5345</v>
      </c>
      <c r="E314">
        <v>264</v>
      </c>
      <c r="F314">
        <v>2</v>
      </c>
      <c r="G314">
        <v>2</v>
      </c>
      <c r="H314">
        <v>20</v>
      </c>
      <c r="I314">
        <v>60</v>
      </c>
      <c r="J314">
        <v>999</v>
      </c>
      <c r="K314">
        <v>3</v>
      </c>
      <c r="L314">
        <v>12</v>
      </c>
      <c r="M314">
        <v>9</v>
      </c>
      <c r="N314">
        <v>99</v>
      </c>
      <c r="O314">
        <v>9</v>
      </c>
      <c r="P314">
        <v>3</v>
      </c>
      <c r="Q314">
        <v>99999</v>
      </c>
      <c r="R314" s="276">
        <v>0</v>
      </c>
      <c r="S314" s="7">
        <v>45372.583067129628</v>
      </c>
      <c r="AG314" t="s">
        <v>277</v>
      </c>
      <c r="AH314">
        <v>2023</v>
      </c>
      <c r="AI314">
        <v>5346</v>
      </c>
      <c r="AJ314">
        <v>263</v>
      </c>
      <c r="AK314">
        <v>2</v>
      </c>
      <c r="AL314">
        <v>2</v>
      </c>
      <c r="AM314">
        <v>22</v>
      </c>
      <c r="AN314">
        <v>60</v>
      </c>
      <c r="AO314">
        <v>522</v>
      </c>
      <c r="AP314">
        <v>2</v>
      </c>
      <c r="AQ314">
        <v>8</v>
      </c>
      <c r="AR314">
        <v>9</v>
      </c>
      <c r="AS314">
        <v>99</v>
      </c>
      <c r="AT314">
        <v>9</v>
      </c>
      <c r="AU314">
        <v>3</v>
      </c>
      <c r="AV314">
        <v>99999</v>
      </c>
      <c r="AW314">
        <v>0</v>
      </c>
      <c r="AX314" s="7">
        <v>45383.489039351851</v>
      </c>
      <c r="AY314" s="7"/>
      <c r="BV314" t="str">
        <f t="shared" si="7"/>
        <v/>
      </c>
    </row>
    <row r="315" spans="1:74">
      <c r="A315">
        <v>313</v>
      </c>
      <c r="B315" t="s">
        <v>234</v>
      </c>
      <c r="C315">
        <v>2023</v>
      </c>
      <c r="D315">
        <v>5345</v>
      </c>
      <c r="E315">
        <v>264</v>
      </c>
      <c r="F315">
        <v>2</v>
      </c>
      <c r="G315">
        <v>2</v>
      </c>
      <c r="H315">
        <v>20</v>
      </c>
      <c r="I315">
        <v>60</v>
      </c>
      <c r="J315">
        <v>999</v>
      </c>
      <c r="K315">
        <v>3</v>
      </c>
      <c r="L315">
        <v>19</v>
      </c>
      <c r="M315">
        <v>9</v>
      </c>
      <c r="N315">
        <v>99</v>
      </c>
      <c r="O315">
        <v>9</v>
      </c>
      <c r="P315">
        <v>3</v>
      </c>
      <c r="Q315">
        <v>99999</v>
      </c>
      <c r="R315" s="276">
        <v>0</v>
      </c>
      <c r="S315" s="7">
        <v>45372.583067129628</v>
      </c>
      <c r="AG315" t="s">
        <v>277</v>
      </c>
      <c r="AH315">
        <v>2023</v>
      </c>
      <c r="AI315">
        <v>5346</v>
      </c>
      <c r="AJ315">
        <v>263</v>
      </c>
      <c r="AK315">
        <v>2</v>
      </c>
      <c r="AL315">
        <v>2</v>
      </c>
      <c r="AM315">
        <v>22</v>
      </c>
      <c r="AN315">
        <v>60</v>
      </c>
      <c r="AO315">
        <v>522</v>
      </c>
      <c r="AP315">
        <v>2</v>
      </c>
      <c r="AQ315">
        <v>10</v>
      </c>
      <c r="AR315">
        <v>9</v>
      </c>
      <c r="AS315">
        <v>99</v>
      </c>
      <c r="AT315">
        <v>9</v>
      </c>
      <c r="AU315">
        <v>3</v>
      </c>
      <c r="AV315">
        <v>99999</v>
      </c>
      <c r="AW315">
        <v>0</v>
      </c>
      <c r="AX315" s="7">
        <v>45383.489039351851</v>
      </c>
      <c r="AY315" s="7"/>
      <c r="BV315" t="str">
        <f t="shared" si="7"/>
        <v/>
      </c>
    </row>
    <row r="316" spans="1:74">
      <c r="A316">
        <v>314</v>
      </c>
      <c r="B316" t="s">
        <v>234</v>
      </c>
      <c r="C316">
        <v>2023</v>
      </c>
      <c r="D316">
        <v>5345</v>
      </c>
      <c r="E316">
        <v>264</v>
      </c>
      <c r="F316">
        <v>2</v>
      </c>
      <c r="G316">
        <v>2</v>
      </c>
      <c r="H316">
        <v>20</v>
      </c>
      <c r="I316">
        <v>60</v>
      </c>
      <c r="J316">
        <v>999</v>
      </c>
      <c r="K316">
        <v>4</v>
      </c>
      <c r="L316">
        <v>999</v>
      </c>
      <c r="M316">
        <v>9</v>
      </c>
      <c r="N316">
        <v>99</v>
      </c>
      <c r="O316">
        <v>9</v>
      </c>
      <c r="P316">
        <v>3</v>
      </c>
      <c r="Q316">
        <v>99999</v>
      </c>
      <c r="R316" s="276">
        <v>0</v>
      </c>
      <c r="S316" s="7">
        <v>45372.583067129628</v>
      </c>
      <c r="AG316" t="s">
        <v>277</v>
      </c>
      <c r="AH316">
        <v>2023</v>
      </c>
      <c r="AI316">
        <v>5346</v>
      </c>
      <c r="AJ316">
        <v>263</v>
      </c>
      <c r="AK316">
        <v>2</v>
      </c>
      <c r="AL316">
        <v>2</v>
      </c>
      <c r="AM316">
        <v>22</v>
      </c>
      <c r="AN316">
        <v>60</v>
      </c>
      <c r="AO316">
        <v>522</v>
      </c>
      <c r="AP316">
        <v>2</v>
      </c>
      <c r="AQ316">
        <v>24</v>
      </c>
      <c r="AR316">
        <v>9</v>
      </c>
      <c r="AS316">
        <v>99</v>
      </c>
      <c r="AT316">
        <v>9</v>
      </c>
      <c r="AU316">
        <v>3</v>
      </c>
      <c r="AV316">
        <v>99999</v>
      </c>
      <c r="AW316">
        <v>0</v>
      </c>
      <c r="AX316" s="7">
        <v>45383.489039351851</v>
      </c>
      <c r="AY316" s="7"/>
      <c r="BV316" t="str">
        <f t="shared" si="7"/>
        <v/>
      </c>
    </row>
    <row r="317" spans="1:74">
      <c r="A317">
        <v>315</v>
      </c>
      <c r="B317" t="s">
        <v>234</v>
      </c>
      <c r="C317">
        <v>2023</v>
      </c>
      <c r="D317">
        <v>5345</v>
      </c>
      <c r="E317">
        <v>264</v>
      </c>
      <c r="F317">
        <v>1</v>
      </c>
      <c r="G317">
        <v>1</v>
      </c>
      <c r="H317">
        <v>8</v>
      </c>
      <c r="I317">
        <v>999999</v>
      </c>
      <c r="J317">
        <v>999</v>
      </c>
      <c r="K317">
        <v>2</v>
      </c>
      <c r="L317">
        <v>999</v>
      </c>
      <c r="M317">
        <v>9</v>
      </c>
      <c r="N317">
        <v>99</v>
      </c>
      <c r="O317">
        <v>9</v>
      </c>
      <c r="P317">
        <v>3</v>
      </c>
      <c r="Q317">
        <v>99999</v>
      </c>
      <c r="R317" s="276">
        <v>0</v>
      </c>
      <c r="S317" s="7">
        <v>45372.583067129628</v>
      </c>
      <c r="AG317" t="s">
        <v>277</v>
      </c>
      <c r="AH317">
        <v>2023</v>
      </c>
      <c r="AI317">
        <v>5346</v>
      </c>
      <c r="AJ317">
        <v>263</v>
      </c>
      <c r="AK317">
        <v>2</v>
      </c>
      <c r="AL317">
        <v>2</v>
      </c>
      <c r="AM317">
        <v>22</v>
      </c>
      <c r="AN317">
        <v>60</v>
      </c>
      <c r="AO317">
        <v>522</v>
      </c>
      <c r="AP317">
        <v>3</v>
      </c>
      <c r="AQ317">
        <v>18</v>
      </c>
      <c r="AR317">
        <v>9</v>
      </c>
      <c r="AS317">
        <v>99</v>
      </c>
      <c r="AT317">
        <v>9</v>
      </c>
      <c r="AU317">
        <v>3</v>
      </c>
      <c r="AV317">
        <v>99999</v>
      </c>
      <c r="AW317">
        <v>0</v>
      </c>
      <c r="AX317" s="7">
        <v>45383.489039351851</v>
      </c>
      <c r="AY317" s="7"/>
      <c r="BV317" t="str">
        <f t="shared" si="7"/>
        <v/>
      </c>
    </row>
    <row r="318" spans="1:74">
      <c r="A318">
        <v>316</v>
      </c>
      <c r="B318" t="s">
        <v>234</v>
      </c>
      <c r="C318">
        <v>2023</v>
      </c>
      <c r="D318">
        <v>5345</v>
      </c>
      <c r="E318">
        <v>264</v>
      </c>
      <c r="F318">
        <v>1</v>
      </c>
      <c r="G318">
        <v>1</v>
      </c>
      <c r="H318">
        <v>17</v>
      </c>
      <c r="I318">
        <v>999999</v>
      </c>
      <c r="J318">
        <v>999</v>
      </c>
      <c r="K318">
        <v>2</v>
      </c>
      <c r="L318">
        <v>999</v>
      </c>
      <c r="M318">
        <v>9</v>
      </c>
      <c r="N318">
        <v>99</v>
      </c>
      <c r="O318">
        <v>9</v>
      </c>
      <c r="P318">
        <v>2</v>
      </c>
      <c r="Q318">
        <v>0</v>
      </c>
      <c r="R318" s="276">
        <v>0</v>
      </c>
      <c r="S318" s="7">
        <v>45372.583067129628</v>
      </c>
      <c r="AG318" t="s">
        <v>277</v>
      </c>
      <c r="AH318">
        <v>2023</v>
      </c>
      <c r="AI318">
        <v>5346</v>
      </c>
      <c r="AJ318">
        <v>263</v>
      </c>
      <c r="AK318">
        <v>2</v>
      </c>
      <c r="AL318">
        <v>2</v>
      </c>
      <c r="AM318">
        <v>22</v>
      </c>
      <c r="AN318">
        <v>60</v>
      </c>
      <c r="AO318">
        <v>523</v>
      </c>
      <c r="AP318">
        <v>2</v>
      </c>
      <c r="AQ318">
        <v>30</v>
      </c>
      <c r="AR318">
        <v>9</v>
      </c>
      <c r="AS318">
        <v>99</v>
      </c>
      <c r="AT318">
        <v>9</v>
      </c>
      <c r="AU318">
        <v>3</v>
      </c>
      <c r="AV318">
        <v>99999</v>
      </c>
      <c r="AW318">
        <v>0</v>
      </c>
      <c r="AX318" s="7">
        <v>45383.489039351851</v>
      </c>
      <c r="AY318" s="7"/>
      <c r="BV318" t="str">
        <f t="shared" si="7"/>
        <v/>
      </c>
    </row>
    <row r="319" spans="1:74">
      <c r="A319">
        <v>317</v>
      </c>
      <c r="B319" t="s">
        <v>234</v>
      </c>
      <c r="C319">
        <v>2023</v>
      </c>
      <c r="D319">
        <v>5345</v>
      </c>
      <c r="E319">
        <v>264</v>
      </c>
      <c r="F319">
        <v>1</v>
      </c>
      <c r="G319">
        <v>1</v>
      </c>
      <c r="H319">
        <v>17</v>
      </c>
      <c r="I319">
        <v>999999</v>
      </c>
      <c r="J319">
        <v>999</v>
      </c>
      <c r="K319">
        <v>2</v>
      </c>
      <c r="L319">
        <v>999</v>
      </c>
      <c r="M319">
        <v>9</v>
      </c>
      <c r="N319">
        <v>99</v>
      </c>
      <c r="O319">
        <v>9</v>
      </c>
      <c r="P319">
        <v>3</v>
      </c>
      <c r="Q319">
        <v>0</v>
      </c>
      <c r="R319" s="276">
        <v>0</v>
      </c>
      <c r="S319" s="7">
        <v>45372.583067129628</v>
      </c>
      <c r="AG319" t="s">
        <v>277</v>
      </c>
      <c r="AH319">
        <v>2023</v>
      </c>
      <c r="AI319">
        <v>5346</v>
      </c>
      <c r="AJ319">
        <v>263</v>
      </c>
      <c r="AK319">
        <v>2</v>
      </c>
      <c r="AL319">
        <v>2</v>
      </c>
      <c r="AM319">
        <v>22</v>
      </c>
      <c r="AN319">
        <v>60</v>
      </c>
      <c r="AO319">
        <v>524</v>
      </c>
      <c r="AP319">
        <v>1</v>
      </c>
      <c r="AQ319">
        <v>7</v>
      </c>
      <c r="AR319">
        <v>9</v>
      </c>
      <c r="AS319">
        <v>99</v>
      </c>
      <c r="AT319">
        <v>9</v>
      </c>
      <c r="AU319">
        <v>3</v>
      </c>
      <c r="AV319">
        <v>99999</v>
      </c>
      <c r="AW319">
        <v>0</v>
      </c>
      <c r="AX319" s="7">
        <v>45383.489039351851</v>
      </c>
      <c r="AY319" s="7"/>
      <c r="BV319" t="str">
        <f t="shared" si="7"/>
        <v/>
      </c>
    </row>
    <row r="320" spans="1:74">
      <c r="A320">
        <v>318</v>
      </c>
      <c r="B320" t="s">
        <v>234</v>
      </c>
      <c r="C320">
        <v>2023</v>
      </c>
      <c r="D320">
        <v>5345</v>
      </c>
      <c r="E320">
        <v>264</v>
      </c>
      <c r="F320">
        <v>2</v>
      </c>
      <c r="G320">
        <v>1</v>
      </c>
      <c r="H320">
        <v>51</v>
      </c>
      <c r="I320">
        <v>999999</v>
      </c>
      <c r="J320">
        <v>999</v>
      </c>
      <c r="K320">
        <v>3</v>
      </c>
      <c r="L320">
        <v>28</v>
      </c>
      <c r="M320">
        <v>2</v>
      </c>
      <c r="N320">
        <v>99</v>
      </c>
      <c r="O320">
        <v>9</v>
      </c>
      <c r="P320">
        <v>3</v>
      </c>
      <c r="Q320">
        <v>99999</v>
      </c>
      <c r="R320" s="276">
        <v>0</v>
      </c>
      <c r="S320" s="7">
        <v>45372.583067129628</v>
      </c>
      <c r="AG320" t="s">
        <v>277</v>
      </c>
      <c r="AH320">
        <v>2023</v>
      </c>
      <c r="AI320">
        <v>5346</v>
      </c>
      <c r="AJ320">
        <v>263</v>
      </c>
      <c r="AK320">
        <v>2</v>
      </c>
      <c r="AL320">
        <v>2</v>
      </c>
      <c r="AM320">
        <v>22</v>
      </c>
      <c r="AN320">
        <v>60</v>
      </c>
      <c r="AO320">
        <v>524</v>
      </c>
      <c r="AP320">
        <v>2</v>
      </c>
      <c r="AQ320">
        <v>30</v>
      </c>
      <c r="AR320">
        <v>9</v>
      </c>
      <c r="AS320">
        <v>99</v>
      </c>
      <c r="AT320">
        <v>9</v>
      </c>
      <c r="AU320">
        <v>3</v>
      </c>
      <c r="AV320">
        <v>99999</v>
      </c>
      <c r="AW320">
        <v>0</v>
      </c>
      <c r="AX320" s="7">
        <v>45383.489039351851</v>
      </c>
      <c r="AY320" s="7"/>
      <c r="BV320" t="str">
        <f t="shared" si="7"/>
        <v/>
      </c>
    </row>
    <row r="321" spans="1:74">
      <c r="A321">
        <v>319</v>
      </c>
      <c r="B321" t="s">
        <v>234</v>
      </c>
      <c r="C321">
        <v>2023</v>
      </c>
      <c r="D321">
        <v>5345</v>
      </c>
      <c r="E321">
        <v>264</v>
      </c>
      <c r="F321">
        <v>2</v>
      </c>
      <c r="G321">
        <v>2</v>
      </c>
      <c r="H321">
        <v>20</v>
      </c>
      <c r="I321">
        <v>60</v>
      </c>
      <c r="J321">
        <v>999</v>
      </c>
      <c r="K321">
        <v>3</v>
      </c>
      <c r="L321">
        <v>14</v>
      </c>
      <c r="M321">
        <v>9</v>
      </c>
      <c r="N321">
        <v>99</v>
      </c>
      <c r="O321">
        <v>9</v>
      </c>
      <c r="P321">
        <v>3</v>
      </c>
      <c r="Q321">
        <v>99999</v>
      </c>
      <c r="R321" s="276">
        <v>-4790.2270802866597</v>
      </c>
      <c r="S321" s="7">
        <v>45372.583067129628</v>
      </c>
      <c r="AG321" t="s">
        <v>277</v>
      </c>
      <c r="AH321">
        <v>2023</v>
      </c>
      <c r="AI321">
        <v>5346</v>
      </c>
      <c r="AJ321">
        <v>263</v>
      </c>
      <c r="AK321">
        <v>2</v>
      </c>
      <c r="AL321">
        <v>2</v>
      </c>
      <c r="AM321">
        <v>22</v>
      </c>
      <c r="AN321">
        <v>60</v>
      </c>
      <c r="AO321">
        <v>525</v>
      </c>
      <c r="AP321">
        <v>2</v>
      </c>
      <c r="AQ321">
        <v>30</v>
      </c>
      <c r="AR321">
        <v>9</v>
      </c>
      <c r="AS321">
        <v>99</v>
      </c>
      <c r="AT321">
        <v>9</v>
      </c>
      <c r="AU321">
        <v>3</v>
      </c>
      <c r="AV321">
        <v>99999</v>
      </c>
      <c r="AW321">
        <v>-76.768250194452804</v>
      </c>
      <c r="AX321" s="7">
        <v>45383.489039351851</v>
      </c>
      <c r="AY321" s="7"/>
      <c r="BV321" t="str">
        <f t="shared" si="7"/>
        <v/>
      </c>
    </row>
    <row r="322" spans="1:74">
      <c r="A322">
        <v>320</v>
      </c>
      <c r="B322" t="s">
        <v>234</v>
      </c>
      <c r="C322">
        <v>2023</v>
      </c>
      <c r="D322">
        <v>5345</v>
      </c>
      <c r="E322">
        <v>264</v>
      </c>
      <c r="F322">
        <v>2</v>
      </c>
      <c r="G322">
        <v>2</v>
      </c>
      <c r="H322">
        <v>20</v>
      </c>
      <c r="I322">
        <v>60</v>
      </c>
      <c r="J322">
        <v>999</v>
      </c>
      <c r="K322">
        <v>3</v>
      </c>
      <c r="L322">
        <v>15</v>
      </c>
      <c r="M322">
        <v>9</v>
      </c>
      <c r="N322">
        <v>99</v>
      </c>
      <c r="O322">
        <v>9</v>
      </c>
      <c r="P322">
        <v>3</v>
      </c>
      <c r="Q322">
        <v>99999</v>
      </c>
      <c r="R322" s="276">
        <v>-103973.331369154</v>
      </c>
      <c r="S322" s="7">
        <v>45372.583067129628</v>
      </c>
      <c r="AG322" t="s">
        <v>277</v>
      </c>
      <c r="AH322">
        <v>2023</v>
      </c>
      <c r="AI322">
        <v>5346</v>
      </c>
      <c r="AJ322">
        <v>263</v>
      </c>
      <c r="AK322">
        <v>2</v>
      </c>
      <c r="AL322">
        <v>2</v>
      </c>
      <c r="AM322">
        <v>22</v>
      </c>
      <c r="AN322">
        <v>60</v>
      </c>
      <c r="AO322">
        <v>526</v>
      </c>
      <c r="AP322">
        <v>1</v>
      </c>
      <c r="AQ322">
        <v>7</v>
      </c>
      <c r="AR322">
        <v>9</v>
      </c>
      <c r="AS322">
        <v>99</v>
      </c>
      <c r="AT322">
        <v>9</v>
      </c>
      <c r="AU322">
        <v>3</v>
      </c>
      <c r="AV322">
        <v>99999</v>
      </c>
      <c r="AW322">
        <v>158435.713047659</v>
      </c>
      <c r="AX322" s="7">
        <v>45383.489039351851</v>
      </c>
      <c r="AY322" s="7"/>
      <c r="BV322" t="str">
        <f t="shared" si="7"/>
        <v/>
      </c>
    </row>
    <row r="323" spans="1:74">
      <c r="A323">
        <v>321</v>
      </c>
      <c r="B323" t="s">
        <v>234</v>
      </c>
      <c r="C323">
        <v>2023</v>
      </c>
      <c r="D323">
        <v>5345</v>
      </c>
      <c r="E323">
        <v>264</v>
      </c>
      <c r="F323">
        <v>1</v>
      </c>
      <c r="G323">
        <v>1</v>
      </c>
      <c r="H323">
        <v>51</v>
      </c>
      <c r="I323">
        <v>999999</v>
      </c>
      <c r="J323">
        <v>999</v>
      </c>
      <c r="K323">
        <v>1</v>
      </c>
      <c r="L323">
        <v>3</v>
      </c>
      <c r="M323">
        <v>9</v>
      </c>
      <c r="N323">
        <v>99</v>
      </c>
      <c r="O323">
        <v>9</v>
      </c>
      <c r="P323">
        <v>3</v>
      </c>
      <c r="Q323">
        <v>99999</v>
      </c>
      <c r="R323" s="276">
        <v>0</v>
      </c>
      <c r="S323" s="7">
        <v>45372.583067129628</v>
      </c>
      <c r="AG323" t="s">
        <v>277</v>
      </c>
      <c r="AH323">
        <v>2023</v>
      </c>
      <c r="AI323">
        <v>5346</v>
      </c>
      <c r="AJ323">
        <v>263</v>
      </c>
      <c r="AK323">
        <v>2</v>
      </c>
      <c r="AL323">
        <v>2</v>
      </c>
      <c r="AM323">
        <v>22</v>
      </c>
      <c r="AN323">
        <v>60</v>
      </c>
      <c r="AO323">
        <v>526</v>
      </c>
      <c r="AP323">
        <v>2</v>
      </c>
      <c r="AQ323">
        <v>11</v>
      </c>
      <c r="AR323">
        <v>9</v>
      </c>
      <c r="AS323">
        <v>99</v>
      </c>
      <c r="AT323">
        <v>9</v>
      </c>
      <c r="AU323">
        <v>3</v>
      </c>
      <c r="AV323">
        <v>99999</v>
      </c>
      <c r="AW323">
        <v>309251.98770263902</v>
      </c>
      <c r="AX323" s="7">
        <v>45383.489039351851</v>
      </c>
      <c r="AY323" s="7"/>
      <c r="BV323" t="str">
        <f t="shared" ref="BV323:BV376" si="8">CONCATENATE(BX323,BY323,BW323,CA323)</f>
        <v/>
      </c>
    </row>
    <row r="324" spans="1:74">
      <c r="A324">
        <v>322</v>
      </c>
      <c r="B324" t="s">
        <v>234</v>
      </c>
      <c r="C324">
        <v>2023</v>
      </c>
      <c r="D324">
        <v>5345</v>
      </c>
      <c r="E324">
        <v>264</v>
      </c>
      <c r="F324">
        <v>1</v>
      </c>
      <c r="G324">
        <v>1</v>
      </c>
      <c r="H324">
        <v>196</v>
      </c>
      <c r="I324">
        <v>250</v>
      </c>
      <c r="J324">
        <v>999</v>
      </c>
      <c r="K324">
        <v>4</v>
      </c>
      <c r="L324">
        <v>999</v>
      </c>
      <c r="M324">
        <v>9</v>
      </c>
      <c r="N324">
        <v>99</v>
      </c>
      <c r="O324">
        <v>9</v>
      </c>
      <c r="P324">
        <v>3</v>
      </c>
      <c r="Q324">
        <v>99999</v>
      </c>
      <c r="R324" s="276">
        <v>11080000</v>
      </c>
      <c r="S324" s="7">
        <v>45372.583067129628</v>
      </c>
      <c r="AG324" t="s">
        <v>277</v>
      </c>
      <c r="AH324">
        <v>2023</v>
      </c>
      <c r="AI324">
        <v>5346</v>
      </c>
      <c r="AJ324">
        <v>263</v>
      </c>
      <c r="AK324">
        <v>2</v>
      </c>
      <c r="AL324">
        <v>2</v>
      </c>
      <c r="AM324">
        <v>22</v>
      </c>
      <c r="AN324">
        <v>60</v>
      </c>
      <c r="AO324">
        <v>526</v>
      </c>
      <c r="AP324">
        <v>2</v>
      </c>
      <c r="AQ324">
        <v>9</v>
      </c>
      <c r="AR324">
        <v>9</v>
      </c>
      <c r="AS324">
        <v>99</v>
      </c>
      <c r="AT324">
        <v>9</v>
      </c>
      <c r="AU324">
        <v>3</v>
      </c>
      <c r="AV324">
        <v>99999</v>
      </c>
      <c r="AW324">
        <v>11365.081308320599</v>
      </c>
      <c r="AX324" s="7">
        <v>45383.489039351851</v>
      </c>
      <c r="AY324" s="7"/>
      <c r="BV324" t="str">
        <f t="shared" si="8"/>
        <v/>
      </c>
    </row>
    <row r="325" spans="1:74">
      <c r="A325">
        <v>323</v>
      </c>
      <c r="B325" t="s">
        <v>234</v>
      </c>
      <c r="C325">
        <v>2023</v>
      </c>
      <c r="D325">
        <v>5345</v>
      </c>
      <c r="E325">
        <v>264</v>
      </c>
      <c r="F325">
        <v>1</v>
      </c>
      <c r="G325">
        <v>1</v>
      </c>
      <c r="H325">
        <v>15</v>
      </c>
      <c r="I325">
        <v>176</v>
      </c>
      <c r="J325">
        <v>999</v>
      </c>
      <c r="K325">
        <v>4</v>
      </c>
      <c r="L325">
        <v>999</v>
      </c>
      <c r="M325">
        <v>9</v>
      </c>
      <c r="N325">
        <v>99</v>
      </c>
      <c r="O325">
        <v>9</v>
      </c>
      <c r="P325">
        <v>3</v>
      </c>
      <c r="Q325">
        <v>99999</v>
      </c>
      <c r="R325" s="276">
        <v>2326167.2999999998</v>
      </c>
      <c r="S325" s="7">
        <v>45372.583067129628</v>
      </c>
      <c r="AG325" t="s">
        <v>277</v>
      </c>
      <c r="AH325">
        <v>2023</v>
      </c>
      <c r="AI325">
        <v>5346</v>
      </c>
      <c r="AJ325">
        <v>263</v>
      </c>
      <c r="AK325">
        <v>2</v>
      </c>
      <c r="AL325">
        <v>2</v>
      </c>
      <c r="AM325">
        <v>22</v>
      </c>
      <c r="AN325">
        <v>60</v>
      </c>
      <c r="AO325">
        <v>526</v>
      </c>
      <c r="AP325">
        <v>2</v>
      </c>
      <c r="AQ325">
        <v>8</v>
      </c>
      <c r="AR325">
        <v>9</v>
      </c>
      <c r="AS325">
        <v>99</v>
      </c>
      <c r="AT325">
        <v>9</v>
      </c>
      <c r="AU325">
        <v>3</v>
      </c>
      <c r="AV325">
        <v>99999</v>
      </c>
      <c r="AW325">
        <v>45765.507487045899</v>
      </c>
      <c r="AX325" s="7">
        <v>45383.489039351851</v>
      </c>
      <c r="AY325" s="7"/>
      <c r="BV325" t="str">
        <f t="shared" si="8"/>
        <v/>
      </c>
    </row>
    <row r="326" spans="1:74">
      <c r="A326">
        <v>324</v>
      </c>
      <c r="B326" t="s">
        <v>234</v>
      </c>
      <c r="C326">
        <v>2023</v>
      </c>
      <c r="D326">
        <v>5345</v>
      </c>
      <c r="E326">
        <v>264</v>
      </c>
      <c r="F326">
        <v>1</v>
      </c>
      <c r="G326">
        <v>1</v>
      </c>
      <c r="H326">
        <v>203</v>
      </c>
      <c r="I326">
        <v>247</v>
      </c>
      <c r="J326">
        <v>999</v>
      </c>
      <c r="K326">
        <v>4</v>
      </c>
      <c r="L326">
        <v>999</v>
      </c>
      <c r="M326">
        <v>9</v>
      </c>
      <c r="N326">
        <v>99</v>
      </c>
      <c r="O326">
        <v>9</v>
      </c>
      <c r="P326">
        <v>3</v>
      </c>
      <c r="Q326">
        <v>99999</v>
      </c>
      <c r="R326" s="276">
        <v>13406167.2978734</v>
      </c>
      <c r="S326" s="7">
        <v>45372.583067129628</v>
      </c>
      <c r="AG326" t="s">
        <v>277</v>
      </c>
      <c r="AH326">
        <v>2023</v>
      </c>
      <c r="AI326">
        <v>5346</v>
      </c>
      <c r="AJ326">
        <v>263</v>
      </c>
      <c r="AK326">
        <v>2</v>
      </c>
      <c r="AL326">
        <v>2</v>
      </c>
      <c r="AM326">
        <v>22</v>
      </c>
      <c r="AN326">
        <v>60</v>
      </c>
      <c r="AO326">
        <v>526</v>
      </c>
      <c r="AP326">
        <v>2</v>
      </c>
      <c r="AQ326">
        <v>10</v>
      </c>
      <c r="AR326">
        <v>9</v>
      </c>
      <c r="AS326">
        <v>99</v>
      </c>
      <c r="AT326">
        <v>9</v>
      </c>
      <c r="AU326">
        <v>3</v>
      </c>
      <c r="AV326">
        <v>99999</v>
      </c>
      <c r="AW326">
        <v>0</v>
      </c>
      <c r="AX326" s="7">
        <v>45383.489039351851</v>
      </c>
      <c r="AY326" s="7"/>
      <c r="BV326" t="str">
        <f t="shared" si="8"/>
        <v/>
      </c>
    </row>
    <row r="327" spans="1:74">
      <c r="A327">
        <v>325</v>
      </c>
      <c r="B327" t="s">
        <v>234</v>
      </c>
      <c r="C327">
        <v>2023</v>
      </c>
      <c r="D327">
        <v>5345</v>
      </c>
      <c r="E327">
        <v>264</v>
      </c>
      <c r="F327">
        <v>2</v>
      </c>
      <c r="G327">
        <v>1</v>
      </c>
      <c r="H327">
        <v>51</v>
      </c>
      <c r="I327">
        <v>73</v>
      </c>
      <c r="J327">
        <v>999</v>
      </c>
      <c r="K327">
        <v>3</v>
      </c>
      <c r="L327">
        <v>15</v>
      </c>
      <c r="M327">
        <v>1</v>
      </c>
      <c r="N327">
        <v>99</v>
      </c>
      <c r="O327">
        <v>9</v>
      </c>
      <c r="P327">
        <v>3</v>
      </c>
      <c r="Q327">
        <v>99999</v>
      </c>
      <c r="R327" s="276">
        <v>0</v>
      </c>
      <c r="S327" s="7">
        <v>45372.583067129628</v>
      </c>
      <c r="AG327" t="s">
        <v>277</v>
      </c>
      <c r="AH327">
        <v>2023</v>
      </c>
      <c r="AI327">
        <v>5346</v>
      </c>
      <c r="AJ327">
        <v>263</v>
      </c>
      <c r="AK327">
        <v>2</v>
      </c>
      <c r="AL327">
        <v>2</v>
      </c>
      <c r="AM327">
        <v>22</v>
      </c>
      <c r="AN327">
        <v>60</v>
      </c>
      <c r="AO327">
        <v>526</v>
      </c>
      <c r="AP327">
        <v>2</v>
      </c>
      <c r="AQ327">
        <v>24</v>
      </c>
      <c r="AR327">
        <v>9</v>
      </c>
      <c r="AS327">
        <v>99</v>
      </c>
      <c r="AT327">
        <v>9</v>
      </c>
      <c r="AU327">
        <v>3</v>
      </c>
      <c r="AV327">
        <v>99999</v>
      </c>
      <c r="AW327">
        <v>0</v>
      </c>
      <c r="AX327" s="7">
        <v>45383.489039351851</v>
      </c>
      <c r="AY327" s="7"/>
      <c r="BV327" t="str">
        <f t="shared" si="8"/>
        <v/>
      </c>
    </row>
    <row r="328" spans="1:74">
      <c r="A328">
        <v>326</v>
      </c>
      <c r="B328" t="s">
        <v>234</v>
      </c>
      <c r="C328">
        <v>2023</v>
      </c>
      <c r="D328">
        <v>5345</v>
      </c>
      <c r="E328">
        <v>264</v>
      </c>
      <c r="F328">
        <v>1</v>
      </c>
      <c r="G328">
        <v>1</v>
      </c>
      <c r="H328">
        <v>8</v>
      </c>
      <c r="I328">
        <v>999999</v>
      </c>
      <c r="J328">
        <v>999</v>
      </c>
      <c r="K328">
        <v>2</v>
      </c>
      <c r="L328">
        <v>999</v>
      </c>
      <c r="M328">
        <v>9</v>
      </c>
      <c r="N328">
        <v>99</v>
      </c>
      <c r="O328">
        <v>9</v>
      </c>
      <c r="P328">
        <v>2</v>
      </c>
      <c r="Q328">
        <v>99999</v>
      </c>
      <c r="R328" s="276">
        <v>0</v>
      </c>
      <c r="S328" s="7">
        <v>45372.583067129628</v>
      </c>
      <c r="AG328" t="s">
        <v>277</v>
      </c>
      <c r="AH328">
        <v>2023</v>
      </c>
      <c r="AI328">
        <v>5346</v>
      </c>
      <c r="AJ328">
        <v>263</v>
      </c>
      <c r="AK328">
        <v>2</v>
      </c>
      <c r="AL328">
        <v>2</v>
      </c>
      <c r="AM328">
        <v>22</v>
      </c>
      <c r="AN328">
        <v>60</v>
      </c>
      <c r="AO328">
        <v>510</v>
      </c>
      <c r="AP328">
        <v>4</v>
      </c>
      <c r="AQ328">
        <v>999</v>
      </c>
      <c r="AR328">
        <v>9</v>
      </c>
      <c r="AS328">
        <v>99</v>
      </c>
      <c r="AT328">
        <v>9</v>
      </c>
      <c r="AU328">
        <v>3</v>
      </c>
      <c r="AV328">
        <v>99999</v>
      </c>
      <c r="AW328">
        <v>0</v>
      </c>
      <c r="AX328" s="7">
        <v>45383.489039351851</v>
      </c>
      <c r="AY328" s="7"/>
      <c r="BV328" t="str">
        <f t="shared" si="8"/>
        <v/>
      </c>
    </row>
    <row r="329" spans="1:74">
      <c r="A329">
        <v>327</v>
      </c>
      <c r="B329" t="s">
        <v>234</v>
      </c>
      <c r="C329">
        <v>2023</v>
      </c>
      <c r="D329">
        <v>5345</v>
      </c>
      <c r="E329">
        <v>264</v>
      </c>
      <c r="F329">
        <v>4</v>
      </c>
      <c r="G329">
        <v>2</v>
      </c>
      <c r="H329">
        <v>51</v>
      </c>
      <c r="I329">
        <v>102</v>
      </c>
      <c r="J329">
        <v>999</v>
      </c>
      <c r="K329">
        <v>99</v>
      </c>
      <c r="L329">
        <v>999</v>
      </c>
      <c r="M329">
        <v>9</v>
      </c>
      <c r="N329">
        <v>99</v>
      </c>
      <c r="O329">
        <v>9</v>
      </c>
      <c r="P329">
        <v>4</v>
      </c>
      <c r="Q329">
        <v>99999</v>
      </c>
      <c r="R329" s="276">
        <v>-0.31718021939454599</v>
      </c>
      <c r="S329" s="7">
        <v>45372.583067129628</v>
      </c>
      <c r="AX329" s="7"/>
      <c r="AY329" s="7"/>
      <c r="BV329" t="str">
        <f t="shared" si="8"/>
        <v/>
      </c>
    </row>
    <row r="330" spans="1:74">
      <c r="A330">
        <v>328</v>
      </c>
      <c r="B330" t="s">
        <v>234</v>
      </c>
      <c r="C330">
        <v>2023</v>
      </c>
      <c r="D330">
        <v>5345</v>
      </c>
      <c r="E330">
        <v>264</v>
      </c>
      <c r="F330">
        <v>4</v>
      </c>
      <c r="G330">
        <v>1</v>
      </c>
      <c r="H330">
        <v>51</v>
      </c>
      <c r="I330">
        <v>55</v>
      </c>
      <c r="J330">
        <v>999</v>
      </c>
      <c r="K330">
        <v>99</v>
      </c>
      <c r="L330">
        <v>999</v>
      </c>
      <c r="M330">
        <v>9</v>
      </c>
      <c r="N330">
        <v>99</v>
      </c>
      <c r="O330">
        <v>9</v>
      </c>
      <c r="P330">
        <v>2</v>
      </c>
      <c r="Q330">
        <v>99999</v>
      </c>
      <c r="R330" s="276">
        <v>18801.281159999999</v>
      </c>
      <c r="S330" s="7">
        <v>45372.583067129628</v>
      </c>
      <c r="AX330" s="7"/>
      <c r="AY330" s="7"/>
      <c r="BV330" t="str">
        <f t="shared" si="8"/>
        <v/>
      </c>
    </row>
    <row r="331" spans="1:74">
      <c r="A331">
        <v>329</v>
      </c>
      <c r="B331" t="s">
        <v>234</v>
      </c>
      <c r="C331">
        <v>2023</v>
      </c>
      <c r="D331">
        <v>5345</v>
      </c>
      <c r="E331">
        <v>264</v>
      </c>
      <c r="F331">
        <v>4</v>
      </c>
      <c r="G331">
        <v>1</v>
      </c>
      <c r="H331">
        <v>51</v>
      </c>
      <c r="I331">
        <v>55</v>
      </c>
      <c r="J331">
        <v>999</v>
      </c>
      <c r="K331">
        <v>99</v>
      </c>
      <c r="L331">
        <v>999</v>
      </c>
      <c r="M331">
        <v>9</v>
      </c>
      <c r="N331">
        <v>99</v>
      </c>
      <c r="O331">
        <v>9</v>
      </c>
      <c r="P331">
        <v>3</v>
      </c>
      <c r="Q331">
        <v>99999</v>
      </c>
      <c r="R331" s="276">
        <v>3790255.2673967602</v>
      </c>
      <c r="S331" s="7">
        <v>45372.583067129628</v>
      </c>
      <c r="AX331" s="7"/>
      <c r="AY331" s="7"/>
      <c r="BV331" t="str">
        <f t="shared" si="8"/>
        <v/>
      </c>
    </row>
    <row r="332" spans="1:74">
      <c r="A332">
        <v>330</v>
      </c>
      <c r="B332" t="s">
        <v>234</v>
      </c>
      <c r="C332">
        <v>2023</v>
      </c>
      <c r="D332">
        <v>5345</v>
      </c>
      <c r="E332">
        <v>264</v>
      </c>
      <c r="F332">
        <v>2</v>
      </c>
      <c r="G332">
        <v>1</v>
      </c>
      <c r="H332">
        <v>52</v>
      </c>
      <c r="I332">
        <v>999999</v>
      </c>
      <c r="J332">
        <v>999</v>
      </c>
      <c r="K332">
        <v>1</v>
      </c>
      <c r="L332">
        <v>1</v>
      </c>
      <c r="M332">
        <v>1</v>
      </c>
      <c r="N332">
        <v>99</v>
      </c>
      <c r="O332">
        <v>9</v>
      </c>
      <c r="P332">
        <v>3</v>
      </c>
      <c r="Q332">
        <v>99999</v>
      </c>
      <c r="R332" s="276">
        <v>0</v>
      </c>
      <c r="S332" s="7">
        <v>45372.583067129628</v>
      </c>
      <c r="AX332" s="7"/>
      <c r="AY332" s="7"/>
      <c r="BV332" t="str">
        <f t="shared" si="8"/>
        <v/>
      </c>
    </row>
    <row r="333" spans="1:74">
      <c r="A333">
        <v>331</v>
      </c>
      <c r="B333" t="s">
        <v>234</v>
      </c>
      <c r="C333">
        <v>2023</v>
      </c>
      <c r="D333">
        <v>5345</v>
      </c>
      <c r="E333">
        <v>264</v>
      </c>
      <c r="F333">
        <v>2</v>
      </c>
      <c r="G333">
        <v>1</v>
      </c>
      <c r="H333">
        <v>52</v>
      </c>
      <c r="I333">
        <v>999999</v>
      </c>
      <c r="J333">
        <v>999</v>
      </c>
      <c r="K333">
        <v>1</v>
      </c>
      <c r="L333">
        <v>2</v>
      </c>
      <c r="M333">
        <v>1</v>
      </c>
      <c r="N333">
        <v>99</v>
      </c>
      <c r="O333">
        <v>9</v>
      </c>
      <c r="P333">
        <v>3</v>
      </c>
      <c r="Q333">
        <v>99999</v>
      </c>
      <c r="R333" s="276">
        <v>0</v>
      </c>
      <c r="S333" s="7">
        <v>45372.583067129628</v>
      </c>
      <c r="AX333" s="7"/>
      <c r="AY333" s="7"/>
      <c r="BV333" t="str">
        <f t="shared" si="8"/>
        <v/>
      </c>
    </row>
    <row r="334" spans="1:74">
      <c r="A334">
        <v>332</v>
      </c>
      <c r="B334" t="s">
        <v>234</v>
      </c>
      <c r="C334">
        <v>2023</v>
      </c>
      <c r="D334">
        <v>5345</v>
      </c>
      <c r="E334">
        <v>264</v>
      </c>
      <c r="F334">
        <v>2</v>
      </c>
      <c r="G334">
        <v>1</v>
      </c>
      <c r="H334">
        <v>52</v>
      </c>
      <c r="I334">
        <v>999999</v>
      </c>
      <c r="J334">
        <v>999</v>
      </c>
      <c r="K334">
        <v>1</v>
      </c>
      <c r="L334">
        <v>3</v>
      </c>
      <c r="M334">
        <v>1</v>
      </c>
      <c r="N334">
        <v>99</v>
      </c>
      <c r="O334">
        <v>9</v>
      </c>
      <c r="P334">
        <v>3</v>
      </c>
      <c r="Q334">
        <v>99999</v>
      </c>
      <c r="R334" s="276">
        <v>0</v>
      </c>
      <c r="S334" s="7">
        <v>45372.583067129628</v>
      </c>
      <c r="AX334" s="7"/>
      <c r="AY334" s="7"/>
      <c r="BV334" t="str">
        <f t="shared" si="8"/>
        <v/>
      </c>
    </row>
    <row r="335" spans="1:74">
      <c r="A335">
        <v>333</v>
      </c>
      <c r="B335" t="s">
        <v>234</v>
      </c>
      <c r="C335">
        <v>2023</v>
      </c>
      <c r="D335">
        <v>5345</v>
      </c>
      <c r="E335">
        <v>264</v>
      </c>
      <c r="F335">
        <v>4</v>
      </c>
      <c r="G335">
        <v>1</v>
      </c>
      <c r="H335">
        <v>51</v>
      </c>
      <c r="I335">
        <v>101</v>
      </c>
      <c r="J335">
        <v>999</v>
      </c>
      <c r="K335">
        <v>99</v>
      </c>
      <c r="L335">
        <v>999</v>
      </c>
      <c r="M335">
        <v>9</v>
      </c>
      <c r="N335">
        <v>99</v>
      </c>
      <c r="O335">
        <v>9</v>
      </c>
      <c r="P335">
        <v>3</v>
      </c>
      <c r="Q335">
        <v>99999</v>
      </c>
      <c r="R335" s="276">
        <v>13406167.2978734</v>
      </c>
      <c r="S335" s="7">
        <v>45372.583067129628</v>
      </c>
      <c r="AX335" s="7"/>
      <c r="AY335" s="7"/>
      <c r="BV335" t="str">
        <f t="shared" si="8"/>
        <v/>
      </c>
    </row>
    <row r="336" spans="1:74">
      <c r="A336">
        <v>334</v>
      </c>
      <c r="B336" t="s">
        <v>234</v>
      </c>
      <c r="C336">
        <v>2023</v>
      </c>
      <c r="D336">
        <v>5345</v>
      </c>
      <c r="E336">
        <v>264</v>
      </c>
      <c r="F336">
        <v>4</v>
      </c>
      <c r="G336">
        <v>1</v>
      </c>
      <c r="H336">
        <v>51</v>
      </c>
      <c r="I336">
        <v>104</v>
      </c>
      <c r="J336">
        <v>999</v>
      </c>
      <c r="K336">
        <v>3</v>
      </c>
      <c r="L336">
        <v>999</v>
      </c>
      <c r="M336">
        <v>9</v>
      </c>
      <c r="N336">
        <v>99</v>
      </c>
      <c r="O336">
        <v>9</v>
      </c>
      <c r="P336">
        <v>3</v>
      </c>
      <c r="Q336">
        <v>99999</v>
      </c>
      <c r="R336" s="276">
        <v>1849462.93964063</v>
      </c>
      <c r="S336" s="7">
        <v>45372.583067129628</v>
      </c>
      <c r="AW336" s="32"/>
      <c r="AX336" s="7"/>
      <c r="AY336" s="7"/>
      <c r="BV336" t="str">
        <f t="shared" si="8"/>
        <v/>
      </c>
    </row>
    <row r="337" spans="1:74">
      <c r="A337">
        <v>335</v>
      </c>
      <c r="B337" t="s">
        <v>234</v>
      </c>
      <c r="C337">
        <v>2023</v>
      </c>
      <c r="D337">
        <v>5345</v>
      </c>
      <c r="E337">
        <v>264</v>
      </c>
      <c r="F337">
        <v>4</v>
      </c>
      <c r="G337">
        <v>1</v>
      </c>
      <c r="H337">
        <v>51</v>
      </c>
      <c r="I337">
        <v>106</v>
      </c>
      <c r="J337">
        <v>999</v>
      </c>
      <c r="K337">
        <v>99</v>
      </c>
      <c r="L337">
        <v>999</v>
      </c>
      <c r="M337">
        <v>9</v>
      </c>
      <c r="N337">
        <v>99</v>
      </c>
      <c r="O337">
        <v>9</v>
      </c>
      <c r="P337">
        <v>3</v>
      </c>
      <c r="Q337">
        <v>99999</v>
      </c>
      <c r="R337" s="276">
        <v>22392130.648130801</v>
      </c>
      <c r="S337" s="7">
        <v>45372.583067129628</v>
      </c>
      <c r="AW337" s="32"/>
      <c r="AX337" s="7"/>
      <c r="AY337" s="7"/>
      <c r="BV337" t="str">
        <f t="shared" si="8"/>
        <v/>
      </c>
    </row>
    <row r="338" spans="1:74">
      <c r="A338">
        <v>336</v>
      </c>
      <c r="B338" t="s">
        <v>234</v>
      </c>
      <c r="C338">
        <v>2023</v>
      </c>
      <c r="D338">
        <v>5345</v>
      </c>
      <c r="E338">
        <v>264</v>
      </c>
      <c r="F338">
        <v>4</v>
      </c>
      <c r="G338">
        <v>1</v>
      </c>
      <c r="H338">
        <v>52</v>
      </c>
      <c r="I338">
        <v>55</v>
      </c>
      <c r="J338">
        <v>999</v>
      </c>
      <c r="K338">
        <v>99</v>
      </c>
      <c r="L338">
        <v>999</v>
      </c>
      <c r="M338">
        <v>9</v>
      </c>
      <c r="N338">
        <v>99</v>
      </c>
      <c r="O338">
        <v>9</v>
      </c>
      <c r="P338">
        <v>3</v>
      </c>
      <c r="Q338">
        <v>99999</v>
      </c>
      <c r="R338" s="276">
        <v>3258721.5883321902</v>
      </c>
      <c r="S338" s="7">
        <v>45372.583067129628</v>
      </c>
      <c r="AW338" s="32"/>
      <c r="AX338" s="7"/>
      <c r="AY338" s="7"/>
      <c r="BV338" t="str">
        <f t="shared" si="8"/>
        <v/>
      </c>
    </row>
    <row r="339" spans="1:74">
      <c r="A339">
        <v>337</v>
      </c>
      <c r="B339" t="s">
        <v>234</v>
      </c>
      <c r="C339">
        <v>2023</v>
      </c>
      <c r="D339">
        <v>5345</v>
      </c>
      <c r="E339">
        <v>264</v>
      </c>
      <c r="F339">
        <v>4</v>
      </c>
      <c r="G339">
        <v>1</v>
      </c>
      <c r="H339">
        <v>52</v>
      </c>
      <c r="I339">
        <v>106</v>
      </c>
      <c r="J339">
        <v>999</v>
      </c>
      <c r="K339">
        <v>99</v>
      </c>
      <c r="L339">
        <v>999</v>
      </c>
      <c r="M339">
        <v>9</v>
      </c>
      <c r="N339">
        <v>99</v>
      </c>
      <c r="O339">
        <v>9</v>
      </c>
      <c r="P339">
        <v>3</v>
      </c>
      <c r="Q339">
        <v>99999</v>
      </c>
      <c r="R339" s="276">
        <v>20714783.160130002</v>
      </c>
      <c r="S339" s="7">
        <v>45372.583067129628</v>
      </c>
      <c r="AW339" s="32"/>
      <c r="AX339" s="7"/>
      <c r="AY339" s="7"/>
      <c r="BV339" t="str">
        <f t="shared" si="8"/>
        <v/>
      </c>
    </row>
    <row r="340" spans="1:74">
      <c r="A340">
        <v>338</v>
      </c>
      <c r="B340" t="s">
        <v>234</v>
      </c>
      <c r="C340">
        <v>2023</v>
      </c>
      <c r="D340">
        <v>5345</v>
      </c>
      <c r="E340">
        <v>264</v>
      </c>
      <c r="F340">
        <v>4</v>
      </c>
      <c r="G340">
        <v>2</v>
      </c>
      <c r="H340">
        <v>51</v>
      </c>
      <c r="I340">
        <v>102</v>
      </c>
      <c r="J340">
        <v>999</v>
      </c>
      <c r="K340">
        <v>99</v>
      </c>
      <c r="L340">
        <v>999</v>
      </c>
      <c r="M340">
        <v>9</v>
      </c>
      <c r="N340">
        <v>99</v>
      </c>
      <c r="O340">
        <v>9</v>
      </c>
      <c r="P340">
        <v>3</v>
      </c>
      <c r="Q340">
        <v>99999</v>
      </c>
      <c r="R340" s="276">
        <v>-6570319.4674404701</v>
      </c>
      <c r="S340" s="7">
        <v>45372.583067129628</v>
      </c>
      <c r="AX340" s="7"/>
      <c r="AY340" s="7"/>
      <c r="BV340" t="str">
        <f t="shared" si="8"/>
        <v/>
      </c>
    </row>
    <row r="341" spans="1:74">
      <c r="A341">
        <v>339</v>
      </c>
      <c r="B341" t="s">
        <v>234</v>
      </c>
      <c r="C341">
        <v>2023</v>
      </c>
      <c r="D341">
        <v>5345</v>
      </c>
      <c r="E341">
        <v>264</v>
      </c>
      <c r="F341">
        <v>1</v>
      </c>
      <c r="G341">
        <v>3</v>
      </c>
      <c r="H341">
        <v>50</v>
      </c>
      <c r="I341">
        <v>50</v>
      </c>
      <c r="J341">
        <v>999</v>
      </c>
      <c r="K341">
        <v>99</v>
      </c>
      <c r="L341">
        <v>999</v>
      </c>
      <c r="M341">
        <v>9</v>
      </c>
      <c r="N341">
        <v>6</v>
      </c>
      <c r="O341">
        <v>9</v>
      </c>
      <c r="P341">
        <v>3</v>
      </c>
      <c r="Q341">
        <v>99999</v>
      </c>
      <c r="R341" s="276">
        <v>0</v>
      </c>
      <c r="S341" s="7">
        <v>45372.583067129628</v>
      </c>
      <c r="AX341" s="7"/>
      <c r="AY341" s="7"/>
      <c r="BV341" t="str">
        <f t="shared" si="8"/>
        <v/>
      </c>
    </row>
    <row r="342" spans="1:74">
      <c r="A342">
        <v>340</v>
      </c>
      <c r="B342" t="s">
        <v>234</v>
      </c>
      <c r="C342">
        <v>2023</v>
      </c>
      <c r="D342">
        <v>5345</v>
      </c>
      <c r="E342">
        <v>264</v>
      </c>
      <c r="F342">
        <v>1</v>
      </c>
      <c r="G342">
        <v>3</v>
      </c>
      <c r="H342">
        <v>50</v>
      </c>
      <c r="I342">
        <v>50</v>
      </c>
      <c r="J342">
        <v>999</v>
      </c>
      <c r="K342">
        <v>99</v>
      </c>
      <c r="L342">
        <v>999</v>
      </c>
      <c r="M342">
        <v>9</v>
      </c>
      <c r="N342">
        <v>21</v>
      </c>
      <c r="O342">
        <v>9</v>
      </c>
      <c r="P342">
        <v>3</v>
      </c>
      <c r="Q342">
        <v>99999</v>
      </c>
      <c r="R342" s="276">
        <v>20499562.540630002</v>
      </c>
      <c r="S342" s="7">
        <v>45372.583067129628</v>
      </c>
      <c r="AX342" s="7"/>
      <c r="AY342" s="7"/>
      <c r="BV342" t="str">
        <f t="shared" si="8"/>
        <v/>
      </c>
    </row>
    <row r="343" spans="1:74">
      <c r="A343">
        <v>341</v>
      </c>
      <c r="B343" t="s">
        <v>234</v>
      </c>
      <c r="C343">
        <v>2023</v>
      </c>
      <c r="D343">
        <v>5345</v>
      </c>
      <c r="E343">
        <v>264</v>
      </c>
      <c r="F343">
        <v>1</v>
      </c>
      <c r="G343">
        <v>1</v>
      </c>
      <c r="H343">
        <v>51</v>
      </c>
      <c r="I343">
        <v>999999</v>
      </c>
      <c r="J343">
        <v>999</v>
      </c>
      <c r="K343">
        <v>2</v>
      </c>
      <c r="L343">
        <v>11</v>
      </c>
      <c r="M343">
        <v>2</v>
      </c>
      <c r="N343">
        <v>99</v>
      </c>
      <c r="O343">
        <v>9</v>
      </c>
      <c r="P343">
        <v>2</v>
      </c>
      <c r="Q343">
        <v>99999</v>
      </c>
      <c r="R343" s="276">
        <v>16232.138999999999</v>
      </c>
      <c r="S343" s="7">
        <v>45372.583067129628</v>
      </c>
      <c r="AX343" s="7"/>
      <c r="AY343" s="7"/>
      <c r="BV343" t="str">
        <f t="shared" si="8"/>
        <v/>
      </c>
    </row>
    <row r="344" spans="1:74">
      <c r="A344">
        <v>342</v>
      </c>
      <c r="B344" t="s">
        <v>234</v>
      </c>
      <c r="C344">
        <v>2023</v>
      </c>
      <c r="D344">
        <v>5345</v>
      </c>
      <c r="E344">
        <v>264</v>
      </c>
      <c r="F344">
        <v>4</v>
      </c>
      <c r="G344">
        <v>1</v>
      </c>
      <c r="H344">
        <v>51</v>
      </c>
      <c r="I344">
        <v>55</v>
      </c>
      <c r="J344">
        <v>999</v>
      </c>
      <c r="K344">
        <v>99</v>
      </c>
      <c r="L344">
        <v>999</v>
      </c>
      <c r="M344">
        <v>9</v>
      </c>
      <c r="N344">
        <v>99</v>
      </c>
      <c r="O344">
        <v>9</v>
      </c>
      <c r="P344">
        <v>2</v>
      </c>
      <c r="Q344">
        <v>99999</v>
      </c>
      <c r="R344" s="276">
        <v>18801.281159999999</v>
      </c>
      <c r="S344" s="7">
        <v>45372.583067129628</v>
      </c>
      <c r="AX344" s="7"/>
      <c r="AY344" s="7"/>
      <c r="BV344" t="str">
        <f t="shared" si="8"/>
        <v/>
      </c>
    </row>
    <row r="345" spans="1:74">
      <c r="A345">
        <v>343</v>
      </c>
      <c r="B345" t="s">
        <v>234</v>
      </c>
      <c r="C345">
        <v>2023</v>
      </c>
      <c r="D345">
        <v>5345</v>
      </c>
      <c r="E345">
        <v>264</v>
      </c>
      <c r="F345">
        <v>4</v>
      </c>
      <c r="G345">
        <v>1</v>
      </c>
      <c r="H345">
        <v>51</v>
      </c>
      <c r="I345">
        <v>55</v>
      </c>
      <c r="J345">
        <v>999</v>
      </c>
      <c r="K345">
        <v>99</v>
      </c>
      <c r="L345">
        <v>999</v>
      </c>
      <c r="M345">
        <v>9</v>
      </c>
      <c r="N345">
        <v>99</v>
      </c>
      <c r="O345">
        <v>9</v>
      </c>
      <c r="P345">
        <v>3</v>
      </c>
      <c r="Q345">
        <v>99999</v>
      </c>
      <c r="R345" s="276">
        <v>3790255.2673967602</v>
      </c>
      <c r="S345" s="7">
        <v>45372.583067129628</v>
      </c>
      <c r="AX345" s="7"/>
      <c r="AY345" s="7"/>
      <c r="BV345" t="str">
        <f t="shared" si="8"/>
        <v/>
      </c>
    </row>
    <row r="346" spans="1:74">
      <c r="A346">
        <v>344</v>
      </c>
      <c r="B346" t="s">
        <v>234</v>
      </c>
      <c r="C346">
        <v>2023</v>
      </c>
      <c r="D346">
        <v>5345</v>
      </c>
      <c r="E346">
        <v>264</v>
      </c>
      <c r="F346">
        <v>4</v>
      </c>
      <c r="G346">
        <v>1</v>
      </c>
      <c r="H346">
        <v>51</v>
      </c>
      <c r="I346">
        <v>100</v>
      </c>
      <c r="J346">
        <v>999</v>
      </c>
      <c r="K346">
        <v>99</v>
      </c>
      <c r="L346">
        <v>999</v>
      </c>
      <c r="M346">
        <v>9</v>
      </c>
      <c r="N346">
        <v>99</v>
      </c>
      <c r="O346">
        <v>9</v>
      </c>
      <c r="P346">
        <v>3</v>
      </c>
      <c r="Q346">
        <v>99999</v>
      </c>
      <c r="R346" s="276">
        <v>8985963.3502573799</v>
      </c>
      <c r="S346" s="7">
        <v>45372.583067129628</v>
      </c>
      <c r="AX346" s="7"/>
      <c r="AY346" s="7"/>
      <c r="BV346" t="str">
        <f t="shared" si="8"/>
        <v/>
      </c>
    </row>
    <row r="347" spans="1:74">
      <c r="A347">
        <v>345</v>
      </c>
      <c r="B347" t="s">
        <v>234</v>
      </c>
      <c r="C347">
        <v>2023</v>
      </c>
      <c r="D347">
        <v>5345</v>
      </c>
      <c r="E347">
        <v>264</v>
      </c>
      <c r="F347">
        <v>1</v>
      </c>
      <c r="G347">
        <v>3</v>
      </c>
      <c r="H347">
        <v>50</v>
      </c>
      <c r="I347">
        <v>54</v>
      </c>
      <c r="J347">
        <v>999</v>
      </c>
      <c r="K347">
        <v>99</v>
      </c>
      <c r="L347">
        <v>999</v>
      </c>
      <c r="M347">
        <v>9</v>
      </c>
      <c r="N347">
        <v>99</v>
      </c>
      <c r="O347">
        <v>9</v>
      </c>
      <c r="P347">
        <v>3</v>
      </c>
      <c r="Q347">
        <v>99999</v>
      </c>
      <c r="R347" s="276">
        <v>0</v>
      </c>
      <c r="S347" s="7">
        <v>45372.583067129628</v>
      </c>
      <c r="AX347" s="7"/>
      <c r="AY347" s="7"/>
      <c r="BV347" t="str">
        <f t="shared" si="8"/>
        <v/>
      </c>
    </row>
    <row r="348" spans="1:74">
      <c r="A348">
        <v>346</v>
      </c>
      <c r="B348" t="s">
        <v>234</v>
      </c>
      <c r="C348">
        <v>2023</v>
      </c>
      <c r="D348">
        <v>5345</v>
      </c>
      <c r="E348">
        <v>264</v>
      </c>
      <c r="F348">
        <v>1</v>
      </c>
      <c r="G348">
        <v>3</v>
      </c>
      <c r="H348">
        <v>50</v>
      </c>
      <c r="I348">
        <v>50</v>
      </c>
      <c r="J348">
        <v>999</v>
      </c>
      <c r="K348">
        <v>99</v>
      </c>
      <c r="L348">
        <v>999</v>
      </c>
      <c r="M348">
        <v>9</v>
      </c>
      <c r="N348">
        <v>1</v>
      </c>
      <c r="O348">
        <v>9</v>
      </c>
      <c r="P348">
        <v>3</v>
      </c>
      <c r="Q348">
        <v>99999</v>
      </c>
      <c r="R348" s="276">
        <v>0</v>
      </c>
      <c r="S348" s="7">
        <v>45372.583067129628</v>
      </c>
      <c r="AX348" s="7"/>
      <c r="AY348" s="7"/>
      <c r="BV348" t="str">
        <f t="shared" si="8"/>
        <v/>
      </c>
    </row>
    <row r="349" spans="1:74">
      <c r="A349">
        <v>347</v>
      </c>
      <c r="B349" t="s">
        <v>234</v>
      </c>
      <c r="C349">
        <v>2023</v>
      </c>
      <c r="D349">
        <v>5345</v>
      </c>
      <c r="E349">
        <v>264</v>
      </c>
      <c r="F349">
        <v>1</v>
      </c>
      <c r="G349">
        <v>3</v>
      </c>
      <c r="H349">
        <v>50</v>
      </c>
      <c r="I349">
        <v>50</v>
      </c>
      <c r="J349">
        <v>999</v>
      </c>
      <c r="K349">
        <v>99</v>
      </c>
      <c r="L349">
        <v>999</v>
      </c>
      <c r="M349">
        <v>9</v>
      </c>
      <c r="N349">
        <v>2</v>
      </c>
      <c r="O349">
        <v>9</v>
      </c>
      <c r="P349">
        <v>3</v>
      </c>
      <c r="Q349">
        <v>99999</v>
      </c>
      <c r="R349" s="276">
        <v>0</v>
      </c>
      <c r="S349" s="7">
        <v>45372.583067129628</v>
      </c>
      <c r="AX349" s="7"/>
      <c r="AY349" s="7"/>
      <c r="BV349" t="str">
        <f t="shared" si="8"/>
        <v/>
      </c>
    </row>
    <row r="350" spans="1:74">
      <c r="A350">
        <v>348</v>
      </c>
      <c r="B350" t="s">
        <v>234</v>
      </c>
      <c r="C350">
        <v>2023</v>
      </c>
      <c r="D350">
        <v>5345</v>
      </c>
      <c r="E350">
        <v>264</v>
      </c>
      <c r="F350">
        <v>1</v>
      </c>
      <c r="G350">
        <v>3</v>
      </c>
      <c r="H350">
        <v>50</v>
      </c>
      <c r="I350">
        <v>50</v>
      </c>
      <c r="J350">
        <v>999</v>
      </c>
      <c r="K350">
        <v>99</v>
      </c>
      <c r="L350">
        <v>999</v>
      </c>
      <c r="M350">
        <v>9</v>
      </c>
      <c r="N350">
        <v>3</v>
      </c>
      <c r="O350">
        <v>9</v>
      </c>
      <c r="P350">
        <v>3</v>
      </c>
      <c r="Q350">
        <v>99999</v>
      </c>
      <c r="R350" s="276">
        <v>0</v>
      </c>
      <c r="S350" s="7">
        <v>45372.583067129628</v>
      </c>
      <c r="AX350" s="7"/>
      <c r="AY350" s="7"/>
      <c r="BV350" t="str">
        <f t="shared" si="8"/>
        <v/>
      </c>
    </row>
    <row r="351" spans="1:74">
      <c r="A351">
        <v>349</v>
      </c>
      <c r="B351" t="s">
        <v>234</v>
      </c>
      <c r="C351">
        <v>2023</v>
      </c>
      <c r="D351">
        <v>5345</v>
      </c>
      <c r="E351">
        <v>264</v>
      </c>
      <c r="F351">
        <v>1</v>
      </c>
      <c r="G351">
        <v>3</v>
      </c>
      <c r="H351">
        <v>50</v>
      </c>
      <c r="I351">
        <v>50</v>
      </c>
      <c r="J351">
        <v>999</v>
      </c>
      <c r="K351">
        <v>99</v>
      </c>
      <c r="L351">
        <v>999</v>
      </c>
      <c r="M351">
        <v>9</v>
      </c>
      <c r="N351">
        <v>4</v>
      </c>
      <c r="O351">
        <v>9</v>
      </c>
      <c r="P351">
        <v>3</v>
      </c>
      <c r="Q351">
        <v>99999</v>
      </c>
      <c r="R351" s="276">
        <v>0</v>
      </c>
      <c r="S351" s="7">
        <v>45372.583067129628</v>
      </c>
      <c r="AX351" s="7"/>
      <c r="AY351" s="7"/>
      <c r="BV351" t="str">
        <f t="shared" si="8"/>
        <v/>
      </c>
    </row>
    <row r="352" spans="1:74">
      <c r="A352">
        <v>350</v>
      </c>
      <c r="B352" t="s">
        <v>234</v>
      </c>
      <c r="C352">
        <v>2023</v>
      </c>
      <c r="D352">
        <v>5345</v>
      </c>
      <c r="E352">
        <v>264</v>
      </c>
      <c r="F352">
        <v>1</v>
      </c>
      <c r="G352">
        <v>3</v>
      </c>
      <c r="H352">
        <v>50</v>
      </c>
      <c r="I352">
        <v>50</v>
      </c>
      <c r="J352">
        <v>999</v>
      </c>
      <c r="K352">
        <v>99</v>
      </c>
      <c r="L352">
        <v>999</v>
      </c>
      <c r="M352">
        <v>9</v>
      </c>
      <c r="N352">
        <v>5</v>
      </c>
      <c r="O352">
        <v>9</v>
      </c>
      <c r="P352">
        <v>3</v>
      </c>
      <c r="Q352">
        <v>99999</v>
      </c>
      <c r="R352" s="276">
        <v>215220.6195</v>
      </c>
      <c r="S352" s="7">
        <v>45372.583067129628</v>
      </c>
      <c r="AX352" s="7"/>
      <c r="AY352" s="7"/>
      <c r="BV352" t="str">
        <f t="shared" si="8"/>
        <v/>
      </c>
    </row>
    <row r="353" spans="1:74">
      <c r="A353">
        <v>351</v>
      </c>
      <c r="B353" t="s">
        <v>234</v>
      </c>
      <c r="C353">
        <v>2023</v>
      </c>
      <c r="D353">
        <v>5345</v>
      </c>
      <c r="E353">
        <v>264</v>
      </c>
      <c r="F353">
        <v>1</v>
      </c>
      <c r="G353">
        <v>3</v>
      </c>
      <c r="H353">
        <v>50</v>
      </c>
      <c r="I353">
        <v>50</v>
      </c>
      <c r="J353">
        <v>999</v>
      </c>
      <c r="K353">
        <v>99</v>
      </c>
      <c r="L353">
        <v>999</v>
      </c>
      <c r="M353">
        <v>9</v>
      </c>
      <c r="N353">
        <v>5</v>
      </c>
      <c r="O353">
        <v>9</v>
      </c>
      <c r="P353">
        <v>2</v>
      </c>
      <c r="Q353">
        <v>99999</v>
      </c>
      <c r="R353" s="276">
        <v>286.17899999999997</v>
      </c>
      <c r="S353" s="7">
        <v>45372.583067129628</v>
      </c>
      <c r="AX353" s="7"/>
      <c r="AY353" s="7"/>
      <c r="BV353" t="str">
        <f t="shared" si="8"/>
        <v/>
      </c>
    </row>
    <row r="354" spans="1:74">
      <c r="A354">
        <v>352</v>
      </c>
      <c r="B354" t="s">
        <v>234</v>
      </c>
      <c r="C354">
        <v>2023</v>
      </c>
      <c r="D354">
        <v>5345</v>
      </c>
      <c r="E354">
        <v>264</v>
      </c>
      <c r="F354">
        <v>1</v>
      </c>
      <c r="G354">
        <v>3</v>
      </c>
      <c r="H354">
        <v>50</v>
      </c>
      <c r="I354">
        <v>50</v>
      </c>
      <c r="J354">
        <v>999</v>
      </c>
      <c r="K354">
        <v>99</v>
      </c>
      <c r="L354">
        <v>999</v>
      </c>
      <c r="M354">
        <v>9</v>
      </c>
      <c r="N354">
        <v>6</v>
      </c>
      <c r="O354">
        <v>9</v>
      </c>
      <c r="P354">
        <v>2</v>
      </c>
      <c r="Q354">
        <v>99999</v>
      </c>
      <c r="R354" s="276">
        <v>0</v>
      </c>
      <c r="S354" s="7">
        <v>45372.583067129628</v>
      </c>
      <c r="AX354" s="7"/>
      <c r="AY354" s="7"/>
      <c r="BV354" t="str">
        <f t="shared" si="8"/>
        <v/>
      </c>
    </row>
    <row r="355" spans="1:74">
      <c r="A355">
        <v>353</v>
      </c>
      <c r="B355" t="s">
        <v>234</v>
      </c>
      <c r="C355">
        <v>2023</v>
      </c>
      <c r="D355">
        <v>5345</v>
      </c>
      <c r="E355">
        <v>264</v>
      </c>
      <c r="F355">
        <v>1</v>
      </c>
      <c r="G355">
        <v>3</v>
      </c>
      <c r="H355">
        <v>50</v>
      </c>
      <c r="I355">
        <v>50</v>
      </c>
      <c r="J355">
        <v>999</v>
      </c>
      <c r="K355">
        <v>99</v>
      </c>
      <c r="L355">
        <v>999</v>
      </c>
      <c r="M355">
        <v>9</v>
      </c>
      <c r="N355">
        <v>21</v>
      </c>
      <c r="O355">
        <v>9</v>
      </c>
      <c r="P355">
        <v>2</v>
      </c>
      <c r="Q355">
        <v>99999</v>
      </c>
      <c r="R355" s="276">
        <v>17066.796999999999</v>
      </c>
      <c r="S355" s="7">
        <v>45372.583067129628</v>
      </c>
      <c r="AX355" s="7"/>
      <c r="AY355" s="7"/>
      <c r="BV355" t="str">
        <f t="shared" si="8"/>
        <v/>
      </c>
    </row>
    <row r="356" spans="1:74">
      <c r="A356">
        <v>354</v>
      </c>
      <c r="B356" t="s">
        <v>234</v>
      </c>
      <c r="C356">
        <v>2023</v>
      </c>
      <c r="D356">
        <v>5345</v>
      </c>
      <c r="E356">
        <v>264</v>
      </c>
      <c r="F356">
        <v>1</v>
      </c>
      <c r="G356">
        <v>3</v>
      </c>
      <c r="H356">
        <v>50</v>
      </c>
      <c r="I356">
        <v>50</v>
      </c>
      <c r="J356">
        <v>999</v>
      </c>
      <c r="K356">
        <v>99</v>
      </c>
      <c r="L356">
        <v>999</v>
      </c>
      <c r="M356">
        <v>9</v>
      </c>
      <c r="N356">
        <v>99</v>
      </c>
      <c r="O356">
        <v>9</v>
      </c>
      <c r="P356">
        <v>3</v>
      </c>
      <c r="Q356">
        <v>99999</v>
      </c>
      <c r="R356" s="276">
        <v>20714783.160130002</v>
      </c>
      <c r="S356" s="7">
        <v>45372.583067129628</v>
      </c>
      <c r="AX356" s="7"/>
      <c r="AY356" s="7"/>
      <c r="BV356" t="str">
        <f t="shared" si="8"/>
        <v/>
      </c>
    </row>
    <row r="357" spans="1:74">
      <c r="A357">
        <v>355</v>
      </c>
      <c r="B357" t="s">
        <v>234</v>
      </c>
      <c r="C357">
        <v>2023</v>
      </c>
      <c r="D357">
        <v>5345</v>
      </c>
      <c r="E357">
        <v>264</v>
      </c>
      <c r="F357">
        <v>1</v>
      </c>
      <c r="G357">
        <v>3</v>
      </c>
      <c r="H357">
        <v>50</v>
      </c>
      <c r="I357">
        <v>51</v>
      </c>
      <c r="J357">
        <v>999</v>
      </c>
      <c r="K357">
        <v>99</v>
      </c>
      <c r="L357">
        <v>999</v>
      </c>
      <c r="M357">
        <v>9</v>
      </c>
      <c r="N357">
        <v>99</v>
      </c>
      <c r="O357">
        <v>9</v>
      </c>
      <c r="P357">
        <v>3</v>
      </c>
      <c r="Q357">
        <v>99999</v>
      </c>
      <c r="R357" s="276">
        <v>0</v>
      </c>
      <c r="S357" s="7">
        <v>45372.583067129628</v>
      </c>
      <c r="AX357" s="7"/>
      <c r="AY357" s="7"/>
      <c r="BV357" t="str">
        <f t="shared" si="8"/>
        <v/>
      </c>
    </row>
    <row r="358" spans="1:74">
      <c r="A358">
        <v>356</v>
      </c>
      <c r="B358" t="s">
        <v>234</v>
      </c>
      <c r="C358">
        <v>2023</v>
      </c>
      <c r="D358">
        <v>5345</v>
      </c>
      <c r="E358">
        <v>264</v>
      </c>
      <c r="F358">
        <v>1</v>
      </c>
      <c r="G358">
        <v>3</v>
      </c>
      <c r="H358">
        <v>50</v>
      </c>
      <c r="I358">
        <v>53</v>
      </c>
      <c r="J358">
        <v>999</v>
      </c>
      <c r="K358">
        <v>99</v>
      </c>
      <c r="L358">
        <v>999</v>
      </c>
      <c r="M358">
        <v>9</v>
      </c>
      <c r="N358">
        <v>99</v>
      </c>
      <c r="O358">
        <v>9</v>
      </c>
      <c r="P358">
        <v>3</v>
      </c>
      <c r="Q358">
        <v>99999</v>
      </c>
      <c r="R358" s="276">
        <v>0</v>
      </c>
      <c r="S358" s="7">
        <v>45372.583067129628</v>
      </c>
      <c r="AX358" s="7"/>
      <c r="AY358" s="7"/>
      <c r="BV358" t="str">
        <f t="shared" si="8"/>
        <v/>
      </c>
    </row>
    <row r="359" spans="1:74">
      <c r="A359">
        <v>357</v>
      </c>
      <c r="B359" t="s">
        <v>234</v>
      </c>
      <c r="C359">
        <v>2023</v>
      </c>
      <c r="D359">
        <v>5345</v>
      </c>
      <c r="E359">
        <v>264</v>
      </c>
      <c r="F359">
        <v>1</v>
      </c>
      <c r="G359">
        <v>3</v>
      </c>
      <c r="H359">
        <v>50</v>
      </c>
      <c r="I359">
        <v>53</v>
      </c>
      <c r="J359">
        <v>999</v>
      </c>
      <c r="K359">
        <v>99</v>
      </c>
      <c r="L359">
        <v>999</v>
      </c>
      <c r="M359">
        <v>9</v>
      </c>
      <c r="N359">
        <v>99</v>
      </c>
      <c r="O359">
        <v>9</v>
      </c>
      <c r="P359">
        <v>2</v>
      </c>
      <c r="Q359">
        <v>99999</v>
      </c>
      <c r="R359" s="276">
        <v>0</v>
      </c>
      <c r="S359" s="7">
        <v>45372.583067129628</v>
      </c>
      <c r="AX359" s="7"/>
      <c r="AY359" s="7"/>
      <c r="BV359" t="str">
        <f t="shared" si="8"/>
        <v/>
      </c>
    </row>
    <row r="360" spans="1:74">
      <c r="A360">
        <v>358</v>
      </c>
      <c r="B360" t="s">
        <v>234</v>
      </c>
      <c r="C360">
        <v>2023</v>
      </c>
      <c r="D360">
        <v>5345</v>
      </c>
      <c r="E360">
        <v>264</v>
      </c>
      <c r="F360">
        <v>1</v>
      </c>
      <c r="G360">
        <v>3</v>
      </c>
      <c r="H360">
        <v>50</v>
      </c>
      <c r="I360">
        <v>54</v>
      </c>
      <c r="J360">
        <v>999</v>
      </c>
      <c r="K360">
        <v>99</v>
      </c>
      <c r="L360">
        <v>999</v>
      </c>
      <c r="M360">
        <v>9</v>
      </c>
      <c r="N360">
        <v>99</v>
      </c>
      <c r="O360">
        <v>9</v>
      </c>
      <c r="P360">
        <v>2</v>
      </c>
      <c r="Q360">
        <v>99999</v>
      </c>
      <c r="R360" s="276">
        <v>0</v>
      </c>
      <c r="S360" s="7">
        <v>45372.583067129628</v>
      </c>
      <c r="AX360" s="7"/>
      <c r="AY360" s="7"/>
      <c r="BV360" t="str">
        <f t="shared" si="8"/>
        <v/>
      </c>
    </row>
    <row r="361" spans="1:74">
      <c r="A361">
        <v>359</v>
      </c>
      <c r="B361" t="s">
        <v>234</v>
      </c>
      <c r="C361">
        <v>2023</v>
      </c>
      <c r="D361">
        <v>5345</v>
      </c>
      <c r="E361">
        <v>264</v>
      </c>
      <c r="F361">
        <v>1</v>
      </c>
      <c r="G361">
        <v>3</v>
      </c>
      <c r="H361">
        <v>50</v>
      </c>
      <c r="I361">
        <v>50</v>
      </c>
      <c r="J361">
        <v>999</v>
      </c>
      <c r="K361">
        <v>99</v>
      </c>
      <c r="L361">
        <v>999</v>
      </c>
      <c r="M361">
        <v>9</v>
      </c>
      <c r="N361">
        <v>1</v>
      </c>
      <c r="O361">
        <v>9</v>
      </c>
      <c r="P361">
        <v>2</v>
      </c>
      <c r="Q361">
        <v>99999</v>
      </c>
      <c r="R361" s="276">
        <v>0</v>
      </c>
      <c r="S361" s="7">
        <v>45372.583067129628</v>
      </c>
      <c r="AX361" s="7"/>
      <c r="AY361" s="7"/>
      <c r="BV361" t="str">
        <f t="shared" si="8"/>
        <v/>
      </c>
    </row>
    <row r="362" spans="1:74">
      <c r="A362">
        <v>360</v>
      </c>
      <c r="B362" t="s">
        <v>234</v>
      </c>
      <c r="C362">
        <v>2023</v>
      </c>
      <c r="D362">
        <v>5345</v>
      </c>
      <c r="E362">
        <v>264</v>
      </c>
      <c r="F362">
        <v>1</v>
      </c>
      <c r="G362">
        <v>3</v>
      </c>
      <c r="H362">
        <v>50</v>
      </c>
      <c r="I362">
        <v>50</v>
      </c>
      <c r="J362">
        <v>999</v>
      </c>
      <c r="K362">
        <v>99</v>
      </c>
      <c r="L362">
        <v>999</v>
      </c>
      <c r="M362">
        <v>9</v>
      </c>
      <c r="N362">
        <v>2</v>
      </c>
      <c r="O362">
        <v>9</v>
      </c>
      <c r="P362">
        <v>2</v>
      </c>
      <c r="Q362">
        <v>99999</v>
      </c>
      <c r="R362" s="276">
        <v>0</v>
      </c>
      <c r="S362" s="7">
        <v>45372.583067129628</v>
      </c>
      <c r="AX362" s="7"/>
      <c r="AY362" s="7"/>
      <c r="BV362" t="str">
        <f t="shared" si="8"/>
        <v/>
      </c>
    </row>
    <row r="363" spans="1:74">
      <c r="A363">
        <v>361</v>
      </c>
      <c r="B363" t="s">
        <v>234</v>
      </c>
      <c r="C363">
        <v>2023</v>
      </c>
      <c r="D363">
        <v>5345</v>
      </c>
      <c r="E363">
        <v>264</v>
      </c>
      <c r="F363">
        <v>1</v>
      </c>
      <c r="G363">
        <v>3</v>
      </c>
      <c r="H363">
        <v>50</v>
      </c>
      <c r="I363">
        <v>50</v>
      </c>
      <c r="J363">
        <v>999</v>
      </c>
      <c r="K363">
        <v>99</v>
      </c>
      <c r="L363">
        <v>999</v>
      </c>
      <c r="M363">
        <v>9</v>
      </c>
      <c r="N363">
        <v>3</v>
      </c>
      <c r="O363">
        <v>9</v>
      </c>
      <c r="P363">
        <v>2</v>
      </c>
      <c r="Q363">
        <v>99999</v>
      </c>
      <c r="R363" s="276">
        <v>0</v>
      </c>
      <c r="S363" s="7">
        <v>45372.583067129628</v>
      </c>
      <c r="AX363" s="7"/>
      <c r="AY363" s="7"/>
      <c r="BV363" t="str">
        <f t="shared" si="8"/>
        <v/>
      </c>
    </row>
    <row r="364" spans="1:74">
      <c r="A364">
        <v>362</v>
      </c>
      <c r="B364" t="s">
        <v>234</v>
      </c>
      <c r="C364">
        <v>2023</v>
      </c>
      <c r="D364">
        <v>5345</v>
      </c>
      <c r="E364">
        <v>264</v>
      </c>
      <c r="F364">
        <v>1</v>
      </c>
      <c r="G364">
        <v>3</v>
      </c>
      <c r="H364">
        <v>50</v>
      </c>
      <c r="I364">
        <v>50</v>
      </c>
      <c r="J364">
        <v>999</v>
      </c>
      <c r="K364">
        <v>99</v>
      </c>
      <c r="L364">
        <v>999</v>
      </c>
      <c r="M364">
        <v>9</v>
      </c>
      <c r="N364">
        <v>4</v>
      </c>
      <c r="O364">
        <v>9</v>
      </c>
      <c r="P364">
        <v>2</v>
      </c>
      <c r="Q364">
        <v>99999</v>
      </c>
      <c r="R364" s="276">
        <v>0</v>
      </c>
      <c r="S364" s="7">
        <v>45372.583067129628</v>
      </c>
      <c r="AX364" s="7"/>
      <c r="AY364" s="7"/>
      <c r="BV364" t="str">
        <f t="shared" si="8"/>
        <v/>
      </c>
    </row>
    <row r="365" spans="1:74">
      <c r="A365">
        <v>363</v>
      </c>
      <c r="B365" t="s">
        <v>234</v>
      </c>
      <c r="C365">
        <v>2023</v>
      </c>
      <c r="D365">
        <v>5345</v>
      </c>
      <c r="E365">
        <v>264</v>
      </c>
      <c r="F365">
        <v>1</v>
      </c>
      <c r="G365">
        <v>1</v>
      </c>
      <c r="H365">
        <v>15</v>
      </c>
      <c r="I365">
        <v>143</v>
      </c>
      <c r="J365">
        <v>999</v>
      </c>
      <c r="K365">
        <v>2</v>
      </c>
      <c r="L365">
        <v>999</v>
      </c>
      <c r="M365">
        <v>9</v>
      </c>
      <c r="N365">
        <v>99</v>
      </c>
      <c r="O365">
        <v>9</v>
      </c>
      <c r="P365">
        <v>4</v>
      </c>
      <c r="Q365">
        <v>0</v>
      </c>
      <c r="R365" s="276">
        <v>0</v>
      </c>
      <c r="S365" s="7">
        <v>45372.583067129628</v>
      </c>
      <c r="AX365" s="7"/>
      <c r="AY365" s="7"/>
      <c r="BV365" t="str">
        <f t="shared" si="8"/>
        <v/>
      </c>
    </row>
    <row r="366" spans="1:74">
      <c r="A366">
        <v>364</v>
      </c>
      <c r="B366" t="s">
        <v>234</v>
      </c>
      <c r="C366">
        <v>2023</v>
      </c>
      <c r="D366">
        <v>5345</v>
      </c>
      <c r="E366">
        <v>264</v>
      </c>
      <c r="F366">
        <v>1</v>
      </c>
      <c r="G366">
        <v>1</v>
      </c>
      <c r="H366">
        <v>15</v>
      </c>
      <c r="I366">
        <v>143</v>
      </c>
      <c r="J366">
        <v>999</v>
      </c>
      <c r="K366">
        <v>2</v>
      </c>
      <c r="L366">
        <v>999</v>
      </c>
      <c r="M366">
        <v>9</v>
      </c>
      <c r="N366">
        <v>99</v>
      </c>
      <c r="O366">
        <v>9</v>
      </c>
      <c r="P366">
        <v>4</v>
      </c>
      <c r="Q366">
        <v>0</v>
      </c>
      <c r="R366" s="276">
        <v>0</v>
      </c>
      <c r="S366" s="7">
        <v>45372.583067129628</v>
      </c>
      <c r="AX366" s="7"/>
      <c r="AY366" s="7"/>
      <c r="BV366" t="str">
        <f t="shared" si="8"/>
        <v/>
      </c>
    </row>
    <row r="367" spans="1:74">
      <c r="A367">
        <v>365</v>
      </c>
      <c r="B367" t="s">
        <v>234</v>
      </c>
      <c r="C367">
        <v>2023</v>
      </c>
      <c r="D367">
        <v>5345</v>
      </c>
      <c r="E367">
        <v>264</v>
      </c>
      <c r="F367">
        <v>1</v>
      </c>
      <c r="G367">
        <v>1</v>
      </c>
      <c r="H367">
        <v>15</v>
      </c>
      <c r="I367">
        <v>143</v>
      </c>
      <c r="J367">
        <v>999</v>
      </c>
      <c r="K367">
        <v>2</v>
      </c>
      <c r="L367">
        <v>999</v>
      </c>
      <c r="M367">
        <v>9</v>
      </c>
      <c r="N367">
        <v>99</v>
      </c>
      <c r="O367">
        <v>9</v>
      </c>
      <c r="P367">
        <v>4</v>
      </c>
      <c r="Q367">
        <v>0</v>
      </c>
      <c r="R367" s="276">
        <v>0</v>
      </c>
      <c r="S367" s="7">
        <v>45372.583067129628</v>
      </c>
      <c r="AX367" s="7"/>
      <c r="AY367" s="7"/>
      <c r="BV367" t="str">
        <f t="shared" si="8"/>
        <v/>
      </c>
    </row>
    <row r="368" spans="1:74">
      <c r="A368">
        <v>366</v>
      </c>
      <c r="B368" t="s">
        <v>234</v>
      </c>
      <c r="C368">
        <v>2023</v>
      </c>
      <c r="D368">
        <v>5345</v>
      </c>
      <c r="E368">
        <v>264</v>
      </c>
      <c r="F368">
        <v>1</v>
      </c>
      <c r="G368">
        <v>1</v>
      </c>
      <c r="H368">
        <v>15</v>
      </c>
      <c r="I368">
        <v>143</v>
      </c>
      <c r="J368">
        <v>999</v>
      </c>
      <c r="K368">
        <v>2</v>
      </c>
      <c r="L368">
        <v>999</v>
      </c>
      <c r="M368">
        <v>9</v>
      </c>
      <c r="N368">
        <v>99</v>
      </c>
      <c r="O368">
        <v>9</v>
      </c>
      <c r="P368">
        <v>4</v>
      </c>
      <c r="Q368">
        <v>0</v>
      </c>
      <c r="R368" s="276">
        <v>0</v>
      </c>
      <c r="S368" s="7">
        <v>45372.583067129628</v>
      </c>
      <c r="AX368" s="7"/>
      <c r="AY368" s="7"/>
      <c r="BV368" t="str">
        <f t="shared" si="8"/>
        <v/>
      </c>
    </row>
    <row r="369" spans="1:74">
      <c r="A369">
        <v>367</v>
      </c>
      <c r="B369" t="s">
        <v>234</v>
      </c>
      <c r="C369">
        <v>2023</v>
      </c>
      <c r="D369">
        <v>5345</v>
      </c>
      <c r="E369">
        <v>264</v>
      </c>
      <c r="F369">
        <v>1</v>
      </c>
      <c r="G369">
        <v>3</v>
      </c>
      <c r="H369">
        <v>50</v>
      </c>
      <c r="I369">
        <v>50</v>
      </c>
      <c r="J369">
        <v>999</v>
      </c>
      <c r="K369">
        <v>99</v>
      </c>
      <c r="L369">
        <v>999</v>
      </c>
      <c r="M369">
        <v>9</v>
      </c>
      <c r="N369">
        <v>99</v>
      </c>
      <c r="O369">
        <v>9</v>
      </c>
      <c r="P369">
        <v>2</v>
      </c>
      <c r="Q369">
        <v>99999</v>
      </c>
      <c r="R369" s="276">
        <v>17352.975999999999</v>
      </c>
      <c r="S369" s="7">
        <v>45372.583067129628</v>
      </c>
      <c r="AX369" s="7"/>
      <c r="AY369" s="7"/>
      <c r="BV369" t="str">
        <f t="shared" si="8"/>
        <v/>
      </c>
    </row>
    <row r="370" spans="1:74">
      <c r="A370">
        <v>368</v>
      </c>
      <c r="B370" t="s">
        <v>234</v>
      </c>
      <c r="C370">
        <v>2023</v>
      </c>
      <c r="D370">
        <v>5345</v>
      </c>
      <c r="E370">
        <v>264</v>
      </c>
      <c r="F370">
        <v>1</v>
      </c>
      <c r="G370">
        <v>3</v>
      </c>
      <c r="H370">
        <v>50</v>
      </c>
      <c r="I370">
        <v>51</v>
      </c>
      <c r="J370">
        <v>999</v>
      </c>
      <c r="K370">
        <v>99</v>
      </c>
      <c r="L370">
        <v>999</v>
      </c>
      <c r="M370">
        <v>9</v>
      </c>
      <c r="N370">
        <v>99</v>
      </c>
      <c r="O370">
        <v>9</v>
      </c>
      <c r="P370">
        <v>2</v>
      </c>
      <c r="Q370">
        <v>99999</v>
      </c>
      <c r="R370" s="276">
        <v>0</v>
      </c>
      <c r="S370" s="7">
        <v>45372.583067129628</v>
      </c>
      <c r="AX370" s="7"/>
      <c r="AY370" s="7"/>
      <c r="BV370" t="str">
        <f t="shared" si="8"/>
        <v/>
      </c>
    </row>
    <row r="371" spans="1:74">
      <c r="A371">
        <v>369</v>
      </c>
      <c r="B371" t="s">
        <v>234</v>
      </c>
      <c r="C371">
        <v>2023</v>
      </c>
      <c r="D371">
        <v>5345</v>
      </c>
      <c r="E371">
        <v>264</v>
      </c>
      <c r="F371">
        <v>1</v>
      </c>
      <c r="G371">
        <v>1</v>
      </c>
      <c r="H371">
        <v>51</v>
      </c>
      <c r="I371">
        <v>150</v>
      </c>
      <c r="J371">
        <v>999</v>
      </c>
      <c r="K371">
        <v>2</v>
      </c>
      <c r="L371">
        <v>999</v>
      </c>
      <c r="M371">
        <v>9</v>
      </c>
      <c r="N371">
        <v>99</v>
      </c>
      <c r="O371">
        <v>9</v>
      </c>
      <c r="P371">
        <v>5</v>
      </c>
      <c r="Q371">
        <v>99999</v>
      </c>
      <c r="R371" s="276">
        <v>201.595584638167</v>
      </c>
      <c r="S371" s="7">
        <v>45372.583067129628</v>
      </c>
      <c r="AX371" s="7"/>
      <c r="AY371" s="7"/>
      <c r="BV371" t="str">
        <f t="shared" si="8"/>
        <v/>
      </c>
    </row>
    <row r="372" spans="1:74">
      <c r="A372">
        <v>370</v>
      </c>
      <c r="B372" t="s">
        <v>234</v>
      </c>
      <c r="C372">
        <v>2023</v>
      </c>
      <c r="D372">
        <v>5345</v>
      </c>
      <c r="E372">
        <v>264</v>
      </c>
      <c r="F372">
        <v>1</v>
      </c>
      <c r="G372">
        <v>1</v>
      </c>
      <c r="H372">
        <v>4</v>
      </c>
      <c r="I372">
        <v>999999</v>
      </c>
      <c r="J372">
        <v>999</v>
      </c>
      <c r="K372">
        <v>2</v>
      </c>
      <c r="L372">
        <v>999</v>
      </c>
      <c r="M372">
        <v>9</v>
      </c>
      <c r="N372">
        <v>99</v>
      </c>
      <c r="O372">
        <v>9</v>
      </c>
      <c r="P372">
        <v>2</v>
      </c>
      <c r="Q372">
        <v>99999</v>
      </c>
      <c r="R372" s="276">
        <v>374.44188227976002</v>
      </c>
      <c r="S372" s="7">
        <v>45372.583067129628</v>
      </c>
      <c r="AX372" s="7"/>
      <c r="AY372" s="7"/>
      <c r="BV372" t="str">
        <f t="shared" si="8"/>
        <v/>
      </c>
    </row>
    <row r="373" spans="1:74">
      <c r="A373">
        <v>371</v>
      </c>
      <c r="B373" t="s">
        <v>234</v>
      </c>
      <c r="C373">
        <v>2023</v>
      </c>
      <c r="D373">
        <v>5345</v>
      </c>
      <c r="E373">
        <v>264</v>
      </c>
      <c r="F373">
        <v>1</v>
      </c>
      <c r="G373">
        <v>1</v>
      </c>
      <c r="H373">
        <v>6</v>
      </c>
      <c r="I373">
        <v>999999</v>
      </c>
      <c r="J373">
        <v>999</v>
      </c>
      <c r="K373">
        <v>2</v>
      </c>
      <c r="L373">
        <v>999</v>
      </c>
      <c r="M373">
        <v>9</v>
      </c>
      <c r="N373">
        <v>99</v>
      </c>
      <c r="O373">
        <v>9</v>
      </c>
      <c r="P373">
        <v>2</v>
      </c>
      <c r="Q373">
        <v>99999</v>
      </c>
      <c r="R373" s="276">
        <v>0</v>
      </c>
      <c r="S373" s="7">
        <v>45372.583067129628</v>
      </c>
      <c r="AX373" s="7"/>
      <c r="AY373" s="7"/>
      <c r="BV373" t="str">
        <f t="shared" si="8"/>
        <v/>
      </c>
    </row>
    <row r="374" spans="1:74">
      <c r="A374">
        <v>372</v>
      </c>
      <c r="B374" t="s">
        <v>234</v>
      </c>
      <c r="C374">
        <v>2023</v>
      </c>
      <c r="D374">
        <v>5345</v>
      </c>
      <c r="E374">
        <v>264</v>
      </c>
      <c r="F374">
        <v>1</v>
      </c>
      <c r="G374">
        <v>1</v>
      </c>
      <c r="H374">
        <v>6</v>
      </c>
      <c r="I374">
        <v>999999</v>
      </c>
      <c r="J374">
        <v>999</v>
      </c>
      <c r="K374">
        <v>2</v>
      </c>
      <c r="L374">
        <v>999</v>
      </c>
      <c r="M374">
        <v>9</v>
      </c>
      <c r="N374">
        <v>99</v>
      </c>
      <c r="O374">
        <v>9</v>
      </c>
      <c r="P374">
        <v>3</v>
      </c>
      <c r="Q374">
        <v>99999</v>
      </c>
      <c r="R374" s="276">
        <v>0</v>
      </c>
      <c r="S374" s="7">
        <v>45372.583067129628</v>
      </c>
      <c r="AX374" s="7"/>
      <c r="AY374" s="7"/>
      <c r="BV374" t="str">
        <f t="shared" si="8"/>
        <v/>
      </c>
    </row>
    <row r="375" spans="1:74">
      <c r="A375">
        <v>373</v>
      </c>
      <c r="B375" t="s">
        <v>234</v>
      </c>
      <c r="C375">
        <v>2023</v>
      </c>
      <c r="D375">
        <v>5345</v>
      </c>
      <c r="E375">
        <v>264</v>
      </c>
      <c r="F375">
        <v>1</v>
      </c>
      <c r="G375">
        <v>1</v>
      </c>
      <c r="H375">
        <v>6</v>
      </c>
      <c r="I375">
        <v>999999</v>
      </c>
      <c r="J375">
        <v>999</v>
      </c>
      <c r="K375">
        <v>2</v>
      </c>
      <c r="L375">
        <v>999</v>
      </c>
      <c r="M375">
        <v>9</v>
      </c>
      <c r="N375">
        <v>99</v>
      </c>
      <c r="O375">
        <v>9</v>
      </c>
      <c r="P375">
        <v>5</v>
      </c>
      <c r="Q375">
        <v>99999</v>
      </c>
      <c r="R375" s="276">
        <v>0</v>
      </c>
      <c r="S375" s="7">
        <v>45372.583067129628</v>
      </c>
      <c r="AX375" s="7"/>
      <c r="AY375" s="7"/>
      <c r="BV375" t="str">
        <f t="shared" si="8"/>
        <v/>
      </c>
    </row>
    <row r="376" spans="1:74">
      <c r="A376">
        <v>374</v>
      </c>
      <c r="B376" t="s">
        <v>234</v>
      </c>
      <c r="C376">
        <v>2023</v>
      </c>
      <c r="D376">
        <v>5345</v>
      </c>
      <c r="E376">
        <v>264</v>
      </c>
      <c r="F376">
        <v>1</v>
      </c>
      <c r="G376">
        <v>1</v>
      </c>
      <c r="H376">
        <v>15</v>
      </c>
      <c r="I376">
        <v>143</v>
      </c>
      <c r="J376">
        <v>999</v>
      </c>
      <c r="K376">
        <v>2</v>
      </c>
      <c r="L376">
        <v>999</v>
      </c>
      <c r="M376">
        <v>9</v>
      </c>
      <c r="N376">
        <v>5</v>
      </c>
      <c r="O376">
        <v>9</v>
      </c>
      <c r="P376">
        <v>4</v>
      </c>
      <c r="Q376">
        <v>5707</v>
      </c>
      <c r="R376" s="276">
        <v>0.30649999999999999</v>
      </c>
      <c r="S376" s="7">
        <v>45372.583067129628</v>
      </c>
      <c r="AX376" s="7"/>
      <c r="AY376" s="7"/>
      <c r="BV376" t="str">
        <f t="shared" si="8"/>
        <v/>
      </c>
    </row>
    <row r="377" spans="1:74">
      <c r="A377">
        <v>375</v>
      </c>
      <c r="B377" t="s">
        <v>234</v>
      </c>
      <c r="C377">
        <v>2023</v>
      </c>
      <c r="D377">
        <v>5345</v>
      </c>
      <c r="E377">
        <v>264</v>
      </c>
      <c r="F377">
        <v>1</v>
      </c>
      <c r="G377">
        <v>1</v>
      </c>
      <c r="H377">
        <v>51</v>
      </c>
      <c r="I377">
        <v>999999</v>
      </c>
      <c r="J377">
        <v>999</v>
      </c>
      <c r="K377">
        <v>2</v>
      </c>
      <c r="L377">
        <v>10</v>
      </c>
      <c r="M377">
        <v>9</v>
      </c>
      <c r="N377">
        <v>99</v>
      </c>
      <c r="O377">
        <v>9</v>
      </c>
      <c r="P377">
        <v>2</v>
      </c>
      <c r="Q377">
        <v>99999</v>
      </c>
      <c r="R377" s="276">
        <v>0</v>
      </c>
      <c r="S377" s="7">
        <v>45372.583067129628</v>
      </c>
      <c r="AX377" s="7"/>
      <c r="AY377" s="7"/>
    </row>
    <row r="378" spans="1:74">
      <c r="A378">
        <v>376</v>
      </c>
      <c r="B378" t="s">
        <v>234</v>
      </c>
      <c r="C378">
        <v>2023</v>
      </c>
      <c r="D378">
        <v>5345</v>
      </c>
      <c r="E378">
        <v>264</v>
      </c>
      <c r="F378">
        <v>1</v>
      </c>
      <c r="G378">
        <v>1</v>
      </c>
      <c r="H378">
        <v>51</v>
      </c>
      <c r="I378">
        <v>999999</v>
      </c>
      <c r="J378">
        <v>999</v>
      </c>
      <c r="K378">
        <v>2</v>
      </c>
      <c r="L378">
        <v>24</v>
      </c>
      <c r="M378">
        <v>9</v>
      </c>
      <c r="N378">
        <v>99</v>
      </c>
      <c r="O378">
        <v>9</v>
      </c>
      <c r="P378">
        <v>2</v>
      </c>
      <c r="Q378">
        <v>99999</v>
      </c>
      <c r="R378" s="276">
        <v>0</v>
      </c>
      <c r="S378" s="7">
        <v>45372.583067129628</v>
      </c>
      <c r="AX378" s="7"/>
      <c r="AY378" s="7"/>
    </row>
    <row r="379" spans="1:74">
      <c r="A379">
        <v>377</v>
      </c>
      <c r="B379" t="s">
        <v>234</v>
      </c>
      <c r="C379">
        <v>2023</v>
      </c>
      <c r="D379">
        <v>5345</v>
      </c>
      <c r="E379">
        <v>264</v>
      </c>
      <c r="F379">
        <v>1</v>
      </c>
      <c r="G379">
        <v>1</v>
      </c>
      <c r="H379">
        <v>51</v>
      </c>
      <c r="I379">
        <v>999999</v>
      </c>
      <c r="J379">
        <v>999</v>
      </c>
      <c r="K379">
        <v>2</v>
      </c>
      <c r="L379">
        <v>8</v>
      </c>
      <c r="M379">
        <v>9</v>
      </c>
      <c r="N379">
        <v>99</v>
      </c>
      <c r="O379">
        <v>9</v>
      </c>
      <c r="P379">
        <v>4</v>
      </c>
      <c r="Q379">
        <v>99999</v>
      </c>
      <c r="R379" s="276">
        <v>0.13664718580273599</v>
      </c>
      <c r="S379" s="7">
        <v>45372.583067129628</v>
      </c>
      <c r="AX379" s="7"/>
      <c r="AY379" s="7"/>
    </row>
    <row r="380" spans="1:74">
      <c r="A380">
        <v>378</v>
      </c>
      <c r="B380" t="s">
        <v>234</v>
      </c>
      <c r="C380">
        <v>2023</v>
      </c>
      <c r="D380">
        <v>5345</v>
      </c>
      <c r="E380">
        <v>264</v>
      </c>
      <c r="F380">
        <v>1</v>
      </c>
      <c r="G380">
        <v>1</v>
      </c>
      <c r="H380">
        <v>51</v>
      </c>
      <c r="I380">
        <v>999999</v>
      </c>
      <c r="J380">
        <v>999</v>
      </c>
      <c r="K380">
        <v>2</v>
      </c>
      <c r="L380">
        <v>9</v>
      </c>
      <c r="M380">
        <v>9</v>
      </c>
      <c r="N380">
        <v>99</v>
      </c>
      <c r="O380">
        <v>9</v>
      </c>
      <c r="P380">
        <v>4</v>
      </c>
      <c r="Q380">
        <v>99999</v>
      </c>
      <c r="R380" s="276">
        <v>0</v>
      </c>
      <c r="S380" s="7">
        <v>45372.583067129628</v>
      </c>
      <c r="AX380" s="7"/>
      <c r="AY380" s="7"/>
    </row>
    <row r="381" spans="1:74">
      <c r="A381">
        <v>379</v>
      </c>
      <c r="B381" t="s">
        <v>234</v>
      </c>
      <c r="C381">
        <v>2023</v>
      </c>
      <c r="D381">
        <v>5345</v>
      </c>
      <c r="E381">
        <v>264</v>
      </c>
      <c r="F381">
        <v>1</v>
      </c>
      <c r="G381">
        <v>1</v>
      </c>
      <c r="H381">
        <v>51</v>
      </c>
      <c r="I381">
        <v>999999</v>
      </c>
      <c r="J381">
        <v>999</v>
      </c>
      <c r="K381">
        <v>2</v>
      </c>
      <c r="L381">
        <v>10</v>
      </c>
      <c r="M381">
        <v>9</v>
      </c>
      <c r="N381">
        <v>99</v>
      </c>
      <c r="O381">
        <v>9</v>
      </c>
      <c r="P381">
        <v>4</v>
      </c>
      <c r="Q381">
        <v>99999</v>
      </c>
      <c r="R381" s="276">
        <v>0</v>
      </c>
      <c r="S381" s="7">
        <v>45372.583067129628</v>
      </c>
      <c r="AX381" s="7"/>
      <c r="AY381" s="7"/>
    </row>
    <row r="382" spans="1:74">
      <c r="A382">
        <v>380</v>
      </c>
      <c r="B382" t="s">
        <v>234</v>
      </c>
      <c r="C382">
        <v>2023</v>
      </c>
      <c r="D382">
        <v>5345</v>
      </c>
      <c r="E382">
        <v>264</v>
      </c>
      <c r="F382">
        <v>2</v>
      </c>
      <c r="G382">
        <v>1</v>
      </c>
      <c r="H382">
        <v>51</v>
      </c>
      <c r="I382">
        <v>999999</v>
      </c>
      <c r="J382">
        <v>999</v>
      </c>
      <c r="K382">
        <v>2</v>
      </c>
      <c r="L382">
        <v>30</v>
      </c>
      <c r="M382">
        <v>2</v>
      </c>
      <c r="N382">
        <v>99</v>
      </c>
      <c r="O382">
        <v>9</v>
      </c>
      <c r="P382">
        <v>3</v>
      </c>
      <c r="Q382">
        <v>99999</v>
      </c>
      <c r="R382" s="276">
        <v>3790255.2673967602</v>
      </c>
      <c r="S382" s="7">
        <v>45372.583067129628</v>
      </c>
      <c r="AX382" s="7"/>
      <c r="AY382" s="7"/>
    </row>
    <row r="383" spans="1:74">
      <c r="A383">
        <v>381</v>
      </c>
      <c r="B383" t="s">
        <v>234</v>
      </c>
      <c r="C383">
        <v>2023</v>
      </c>
      <c r="D383">
        <v>5345</v>
      </c>
      <c r="E383">
        <v>264</v>
      </c>
      <c r="F383">
        <v>2</v>
      </c>
      <c r="G383">
        <v>1</v>
      </c>
      <c r="H383">
        <v>51</v>
      </c>
      <c r="I383">
        <v>999999</v>
      </c>
      <c r="J383">
        <v>999</v>
      </c>
      <c r="K383">
        <v>1</v>
      </c>
      <c r="L383">
        <v>2</v>
      </c>
      <c r="M383">
        <v>1</v>
      </c>
      <c r="N383">
        <v>99</v>
      </c>
      <c r="O383">
        <v>9</v>
      </c>
      <c r="P383">
        <v>3</v>
      </c>
      <c r="Q383">
        <v>99999</v>
      </c>
      <c r="R383" s="276">
        <v>0</v>
      </c>
      <c r="S383" s="7">
        <v>45372.583067129628</v>
      </c>
      <c r="AX383" s="7"/>
      <c r="AY383" s="7"/>
    </row>
    <row r="384" spans="1:74">
      <c r="A384">
        <v>382</v>
      </c>
      <c r="B384" t="s">
        <v>234</v>
      </c>
      <c r="C384">
        <v>2023</v>
      </c>
      <c r="D384">
        <v>5345</v>
      </c>
      <c r="E384">
        <v>264</v>
      </c>
      <c r="F384">
        <v>2</v>
      </c>
      <c r="G384">
        <v>1</v>
      </c>
      <c r="H384">
        <v>51</v>
      </c>
      <c r="I384">
        <v>999999</v>
      </c>
      <c r="J384">
        <v>999</v>
      </c>
      <c r="K384">
        <v>1</v>
      </c>
      <c r="L384">
        <v>3</v>
      </c>
      <c r="M384">
        <v>1</v>
      </c>
      <c r="N384">
        <v>99</v>
      </c>
      <c r="O384">
        <v>9</v>
      </c>
      <c r="P384">
        <v>3</v>
      </c>
      <c r="Q384">
        <v>99999</v>
      </c>
      <c r="R384" s="276">
        <v>0</v>
      </c>
      <c r="S384" s="7">
        <v>45372.583067129628</v>
      </c>
      <c r="AX384" s="7"/>
      <c r="AY384" s="7"/>
    </row>
    <row r="385" spans="1:51">
      <c r="A385">
        <v>383</v>
      </c>
      <c r="B385" t="s">
        <v>234</v>
      </c>
      <c r="C385">
        <v>2023</v>
      </c>
      <c r="D385">
        <v>5345</v>
      </c>
      <c r="E385">
        <v>264</v>
      </c>
      <c r="F385">
        <v>1</v>
      </c>
      <c r="G385">
        <v>1</v>
      </c>
      <c r="H385">
        <v>52</v>
      </c>
      <c r="I385">
        <v>55</v>
      </c>
      <c r="J385">
        <v>999</v>
      </c>
      <c r="K385">
        <v>2</v>
      </c>
      <c r="L385">
        <v>999</v>
      </c>
      <c r="M385">
        <v>9</v>
      </c>
      <c r="N385">
        <v>99</v>
      </c>
      <c r="O385">
        <v>9</v>
      </c>
      <c r="P385">
        <v>2</v>
      </c>
      <c r="Q385">
        <v>99999</v>
      </c>
      <c r="R385" s="276">
        <v>0</v>
      </c>
      <c r="S385" s="7">
        <v>45372.583067129628</v>
      </c>
      <c r="AX385" s="7"/>
      <c r="AY385" s="7"/>
    </row>
    <row r="386" spans="1:51">
      <c r="A386">
        <v>384</v>
      </c>
      <c r="B386" t="s">
        <v>234</v>
      </c>
      <c r="C386">
        <v>2023</v>
      </c>
      <c r="D386">
        <v>5345</v>
      </c>
      <c r="E386">
        <v>264</v>
      </c>
      <c r="F386">
        <v>1</v>
      </c>
      <c r="G386">
        <v>1</v>
      </c>
      <c r="H386">
        <v>51</v>
      </c>
      <c r="I386">
        <v>55</v>
      </c>
      <c r="J386">
        <v>999</v>
      </c>
      <c r="K386">
        <v>2</v>
      </c>
      <c r="L386">
        <v>999</v>
      </c>
      <c r="M386">
        <v>9</v>
      </c>
      <c r="N386">
        <v>99</v>
      </c>
      <c r="O386">
        <v>9</v>
      </c>
      <c r="P386">
        <v>2</v>
      </c>
      <c r="Q386">
        <v>99999</v>
      </c>
      <c r="R386" s="276">
        <v>18801.281159999999</v>
      </c>
      <c r="S386" s="7">
        <v>45372.583067129628</v>
      </c>
      <c r="AX386" s="7"/>
      <c r="AY386" s="7"/>
    </row>
    <row r="387" spans="1:51">
      <c r="A387">
        <v>385</v>
      </c>
      <c r="B387" t="s">
        <v>234</v>
      </c>
      <c r="C387">
        <v>2023</v>
      </c>
      <c r="D387">
        <v>5345</v>
      </c>
      <c r="E387">
        <v>264</v>
      </c>
      <c r="F387">
        <v>1</v>
      </c>
      <c r="G387">
        <v>1</v>
      </c>
      <c r="H387">
        <v>51</v>
      </c>
      <c r="I387">
        <v>999999</v>
      </c>
      <c r="J387">
        <v>999</v>
      </c>
      <c r="K387">
        <v>2</v>
      </c>
      <c r="L387">
        <v>8</v>
      </c>
      <c r="M387">
        <v>9</v>
      </c>
      <c r="N387">
        <v>99</v>
      </c>
      <c r="O387">
        <v>9</v>
      </c>
      <c r="P387">
        <v>2</v>
      </c>
      <c r="Q387">
        <v>99999</v>
      </c>
      <c r="R387" s="276">
        <v>2569.1421599999999</v>
      </c>
      <c r="S387" s="7">
        <v>45372.583067129628</v>
      </c>
      <c r="AX387" s="7"/>
      <c r="AY387" s="7"/>
    </row>
    <row r="388" spans="1:51">
      <c r="A388">
        <v>386</v>
      </c>
      <c r="B388" t="s">
        <v>234</v>
      </c>
      <c r="C388">
        <v>2023</v>
      </c>
      <c r="D388">
        <v>5345</v>
      </c>
      <c r="E388">
        <v>264</v>
      </c>
      <c r="F388">
        <v>1</v>
      </c>
      <c r="G388">
        <v>1</v>
      </c>
      <c r="H388">
        <v>51</v>
      </c>
      <c r="I388">
        <v>999999</v>
      </c>
      <c r="J388">
        <v>999</v>
      </c>
      <c r="K388">
        <v>2</v>
      </c>
      <c r="L388">
        <v>9</v>
      </c>
      <c r="M388">
        <v>9</v>
      </c>
      <c r="N388">
        <v>99</v>
      </c>
      <c r="O388">
        <v>9</v>
      </c>
      <c r="P388">
        <v>2</v>
      </c>
      <c r="Q388">
        <v>99999</v>
      </c>
      <c r="R388" s="276">
        <v>0</v>
      </c>
      <c r="S388" s="7">
        <v>45372.583067129628</v>
      </c>
      <c r="AX388" s="7"/>
      <c r="AY388" s="7"/>
    </row>
    <row r="389" spans="1:51">
      <c r="A389">
        <v>387</v>
      </c>
      <c r="B389" t="s">
        <v>234</v>
      </c>
      <c r="C389">
        <v>2023</v>
      </c>
      <c r="D389">
        <v>5345</v>
      </c>
      <c r="E389">
        <v>264</v>
      </c>
      <c r="F389">
        <v>2</v>
      </c>
      <c r="G389">
        <v>1</v>
      </c>
      <c r="H389">
        <v>51</v>
      </c>
      <c r="I389">
        <v>999999</v>
      </c>
      <c r="J389">
        <v>999</v>
      </c>
      <c r="K389">
        <v>3</v>
      </c>
      <c r="L389">
        <v>17</v>
      </c>
      <c r="M389">
        <v>2</v>
      </c>
      <c r="N389">
        <v>99</v>
      </c>
      <c r="O389">
        <v>9</v>
      </c>
      <c r="P389">
        <v>3</v>
      </c>
      <c r="Q389">
        <v>99999</v>
      </c>
      <c r="R389" s="276">
        <v>0</v>
      </c>
      <c r="S389" s="7">
        <v>45372.583067129628</v>
      </c>
      <c r="AX389" s="7"/>
      <c r="AY389" s="7"/>
    </row>
    <row r="390" spans="1:51">
      <c r="A390">
        <v>388</v>
      </c>
      <c r="B390" t="s">
        <v>234</v>
      </c>
      <c r="C390">
        <v>2023</v>
      </c>
      <c r="D390">
        <v>5345</v>
      </c>
      <c r="E390">
        <v>264</v>
      </c>
      <c r="F390">
        <v>2</v>
      </c>
      <c r="G390">
        <v>1</v>
      </c>
      <c r="H390">
        <v>51</v>
      </c>
      <c r="I390">
        <v>999999</v>
      </c>
      <c r="J390">
        <v>999</v>
      </c>
      <c r="K390">
        <v>3</v>
      </c>
      <c r="L390">
        <v>18</v>
      </c>
      <c r="M390">
        <v>1</v>
      </c>
      <c r="N390">
        <v>99</v>
      </c>
      <c r="O390">
        <v>9</v>
      </c>
      <c r="P390">
        <v>3</v>
      </c>
      <c r="Q390">
        <v>99999</v>
      </c>
      <c r="R390" s="276">
        <v>198513.85493999999</v>
      </c>
      <c r="S390" s="7">
        <v>45372.583067129628</v>
      </c>
      <c r="AX390" s="7"/>
      <c r="AY390" s="7"/>
    </row>
    <row r="391" spans="1:51">
      <c r="A391">
        <v>389</v>
      </c>
      <c r="B391" t="s">
        <v>234</v>
      </c>
      <c r="C391">
        <v>2023</v>
      </c>
      <c r="D391">
        <v>5345</v>
      </c>
      <c r="E391">
        <v>264</v>
      </c>
      <c r="F391">
        <v>2</v>
      </c>
      <c r="G391">
        <v>1</v>
      </c>
      <c r="H391">
        <v>51</v>
      </c>
      <c r="I391">
        <v>999999</v>
      </c>
      <c r="J391">
        <v>999</v>
      </c>
      <c r="K391">
        <v>3</v>
      </c>
      <c r="L391">
        <v>19</v>
      </c>
      <c r="M391">
        <v>3</v>
      </c>
      <c r="N391">
        <v>99</v>
      </c>
      <c r="O391">
        <v>9</v>
      </c>
      <c r="P391">
        <v>3</v>
      </c>
      <c r="Q391">
        <v>99999</v>
      </c>
      <c r="R391" s="276">
        <v>0</v>
      </c>
      <c r="S391" s="7">
        <v>45372.583067129628</v>
      </c>
      <c r="AX391" s="7"/>
      <c r="AY391" s="7"/>
    </row>
    <row r="392" spans="1:51">
      <c r="A392">
        <v>390</v>
      </c>
      <c r="B392" t="s">
        <v>234</v>
      </c>
      <c r="C392">
        <v>2023</v>
      </c>
      <c r="D392">
        <v>5345</v>
      </c>
      <c r="E392">
        <v>264</v>
      </c>
      <c r="F392">
        <v>1</v>
      </c>
      <c r="G392">
        <v>1</v>
      </c>
      <c r="H392">
        <v>15</v>
      </c>
      <c r="I392">
        <v>140</v>
      </c>
      <c r="J392">
        <v>999</v>
      </c>
      <c r="K392">
        <v>1</v>
      </c>
      <c r="L392">
        <v>7</v>
      </c>
      <c r="M392">
        <v>9</v>
      </c>
      <c r="N392">
        <v>99</v>
      </c>
      <c r="O392">
        <v>9</v>
      </c>
      <c r="P392">
        <v>4</v>
      </c>
      <c r="Q392">
        <v>99999</v>
      </c>
      <c r="R392" s="276">
        <v>0</v>
      </c>
      <c r="S392" s="7">
        <v>45372.583067129628</v>
      </c>
      <c r="AX392" s="7"/>
      <c r="AY392" s="7"/>
    </row>
    <row r="393" spans="1:51">
      <c r="A393">
        <v>391</v>
      </c>
      <c r="B393" t="s">
        <v>234</v>
      </c>
      <c r="C393">
        <v>2023</v>
      </c>
      <c r="D393">
        <v>5345</v>
      </c>
      <c r="E393">
        <v>264</v>
      </c>
      <c r="F393">
        <v>2</v>
      </c>
      <c r="G393">
        <v>1</v>
      </c>
      <c r="H393">
        <v>51</v>
      </c>
      <c r="I393">
        <v>999999</v>
      </c>
      <c r="J393">
        <v>999</v>
      </c>
      <c r="K393">
        <v>1</v>
      </c>
      <c r="L393">
        <v>7</v>
      </c>
      <c r="M393">
        <v>1</v>
      </c>
      <c r="N393">
        <v>99</v>
      </c>
      <c r="O393">
        <v>9</v>
      </c>
      <c r="P393">
        <v>3</v>
      </c>
      <c r="Q393">
        <v>99999</v>
      </c>
      <c r="R393" s="276">
        <v>3346245.14322</v>
      </c>
      <c r="S393" s="7">
        <v>45372.583067129628</v>
      </c>
      <c r="AX393" s="7"/>
      <c r="AY393" s="7"/>
    </row>
    <row r="394" spans="1:51">
      <c r="A394">
        <v>392</v>
      </c>
      <c r="B394" t="s">
        <v>234</v>
      </c>
      <c r="C394">
        <v>2023</v>
      </c>
      <c r="D394">
        <v>5345</v>
      </c>
      <c r="E394">
        <v>264</v>
      </c>
      <c r="F394">
        <v>2</v>
      </c>
      <c r="G394">
        <v>1</v>
      </c>
      <c r="H394">
        <v>51</v>
      </c>
      <c r="I394">
        <v>999999</v>
      </c>
      <c r="J394">
        <v>999</v>
      </c>
      <c r="K394">
        <v>1</v>
      </c>
      <c r="L394">
        <v>1</v>
      </c>
      <c r="M394">
        <v>1</v>
      </c>
      <c r="N394">
        <v>99</v>
      </c>
      <c r="O394">
        <v>9</v>
      </c>
      <c r="P394">
        <v>3</v>
      </c>
      <c r="Q394">
        <v>99999</v>
      </c>
      <c r="R394" s="276">
        <v>0</v>
      </c>
      <c r="S394" s="7">
        <v>45372.583067129628</v>
      </c>
      <c r="AX394" s="7"/>
      <c r="AY394" s="7"/>
    </row>
    <row r="395" spans="1:51">
      <c r="A395">
        <v>393</v>
      </c>
      <c r="B395" t="s">
        <v>234</v>
      </c>
      <c r="C395">
        <v>2023</v>
      </c>
      <c r="D395">
        <v>5345</v>
      </c>
      <c r="E395">
        <v>264</v>
      </c>
      <c r="F395">
        <v>1</v>
      </c>
      <c r="G395">
        <v>4</v>
      </c>
      <c r="H395">
        <v>14</v>
      </c>
      <c r="I395">
        <v>29</v>
      </c>
      <c r="J395">
        <v>999</v>
      </c>
      <c r="K395">
        <v>99</v>
      </c>
      <c r="L395">
        <v>999</v>
      </c>
      <c r="M395">
        <v>9</v>
      </c>
      <c r="N395">
        <v>99</v>
      </c>
      <c r="O395">
        <v>9</v>
      </c>
      <c r="P395">
        <v>4</v>
      </c>
      <c r="Q395">
        <v>99999</v>
      </c>
      <c r="R395" s="276">
        <v>0.13116077248633201</v>
      </c>
      <c r="S395" s="7">
        <v>45372.583067129628</v>
      </c>
      <c r="AX395" s="7"/>
      <c r="AY395" s="7"/>
    </row>
    <row r="396" spans="1:51">
      <c r="A396">
        <v>394</v>
      </c>
      <c r="B396" t="s">
        <v>234</v>
      </c>
      <c r="C396">
        <v>2023</v>
      </c>
      <c r="D396">
        <v>5345</v>
      </c>
      <c r="E396">
        <v>264</v>
      </c>
      <c r="F396">
        <v>1</v>
      </c>
      <c r="G396">
        <v>4</v>
      </c>
      <c r="H396">
        <v>14</v>
      </c>
      <c r="I396">
        <v>30</v>
      </c>
      <c r="J396">
        <v>999</v>
      </c>
      <c r="K396">
        <v>99</v>
      </c>
      <c r="L396">
        <v>999</v>
      </c>
      <c r="M396">
        <v>9</v>
      </c>
      <c r="N396">
        <v>99</v>
      </c>
      <c r="O396">
        <v>9</v>
      </c>
      <c r="P396">
        <v>4</v>
      </c>
      <c r="Q396">
        <v>99999</v>
      </c>
      <c r="R396" s="276">
        <v>0</v>
      </c>
      <c r="S396" s="7">
        <v>45372.583067129628</v>
      </c>
      <c r="AX396" s="7"/>
      <c r="AY396" s="7"/>
    </row>
    <row r="397" spans="1:51">
      <c r="A397">
        <v>395</v>
      </c>
      <c r="B397" t="s">
        <v>234</v>
      </c>
      <c r="C397">
        <v>2023</v>
      </c>
      <c r="D397">
        <v>5345</v>
      </c>
      <c r="E397">
        <v>264</v>
      </c>
      <c r="F397">
        <v>2</v>
      </c>
      <c r="G397">
        <v>1</v>
      </c>
      <c r="H397">
        <v>51</v>
      </c>
      <c r="I397">
        <v>999999</v>
      </c>
      <c r="J397">
        <v>999</v>
      </c>
      <c r="K397">
        <v>3</v>
      </c>
      <c r="L397">
        <v>12</v>
      </c>
      <c r="M397">
        <v>1</v>
      </c>
      <c r="N397">
        <v>99</v>
      </c>
      <c r="O397">
        <v>9</v>
      </c>
      <c r="P397">
        <v>3</v>
      </c>
      <c r="Q397">
        <v>99999</v>
      </c>
      <c r="R397" s="276">
        <v>0</v>
      </c>
      <c r="S397" s="7">
        <v>45372.583067129628</v>
      </c>
      <c r="AX397" s="7"/>
      <c r="AY397" s="7"/>
    </row>
    <row r="398" spans="1:51">
      <c r="A398">
        <v>396</v>
      </c>
      <c r="B398" t="s">
        <v>234</v>
      </c>
      <c r="C398">
        <v>2023</v>
      </c>
      <c r="D398">
        <v>5345</v>
      </c>
      <c r="E398">
        <v>264</v>
      </c>
      <c r="F398">
        <v>2</v>
      </c>
      <c r="G398">
        <v>1</v>
      </c>
      <c r="H398">
        <v>51</v>
      </c>
      <c r="I398">
        <v>999999</v>
      </c>
      <c r="J398">
        <v>999</v>
      </c>
      <c r="K398">
        <v>3</v>
      </c>
      <c r="L398">
        <v>14</v>
      </c>
      <c r="M398">
        <v>1</v>
      </c>
      <c r="N398">
        <v>99</v>
      </c>
      <c r="O398">
        <v>9</v>
      </c>
      <c r="P398">
        <v>3</v>
      </c>
      <c r="Q398">
        <v>99999</v>
      </c>
      <c r="R398" s="276">
        <v>55049.951316139501</v>
      </c>
      <c r="S398" s="7">
        <v>45372.583067129628</v>
      </c>
      <c r="AX398" s="7"/>
      <c r="AY398" s="7"/>
    </row>
    <row r="399" spans="1:51">
      <c r="A399">
        <v>397</v>
      </c>
      <c r="B399" t="s">
        <v>234</v>
      </c>
      <c r="C399">
        <v>2023</v>
      </c>
      <c r="D399">
        <v>5345</v>
      </c>
      <c r="E399">
        <v>264</v>
      </c>
      <c r="F399">
        <v>2</v>
      </c>
      <c r="G399">
        <v>1</v>
      </c>
      <c r="H399">
        <v>51</v>
      </c>
      <c r="I399">
        <v>999999</v>
      </c>
      <c r="J399">
        <v>999</v>
      </c>
      <c r="K399">
        <v>3</v>
      </c>
      <c r="L399">
        <v>15</v>
      </c>
      <c r="M399">
        <v>1</v>
      </c>
      <c r="N399">
        <v>99</v>
      </c>
      <c r="O399">
        <v>9</v>
      </c>
      <c r="P399">
        <v>3</v>
      </c>
      <c r="Q399">
        <v>99999</v>
      </c>
      <c r="R399" s="276">
        <v>1419599.8229700001</v>
      </c>
      <c r="S399" s="7">
        <v>45372.583067129628</v>
      </c>
      <c r="AX399" s="7"/>
      <c r="AY399" s="7"/>
    </row>
    <row r="400" spans="1:51">
      <c r="A400">
        <v>398</v>
      </c>
      <c r="B400" t="s">
        <v>234</v>
      </c>
      <c r="C400">
        <v>2023</v>
      </c>
      <c r="D400">
        <v>5345</v>
      </c>
      <c r="E400">
        <v>264</v>
      </c>
      <c r="F400">
        <v>2</v>
      </c>
      <c r="G400">
        <v>1</v>
      </c>
      <c r="H400">
        <v>51</v>
      </c>
      <c r="I400">
        <v>999999</v>
      </c>
      <c r="J400">
        <v>999</v>
      </c>
      <c r="K400">
        <v>3</v>
      </c>
      <c r="L400">
        <v>16</v>
      </c>
      <c r="M400">
        <v>2</v>
      </c>
      <c r="N400">
        <v>99</v>
      </c>
      <c r="O400">
        <v>9</v>
      </c>
      <c r="P400">
        <v>3</v>
      </c>
      <c r="Q400">
        <v>99999</v>
      </c>
      <c r="R400" s="276">
        <v>0</v>
      </c>
      <c r="S400" s="7">
        <v>45372.583067129628</v>
      </c>
      <c r="AX400" s="7"/>
      <c r="AY400" s="7"/>
    </row>
    <row r="401" spans="1:51">
      <c r="A401">
        <v>399</v>
      </c>
      <c r="B401" t="s">
        <v>234</v>
      </c>
      <c r="C401">
        <v>2023</v>
      </c>
      <c r="D401">
        <v>5345</v>
      </c>
      <c r="E401">
        <v>264</v>
      </c>
      <c r="F401">
        <v>2</v>
      </c>
      <c r="G401">
        <v>2</v>
      </c>
      <c r="H401">
        <v>22</v>
      </c>
      <c r="I401">
        <v>60</v>
      </c>
      <c r="J401">
        <v>240</v>
      </c>
      <c r="K401">
        <v>2</v>
      </c>
      <c r="L401">
        <v>11</v>
      </c>
      <c r="M401">
        <v>9</v>
      </c>
      <c r="N401">
        <v>99</v>
      </c>
      <c r="O401">
        <v>9</v>
      </c>
      <c r="P401">
        <v>3</v>
      </c>
      <c r="Q401">
        <v>99999</v>
      </c>
      <c r="R401" s="276">
        <v>0</v>
      </c>
      <c r="S401" s="7">
        <v>45372.583067129628</v>
      </c>
      <c r="AX401" s="7"/>
      <c r="AY401" s="7"/>
    </row>
    <row r="402" spans="1:51">
      <c r="A402">
        <v>400</v>
      </c>
      <c r="B402" t="s">
        <v>234</v>
      </c>
      <c r="C402">
        <v>2023</v>
      </c>
      <c r="D402">
        <v>5345</v>
      </c>
      <c r="E402">
        <v>264</v>
      </c>
      <c r="F402">
        <v>2</v>
      </c>
      <c r="G402">
        <v>2</v>
      </c>
      <c r="H402">
        <v>22</v>
      </c>
      <c r="I402">
        <v>60</v>
      </c>
      <c r="J402">
        <v>240</v>
      </c>
      <c r="K402">
        <v>2</v>
      </c>
      <c r="L402">
        <v>9</v>
      </c>
      <c r="M402">
        <v>9</v>
      </c>
      <c r="N402">
        <v>99</v>
      </c>
      <c r="O402">
        <v>9</v>
      </c>
      <c r="P402">
        <v>3</v>
      </c>
      <c r="Q402">
        <v>99999</v>
      </c>
      <c r="R402" s="276">
        <v>0</v>
      </c>
      <c r="S402" s="7">
        <v>45372.583067129628</v>
      </c>
      <c r="AX402" s="7"/>
      <c r="AY402" s="7"/>
    </row>
    <row r="403" spans="1:51">
      <c r="A403">
        <v>401</v>
      </c>
      <c r="B403" t="s">
        <v>234</v>
      </c>
      <c r="C403">
        <v>2023</v>
      </c>
      <c r="D403">
        <v>5345</v>
      </c>
      <c r="E403">
        <v>264</v>
      </c>
      <c r="F403">
        <v>2</v>
      </c>
      <c r="G403">
        <v>2</v>
      </c>
      <c r="H403">
        <v>22</v>
      </c>
      <c r="I403">
        <v>60</v>
      </c>
      <c r="J403">
        <v>240</v>
      </c>
      <c r="K403">
        <v>2</v>
      </c>
      <c r="L403">
        <v>8</v>
      </c>
      <c r="M403">
        <v>9</v>
      </c>
      <c r="N403">
        <v>99</v>
      </c>
      <c r="O403">
        <v>9</v>
      </c>
      <c r="P403">
        <v>3</v>
      </c>
      <c r="Q403">
        <v>99999</v>
      </c>
      <c r="R403" s="276">
        <v>0</v>
      </c>
      <c r="S403" s="7">
        <v>45372.583067129628</v>
      </c>
      <c r="AX403" s="7"/>
      <c r="AY403" s="7"/>
    </row>
    <row r="404" spans="1:51">
      <c r="A404">
        <v>402</v>
      </c>
      <c r="B404" t="s">
        <v>234</v>
      </c>
      <c r="C404">
        <v>2023</v>
      </c>
      <c r="D404">
        <v>5345</v>
      </c>
      <c r="E404">
        <v>264</v>
      </c>
      <c r="F404">
        <v>2</v>
      </c>
      <c r="G404">
        <v>2</v>
      </c>
      <c r="H404">
        <v>22</v>
      </c>
      <c r="I404">
        <v>60</v>
      </c>
      <c r="J404">
        <v>240</v>
      </c>
      <c r="K404">
        <v>2</v>
      </c>
      <c r="L404">
        <v>10</v>
      </c>
      <c r="M404">
        <v>9</v>
      </c>
      <c r="N404">
        <v>99</v>
      </c>
      <c r="O404">
        <v>9</v>
      </c>
      <c r="P404">
        <v>3</v>
      </c>
      <c r="Q404">
        <v>99999</v>
      </c>
      <c r="R404" s="276">
        <v>0</v>
      </c>
      <c r="S404" s="7">
        <v>45372.583067129628</v>
      </c>
      <c r="AX404" s="7"/>
      <c r="AY404" s="7"/>
    </row>
    <row r="405" spans="1:51">
      <c r="A405">
        <v>403</v>
      </c>
      <c r="B405" t="s">
        <v>234</v>
      </c>
      <c r="C405">
        <v>2023</v>
      </c>
      <c r="D405">
        <v>5345</v>
      </c>
      <c r="E405">
        <v>264</v>
      </c>
      <c r="F405">
        <v>2</v>
      </c>
      <c r="G405">
        <v>2</v>
      </c>
      <c r="H405">
        <v>22</v>
      </c>
      <c r="I405">
        <v>60</v>
      </c>
      <c r="J405">
        <v>240</v>
      </c>
      <c r="K405">
        <v>2</v>
      </c>
      <c r="L405">
        <v>24</v>
      </c>
      <c r="M405">
        <v>9</v>
      </c>
      <c r="N405">
        <v>99</v>
      </c>
      <c r="O405">
        <v>9</v>
      </c>
      <c r="P405">
        <v>3</v>
      </c>
      <c r="Q405">
        <v>99999</v>
      </c>
      <c r="R405" s="276">
        <v>0</v>
      </c>
      <c r="S405" s="7">
        <v>45372.583067129628</v>
      </c>
      <c r="AX405" s="7"/>
      <c r="AY405" s="7"/>
    </row>
    <row r="406" spans="1:51">
      <c r="A406">
        <v>404</v>
      </c>
      <c r="B406" t="s">
        <v>234</v>
      </c>
      <c r="C406">
        <v>2023</v>
      </c>
      <c r="D406">
        <v>5345</v>
      </c>
      <c r="E406">
        <v>264</v>
      </c>
      <c r="F406">
        <v>2</v>
      </c>
      <c r="G406">
        <v>2</v>
      </c>
      <c r="H406">
        <v>22</v>
      </c>
      <c r="I406">
        <v>60</v>
      </c>
      <c r="J406">
        <v>240</v>
      </c>
      <c r="K406">
        <v>2</v>
      </c>
      <c r="L406">
        <v>11</v>
      </c>
      <c r="M406">
        <v>9</v>
      </c>
      <c r="N406">
        <v>99</v>
      </c>
      <c r="O406">
        <v>9</v>
      </c>
      <c r="P406">
        <v>3</v>
      </c>
      <c r="Q406">
        <v>99999</v>
      </c>
      <c r="R406" s="276">
        <v>0</v>
      </c>
      <c r="S406" s="7">
        <v>45372.583067129628</v>
      </c>
      <c r="AX406" s="7"/>
      <c r="AY406" s="7"/>
    </row>
    <row r="407" spans="1:51">
      <c r="A407">
        <v>405</v>
      </c>
      <c r="B407" t="s">
        <v>234</v>
      </c>
      <c r="C407">
        <v>2023</v>
      </c>
      <c r="D407">
        <v>5345</v>
      </c>
      <c r="E407">
        <v>264</v>
      </c>
      <c r="F407">
        <v>2</v>
      </c>
      <c r="G407">
        <v>2</v>
      </c>
      <c r="H407">
        <v>22</v>
      </c>
      <c r="I407">
        <v>60</v>
      </c>
      <c r="J407">
        <v>240</v>
      </c>
      <c r="K407">
        <v>2</v>
      </c>
      <c r="L407">
        <v>9</v>
      </c>
      <c r="M407">
        <v>9</v>
      </c>
      <c r="N407">
        <v>99</v>
      </c>
      <c r="O407">
        <v>9</v>
      </c>
      <c r="P407">
        <v>3</v>
      </c>
      <c r="Q407">
        <v>99999</v>
      </c>
      <c r="R407" s="276">
        <v>0</v>
      </c>
      <c r="S407" s="7">
        <v>45372.583067129628</v>
      </c>
      <c r="AX407" s="7"/>
      <c r="AY407" s="7"/>
    </row>
    <row r="408" spans="1:51">
      <c r="A408">
        <v>406</v>
      </c>
      <c r="B408" t="s">
        <v>234</v>
      </c>
      <c r="C408">
        <v>2023</v>
      </c>
      <c r="D408">
        <v>5345</v>
      </c>
      <c r="E408">
        <v>264</v>
      </c>
      <c r="F408">
        <v>2</v>
      </c>
      <c r="G408">
        <v>2</v>
      </c>
      <c r="H408">
        <v>22</v>
      </c>
      <c r="I408">
        <v>60</v>
      </c>
      <c r="J408">
        <v>240</v>
      </c>
      <c r="K408">
        <v>2</v>
      </c>
      <c r="L408">
        <v>8</v>
      </c>
      <c r="M408">
        <v>9</v>
      </c>
      <c r="N408">
        <v>99</v>
      </c>
      <c r="O408">
        <v>9</v>
      </c>
      <c r="P408">
        <v>3</v>
      </c>
      <c r="Q408">
        <v>99999</v>
      </c>
      <c r="R408" s="276">
        <v>0</v>
      </c>
      <c r="S408" s="7">
        <v>45372.583067129628</v>
      </c>
      <c r="AX408" s="7"/>
      <c r="AY408" s="7"/>
    </row>
    <row r="409" spans="1:51">
      <c r="A409">
        <v>407</v>
      </c>
      <c r="B409" t="s">
        <v>234</v>
      </c>
      <c r="C409">
        <v>2023</v>
      </c>
      <c r="D409">
        <v>5345</v>
      </c>
      <c r="E409">
        <v>264</v>
      </c>
      <c r="F409">
        <v>2</v>
      </c>
      <c r="G409">
        <v>2</v>
      </c>
      <c r="H409">
        <v>22</v>
      </c>
      <c r="I409">
        <v>60</v>
      </c>
      <c r="J409">
        <v>240</v>
      </c>
      <c r="K409">
        <v>2</v>
      </c>
      <c r="L409">
        <v>10</v>
      </c>
      <c r="M409">
        <v>9</v>
      </c>
      <c r="N409">
        <v>99</v>
      </c>
      <c r="O409">
        <v>9</v>
      </c>
      <c r="P409">
        <v>3</v>
      </c>
      <c r="Q409">
        <v>99999</v>
      </c>
      <c r="R409" s="276">
        <v>0</v>
      </c>
      <c r="S409" s="7">
        <v>45372.583067129628</v>
      </c>
      <c r="AX409" s="7"/>
      <c r="AY409" s="7"/>
    </row>
    <row r="410" spans="1:51">
      <c r="A410">
        <v>408</v>
      </c>
      <c r="B410" t="s">
        <v>234</v>
      </c>
      <c r="C410">
        <v>2023</v>
      </c>
      <c r="D410">
        <v>5345</v>
      </c>
      <c r="E410">
        <v>264</v>
      </c>
      <c r="F410">
        <v>2</v>
      </c>
      <c r="G410">
        <v>2</v>
      </c>
      <c r="H410">
        <v>22</v>
      </c>
      <c r="I410">
        <v>60</v>
      </c>
      <c r="J410">
        <v>240</v>
      </c>
      <c r="K410">
        <v>2</v>
      </c>
      <c r="L410">
        <v>24</v>
      </c>
      <c r="M410">
        <v>9</v>
      </c>
      <c r="N410">
        <v>99</v>
      </c>
      <c r="O410">
        <v>9</v>
      </c>
      <c r="P410">
        <v>3</v>
      </c>
      <c r="Q410">
        <v>99999</v>
      </c>
      <c r="R410" s="276">
        <v>0</v>
      </c>
      <c r="S410" s="7">
        <v>45372.583067129628</v>
      </c>
      <c r="AX410" s="7"/>
      <c r="AY410" s="7"/>
    </row>
    <row r="411" spans="1:51">
      <c r="A411">
        <v>409</v>
      </c>
      <c r="B411" t="s">
        <v>234</v>
      </c>
      <c r="C411">
        <v>2023</v>
      </c>
      <c r="D411">
        <v>5345</v>
      </c>
      <c r="E411">
        <v>264</v>
      </c>
      <c r="F411">
        <v>2</v>
      </c>
      <c r="G411">
        <v>2</v>
      </c>
      <c r="H411">
        <v>22</v>
      </c>
      <c r="I411">
        <v>60</v>
      </c>
      <c r="J411">
        <v>240</v>
      </c>
      <c r="K411">
        <v>3</v>
      </c>
      <c r="L411">
        <v>17</v>
      </c>
      <c r="M411">
        <v>9</v>
      </c>
      <c r="N411">
        <v>99</v>
      </c>
      <c r="O411">
        <v>9</v>
      </c>
      <c r="P411">
        <v>3</v>
      </c>
      <c r="Q411">
        <v>99999</v>
      </c>
      <c r="R411" s="276">
        <v>0</v>
      </c>
      <c r="S411" s="7">
        <v>45372.583067129628</v>
      </c>
      <c r="AX411" s="7"/>
      <c r="AY411" s="7"/>
    </row>
    <row r="412" spans="1:51">
      <c r="A412">
        <v>410</v>
      </c>
      <c r="B412" t="s">
        <v>234</v>
      </c>
      <c r="C412">
        <v>2023</v>
      </c>
      <c r="D412">
        <v>5345</v>
      </c>
      <c r="E412">
        <v>264</v>
      </c>
      <c r="F412">
        <v>1</v>
      </c>
      <c r="G412">
        <v>3</v>
      </c>
      <c r="H412">
        <v>50</v>
      </c>
      <c r="I412">
        <v>52</v>
      </c>
      <c r="J412">
        <v>11</v>
      </c>
      <c r="K412">
        <v>99</v>
      </c>
      <c r="L412">
        <v>999</v>
      </c>
      <c r="M412">
        <v>9</v>
      </c>
      <c r="N412">
        <v>99</v>
      </c>
      <c r="O412">
        <v>9</v>
      </c>
      <c r="P412">
        <v>2</v>
      </c>
      <c r="Q412">
        <v>99999</v>
      </c>
      <c r="R412" s="276">
        <v>0</v>
      </c>
      <c r="S412" s="7">
        <v>45372.583067129628</v>
      </c>
      <c r="AX412" s="7"/>
      <c r="AY412" s="7"/>
    </row>
    <row r="413" spans="1:51">
      <c r="A413">
        <v>411</v>
      </c>
      <c r="B413" t="s">
        <v>234</v>
      </c>
      <c r="C413">
        <v>2023</v>
      </c>
      <c r="D413">
        <v>5345</v>
      </c>
      <c r="E413">
        <v>264</v>
      </c>
      <c r="F413">
        <v>1</v>
      </c>
      <c r="G413">
        <v>3</v>
      </c>
      <c r="H413">
        <v>50</v>
      </c>
      <c r="I413">
        <v>52</v>
      </c>
      <c r="J413">
        <v>11</v>
      </c>
      <c r="K413">
        <v>99</v>
      </c>
      <c r="L413">
        <v>999</v>
      </c>
      <c r="M413">
        <v>9</v>
      </c>
      <c r="N413">
        <v>99</v>
      </c>
      <c r="O413">
        <v>9</v>
      </c>
      <c r="P413">
        <v>3</v>
      </c>
      <c r="Q413">
        <v>99999</v>
      </c>
      <c r="R413" s="276">
        <v>0</v>
      </c>
      <c r="S413" s="7">
        <v>45372.583067129628</v>
      </c>
      <c r="AX413" s="7"/>
      <c r="AY413" s="7"/>
    </row>
    <row r="414" spans="1:51">
      <c r="A414">
        <v>412</v>
      </c>
      <c r="B414" t="s">
        <v>234</v>
      </c>
      <c r="C414">
        <v>2023</v>
      </c>
      <c r="D414">
        <v>5345</v>
      </c>
      <c r="E414">
        <v>264</v>
      </c>
      <c r="F414">
        <v>2</v>
      </c>
      <c r="G414">
        <v>2</v>
      </c>
      <c r="H414">
        <v>22</v>
      </c>
      <c r="I414">
        <v>60</v>
      </c>
      <c r="J414">
        <v>241</v>
      </c>
      <c r="K414">
        <v>3</v>
      </c>
      <c r="L414">
        <v>18</v>
      </c>
      <c r="M414">
        <v>9</v>
      </c>
      <c r="N414">
        <v>99</v>
      </c>
      <c r="O414">
        <v>9</v>
      </c>
      <c r="P414">
        <v>3</v>
      </c>
      <c r="Q414">
        <v>99999</v>
      </c>
      <c r="R414" s="276">
        <v>0</v>
      </c>
      <c r="S414" s="7">
        <v>45372.583067129628</v>
      </c>
      <c r="AX414" s="7"/>
      <c r="AY414" s="7"/>
    </row>
    <row r="415" spans="1:51">
      <c r="A415">
        <v>413</v>
      </c>
      <c r="B415" t="s">
        <v>234</v>
      </c>
      <c r="C415">
        <v>2023</v>
      </c>
      <c r="D415">
        <v>5345</v>
      </c>
      <c r="E415">
        <v>264</v>
      </c>
      <c r="F415">
        <v>2</v>
      </c>
      <c r="G415">
        <v>2</v>
      </c>
      <c r="H415">
        <v>22</v>
      </c>
      <c r="I415">
        <v>60</v>
      </c>
      <c r="J415">
        <v>241</v>
      </c>
      <c r="K415">
        <v>3</v>
      </c>
      <c r="L415">
        <v>16</v>
      </c>
      <c r="M415">
        <v>9</v>
      </c>
      <c r="N415">
        <v>99</v>
      </c>
      <c r="O415">
        <v>9</v>
      </c>
      <c r="P415">
        <v>3</v>
      </c>
      <c r="Q415">
        <v>99999</v>
      </c>
      <c r="R415" s="276">
        <v>0</v>
      </c>
      <c r="S415" s="7">
        <v>45372.583067129628</v>
      </c>
      <c r="AX415" s="7"/>
      <c r="AY415" s="7"/>
    </row>
    <row r="416" spans="1:51">
      <c r="A416">
        <v>414</v>
      </c>
      <c r="B416" t="s">
        <v>234</v>
      </c>
      <c r="C416">
        <v>2023</v>
      </c>
      <c r="D416">
        <v>5345</v>
      </c>
      <c r="E416">
        <v>264</v>
      </c>
      <c r="F416">
        <v>2</v>
      </c>
      <c r="G416">
        <v>2</v>
      </c>
      <c r="H416">
        <v>22</v>
      </c>
      <c r="I416">
        <v>60</v>
      </c>
      <c r="J416">
        <v>241</v>
      </c>
      <c r="K416">
        <v>3</v>
      </c>
      <c r="L416">
        <v>17</v>
      </c>
      <c r="M416">
        <v>9</v>
      </c>
      <c r="N416">
        <v>99</v>
      </c>
      <c r="O416">
        <v>9</v>
      </c>
      <c r="P416">
        <v>3</v>
      </c>
      <c r="Q416">
        <v>99999</v>
      </c>
      <c r="R416" s="276">
        <v>0</v>
      </c>
      <c r="S416" s="7">
        <v>45372.583067129628</v>
      </c>
      <c r="AX416" s="7"/>
      <c r="AY416" s="7"/>
    </row>
    <row r="417" spans="1:51">
      <c r="A417">
        <v>415</v>
      </c>
      <c r="B417" t="s">
        <v>234</v>
      </c>
      <c r="C417">
        <v>2023</v>
      </c>
      <c r="D417">
        <v>5345</v>
      </c>
      <c r="E417">
        <v>264</v>
      </c>
      <c r="F417">
        <v>2</v>
      </c>
      <c r="G417">
        <v>2</v>
      </c>
      <c r="H417">
        <v>22</v>
      </c>
      <c r="I417">
        <v>60</v>
      </c>
      <c r="J417">
        <v>241</v>
      </c>
      <c r="K417">
        <v>1</v>
      </c>
      <c r="L417">
        <v>1</v>
      </c>
      <c r="M417">
        <v>9</v>
      </c>
      <c r="N417">
        <v>99</v>
      </c>
      <c r="O417">
        <v>9</v>
      </c>
      <c r="P417">
        <v>3</v>
      </c>
      <c r="Q417">
        <v>99999</v>
      </c>
      <c r="R417" s="276">
        <v>0</v>
      </c>
      <c r="S417" s="7">
        <v>45372.583067129628</v>
      </c>
      <c r="AX417" s="7"/>
      <c r="AY417" s="7"/>
    </row>
    <row r="418" spans="1:51">
      <c r="A418">
        <v>416</v>
      </c>
      <c r="B418" t="s">
        <v>234</v>
      </c>
      <c r="C418">
        <v>2023</v>
      </c>
      <c r="D418">
        <v>5345</v>
      </c>
      <c r="E418">
        <v>264</v>
      </c>
      <c r="F418">
        <v>2</v>
      </c>
      <c r="G418">
        <v>2</v>
      </c>
      <c r="H418">
        <v>22</v>
      </c>
      <c r="I418">
        <v>60</v>
      </c>
      <c r="J418">
        <v>241</v>
      </c>
      <c r="K418">
        <v>2</v>
      </c>
      <c r="L418">
        <v>11</v>
      </c>
      <c r="M418">
        <v>9</v>
      </c>
      <c r="N418">
        <v>99</v>
      </c>
      <c r="O418">
        <v>9</v>
      </c>
      <c r="P418">
        <v>3</v>
      </c>
      <c r="Q418">
        <v>99999</v>
      </c>
      <c r="R418" s="276">
        <v>0</v>
      </c>
      <c r="S418" s="7">
        <v>45372.583067129628</v>
      </c>
      <c r="AX418" s="7"/>
      <c r="AY418" s="7"/>
    </row>
    <row r="419" spans="1:51">
      <c r="A419">
        <v>417</v>
      </c>
      <c r="B419" t="s">
        <v>234</v>
      </c>
      <c r="C419">
        <v>2023</v>
      </c>
      <c r="D419">
        <v>5345</v>
      </c>
      <c r="E419">
        <v>264</v>
      </c>
      <c r="F419">
        <v>2</v>
      </c>
      <c r="G419">
        <v>2</v>
      </c>
      <c r="H419">
        <v>22</v>
      </c>
      <c r="I419">
        <v>60</v>
      </c>
      <c r="J419">
        <v>241</v>
      </c>
      <c r="K419">
        <v>2</v>
      </c>
      <c r="L419">
        <v>9</v>
      </c>
      <c r="M419">
        <v>9</v>
      </c>
      <c r="N419">
        <v>99</v>
      </c>
      <c r="O419">
        <v>9</v>
      </c>
      <c r="P419">
        <v>3</v>
      </c>
      <c r="Q419">
        <v>99999</v>
      </c>
      <c r="R419" s="276">
        <v>0</v>
      </c>
      <c r="S419" s="7">
        <v>45372.583067129628</v>
      </c>
      <c r="AX419" s="7"/>
      <c r="AY419" s="7"/>
    </row>
    <row r="420" spans="1:51">
      <c r="A420">
        <v>418</v>
      </c>
      <c r="B420" t="s">
        <v>234</v>
      </c>
      <c r="C420">
        <v>2023</v>
      </c>
      <c r="D420">
        <v>5345</v>
      </c>
      <c r="E420">
        <v>264</v>
      </c>
      <c r="F420">
        <v>2</v>
      </c>
      <c r="G420">
        <v>2</v>
      </c>
      <c r="H420">
        <v>22</v>
      </c>
      <c r="I420">
        <v>60</v>
      </c>
      <c r="J420">
        <v>241</v>
      </c>
      <c r="K420">
        <v>2</v>
      </c>
      <c r="L420">
        <v>8</v>
      </c>
      <c r="M420">
        <v>9</v>
      </c>
      <c r="N420">
        <v>99</v>
      </c>
      <c r="O420">
        <v>9</v>
      </c>
      <c r="P420">
        <v>3</v>
      </c>
      <c r="Q420">
        <v>99999</v>
      </c>
      <c r="R420" s="276">
        <v>0</v>
      </c>
      <c r="S420" s="7">
        <v>45372.583067129628</v>
      </c>
      <c r="AX420" s="7"/>
      <c r="AY420" s="7"/>
    </row>
    <row r="421" spans="1:51">
      <c r="A421">
        <v>419</v>
      </c>
      <c r="B421" t="s">
        <v>234</v>
      </c>
      <c r="C421">
        <v>2023</v>
      </c>
      <c r="D421">
        <v>5345</v>
      </c>
      <c r="E421">
        <v>264</v>
      </c>
      <c r="F421">
        <v>2</v>
      </c>
      <c r="G421">
        <v>2</v>
      </c>
      <c r="H421">
        <v>22</v>
      </c>
      <c r="I421">
        <v>60</v>
      </c>
      <c r="J421">
        <v>241</v>
      </c>
      <c r="K421">
        <v>2</v>
      </c>
      <c r="L421">
        <v>10</v>
      </c>
      <c r="M421">
        <v>9</v>
      </c>
      <c r="N421">
        <v>99</v>
      </c>
      <c r="O421">
        <v>9</v>
      </c>
      <c r="P421">
        <v>3</v>
      </c>
      <c r="Q421">
        <v>99999</v>
      </c>
      <c r="R421" s="276">
        <v>0</v>
      </c>
      <c r="S421" s="7">
        <v>45372.583067129628</v>
      </c>
      <c r="AX421" s="7"/>
      <c r="AY421" s="7"/>
    </row>
    <row r="422" spans="1:51">
      <c r="A422">
        <v>420</v>
      </c>
      <c r="B422" t="s">
        <v>234</v>
      </c>
      <c r="C422">
        <v>2023</v>
      </c>
      <c r="D422">
        <v>5345</v>
      </c>
      <c r="E422">
        <v>264</v>
      </c>
      <c r="F422">
        <v>2</v>
      </c>
      <c r="G422">
        <v>2</v>
      </c>
      <c r="H422">
        <v>22</v>
      </c>
      <c r="I422">
        <v>60</v>
      </c>
      <c r="J422">
        <v>241</v>
      </c>
      <c r="K422">
        <v>2</v>
      </c>
      <c r="L422">
        <v>24</v>
      </c>
      <c r="M422">
        <v>9</v>
      </c>
      <c r="N422">
        <v>99</v>
      </c>
      <c r="O422">
        <v>9</v>
      </c>
      <c r="P422">
        <v>3</v>
      </c>
      <c r="Q422">
        <v>99999</v>
      </c>
      <c r="R422" s="276">
        <v>0</v>
      </c>
      <c r="S422" s="7">
        <v>45372.583067129628</v>
      </c>
      <c r="AX422" s="7"/>
      <c r="AY422" s="7"/>
    </row>
    <row r="423" spans="1:51">
      <c r="A423">
        <v>421</v>
      </c>
      <c r="B423" t="s">
        <v>234</v>
      </c>
      <c r="C423">
        <v>2023</v>
      </c>
      <c r="D423">
        <v>5345</v>
      </c>
      <c r="E423">
        <v>264</v>
      </c>
      <c r="F423">
        <v>2</v>
      </c>
      <c r="G423">
        <v>2</v>
      </c>
      <c r="H423">
        <v>22</v>
      </c>
      <c r="I423">
        <v>60</v>
      </c>
      <c r="J423">
        <v>241</v>
      </c>
      <c r="K423">
        <v>3</v>
      </c>
      <c r="L423">
        <v>15</v>
      </c>
      <c r="M423">
        <v>9</v>
      </c>
      <c r="N423">
        <v>99</v>
      </c>
      <c r="O423">
        <v>9</v>
      </c>
      <c r="P423">
        <v>3</v>
      </c>
      <c r="Q423">
        <v>99999</v>
      </c>
      <c r="R423" s="276">
        <v>0</v>
      </c>
      <c r="S423" s="7">
        <v>45372.583067129628</v>
      </c>
      <c r="AX423" s="7"/>
      <c r="AY423" s="7"/>
    </row>
    <row r="424" spans="1:51">
      <c r="A424">
        <v>422</v>
      </c>
      <c r="B424" t="s">
        <v>234</v>
      </c>
      <c r="C424">
        <v>2023</v>
      </c>
      <c r="D424">
        <v>5345</v>
      </c>
      <c r="E424">
        <v>264</v>
      </c>
      <c r="F424">
        <v>2</v>
      </c>
      <c r="G424">
        <v>2</v>
      </c>
      <c r="H424">
        <v>22</v>
      </c>
      <c r="I424">
        <v>60</v>
      </c>
      <c r="J424">
        <v>241</v>
      </c>
      <c r="K424">
        <v>3</v>
      </c>
      <c r="L424">
        <v>25</v>
      </c>
      <c r="M424">
        <v>9</v>
      </c>
      <c r="N424">
        <v>99</v>
      </c>
      <c r="O424">
        <v>9</v>
      </c>
      <c r="P424">
        <v>3</v>
      </c>
      <c r="Q424">
        <v>99999</v>
      </c>
      <c r="R424" s="276">
        <v>0</v>
      </c>
      <c r="S424" s="7">
        <v>45372.583067129628</v>
      </c>
      <c r="AX424" s="7"/>
      <c r="AY424" s="7"/>
    </row>
    <row r="425" spans="1:51">
      <c r="A425">
        <v>423</v>
      </c>
      <c r="B425" t="s">
        <v>234</v>
      </c>
      <c r="C425">
        <v>2023</v>
      </c>
      <c r="D425">
        <v>5345</v>
      </c>
      <c r="E425">
        <v>264</v>
      </c>
      <c r="F425">
        <v>2</v>
      </c>
      <c r="G425">
        <v>2</v>
      </c>
      <c r="H425">
        <v>22</v>
      </c>
      <c r="I425">
        <v>60</v>
      </c>
      <c r="J425">
        <v>241</v>
      </c>
      <c r="K425">
        <v>1</v>
      </c>
      <c r="L425">
        <v>1</v>
      </c>
      <c r="M425">
        <v>9</v>
      </c>
      <c r="N425">
        <v>99</v>
      </c>
      <c r="O425">
        <v>9</v>
      </c>
      <c r="P425">
        <v>3</v>
      </c>
      <c r="Q425">
        <v>99999</v>
      </c>
      <c r="R425" s="276">
        <v>0</v>
      </c>
      <c r="S425" s="7">
        <v>45372.583067129628</v>
      </c>
      <c r="AX425" s="7"/>
      <c r="AY425" s="7"/>
    </row>
    <row r="426" spans="1:51">
      <c r="A426">
        <v>424</v>
      </c>
      <c r="B426" t="s">
        <v>234</v>
      </c>
      <c r="C426">
        <v>2023</v>
      </c>
      <c r="D426">
        <v>5345</v>
      </c>
      <c r="E426">
        <v>264</v>
      </c>
      <c r="F426">
        <v>2</v>
      </c>
      <c r="G426">
        <v>2</v>
      </c>
      <c r="H426">
        <v>22</v>
      </c>
      <c r="I426">
        <v>60</v>
      </c>
      <c r="J426">
        <v>241</v>
      </c>
      <c r="K426">
        <v>1</v>
      </c>
      <c r="L426">
        <v>1</v>
      </c>
      <c r="M426">
        <v>9</v>
      </c>
      <c r="N426">
        <v>99</v>
      </c>
      <c r="O426">
        <v>9</v>
      </c>
      <c r="P426">
        <v>3</v>
      </c>
      <c r="Q426">
        <v>99999</v>
      </c>
      <c r="R426" s="276">
        <v>0</v>
      </c>
      <c r="S426" s="7">
        <v>45372.583067129628</v>
      </c>
      <c r="AX426" s="7"/>
      <c r="AY426" s="7"/>
    </row>
    <row r="427" spans="1:51">
      <c r="A427">
        <v>425</v>
      </c>
      <c r="B427" t="s">
        <v>234</v>
      </c>
      <c r="C427">
        <v>2023</v>
      </c>
      <c r="D427">
        <v>5345</v>
      </c>
      <c r="E427">
        <v>264</v>
      </c>
      <c r="F427">
        <v>2</v>
      </c>
      <c r="G427">
        <v>2</v>
      </c>
      <c r="H427">
        <v>22</v>
      </c>
      <c r="I427">
        <v>60</v>
      </c>
      <c r="J427">
        <v>241</v>
      </c>
      <c r="K427">
        <v>1</v>
      </c>
      <c r="L427">
        <v>1</v>
      </c>
      <c r="M427">
        <v>9</v>
      </c>
      <c r="N427">
        <v>99</v>
      </c>
      <c r="O427">
        <v>9</v>
      </c>
      <c r="P427">
        <v>3</v>
      </c>
      <c r="Q427">
        <v>99999</v>
      </c>
      <c r="R427" s="276">
        <v>0</v>
      </c>
      <c r="S427" s="7">
        <v>45372.583067129628</v>
      </c>
      <c r="AX427" s="7"/>
      <c r="AY427" s="7"/>
    </row>
    <row r="428" spans="1:51">
      <c r="A428">
        <v>426</v>
      </c>
      <c r="B428" t="s">
        <v>234</v>
      </c>
      <c r="C428">
        <v>2023</v>
      </c>
      <c r="D428">
        <v>5345</v>
      </c>
      <c r="E428">
        <v>264</v>
      </c>
      <c r="F428">
        <v>2</v>
      </c>
      <c r="G428">
        <v>2</v>
      </c>
      <c r="H428">
        <v>22</v>
      </c>
      <c r="I428">
        <v>60</v>
      </c>
      <c r="J428">
        <v>241</v>
      </c>
      <c r="K428">
        <v>1</v>
      </c>
      <c r="L428">
        <v>1</v>
      </c>
      <c r="M428">
        <v>9</v>
      </c>
      <c r="N428">
        <v>99</v>
      </c>
      <c r="O428">
        <v>9</v>
      </c>
      <c r="P428">
        <v>3</v>
      </c>
      <c r="Q428">
        <v>99999</v>
      </c>
      <c r="R428" s="276">
        <v>0</v>
      </c>
      <c r="S428" s="7">
        <v>45372.583067129628</v>
      </c>
      <c r="AX428" s="7"/>
      <c r="AY428" s="7"/>
    </row>
    <row r="429" spans="1:51">
      <c r="A429">
        <v>427</v>
      </c>
      <c r="B429" t="s">
        <v>234</v>
      </c>
      <c r="C429">
        <v>2023</v>
      </c>
      <c r="D429">
        <v>5345</v>
      </c>
      <c r="E429">
        <v>264</v>
      </c>
      <c r="F429">
        <v>2</v>
      </c>
      <c r="G429">
        <v>2</v>
      </c>
      <c r="H429">
        <v>22</v>
      </c>
      <c r="I429">
        <v>60</v>
      </c>
      <c r="J429">
        <v>106</v>
      </c>
      <c r="K429">
        <v>2</v>
      </c>
      <c r="L429">
        <v>11</v>
      </c>
      <c r="M429">
        <v>9</v>
      </c>
      <c r="N429">
        <v>99</v>
      </c>
      <c r="O429">
        <v>9</v>
      </c>
      <c r="P429">
        <v>3</v>
      </c>
      <c r="Q429">
        <v>99999</v>
      </c>
      <c r="R429" s="276">
        <v>0</v>
      </c>
      <c r="S429" s="7">
        <v>45372.583067129628</v>
      </c>
      <c r="AX429" s="7"/>
      <c r="AY429" s="7"/>
    </row>
    <row r="430" spans="1:51">
      <c r="A430">
        <v>428</v>
      </c>
      <c r="B430" t="s">
        <v>234</v>
      </c>
      <c r="C430">
        <v>2023</v>
      </c>
      <c r="D430">
        <v>5345</v>
      </c>
      <c r="E430">
        <v>264</v>
      </c>
      <c r="F430">
        <v>2</v>
      </c>
      <c r="G430">
        <v>2</v>
      </c>
      <c r="H430">
        <v>22</v>
      </c>
      <c r="I430">
        <v>60</v>
      </c>
      <c r="J430">
        <v>106</v>
      </c>
      <c r="K430">
        <v>2</v>
      </c>
      <c r="L430">
        <v>9</v>
      </c>
      <c r="M430">
        <v>9</v>
      </c>
      <c r="N430">
        <v>99</v>
      </c>
      <c r="O430">
        <v>9</v>
      </c>
      <c r="P430">
        <v>3</v>
      </c>
      <c r="Q430">
        <v>99999</v>
      </c>
      <c r="R430" s="276">
        <v>0</v>
      </c>
      <c r="S430" s="7">
        <v>45372.583067129628</v>
      </c>
      <c r="AX430" s="7"/>
      <c r="AY430" s="7"/>
    </row>
    <row r="431" spans="1:51">
      <c r="A431">
        <v>429</v>
      </c>
      <c r="B431" t="s">
        <v>234</v>
      </c>
      <c r="C431">
        <v>2023</v>
      </c>
      <c r="D431">
        <v>5345</v>
      </c>
      <c r="E431">
        <v>264</v>
      </c>
      <c r="F431">
        <v>2</v>
      </c>
      <c r="G431">
        <v>2</v>
      </c>
      <c r="H431">
        <v>22</v>
      </c>
      <c r="I431">
        <v>60</v>
      </c>
      <c r="J431">
        <v>106</v>
      </c>
      <c r="K431">
        <v>2</v>
      </c>
      <c r="L431">
        <v>8</v>
      </c>
      <c r="M431">
        <v>9</v>
      </c>
      <c r="N431">
        <v>99</v>
      </c>
      <c r="O431">
        <v>9</v>
      </c>
      <c r="P431">
        <v>3</v>
      </c>
      <c r="Q431">
        <v>99999</v>
      </c>
      <c r="R431" s="276">
        <v>0</v>
      </c>
      <c r="S431" s="7">
        <v>45372.583067129628</v>
      </c>
      <c r="AX431" s="7"/>
      <c r="AY431" s="7"/>
    </row>
    <row r="432" spans="1:51">
      <c r="A432">
        <v>430</v>
      </c>
      <c r="B432" t="s">
        <v>234</v>
      </c>
      <c r="C432">
        <v>2023</v>
      </c>
      <c r="D432">
        <v>5345</v>
      </c>
      <c r="E432">
        <v>264</v>
      </c>
      <c r="F432">
        <v>2</v>
      </c>
      <c r="G432">
        <v>2</v>
      </c>
      <c r="H432">
        <v>22</v>
      </c>
      <c r="I432">
        <v>60</v>
      </c>
      <c r="J432">
        <v>106</v>
      </c>
      <c r="K432">
        <v>2</v>
      </c>
      <c r="L432">
        <v>10</v>
      </c>
      <c r="M432">
        <v>9</v>
      </c>
      <c r="N432">
        <v>99</v>
      </c>
      <c r="O432">
        <v>9</v>
      </c>
      <c r="P432">
        <v>3</v>
      </c>
      <c r="Q432">
        <v>99999</v>
      </c>
      <c r="R432" s="276">
        <v>0</v>
      </c>
      <c r="S432" s="7">
        <v>45372.583067129628</v>
      </c>
      <c r="AX432" s="7"/>
      <c r="AY432" s="7"/>
    </row>
    <row r="433" spans="1:51">
      <c r="A433">
        <v>431</v>
      </c>
      <c r="B433" t="s">
        <v>234</v>
      </c>
      <c r="C433">
        <v>2023</v>
      </c>
      <c r="D433">
        <v>5345</v>
      </c>
      <c r="E433">
        <v>264</v>
      </c>
      <c r="F433">
        <v>2</v>
      </c>
      <c r="G433">
        <v>2</v>
      </c>
      <c r="H433">
        <v>22</v>
      </c>
      <c r="I433">
        <v>60</v>
      </c>
      <c r="J433">
        <v>106</v>
      </c>
      <c r="K433">
        <v>2</v>
      </c>
      <c r="L433">
        <v>24</v>
      </c>
      <c r="M433">
        <v>9</v>
      </c>
      <c r="N433">
        <v>99</v>
      </c>
      <c r="O433">
        <v>9</v>
      </c>
      <c r="P433">
        <v>3</v>
      </c>
      <c r="Q433">
        <v>99999</v>
      </c>
      <c r="R433" s="276">
        <v>0</v>
      </c>
      <c r="S433" s="7">
        <v>45372.583067129628</v>
      </c>
      <c r="AX433" s="7"/>
      <c r="AY433" s="7"/>
    </row>
    <row r="434" spans="1:51">
      <c r="A434">
        <v>432</v>
      </c>
      <c r="B434" t="s">
        <v>234</v>
      </c>
      <c r="C434">
        <v>2023</v>
      </c>
      <c r="D434">
        <v>5345</v>
      </c>
      <c r="E434">
        <v>264</v>
      </c>
      <c r="F434">
        <v>3</v>
      </c>
      <c r="G434">
        <v>99</v>
      </c>
      <c r="H434">
        <v>24</v>
      </c>
      <c r="I434">
        <v>63</v>
      </c>
      <c r="J434">
        <v>110</v>
      </c>
      <c r="K434">
        <v>99</v>
      </c>
      <c r="L434">
        <v>999</v>
      </c>
      <c r="M434">
        <v>9</v>
      </c>
      <c r="N434">
        <v>99</v>
      </c>
      <c r="O434">
        <v>9</v>
      </c>
      <c r="P434">
        <v>3</v>
      </c>
      <c r="Q434">
        <v>99999</v>
      </c>
      <c r="R434" s="276">
        <v>0</v>
      </c>
      <c r="S434" s="7">
        <v>45372.583067129628</v>
      </c>
      <c r="AX434" s="7"/>
      <c r="AY434" s="7"/>
    </row>
    <row r="435" spans="1:51">
      <c r="A435">
        <v>433</v>
      </c>
      <c r="B435" t="s">
        <v>234</v>
      </c>
      <c r="C435">
        <v>2023</v>
      </c>
      <c r="D435">
        <v>5345</v>
      </c>
      <c r="E435">
        <v>264</v>
      </c>
      <c r="F435">
        <v>3</v>
      </c>
      <c r="G435">
        <v>99</v>
      </c>
      <c r="H435">
        <v>24</v>
      </c>
      <c r="I435">
        <v>61</v>
      </c>
      <c r="J435">
        <v>110</v>
      </c>
      <c r="K435">
        <v>99</v>
      </c>
      <c r="L435">
        <v>999</v>
      </c>
      <c r="M435">
        <v>9</v>
      </c>
      <c r="N435">
        <v>99</v>
      </c>
      <c r="O435">
        <v>9</v>
      </c>
      <c r="P435">
        <v>3</v>
      </c>
      <c r="Q435">
        <v>99999</v>
      </c>
      <c r="R435" s="276">
        <v>0</v>
      </c>
      <c r="S435" s="7">
        <v>45372.583067129628</v>
      </c>
      <c r="AX435" s="7"/>
      <c r="AY435" s="7"/>
    </row>
    <row r="436" spans="1:51">
      <c r="A436">
        <v>434</v>
      </c>
      <c r="B436" t="s">
        <v>234</v>
      </c>
      <c r="C436">
        <v>2023</v>
      </c>
      <c r="D436">
        <v>5345</v>
      </c>
      <c r="E436">
        <v>264</v>
      </c>
      <c r="F436">
        <v>3</v>
      </c>
      <c r="G436">
        <v>99</v>
      </c>
      <c r="H436">
        <v>24</v>
      </c>
      <c r="I436">
        <v>79</v>
      </c>
      <c r="J436">
        <v>110</v>
      </c>
      <c r="K436">
        <v>99</v>
      </c>
      <c r="L436">
        <v>999</v>
      </c>
      <c r="M436">
        <v>9</v>
      </c>
      <c r="N436">
        <v>99</v>
      </c>
      <c r="O436">
        <v>9</v>
      </c>
      <c r="P436">
        <v>3</v>
      </c>
      <c r="Q436">
        <v>99999</v>
      </c>
      <c r="R436" s="276">
        <v>0</v>
      </c>
      <c r="S436" s="7">
        <v>45372.583067129628</v>
      </c>
      <c r="AX436" s="7"/>
      <c r="AY436" s="7"/>
    </row>
    <row r="437" spans="1:51">
      <c r="A437">
        <v>435</v>
      </c>
      <c r="B437" t="s">
        <v>234</v>
      </c>
      <c r="C437">
        <v>2023</v>
      </c>
      <c r="D437">
        <v>5345</v>
      </c>
      <c r="E437">
        <v>264</v>
      </c>
      <c r="F437">
        <v>3</v>
      </c>
      <c r="G437">
        <v>99</v>
      </c>
      <c r="H437">
        <v>24</v>
      </c>
      <c r="I437">
        <v>63</v>
      </c>
      <c r="J437">
        <v>111</v>
      </c>
      <c r="K437">
        <v>99</v>
      </c>
      <c r="L437">
        <v>999</v>
      </c>
      <c r="M437">
        <v>9</v>
      </c>
      <c r="N437">
        <v>99</v>
      </c>
      <c r="O437">
        <v>9</v>
      </c>
      <c r="P437">
        <v>3</v>
      </c>
      <c r="Q437">
        <v>99999</v>
      </c>
      <c r="R437" s="276">
        <v>0</v>
      </c>
      <c r="S437" s="7">
        <v>45372.583067129628</v>
      </c>
      <c r="AX437" s="7"/>
      <c r="AY437" s="7"/>
    </row>
    <row r="438" spans="1:51">
      <c r="A438">
        <v>436</v>
      </c>
      <c r="B438" t="s">
        <v>234</v>
      </c>
      <c r="C438">
        <v>2023</v>
      </c>
      <c r="D438">
        <v>5345</v>
      </c>
      <c r="E438">
        <v>264</v>
      </c>
      <c r="F438">
        <v>3</v>
      </c>
      <c r="G438">
        <v>99</v>
      </c>
      <c r="H438">
        <v>24</v>
      </c>
      <c r="I438">
        <v>61</v>
      </c>
      <c r="J438">
        <v>111</v>
      </c>
      <c r="K438">
        <v>99</v>
      </c>
      <c r="L438">
        <v>999</v>
      </c>
      <c r="M438">
        <v>9</v>
      </c>
      <c r="N438">
        <v>99</v>
      </c>
      <c r="O438">
        <v>9</v>
      </c>
      <c r="P438">
        <v>3</v>
      </c>
      <c r="Q438">
        <v>99999</v>
      </c>
      <c r="R438" s="276">
        <v>0</v>
      </c>
      <c r="S438" s="7">
        <v>45372.583067129628</v>
      </c>
      <c r="AX438" s="7"/>
      <c r="AY438" s="7"/>
    </row>
    <row r="439" spans="1:51">
      <c r="A439">
        <v>437</v>
      </c>
      <c r="B439" t="s">
        <v>234</v>
      </c>
      <c r="C439">
        <v>2023</v>
      </c>
      <c r="D439">
        <v>5345</v>
      </c>
      <c r="E439">
        <v>264</v>
      </c>
      <c r="F439">
        <v>3</v>
      </c>
      <c r="G439">
        <v>99</v>
      </c>
      <c r="H439">
        <v>24</v>
      </c>
      <c r="I439">
        <v>79</v>
      </c>
      <c r="J439">
        <v>111</v>
      </c>
      <c r="K439">
        <v>99</v>
      </c>
      <c r="L439">
        <v>999</v>
      </c>
      <c r="M439">
        <v>9</v>
      </c>
      <c r="N439">
        <v>99</v>
      </c>
      <c r="O439">
        <v>9</v>
      </c>
      <c r="P439">
        <v>3</v>
      </c>
      <c r="Q439">
        <v>99999</v>
      </c>
      <c r="R439" s="276">
        <v>0</v>
      </c>
      <c r="S439" s="7">
        <v>45372.583067129628</v>
      </c>
      <c r="AX439" s="7"/>
      <c r="AY439" s="7"/>
    </row>
    <row r="440" spans="1:51">
      <c r="A440">
        <v>438</v>
      </c>
      <c r="B440" t="s">
        <v>234</v>
      </c>
      <c r="C440">
        <v>2023</v>
      </c>
      <c r="D440">
        <v>5345</v>
      </c>
      <c r="E440">
        <v>264</v>
      </c>
      <c r="F440">
        <v>3</v>
      </c>
      <c r="G440">
        <v>99</v>
      </c>
      <c r="H440">
        <v>24</v>
      </c>
      <c r="I440">
        <v>63</v>
      </c>
      <c r="J440">
        <v>112</v>
      </c>
      <c r="K440">
        <v>99</v>
      </c>
      <c r="L440">
        <v>999</v>
      </c>
      <c r="M440">
        <v>9</v>
      </c>
      <c r="N440">
        <v>99</v>
      </c>
      <c r="O440">
        <v>9</v>
      </c>
      <c r="P440">
        <v>3</v>
      </c>
      <c r="Q440">
        <v>99999</v>
      </c>
      <c r="R440" s="276">
        <v>0</v>
      </c>
      <c r="S440" s="7">
        <v>45372.583067129628</v>
      </c>
      <c r="AX440" s="7"/>
      <c r="AY440" s="7"/>
    </row>
    <row r="441" spans="1:51">
      <c r="A441">
        <v>439</v>
      </c>
      <c r="B441" t="s">
        <v>234</v>
      </c>
      <c r="C441">
        <v>2023</v>
      </c>
      <c r="D441">
        <v>5345</v>
      </c>
      <c r="E441">
        <v>264</v>
      </c>
      <c r="F441">
        <v>3</v>
      </c>
      <c r="G441">
        <v>99</v>
      </c>
      <c r="H441">
        <v>24</v>
      </c>
      <c r="I441">
        <v>61</v>
      </c>
      <c r="J441">
        <v>112</v>
      </c>
      <c r="K441">
        <v>99</v>
      </c>
      <c r="L441">
        <v>999</v>
      </c>
      <c r="M441">
        <v>9</v>
      </c>
      <c r="N441">
        <v>99</v>
      </c>
      <c r="O441">
        <v>9</v>
      </c>
      <c r="P441">
        <v>3</v>
      </c>
      <c r="Q441">
        <v>99999</v>
      </c>
      <c r="R441" s="276">
        <v>0</v>
      </c>
      <c r="S441" s="7">
        <v>45372.583067129628</v>
      </c>
      <c r="AX441" s="7"/>
      <c r="AY441" s="7"/>
    </row>
    <row r="442" spans="1:51">
      <c r="A442">
        <v>440</v>
      </c>
      <c r="B442" t="s">
        <v>234</v>
      </c>
      <c r="C442">
        <v>2023</v>
      </c>
      <c r="D442">
        <v>5345</v>
      </c>
      <c r="E442">
        <v>264</v>
      </c>
      <c r="F442">
        <v>3</v>
      </c>
      <c r="G442">
        <v>99</v>
      </c>
      <c r="H442">
        <v>24</v>
      </c>
      <c r="I442">
        <v>79</v>
      </c>
      <c r="J442">
        <v>112</v>
      </c>
      <c r="K442">
        <v>99</v>
      </c>
      <c r="L442">
        <v>999</v>
      </c>
      <c r="M442">
        <v>9</v>
      </c>
      <c r="N442">
        <v>99</v>
      </c>
      <c r="O442">
        <v>9</v>
      </c>
      <c r="P442">
        <v>3</v>
      </c>
      <c r="Q442">
        <v>99999</v>
      </c>
      <c r="R442" s="276">
        <v>0</v>
      </c>
      <c r="S442" s="7">
        <v>45372.583067129628</v>
      </c>
      <c r="AX442" s="7"/>
      <c r="AY442" s="7"/>
    </row>
    <row r="443" spans="1:51">
      <c r="A443">
        <v>441</v>
      </c>
      <c r="B443" t="s">
        <v>234</v>
      </c>
      <c r="C443">
        <v>2023</v>
      </c>
      <c r="D443">
        <v>5345</v>
      </c>
      <c r="E443">
        <v>264</v>
      </c>
      <c r="F443">
        <v>2</v>
      </c>
      <c r="G443">
        <v>2</v>
      </c>
      <c r="H443">
        <v>22</v>
      </c>
      <c r="I443">
        <v>60</v>
      </c>
      <c r="J443">
        <v>120</v>
      </c>
      <c r="K443">
        <v>4</v>
      </c>
      <c r="L443">
        <v>999</v>
      </c>
      <c r="M443">
        <v>9</v>
      </c>
      <c r="N443">
        <v>99</v>
      </c>
      <c r="O443">
        <v>9</v>
      </c>
      <c r="P443">
        <v>3</v>
      </c>
      <c r="Q443">
        <v>99999</v>
      </c>
      <c r="R443" s="276">
        <v>0</v>
      </c>
      <c r="S443" s="7">
        <v>45372.583067129628</v>
      </c>
      <c r="AX443" s="7"/>
      <c r="AY443" s="7"/>
    </row>
    <row r="444" spans="1:51">
      <c r="A444">
        <v>442</v>
      </c>
      <c r="B444" t="s">
        <v>234</v>
      </c>
      <c r="C444">
        <v>2023</v>
      </c>
      <c r="D444">
        <v>5345</v>
      </c>
      <c r="E444">
        <v>264</v>
      </c>
      <c r="F444">
        <v>2</v>
      </c>
      <c r="G444">
        <v>2</v>
      </c>
      <c r="H444">
        <v>22</v>
      </c>
      <c r="I444">
        <v>60</v>
      </c>
      <c r="J444">
        <v>167</v>
      </c>
      <c r="K444">
        <v>4</v>
      </c>
      <c r="L444">
        <v>999</v>
      </c>
      <c r="M444">
        <v>9</v>
      </c>
      <c r="N444">
        <v>99</v>
      </c>
      <c r="O444">
        <v>9</v>
      </c>
      <c r="P444">
        <v>3</v>
      </c>
      <c r="Q444">
        <v>99999</v>
      </c>
      <c r="R444" s="276">
        <v>0</v>
      </c>
      <c r="S444" s="7">
        <v>45372.583067129628</v>
      </c>
      <c r="AX444" s="7"/>
      <c r="AY444" s="7"/>
    </row>
    <row r="445" spans="1:51">
      <c r="A445">
        <v>443</v>
      </c>
      <c r="B445" t="s">
        <v>234</v>
      </c>
      <c r="C445">
        <v>2023</v>
      </c>
      <c r="D445">
        <v>5345</v>
      </c>
      <c r="E445">
        <v>264</v>
      </c>
      <c r="F445">
        <v>2</v>
      </c>
      <c r="G445">
        <v>2</v>
      </c>
      <c r="H445">
        <v>22</v>
      </c>
      <c r="I445">
        <v>60</v>
      </c>
      <c r="J445">
        <v>178</v>
      </c>
      <c r="K445">
        <v>1</v>
      </c>
      <c r="L445">
        <v>7</v>
      </c>
      <c r="M445">
        <v>9</v>
      </c>
      <c r="N445">
        <v>99</v>
      </c>
      <c r="O445">
        <v>9</v>
      </c>
      <c r="P445">
        <v>3</v>
      </c>
      <c r="Q445">
        <v>99999</v>
      </c>
      <c r="R445" s="276">
        <v>-54185.986114617903</v>
      </c>
      <c r="S445" s="7">
        <v>45372.583067129628</v>
      </c>
      <c r="AX445" s="7"/>
      <c r="AY445" s="7"/>
    </row>
    <row r="446" spans="1:51">
      <c r="A446">
        <v>444</v>
      </c>
      <c r="B446" t="s">
        <v>234</v>
      </c>
      <c r="C446">
        <v>2023</v>
      </c>
      <c r="D446">
        <v>5345</v>
      </c>
      <c r="E446">
        <v>264</v>
      </c>
      <c r="F446">
        <v>2</v>
      </c>
      <c r="G446">
        <v>2</v>
      </c>
      <c r="H446">
        <v>20</v>
      </c>
      <c r="I446">
        <v>60</v>
      </c>
      <c r="J446">
        <v>179</v>
      </c>
      <c r="K446">
        <v>99</v>
      </c>
      <c r="L446">
        <v>999</v>
      </c>
      <c r="M446">
        <v>3</v>
      </c>
      <c r="N446">
        <v>99</v>
      </c>
      <c r="O446">
        <v>9</v>
      </c>
      <c r="P446">
        <v>3</v>
      </c>
      <c r="Q446">
        <v>99999</v>
      </c>
      <c r="R446" s="276">
        <v>0</v>
      </c>
      <c r="S446" s="7">
        <v>45372.583067129628</v>
      </c>
      <c r="AX446" s="7"/>
      <c r="AY446" s="7"/>
    </row>
    <row r="447" spans="1:51">
      <c r="A447">
        <v>445</v>
      </c>
      <c r="B447" t="s">
        <v>234</v>
      </c>
      <c r="C447">
        <v>2023</v>
      </c>
      <c r="D447">
        <v>5345</v>
      </c>
      <c r="E447">
        <v>264</v>
      </c>
      <c r="F447">
        <v>2</v>
      </c>
      <c r="G447">
        <v>2</v>
      </c>
      <c r="H447">
        <v>22</v>
      </c>
      <c r="I447">
        <v>60</v>
      </c>
      <c r="J447">
        <v>179</v>
      </c>
      <c r="K447">
        <v>99</v>
      </c>
      <c r="L447">
        <v>999</v>
      </c>
      <c r="M447">
        <v>3</v>
      </c>
      <c r="N447">
        <v>99</v>
      </c>
      <c r="O447">
        <v>9</v>
      </c>
      <c r="P447">
        <v>3</v>
      </c>
      <c r="Q447">
        <v>99999</v>
      </c>
      <c r="R447" s="276">
        <v>0</v>
      </c>
      <c r="S447" s="7">
        <v>45372.583067129628</v>
      </c>
      <c r="AX447" s="7"/>
      <c r="AY447" s="7"/>
    </row>
    <row r="448" spans="1:51">
      <c r="A448">
        <v>446</v>
      </c>
      <c r="B448" t="s">
        <v>234</v>
      </c>
      <c r="C448">
        <v>2023</v>
      </c>
      <c r="D448">
        <v>5345</v>
      </c>
      <c r="E448">
        <v>264</v>
      </c>
      <c r="F448">
        <v>3</v>
      </c>
      <c r="G448">
        <v>99</v>
      </c>
      <c r="H448">
        <v>24</v>
      </c>
      <c r="I448">
        <v>63</v>
      </c>
      <c r="J448">
        <v>182</v>
      </c>
      <c r="K448">
        <v>99</v>
      </c>
      <c r="L448">
        <v>999</v>
      </c>
      <c r="M448">
        <v>9</v>
      </c>
      <c r="N448">
        <v>99</v>
      </c>
      <c r="O448">
        <v>9</v>
      </c>
      <c r="P448">
        <v>3</v>
      </c>
      <c r="Q448">
        <v>99999</v>
      </c>
      <c r="R448" s="276">
        <v>0</v>
      </c>
      <c r="S448" s="7">
        <v>45372.583067129628</v>
      </c>
      <c r="AX448" s="7"/>
      <c r="AY448" s="7"/>
    </row>
    <row r="449" spans="1:51">
      <c r="A449">
        <v>447</v>
      </c>
      <c r="B449" t="s">
        <v>234</v>
      </c>
      <c r="C449">
        <v>2023</v>
      </c>
      <c r="D449">
        <v>5345</v>
      </c>
      <c r="E449">
        <v>264</v>
      </c>
      <c r="F449">
        <v>3</v>
      </c>
      <c r="G449">
        <v>99</v>
      </c>
      <c r="H449">
        <v>24</v>
      </c>
      <c r="I449">
        <v>61</v>
      </c>
      <c r="J449">
        <v>182</v>
      </c>
      <c r="K449">
        <v>99</v>
      </c>
      <c r="L449">
        <v>999</v>
      </c>
      <c r="M449">
        <v>9</v>
      </c>
      <c r="N449">
        <v>99</v>
      </c>
      <c r="O449">
        <v>9</v>
      </c>
      <c r="P449">
        <v>3</v>
      </c>
      <c r="Q449">
        <v>99999</v>
      </c>
      <c r="R449" s="276">
        <v>0</v>
      </c>
      <c r="S449" s="7">
        <v>45372.583067129628</v>
      </c>
      <c r="AX449" s="7"/>
      <c r="AY449" s="7"/>
    </row>
    <row r="450" spans="1:51">
      <c r="A450">
        <v>448</v>
      </c>
      <c r="B450" t="s">
        <v>234</v>
      </c>
      <c r="C450">
        <v>2023</v>
      </c>
      <c r="D450">
        <v>5345</v>
      </c>
      <c r="E450">
        <v>264</v>
      </c>
      <c r="F450">
        <v>3</v>
      </c>
      <c r="G450">
        <v>99</v>
      </c>
      <c r="H450">
        <v>24</v>
      </c>
      <c r="I450">
        <v>79</v>
      </c>
      <c r="J450">
        <v>182</v>
      </c>
      <c r="K450">
        <v>99</v>
      </c>
      <c r="L450">
        <v>999</v>
      </c>
      <c r="M450">
        <v>9</v>
      </c>
      <c r="N450">
        <v>99</v>
      </c>
      <c r="O450">
        <v>9</v>
      </c>
      <c r="P450">
        <v>3</v>
      </c>
      <c r="Q450">
        <v>99999</v>
      </c>
      <c r="R450" s="276">
        <v>0</v>
      </c>
      <c r="S450" s="7">
        <v>45372.583067129628</v>
      </c>
      <c r="AX450" s="7"/>
      <c r="AY450" s="7"/>
    </row>
    <row r="451" spans="1:51">
      <c r="A451">
        <v>449</v>
      </c>
      <c r="B451" t="s">
        <v>234</v>
      </c>
      <c r="C451">
        <v>2023</v>
      </c>
      <c r="D451">
        <v>5345</v>
      </c>
      <c r="E451">
        <v>264</v>
      </c>
      <c r="F451">
        <v>3</v>
      </c>
      <c r="G451">
        <v>99</v>
      </c>
      <c r="H451">
        <v>24</v>
      </c>
      <c r="I451">
        <v>63</v>
      </c>
      <c r="J451">
        <v>183</v>
      </c>
      <c r="K451">
        <v>99</v>
      </c>
      <c r="L451">
        <v>999</v>
      </c>
      <c r="M451">
        <v>9</v>
      </c>
      <c r="N451">
        <v>99</v>
      </c>
      <c r="O451">
        <v>9</v>
      </c>
      <c r="P451">
        <v>3</v>
      </c>
      <c r="Q451">
        <v>99999</v>
      </c>
      <c r="R451" s="276">
        <v>0</v>
      </c>
      <c r="S451" s="7">
        <v>45372.583067129628</v>
      </c>
      <c r="AX451" s="7"/>
      <c r="AY451" s="7"/>
    </row>
    <row r="452" spans="1:51">
      <c r="A452">
        <v>450</v>
      </c>
      <c r="B452" t="s">
        <v>234</v>
      </c>
      <c r="C452">
        <v>2023</v>
      </c>
      <c r="D452">
        <v>5345</v>
      </c>
      <c r="E452">
        <v>264</v>
      </c>
      <c r="F452">
        <v>3</v>
      </c>
      <c r="G452">
        <v>99</v>
      </c>
      <c r="H452">
        <v>24</v>
      </c>
      <c r="I452">
        <v>61</v>
      </c>
      <c r="J452">
        <v>183</v>
      </c>
      <c r="K452">
        <v>99</v>
      </c>
      <c r="L452">
        <v>999</v>
      </c>
      <c r="M452">
        <v>9</v>
      </c>
      <c r="N452">
        <v>99</v>
      </c>
      <c r="O452">
        <v>9</v>
      </c>
      <c r="P452">
        <v>3</v>
      </c>
      <c r="Q452">
        <v>99999</v>
      </c>
      <c r="R452" s="276">
        <v>0</v>
      </c>
      <c r="S452" s="7">
        <v>45372.583067129628</v>
      </c>
      <c r="AX452" s="7"/>
      <c r="AY452" s="7"/>
    </row>
    <row r="453" spans="1:51">
      <c r="A453">
        <v>451</v>
      </c>
      <c r="B453" t="s">
        <v>234</v>
      </c>
      <c r="C453">
        <v>2023</v>
      </c>
      <c r="D453">
        <v>5345</v>
      </c>
      <c r="E453">
        <v>264</v>
      </c>
      <c r="F453">
        <v>3</v>
      </c>
      <c r="G453">
        <v>99</v>
      </c>
      <c r="H453">
        <v>24</v>
      </c>
      <c r="I453">
        <v>79</v>
      </c>
      <c r="J453">
        <v>183</v>
      </c>
      <c r="K453">
        <v>99</v>
      </c>
      <c r="L453">
        <v>999</v>
      </c>
      <c r="M453">
        <v>9</v>
      </c>
      <c r="N453">
        <v>99</v>
      </c>
      <c r="O453">
        <v>9</v>
      </c>
      <c r="P453">
        <v>3</v>
      </c>
      <c r="Q453">
        <v>99999</v>
      </c>
      <c r="R453" s="276">
        <v>0</v>
      </c>
      <c r="S453" s="7">
        <v>45372.583067129628</v>
      </c>
      <c r="AX453" s="7"/>
      <c r="AY453" s="7"/>
    </row>
    <row r="454" spans="1:51">
      <c r="A454">
        <v>452</v>
      </c>
      <c r="B454" t="s">
        <v>234</v>
      </c>
      <c r="C454">
        <v>2023</v>
      </c>
      <c r="D454">
        <v>5345</v>
      </c>
      <c r="E454">
        <v>264</v>
      </c>
      <c r="F454">
        <v>3</v>
      </c>
      <c r="G454">
        <v>99</v>
      </c>
      <c r="H454">
        <v>24</v>
      </c>
      <c r="I454">
        <v>63</v>
      </c>
      <c r="J454">
        <v>184</v>
      </c>
      <c r="K454">
        <v>99</v>
      </c>
      <c r="L454">
        <v>999</v>
      </c>
      <c r="M454">
        <v>9</v>
      </c>
      <c r="N454">
        <v>99</v>
      </c>
      <c r="O454">
        <v>9</v>
      </c>
      <c r="P454">
        <v>3</v>
      </c>
      <c r="Q454">
        <v>99999</v>
      </c>
      <c r="R454" s="276">
        <v>-872.28192574180605</v>
      </c>
      <c r="S454" s="7">
        <v>45372.583067129628</v>
      </c>
      <c r="AX454" s="7"/>
      <c r="AY454" s="7"/>
    </row>
    <row r="455" spans="1:51">
      <c r="A455">
        <v>453</v>
      </c>
      <c r="B455" t="s">
        <v>234</v>
      </c>
      <c r="C455">
        <v>2023</v>
      </c>
      <c r="D455">
        <v>5345</v>
      </c>
      <c r="E455">
        <v>264</v>
      </c>
      <c r="F455">
        <v>3</v>
      </c>
      <c r="G455">
        <v>99</v>
      </c>
      <c r="H455">
        <v>24</v>
      </c>
      <c r="I455">
        <v>61</v>
      </c>
      <c r="J455">
        <v>184</v>
      </c>
      <c r="K455">
        <v>99</v>
      </c>
      <c r="L455">
        <v>999</v>
      </c>
      <c r="M455">
        <v>9</v>
      </c>
      <c r="N455">
        <v>99</v>
      </c>
      <c r="O455">
        <v>9</v>
      </c>
      <c r="P455">
        <v>3</v>
      </c>
      <c r="Q455">
        <v>99999</v>
      </c>
      <c r="R455" s="276">
        <v>0</v>
      </c>
      <c r="S455" s="7">
        <v>45372.583067129628</v>
      </c>
      <c r="AX455" s="7"/>
      <c r="AY455" s="7"/>
    </row>
    <row r="456" spans="1:51">
      <c r="A456">
        <v>454</v>
      </c>
      <c r="B456" t="s">
        <v>234</v>
      </c>
      <c r="C456">
        <v>2023</v>
      </c>
      <c r="D456">
        <v>5345</v>
      </c>
      <c r="E456">
        <v>264</v>
      </c>
      <c r="F456">
        <v>3</v>
      </c>
      <c r="G456">
        <v>99</v>
      </c>
      <c r="H456">
        <v>24</v>
      </c>
      <c r="I456">
        <v>79</v>
      </c>
      <c r="J456">
        <v>184</v>
      </c>
      <c r="K456">
        <v>99</v>
      </c>
      <c r="L456">
        <v>999</v>
      </c>
      <c r="M456">
        <v>9</v>
      </c>
      <c r="N456">
        <v>99</v>
      </c>
      <c r="O456">
        <v>9</v>
      </c>
      <c r="P456">
        <v>3</v>
      </c>
      <c r="Q456">
        <v>99999</v>
      </c>
      <c r="R456" s="276">
        <v>-872.28192574180605</v>
      </c>
      <c r="S456" s="7">
        <v>45372.583067129628</v>
      </c>
      <c r="AX456" s="7"/>
      <c r="AY456" s="7"/>
    </row>
    <row r="457" spans="1:51">
      <c r="A457">
        <v>455</v>
      </c>
      <c r="B457" t="s">
        <v>234</v>
      </c>
      <c r="C457">
        <v>2023</v>
      </c>
      <c r="D457">
        <v>5345</v>
      </c>
      <c r="E457">
        <v>264</v>
      </c>
      <c r="F457">
        <v>1</v>
      </c>
      <c r="G457">
        <v>1</v>
      </c>
      <c r="H457">
        <v>205</v>
      </c>
      <c r="I457">
        <v>350</v>
      </c>
      <c r="J457">
        <v>201</v>
      </c>
      <c r="K457">
        <v>4</v>
      </c>
      <c r="L457">
        <v>999</v>
      </c>
      <c r="M457">
        <v>9</v>
      </c>
      <c r="N457">
        <v>99</v>
      </c>
      <c r="O457">
        <v>9</v>
      </c>
      <c r="P457">
        <v>99</v>
      </c>
      <c r="Q457">
        <v>99999</v>
      </c>
      <c r="R457" s="276">
        <v>6897</v>
      </c>
      <c r="S457" s="7">
        <v>45372.583067129628</v>
      </c>
      <c r="AX457" s="7"/>
      <c r="AY457" s="7"/>
    </row>
    <row r="458" spans="1:51">
      <c r="A458">
        <v>456</v>
      </c>
      <c r="B458" t="s">
        <v>234</v>
      </c>
      <c r="C458">
        <v>2023</v>
      </c>
      <c r="D458">
        <v>5345</v>
      </c>
      <c r="E458">
        <v>264</v>
      </c>
      <c r="F458">
        <v>2</v>
      </c>
      <c r="G458">
        <v>2</v>
      </c>
      <c r="H458">
        <v>22</v>
      </c>
      <c r="I458">
        <v>60</v>
      </c>
      <c r="J458">
        <v>220</v>
      </c>
      <c r="K458">
        <v>2</v>
      </c>
      <c r="L458">
        <v>9</v>
      </c>
      <c r="M458">
        <v>9</v>
      </c>
      <c r="N458">
        <v>99</v>
      </c>
      <c r="O458">
        <v>9</v>
      </c>
      <c r="P458">
        <v>3</v>
      </c>
      <c r="Q458">
        <v>99999</v>
      </c>
      <c r="R458" s="276">
        <v>0</v>
      </c>
      <c r="S458" s="7">
        <v>45372.583067129628</v>
      </c>
      <c r="AX458" s="7"/>
      <c r="AY458" s="7"/>
    </row>
    <row r="459" spans="1:51">
      <c r="A459">
        <v>457</v>
      </c>
      <c r="B459" t="s">
        <v>234</v>
      </c>
      <c r="C459">
        <v>2023</v>
      </c>
      <c r="D459">
        <v>5345</v>
      </c>
      <c r="E459">
        <v>264</v>
      </c>
      <c r="F459">
        <v>2</v>
      </c>
      <c r="G459">
        <v>2</v>
      </c>
      <c r="H459">
        <v>22</v>
      </c>
      <c r="I459">
        <v>60</v>
      </c>
      <c r="J459">
        <v>220</v>
      </c>
      <c r="K459">
        <v>2</v>
      </c>
      <c r="L459">
        <v>8</v>
      </c>
      <c r="M459">
        <v>9</v>
      </c>
      <c r="N459">
        <v>99</v>
      </c>
      <c r="O459">
        <v>9</v>
      </c>
      <c r="P459">
        <v>3</v>
      </c>
      <c r="Q459">
        <v>99999</v>
      </c>
      <c r="R459" s="276">
        <v>0</v>
      </c>
      <c r="S459" s="7">
        <v>45372.583067129628</v>
      </c>
      <c r="AX459" s="7"/>
      <c r="AY459" s="7"/>
    </row>
    <row r="460" spans="1:51">
      <c r="A460">
        <v>458</v>
      </c>
      <c r="B460" t="s">
        <v>234</v>
      </c>
      <c r="C460">
        <v>2023</v>
      </c>
      <c r="D460">
        <v>5345</v>
      </c>
      <c r="E460">
        <v>264</v>
      </c>
      <c r="F460">
        <v>2</v>
      </c>
      <c r="G460">
        <v>2</v>
      </c>
      <c r="H460">
        <v>22</v>
      </c>
      <c r="I460">
        <v>60</v>
      </c>
      <c r="J460">
        <v>220</v>
      </c>
      <c r="K460">
        <v>2</v>
      </c>
      <c r="L460">
        <v>10</v>
      </c>
      <c r="M460">
        <v>9</v>
      </c>
      <c r="N460">
        <v>99</v>
      </c>
      <c r="O460">
        <v>9</v>
      </c>
      <c r="P460">
        <v>3</v>
      </c>
      <c r="Q460">
        <v>99999</v>
      </c>
      <c r="R460" s="276">
        <v>0</v>
      </c>
      <c r="S460" s="7">
        <v>45372.583067129628</v>
      </c>
      <c r="AX460" s="7"/>
      <c r="AY460" s="7"/>
    </row>
    <row r="461" spans="1:51">
      <c r="A461">
        <v>459</v>
      </c>
      <c r="B461" t="s">
        <v>234</v>
      </c>
      <c r="C461">
        <v>2023</v>
      </c>
      <c r="D461">
        <v>5345</v>
      </c>
      <c r="E461">
        <v>264</v>
      </c>
      <c r="F461">
        <v>2</v>
      </c>
      <c r="G461">
        <v>2</v>
      </c>
      <c r="H461">
        <v>22</v>
      </c>
      <c r="I461">
        <v>60</v>
      </c>
      <c r="J461">
        <v>220</v>
      </c>
      <c r="K461">
        <v>2</v>
      </c>
      <c r="L461">
        <v>24</v>
      </c>
      <c r="M461">
        <v>9</v>
      </c>
      <c r="N461">
        <v>99</v>
      </c>
      <c r="O461">
        <v>9</v>
      </c>
      <c r="P461">
        <v>3</v>
      </c>
      <c r="Q461">
        <v>99999</v>
      </c>
      <c r="R461" s="276">
        <v>0</v>
      </c>
      <c r="S461" s="7">
        <v>45372.583067129628</v>
      </c>
      <c r="AX461" s="7"/>
      <c r="AY461" s="7"/>
    </row>
    <row r="462" spans="1:51">
      <c r="A462">
        <v>460</v>
      </c>
      <c r="B462" t="s">
        <v>234</v>
      </c>
      <c r="C462">
        <v>2023</v>
      </c>
      <c r="D462">
        <v>5345</v>
      </c>
      <c r="E462">
        <v>264</v>
      </c>
      <c r="F462">
        <v>2</v>
      </c>
      <c r="G462">
        <v>2</v>
      </c>
      <c r="H462">
        <v>22</v>
      </c>
      <c r="I462">
        <v>62</v>
      </c>
      <c r="J462">
        <v>220</v>
      </c>
      <c r="K462">
        <v>2</v>
      </c>
      <c r="L462">
        <v>11</v>
      </c>
      <c r="M462">
        <v>9</v>
      </c>
      <c r="N462">
        <v>99</v>
      </c>
      <c r="O462">
        <v>9</v>
      </c>
      <c r="P462">
        <v>3</v>
      </c>
      <c r="Q462">
        <v>99999</v>
      </c>
      <c r="R462" s="276">
        <v>0</v>
      </c>
      <c r="S462" s="7">
        <v>45372.583067129628</v>
      </c>
      <c r="AX462" s="7"/>
      <c r="AY462" s="7"/>
    </row>
    <row r="463" spans="1:51">
      <c r="A463">
        <v>461</v>
      </c>
      <c r="B463" t="s">
        <v>234</v>
      </c>
      <c r="C463">
        <v>2023</v>
      </c>
      <c r="D463">
        <v>5345</v>
      </c>
      <c r="E463">
        <v>264</v>
      </c>
      <c r="F463">
        <v>2</v>
      </c>
      <c r="G463">
        <v>2</v>
      </c>
      <c r="H463">
        <v>22</v>
      </c>
      <c r="I463">
        <v>62</v>
      </c>
      <c r="J463">
        <v>220</v>
      </c>
      <c r="K463">
        <v>2</v>
      </c>
      <c r="L463">
        <v>9</v>
      </c>
      <c r="M463">
        <v>9</v>
      </c>
      <c r="N463">
        <v>99</v>
      </c>
      <c r="O463">
        <v>9</v>
      </c>
      <c r="P463">
        <v>3</v>
      </c>
      <c r="Q463">
        <v>99999</v>
      </c>
      <c r="R463" s="276">
        <v>0</v>
      </c>
      <c r="S463" s="7">
        <v>45372.583067129628</v>
      </c>
      <c r="AX463" s="7"/>
      <c r="AY463" s="7"/>
    </row>
    <row r="464" spans="1:51">
      <c r="A464">
        <v>462</v>
      </c>
      <c r="B464" t="s">
        <v>234</v>
      </c>
      <c r="C464">
        <v>2023</v>
      </c>
      <c r="D464">
        <v>5345</v>
      </c>
      <c r="E464">
        <v>264</v>
      </c>
      <c r="F464">
        <v>2</v>
      </c>
      <c r="G464">
        <v>2</v>
      </c>
      <c r="H464">
        <v>22</v>
      </c>
      <c r="I464">
        <v>62</v>
      </c>
      <c r="J464">
        <v>220</v>
      </c>
      <c r="K464">
        <v>2</v>
      </c>
      <c r="L464">
        <v>8</v>
      </c>
      <c r="M464">
        <v>9</v>
      </c>
      <c r="N464">
        <v>99</v>
      </c>
      <c r="O464">
        <v>9</v>
      </c>
      <c r="P464">
        <v>3</v>
      </c>
      <c r="Q464">
        <v>99999</v>
      </c>
      <c r="R464" s="276">
        <v>0</v>
      </c>
      <c r="S464" s="7">
        <v>45372.583067129628</v>
      </c>
      <c r="AX464" s="7"/>
      <c r="AY464" s="7"/>
    </row>
    <row r="465" spans="1:51">
      <c r="A465">
        <v>463</v>
      </c>
      <c r="B465" t="s">
        <v>234</v>
      </c>
      <c r="C465">
        <v>2023</v>
      </c>
      <c r="D465">
        <v>5345</v>
      </c>
      <c r="E465">
        <v>264</v>
      </c>
      <c r="F465">
        <v>2</v>
      </c>
      <c r="G465">
        <v>2</v>
      </c>
      <c r="H465">
        <v>22</v>
      </c>
      <c r="I465">
        <v>62</v>
      </c>
      <c r="J465">
        <v>220</v>
      </c>
      <c r="K465">
        <v>2</v>
      </c>
      <c r="L465">
        <v>10</v>
      </c>
      <c r="M465">
        <v>9</v>
      </c>
      <c r="N465">
        <v>99</v>
      </c>
      <c r="O465">
        <v>9</v>
      </c>
      <c r="P465">
        <v>3</v>
      </c>
      <c r="Q465">
        <v>99999</v>
      </c>
      <c r="R465" s="276">
        <v>0</v>
      </c>
      <c r="S465" s="7">
        <v>45372.583067129628</v>
      </c>
      <c r="AX465" s="7"/>
      <c r="AY465" s="7"/>
    </row>
    <row r="466" spans="1:51">
      <c r="A466">
        <v>464</v>
      </c>
      <c r="B466" t="s">
        <v>234</v>
      </c>
      <c r="C466">
        <v>2023</v>
      </c>
      <c r="D466">
        <v>5345</v>
      </c>
      <c r="E466">
        <v>264</v>
      </c>
      <c r="F466">
        <v>2</v>
      </c>
      <c r="G466">
        <v>2</v>
      </c>
      <c r="H466">
        <v>22</v>
      </c>
      <c r="I466">
        <v>62</v>
      </c>
      <c r="J466">
        <v>220</v>
      </c>
      <c r="K466">
        <v>2</v>
      </c>
      <c r="L466">
        <v>24</v>
      </c>
      <c r="M466">
        <v>9</v>
      </c>
      <c r="N466">
        <v>99</v>
      </c>
      <c r="O466">
        <v>9</v>
      </c>
      <c r="P466">
        <v>3</v>
      </c>
      <c r="Q466">
        <v>99999</v>
      </c>
      <c r="R466" s="276">
        <v>0</v>
      </c>
      <c r="S466" s="7">
        <v>45372.583067129628</v>
      </c>
      <c r="AX466" s="7"/>
      <c r="AY466" s="7"/>
    </row>
    <row r="467" spans="1:51">
      <c r="A467">
        <v>465</v>
      </c>
      <c r="B467" t="s">
        <v>234</v>
      </c>
      <c r="C467">
        <v>2023</v>
      </c>
      <c r="D467">
        <v>5345</v>
      </c>
      <c r="E467">
        <v>264</v>
      </c>
      <c r="F467">
        <v>2</v>
      </c>
      <c r="G467">
        <v>2</v>
      </c>
      <c r="H467">
        <v>22</v>
      </c>
      <c r="I467">
        <v>60</v>
      </c>
      <c r="J467">
        <v>220</v>
      </c>
      <c r="K467">
        <v>2</v>
      </c>
      <c r="L467">
        <v>11</v>
      </c>
      <c r="M467">
        <v>9</v>
      </c>
      <c r="N467">
        <v>99</v>
      </c>
      <c r="O467">
        <v>9</v>
      </c>
      <c r="P467">
        <v>3</v>
      </c>
      <c r="Q467">
        <v>99999</v>
      </c>
      <c r="R467" s="276">
        <v>0</v>
      </c>
      <c r="S467" s="7">
        <v>45372.583067129628</v>
      </c>
      <c r="AX467" s="7"/>
      <c r="AY467" s="7"/>
    </row>
    <row r="468" spans="1:51">
      <c r="A468">
        <v>466</v>
      </c>
      <c r="B468" t="s">
        <v>234</v>
      </c>
      <c r="C468">
        <v>2023</v>
      </c>
      <c r="D468">
        <v>5345</v>
      </c>
      <c r="E468">
        <v>264</v>
      </c>
      <c r="F468">
        <v>2</v>
      </c>
      <c r="G468">
        <v>2</v>
      </c>
      <c r="H468">
        <v>22</v>
      </c>
      <c r="I468">
        <v>60</v>
      </c>
      <c r="J468">
        <v>235</v>
      </c>
      <c r="K468">
        <v>4</v>
      </c>
      <c r="L468">
        <v>999</v>
      </c>
      <c r="M468">
        <v>9</v>
      </c>
      <c r="N468">
        <v>99</v>
      </c>
      <c r="O468">
        <v>9</v>
      </c>
      <c r="P468">
        <v>3</v>
      </c>
      <c r="Q468">
        <v>99999</v>
      </c>
      <c r="R468" s="276">
        <v>0</v>
      </c>
      <c r="S468" s="7">
        <v>45372.583067129628</v>
      </c>
      <c r="AX468" s="7"/>
      <c r="AY468" s="7"/>
    </row>
    <row r="469" spans="1:51">
      <c r="A469">
        <v>467</v>
      </c>
      <c r="B469" t="s">
        <v>234</v>
      </c>
      <c r="C469">
        <v>2023</v>
      </c>
      <c r="D469">
        <v>5345</v>
      </c>
      <c r="E469">
        <v>264</v>
      </c>
      <c r="F469">
        <v>2</v>
      </c>
      <c r="G469">
        <v>2</v>
      </c>
      <c r="H469">
        <v>22</v>
      </c>
      <c r="I469">
        <v>60</v>
      </c>
      <c r="J469">
        <v>242</v>
      </c>
      <c r="K469">
        <v>4</v>
      </c>
      <c r="L469">
        <v>999</v>
      </c>
      <c r="M469">
        <v>9</v>
      </c>
      <c r="N469">
        <v>99</v>
      </c>
      <c r="O469">
        <v>9</v>
      </c>
      <c r="P469">
        <v>3</v>
      </c>
      <c r="Q469">
        <v>99999</v>
      </c>
      <c r="R469" s="276">
        <v>-6656141.1525480896</v>
      </c>
      <c r="S469" s="7">
        <v>45372.583067129628</v>
      </c>
      <c r="AX469" s="7"/>
      <c r="AY469" s="7"/>
    </row>
    <row r="470" spans="1:51">
      <c r="A470">
        <v>468</v>
      </c>
      <c r="B470" t="s">
        <v>234</v>
      </c>
      <c r="C470">
        <v>2023</v>
      </c>
      <c r="D470">
        <v>5345</v>
      </c>
      <c r="E470">
        <v>264</v>
      </c>
      <c r="F470">
        <v>2</v>
      </c>
      <c r="G470">
        <v>2</v>
      </c>
      <c r="H470">
        <v>22</v>
      </c>
      <c r="I470">
        <v>60</v>
      </c>
      <c r="J470">
        <v>242</v>
      </c>
      <c r="K470">
        <v>4</v>
      </c>
      <c r="L470">
        <v>999</v>
      </c>
      <c r="M470">
        <v>9</v>
      </c>
      <c r="N470">
        <v>99</v>
      </c>
      <c r="O470">
        <v>9</v>
      </c>
      <c r="P470">
        <v>3</v>
      </c>
      <c r="Q470">
        <v>99999</v>
      </c>
      <c r="R470" s="276">
        <v>0</v>
      </c>
      <c r="S470" s="7">
        <v>45372.583067129628</v>
      </c>
      <c r="AX470" s="7"/>
      <c r="AY470" s="7"/>
    </row>
    <row r="471" spans="1:51">
      <c r="A471">
        <v>469</v>
      </c>
      <c r="B471" t="s">
        <v>234</v>
      </c>
      <c r="C471">
        <v>2023</v>
      </c>
      <c r="D471">
        <v>5345</v>
      </c>
      <c r="E471">
        <v>264</v>
      </c>
      <c r="F471">
        <v>3</v>
      </c>
      <c r="G471">
        <v>99</v>
      </c>
      <c r="H471">
        <v>24</v>
      </c>
      <c r="I471">
        <v>63</v>
      </c>
      <c r="J471">
        <v>198</v>
      </c>
      <c r="K471">
        <v>99</v>
      </c>
      <c r="L471">
        <v>999</v>
      </c>
      <c r="M471">
        <v>9</v>
      </c>
      <c r="N471">
        <v>99</v>
      </c>
      <c r="O471">
        <v>9</v>
      </c>
      <c r="P471">
        <v>3</v>
      </c>
      <c r="Q471">
        <v>99999</v>
      </c>
      <c r="R471" s="276">
        <v>58506.941403853103</v>
      </c>
      <c r="S471" s="7">
        <v>45372.583067129628</v>
      </c>
      <c r="AX471" s="7"/>
      <c r="AY471" s="7"/>
    </row>
    <row r="472" spans="1:51">
      <c r="A472">
        <v>470</v>
      </c>
      <c r="B472" t="s">
        <v>234</v>
      </c>
      <c r="C472">
        <v>2023</v>
      </c>
      <c r="D472">
        <v>5345</v>
      </c>
      <c r="E472">
        <v>264</v>
      </c>
      <c r="F472">
        <v>3</v>
      </c>
      <c r="G472">
        <v>99</v>
      </c>
      <c r="H472">
        <v>24</v>
      </c>
      <c r="I472">
        <v>61</v>
      </c>
      <c r="J472">
        <v>198</v>
      </c>
      <c r="K472">
        <v>99</v>
      </c>
      <c r="L472">
        <v>999</v>
      </c>
      <c r="M472">
        <v>9</v>
      </c>
      <c r="N472">
        <v>99</v>
      </c>
      <c r="O472">
        <v>9</v>
      </c>
      <c r="P472">
        <v>3</v>
      </c>
      <c r="Q472">
        <v>99999</v>
      </c>
      <c r="R472" s="276">
        <v>45885.421475687799</v>
      </c>
      <c r="S472" s="7">
        <v>45372.583067129628</v>
      </c>
      <c r="AX472" s="7"/>
      <c r="AY472" s="7"/>
    </row>
    <row r="473" spans="1:51">
      <c r="A473">
        <v>471</v>
      </c>
      <c r="B473" t="s">
        <v>234</v>
      </c>
      <c r="C473">
        <v>2023</v>
      </c>
      <c r="D473">
        <v>5345</v>
      </c>
      <c r="E473">
        <v>264</v>
      </c>
      <c r="F473">
        <v>3</v>
      </c>
      <c r="G473">
        <v>99</v>
      </c>
      <c r="H473">
        <v>24</v>
      </c>
      <c r="I473">
        <v>79</v>
      </c>
      <c r="J473">
        <v>198</v>
      </c>
      <c r="K473">
        <v>99</v>
      </c>
      <c r="L473">
        <v>999</v>
      </c>
      <c r="M473">
        <v>9</v>
      </c>
      <c r="N473">
        <v>99</v>
      </c>
      <c r="O473">
        <v>9</v>
      </c>
      <c r="P473">
        <v>3</v>
      </c>
      <c r="Q473">
        <v>99999</v>
      </c>
      <c r="R473" s="276">
        <v>104392.362879541</v>
      </c>
      <c r="S473" s="7">
        <v>45372.583067129628</v>
      </c>
      <c r="AX473" s="7"/>
      <c r="AY473" s="7"/>
    </row>
    <row r="474" spans="1:51">
      <c r="A474">
        <v>472</v>
      </c>
      <c r="B474" t="s">
        <v>234</v>
      </c>
      <c r="C474">
        <v>2023</v>
      </c>
      <c r="D474">
        <v>5345</v>
      </c>
      <c r="E474">
        <v>264</v>
      </c>
      <c r="F474">
        <v>2</v>
      </c>
      <c r="G474">
        <v>2</v>
      </c>
      <c r="H474">
        <v>22</v>
      </c>
      <c r="I474">
        <v>60</v>
      </c>
      <c r="J474">
        <v>522</v>
      </c>
      <c r="K474">
        <v>3</v>
      </c>
      <c r="L474">
        <v>15</v>
      </c>
      <c r="M474">
        <v>9</v>
      </c>
      <c r="N474">
        <v>99</v>
      </c>
      <c r="O474">
        <v>9</v>
      </c>
      <c r="P474">
        <v>3</v>
      </c>
      <c r="Q474">
        <v>99999</v>
      </c>
      <c r="R474" s="276">
        <v>0</v>
      </c>
      <c r="S474" s="7">
        <v>45372.583067129628</v>
      </c>
      <c r="AX474" s="7"/>
      <c r="AY474" s="7"/>
    </row>
    <row r="475" spans="1:51">
      <c r="A475">
        <v>473</v>
      </c>
      <c r="B475" t="s">
        <v>234</v>
      </c>
      <c r="C475">
        <v>2023</v>
      </c>
      <c r="D475">
        <v>5345</v>
      </c>
      <c r="E475">
        <v>264</v>
      </c>
      <c r="F475">
        <v>2</v>
      </c>
      <c r="G475">
        <v>2</v>
      </c>
      <c r="H475">
        <v>22</v>
      </c>
      <c r="I475">
        <v>60</v>
      </c>
      <c r="J475">
        <v>522</v>
      </c>
      <c r="K475">
        <v>1</v>
      </c>
      <c r="L475">
        <v>1</v>
      </c>
      <c r="M475">
        <v>9</v>
      </c>
      <c r="N475">
        <v>99</v>
      </c>
      <c r="O475">
        <v>9</v>
      </c>
      <c r="P475">
        <v>3</v>
      </c>
      <c r="Q475">
        <v>99999</v>
      </c>
      <c r="R475" s="276">
        <v>0</v>
      </c>
      <c r="S475" s="7">
        <v>45372.583067129628</v>
      </c>
      <c r="AX475" s="7"/>
      <c r="AY475" s="7"/>
    </row>
    <row r="476" spans="1:51">
      <c r="A476">
        <v>474</v>
      </c>
      <c r="B476" t="s">
        <v>234</v>
      </c>
      <c r="C476">
        <v>2023</v>
      </c>
      <c r="D476">
        <v>5345</v>
      </c>
      <c r="E476">
        <v>264</v>
      </c>
      <c r="F476">
        <v>2</v>
      </c>
      <c r="G476">
        <v>2</v>
      </c>
      <c r="H476">
        <v>22</v>
      </c>
      <c r="I476">
        <v>60</v>
      </c>
      <c r="J476">
        <v>522</v>
      </c>
      <c r="K476">
        <v>1</v>
      </c>
      <c r="L476">
        <v>1</v>
      </c>
      <c r="M476">
        <v>9</v>
      </c>
      <c r="N476">
        <v>99</v>
      </c>
      <c r="O476">
        <v>9</v>
      </c>
      <c r="P476">
        <v>3</v>
      </c>
      <c r="Q476">
        <v>99999</v>
      </c>
      <c r="R476" s="276">
        <v>0</v>
      </c>
      <c r="S476" s="7">
        <v>45372.583067129628</v>
      </c>
      <c r="AX476" s="7"/>
      <c r="AY476" s="7"/>
    </row>
    <row r="477" spans="1:51">
      <c r="A477">
        <v>475</v>
      </c>
      <c r="B477" t="s">
        <v>234</v>
      </c>
      <c r="C477">
        <v>2023</v>
      </c>
      <c r="D477">
        <v>5345</v>
      </c>
      <c r="E477">
        <v>264</v>
      </c>
      <c r="F477">
        <v>2</v>
      </c>
      <c r="G477">
        <v>2</v>
      </c>
      <c r="H477">
        <v>22</v>
      </c>
      <c r="I477">
        <v>60</v>
      </c>
      <c r="J477">
        <v>522</v>
      </c>
      <c r="K477">
        <v>1</v>
      </c>
      <c r="L477">
        <v>1</v>
      </c>
      <c r="M477">
        <v>9</v>
      </c>
      <c r="N477">
        <v>99</v>
      </c>
      <c r="O477">
        <v>9</v>
      </c>
      <c r="P477">
        <v>3</v>
      </c>
      <c r="Q477">
        <v>99999</v>
      </c>
      <c r="R477" s="276">
        <v>0</v>
      </c>
      <c r="S477" s="7">
        <v>45372.583067129628</v>
      </c>
      <c r="AX477" s="7"/>
      <c r="AY477" s="7"/>
    </row>
    <row r="478" spans="1:51">
      <c r="A478">
        <v>476</v>
      </c>
      <c r="B478" t="s">
        <v>234</v>
      </c>
      <c r="C478">
        <v>2023</v>
      </c>
      <c r="D478">
        <v>5345</v>
      </c>
      <c r="E478">
        <v>264</v>
      </c>
      <c r="F478">
        <v>2</v>
      </c>
      <c r="G478">
        <v>2</v>
      </c>
      <c r="H478">
        <v>22</v>
      </c>
      <c r="I478">
        <v>60</v>
      </c>
      <c r="J478">
        <v>522</v>
      </c>
      <c r="K478">
        <v>1</v>
      </c>
      <c r="L478">
        <v>1</v>
      </c>
      <c r="M478">
        <v>9</v>
      </c>
      <c r="N478">
        <v>99</v>
      </c>
      <c r="O478">
        <v>9</v>
      </c>
      <c r="P478">
        <v>3</v>
      </c>
      <c r="Q478">
        <v>99999</v>
      </c>
      <c r="R478" s="276">
        <v>0</v>
      </c>
      <c r="S478" s="7">
        <v>45372.583067129628</v>
      </c>
      <c r="AX478" s="7"/>
      <c r="AY478" s="7"/>
    </row>
    <row r="479" spans="1:51">
      <c r="A479">
        <v>477</v>
      </c>
      <c r="B479" t="s">
        <v>234</v>
      </c>
      <c r="C479">
        <v>2023</v>
      </c>
      <c r="D479">
        <v>5345</v>
      </c>
      <c r="E479">
        <v>264</v>
      </c>
      <c r="F479">
        <v>2</v>
      </c>
      <c r="G479">
        <v>2</v>
      </c>
      <c r="H479">
        <v>22</v>
      </c>
      <c r="I479">
        <v>60</v>
      </c>
      <c r="J479">
        <v>522</v>
      </c>
      <c r="K479">
        <v>2</v>
      </c>
      <c r="L479">
        <v>11</v>
      </c>
      <c r="M479">
        <v>9</v>
      </c>
      <c r="N479">
        <v>99</v>
      </c>
      <c r="O479">
        <v>9</v>
      </c>
      <c r="P479">
        <v>3</v>
      </c>
      <c r="Q479">
        <v>99999</v>
      </c>
      <c r="R479" s="276">
        <v>0</v>
      </c>
      <c r="S479" s="7">
        <v>45372.583067129628</v>
      </c>
      <c r="AX479" s="7"/>
      <c r="AY479" s="7"/>
    </row>
    <row r="480" spans="1:51">
      <c r="A480">
        <v>478</v>
      </c>
      <c r="B480" t="s">
        <v>234</v>
      </c>
      <c r="C480">
        <v>2023</v>
      </c>
      <c r="D480">
        <v>5345</v>
      </c>
      <c r="E480">
        <v>264</v>
      </c>
      <c r="F480">
        <v>2</v>
      </c>
      <c r="G480">
        <v>2</v>
      </c>
      <c r="H480">
        <v>22</v>
      </c>
      <c r="I480">
        <v>60</v>
      </c>
      <c r="J480">
        <v>522</v>
      </c>
      <c r="K480">
        <v>2</v>
      </c>
      <c r="L480">
        <v>9</v>
      </c>
      <c r="M480">
        <v>9</v>
      </c>
      <c r="N480">
        <v>99</v>
      </c>
      <c r="O480">
        <v>9</v>
      </c>
      <c r="P480">
        <v>3</v>
      </c>
      <c r="Q480">
        <v>99999</v>
      </c>
      <c r="R480" s="276">
        <v>0</v>
      </c>
      <c r="S480" s="7">
        <v>45372.583067129628</v>
      </c>
      <c r="AX480" s="7"/>
      <c r="AY480" s="7"/>
    </row>
    <row r="481" spans="1:51">
      <c r="A481">
        <v>479</v>
      </c>
      <c r="B481" t="s">
        <v>234</v>
      </c>
      <c r="C481">
        <v>2023</v>
      </c>
      <c r="D481">
        <v>5345</v>
      </c>
      <c r="E481">
        <v>264</v>
      </c>
      <c r="F481">
        <v>2</v>
      </c>
      <c r="G481">
        <v>2</v>
      </c>
      <c r="H481">
        <v>22</v>
      </c>
      <c r="I481">
        <v>60</v>
      </c>
      <c r="J481">
        <v>522</v>
      </c>
      <c r="K481">
        <v>2</v>
      </c>
      <c r="L481">
        <v>8</v>
      </c>
      <c r="M481">
        <v>9</v>
      </c>
      <c r="N481">
        <v>99</v>
      </c>
      <c r="O481">
        <v>9</v>
      </c>
      <c r="P481">
        <v>3</v>
      </c>
      <c r="Q481">
        <v>99999</v>
      </c>
      <c r="R481" s="276">
        <v>0</v>
      </c>
      <c r="S481" s="7">
        <v>45372.583067129628</v>
      </c>
      <c r="AX481" s="7"/>
      <c r="AY481" s="7"/>
    </row>
    <row r="482" spans="1:51">
      <c r="A482">
        <v>480</v>
      </c>
      <c r="B482" t="s">
        <v>234</v>
      </c>
      <c r="C482">
        <v>2023</v>
      </c>
      <c r="D482">
        <v>5345</v>
      </c>
      <c r="E482">
        <v>264</v>
      </c>
      <c r="F482">
        <v>2</v>
      </c>
      <c r="G482">
        <v>2</v>
      </c>
      <c r="H482">
        <v>22</v>
      </c>
      <c r="I482">
        <v>60</v>
      </c>
      <c r="J482">
        <v>522</v>
      </c>
      <c r="K482">
        <v>2</v>
      </c>
      <c r="L482">
        <v>10</v>
      </c>
      <c r="M482">
        <v>9</v>
      </c>
      <c r="N482">
        <v>99</v>
      </c>
      <c r="O482">
        <v>9</v>
      </c>
      <c r="P482">
        <v>3</v>
      </c>
      <c r="Q482">
        <v>99999</v>
      </c>
      <c r="R482" s="276">
        <v>0</v>
      </c>
      <c r="S482" s="7">
        <v>45372.583067129628</v>
      </c>
      <c r="AX482" s="7"/>
      <c r="AY482" s="7"/>
    </row>
    <row r="483" spans="1:51">
      <c r="A483">
        <v>481</v>
      </c>
      <c r="B483" t="s">
        <v>234</v>
      </c>
      <c r="C483">
        <v>2023</v>
      </c>
      <c r="D483">
        <v>5345</v>
      </c>
      <c r="E483">
        <v>264</v>
      </c>
      <c r="F483">
        <v>2</v>
      </c>
      <c r="G483">
        <v>2</v>
      </c>
      <c r="H483">
        <v>22</v>
      </c>
      <c r="I483">
        <v>60</v>
      </c>
      <c r="J483">
        <v>522</v>
      </c>
      <c r="K483">
        <v>2</v>
      </c>
      <c r="L483">
        <v>24</v>
      </c>
      <c r="M483">
        <v>9</v>
      </c>
      <c r="N483">
        <v>99</v>
      </c>
      <c r="O483">
        <v>9</v>
      </c>
      <c r="P483">
        <v>3</v>
      </c>
      <c r="Q483">
        <v>99999</v>
      </c>
      <c r="R483" s="276">
        <v>0</v>
      </c>
      <c r="S483" s="7">
        <v>45372.583067129628</v>
      </c>
      <c r="AX483" s="7"/>
      <c r="AY483" s="7"/>
    </row>
    <row r="484" spans="1:51">
      <c r="A484">
        <v>482</v>
      </c>
      <c r="B484" t="s">
        <v>234</v>
      </c>
      <c r="C484">
        <v>2023</v>
      </c>
      <c r="D484">
        <v>5345</v>
      </c>
      <c r="E484">
        <v>264</v>
      </c>
      <c r="F484">
        <v>2</v>
      </c>
      <c r="G484">
        <v>2</v>
      </c>
      <c r="H484">
        <v>22</v>
      </c>
      <c r="I484">
        <v>60</v>
      </c>
      <c r="J484">
        <v>522</v>
      </c>
      <c r="K484">
        <v>3</v>
      </c>
      <c r="L484">
        <v>18</v>
      </c>
      <c r="M484">
        <v>9</v>
      </c>
      <c r="N484">
        <v>99</v>
      </c>
      <c r="O484">
        <v>9</v>
      </c>
      <c r="P484">
        <v>3</v>
      </c>
      <c r="Q484">
        <v>99999</v>
      </c>
      <c r="R484" s="276">
        <v>0</v>
      </c>
      <c r="S484" s="7">
        <v>45372.583067129628</v>
      </c>
      <c r="AX484" s="7"/>
      <c r="AY484" s="7"/>
    </row>
    <row r="485" spans="1:51">
      <c r="A485">
        <v>483</v>
      </c>
      <c r="B485" t="s">
        <v>234</v>
      </c>
      <c r="C485">
        <v>2023</v>
      </c>
      <c r="D485">
        <v>5345</v>
      </c>
      <c r="E485">
        <v>264</v>
      </c>
      <c r="F485">
        <v>2</v>
      </c>
      <c r="G485">
        <v>2</v>
      </c>
      <c r="H485">
        <v>22</v>
      </c>
      <c r="I485">
        <v>60</v>
      </c>
      <c r="J485">
        <v>523</v>
      </c>
      <c r="K485">
        <v>2</v>
      </c>
      <c r="L485">
        <v>30</v>
      </c>
      <c r="M485">
        <v>9</v>
      </c>
      <c r="N485">
        <v>99</v>
      </c>
      <c r="O485">
        <v>9</v>
      </c>
      <c r="P485">
        <v>3</v>
      </c>
      <c r="Q485">
        <v>99999</v>
      </c>
      <c r="R485" s="276">
        <v>0</v>
      </c>
      <c r="S485" s="7">
        <v>45372.583067129628</v>
      </c>
      <c r="AX485" s="7"/>
      <c r="AY485" s="7"/>
    </row>
    <row r="486" spans="1:51">
      <c r="A486">
        <v>484</v>
      </c>
      <c r="B486" t="s">
        <v>234</v>
      </c>
      <c r="C486">
        <v>2023</v>
      </c>
      <c r="D486">
        <v>5345</v>
      </c>
      <c r="E486">
        <v>264</v>
      </c>
      <c r="F486">
        <v>2</v>
      </c>
      <c r="G486">
        <v>2</v>
      </c>
      <c r="H486">
        <v>22</v>
      </c>
      <c r="I486">
        <v>60</v>
      </c>
      <c r="J486">
        <v>524</v>
      </c>
      <c r="K486">
        <v>1</v>
      </c>
      <c r="L486">
        <v>7</v>
      </c>
      <c r="M486">
        <v>9</v>
      </c>
      <c r="N486">
        <v>99</v>
      </c>
      <c r="O486">
        <v>9</v>
      </c>
      <c r="P486">
        <v>3</v>
      </c>
      <c r="Q486">
        <v>99999</v>
      </c>
      <c r="R486" s="276">
        <v>0</v>
      </c>
      <c r="S486" s="7">
        <v>45372.583067129628</v>
      </c>
      <c r="AX486" s="7"/>
      <c r="AY486" s="7"/>
    </row>
    <row r="487" spans="1:51">
      <c r="A487">
        <v>485</v>
      </c>
      <c r="B487" t="s">
        <v>234</v>
      </c>
      <c r="C487">
        <v>2023</v>
      </c>
      <c r="D487">
        <v>5345</v>
      </c>
      <c r="E487">
        <v>264</v>
      </c>
      <c r="F487">
        <v>2</v>
      </c>
      <c r="G487">
        <v>2</v>
      </c>
      <c r="H487">
        <v>22</v>
      </c>
      <c r="I487">
        <v>60</v>
      </c>
      <c r="J487">
        <v>524</v>
      </c>
      <c r="K487">
        <v>2</v>
      </c>
      <c r="L487">
        <v>30</v>
      </c>
      <c r="M487">
        <v>9</v>
      </c>
      <c r="N487">
        <v>99</v>
      </c>
      <c r="O487">
        <v>9</v>
      </c>
      <c r="P487">
        <v>3</v>
      </c>
      <c r="Q487">
        <v>99999</v>
      </c>
      <c r="R487" s="276">
        <v>0</v>
      </c>
      <c r="S487" s="7">
        <v>45372.583067129628</v>
      </c>
      <c r="AX487" s="7"/>
      <c r="AY487" s="7"/>
    </row>
    <row r="488" spans="1:51">
      <c r="A488">
        <v>486</v>
      </c>
      <c r="B488" t="s">
        <v>234</v>
      </c>
      <c r="C488">
        <v>2023</v>
      </c>
      <c r="D488">
        <v>5345</v>
      </c>
      <c r="E488">
        <v>264</v>
      </c>
      <c r="F488">
        <v>2</v>
      </c>
      <c r="G488">
        <v>2</v>
      </c>
      <c r="H488">
        <v>22</v>
      </c>
      <c r="I488">
        <v>60</v>
      </c>
      <c r="J488">
        <v>525</v>
      </c>
      <c r="K488">
        <v>2</v>
      </c>
      <c r="L488">
        <v>30</v>
      </c>
      <c r="M488">
        <v>9</v>
      </c>
      <c r="N488">
        <v>99</v>
      </c>
      <c r="O488">
        <v>9</v>
      </c>
      <c r="P488">
        <v>3</v>
      </c>
      <c r="Q488">
        <v>99999</v>
      </c>
      <c r="R488" s="276">
        <v>-21.309481847574499</v>
      </c>
      <c r="S488" s="7">
        <v>45372.583067129628</v>
      </c>
      <c r="AX488" s="7"/>
      <c r="AY488" s="7"/>
    </row>
    <row r="489" spans="1:51">
      <c r="A489">
        <v>487</v>
      </c>
      <c r="B489" t="s">
        <v>234</v>
      </c>
      <c r="C489">
        <v>2023</v>
      </c>
      <c r="D489">
        <v>5345</v>
      </c>
      <c r="E489">
        <v>264</v>
      </c>
      <c r="F489">
        <v>2</v>
      </c>
      <c r="G489">
        <v>2</v>
      </c>
      <c r="H489">
        <v>22</v>
      </c>
      <c r="I489">
        <v>60</v>
      </c>
      <c r="J489">
        <v>526</v>
      </c>
      <c r="K489">
        <v>1</v>
      </c>
      <c r="L489">
        <v>7</v>
      </c>
      <c r="M489">
        <v>9</v>
      </c>
      <c r="N489">
        <v>99</v>
      </c>
      <c r="O489">
        <v>9</v>
      </c>
      <c r="P489">
        <v>3</v>
      </c>
      <c r="Q489">
        <v>99999</v>
      </c>
      <c r="R489" s="276">
        <v>115979.164865983</v>
      </c>
      <c r="S489" s="7">
        <v>45372.583067129628</v>
      </c>
      <c r="AX489" s="7"/>
      <c r="AY489" s="7"/>
    </row>
    <row r="490" spans="1:51">
      <c r="A490">
        <v>488</v>
      </c>
      <c r="B490" t="s">
        <v>234</v>
      </c>
      <c r="C490">
        <v>2023</v>
      </c>
      <c r="D490">
        <v>5345</v>
      </c>
      <c r="E490">
        <v>264</v>
      </c>
      <c r="F490">
        <v>2</v>
      </c>
      <c r="G490">
        <v>2</v>
      </c>
      <c r="H490">
        <v>22</v>
      </c>
      <c r="I490">
        <v>60</v>
      </c>
      <c r="J490">
        <v>526</v>
      </c>
      <c r="K490">
        <v>2</v>
      </c>
      <c r="L490">
        <v>11</v>
      </c>
      <c r="M490">
        <v>9</v>
      </c>
      <c r="N490">
        <v>99</v>
      </c>
      <c r="O490">
        <v>9</v>
      </c>
      <c r="P490">
        <v>3</v>
      </c>
      <c r="Q490">
        <v>99999</v>
      </c>
      <c r="R490" s="276">
        <v>128721.530575806</v>
      </c>
      <c r="S490" s="7">
        <v>45372.583067129628</v>
      </c>
      <c r="AX490" s="7"/>
      <c r="AY490" s="7"/>
    </row>
    <row r="491" spans="1:51">
      <c r="A491">
        <v>489</v>
      </c>
      <c r="B491" t="s">
        <v>234</v>
      </c>
      <c r="C491">
        <v>2023</v>
      </c>
      <c r="D491">
        <v>5345</v>
      </c>
      <c r="E491">
        <v>264</v>
      </c>
      <c r="F491">
        <v>2</v>
      </c>
      <c r="G491">
        <v>2</v>
      </c>
      <c r="H491">
        <v>22</v>
      </c>
      <c r="I491">
        <v>60</v>
      </c>
      <c r="J491">
        <v>526</v>
      </c>
      <c r="K491">
        <v>2</v>
      </c>
      <c r="L491">
        <v>9</v>
      </c>
      <c r="M491">
        <v>9</v>
      </c>
      <c r="N491">
        <v>99</v>
      </c>
      <c r="O491">
        <v>9</v>
      </c>
      <c r="P491">
        <v>3</v>
      </c>
      <c r="Q491">
        <v>99999</v>
      </c>
      <c r="R491" s="276">
        <v>0</v>
      </c>
      <c r="S491" s="7">
        <v>45372.583067129628</v>
      </c>
      <c r="AX491" s="7"/>
      <c r="AY491" s="7"/>
    </row>
    <row r="492" spans="1:51">
      <c r="A492">
        <v>490</v>
      </c>
      <c r="B492" t="s">
        <v>234</v>
      </c>
      <c r="C492">
        <v>2023</v>
      </c>
      <c r="D492">
        <v>5345</v>
      </c>
      <c r="E492">
        <v>264</v>
      </c>
      <c r="F492">
        <v>2</v>
      </c>
      <c r="G492">
        <v>2</v>
      </c>
      <c r="H492">
        <v>22</v>
      </c>
      <c r="I492">
        <v>60</v>
      </c>
      <c r="J492">
        <v>526</v>
      </c>
      <c r="K492">
        <v>2</v>
      </c>
      <c r="L492">
        <v>8</v>
      </c>
      <c r="M492">
        <v>9</v>
      </c>
      <c r="N492">
        <v>99</v>
      </c>
      <c r="O492">
        <v>9</v>
      </c>
      <c r="P492">
        <v>3</v>
      </c>
      <c r="Q492">
        <v>99999</v>
      </c>
      <c r="R492" s="276">
        <v>20373.403104916299</v>
      </c>
      <c r="S492" s="7">
        <v>45372.583067129628</v>
      </c>
      <c r="AX492" s="7"/>
      <c r="AY492" s="7"/>
    </row>
    <row r="493" spans="1:51">
      <c r="A493">
        <v>491</v>
      </c>
      <c r="B493" t="s">
        <v>234</v>
      </c>
      <c r="C493">
        <v>2023</v>
      </c>
      <c r="D493">
        <v>5345</v>
      </c>
      <c r="E493">
        <v>264</v>
      </c>
      <c r="F493">
        <v>2</v>
      </c>
      <c r="G493">
        <v>2</v>
      </c>
      <c r="H493">
        <v>22</v>
      </c>
      <c r="I493">
        <v>60</v>
      </c>
      <c r="J493">
        <v>526</v>
      </c>
      <c r="K493">
        <v>2</v>
      </c>
      <c r="L493">
        <v>10</v>
      </c>
      <c r="M493">
        <v>9</v>
      </c>
      <c r="N493">
        <v>99</v>
      </c>
      <c r="O493">
        <v>9</v>
      </c>
      <c r="P493">
        <v>3</v>
      </c>
      <c r="Q493">
        <v>99999</v>
      </c>
      <c r="R493" s="276">
        <v>0</v>
      </c>
      <c r="S493" s="7">
        <v>45372.583067129628</v>
      </c>
      <c r="AX493" s="7"/>
      <c r="AY493" s="7"/>
    </row>
    <row r="494" spans="1:51">
      <c r="A494">
        <v>492</v>
      </c>
      <c r="B494" t="s">
        <v>234</v>
      </c>
      <c r="C494">
        <v>2023</v>
      </c>
      <c r="D494">
        <v>5345</v>
      </c>
      <c r="E494">
        <v>264</v>
      </c>
      <c r="F494">
        <v>2</v>
      </c>
      <c r="G494">
        <v>2</v>
      </c>
      <c r="H494">
        <v>22</v>
      </c>
      <c r="I494">
        <v>60</v>
      </c>
      <c r="J494">
        <v>526</v>
      </c>
      <c r="K494">
        <v>2</v>
      </c>
      <c r="L494">
        <v>24</v>
      </c>
      <c r="M494">
        <v>9</v>
      </c>
      <c r="N494">
        <v>99</v>
      </c>
      <c r="O494">
        <v>9</v>
      </c>
      <c r="P494">
        <v>3</v>
      </c>
      <c r="Q494">
        <v>99999</v>
      </c>
      <c r="R494" s="276">
        <v>0</v>
      </c>
      <c r="S494" s="7">
        <v>45372.583067129628</v>
      </c>
      <c r="AX494" s="7"/>
      <c r="AY494" s="7"/>
    </row>
    <row r="495" spans="1:51">
      <c r="A495">
        <v>493</v>
      </c>
      <c r="B495" t="s">
        <v>234</v>
      </c>
      <c r="C495">
        <v>2023</v>
      </c>
      <c r="D495">
        <v>5345</v>
      </c>
      <c r="E495">
        <v>264</v>
      </c>
      <c r="F495">
        <v>2</v>
      </c>
      <c r="G495">
        <v>2</v>
      </c>
      <c r="H495">
        <v>22</v>
      </c>
      <c r="I495">
        <v>60</v>
      </c>
      <c r="J495">
        <v>510</v>
      </c>
      <c r="K495">
        <v>4</v>
      </c>
      <c r="L495">
        <v>999</v>
      </c>
      <c r="M495">
        <v>9</v>
      </c>
      <c r="N495">
        <v>99</v>
      </c>
      <c r="O495">
        <v>9</v>
      </c>
      <c r="P495">
        <v>3</v>
      </c>
      <c r="Q495">
        <v>99999</v>
      </c>
      <c r="R495" s="276">
        <v>0</v>
      </c>
      <c r="S495" s="7">
        <v>45372.583067129628</v>
      </c>
      <c r="AX495" s="7"/>
      <c r="AY495" s="7"/>
    </row>
    <row r="496" spans="1:51">
      <c r="A496">
        <v>494</v>
      </c>
      <c r="B496" t="s">
        <v>277</v>
      </c>
      <c r="C496">
        <v>2023</v>
      </c>
      <c r="D496">
        <v>5346</v>
      </c>
      <c r="E496">
        <v>263</v>
      </c>
      <c r="F496">
        <v>1</v>
      </c>
      <c r="G496">
        <v>1</v>
      </c>
      <c r="H496">
        <v>15</v>
      </c>
      <c r="I496">
        <v>86</v>
      </c>
      <c r="J496">
        <v>999</v>
      </c>
      <c r="K496">
        <v>4</v>
      </c>
      <c r="L496">
        <v>999</v>
      </c>
      <c r="M496">
        <v>9</v>
      </c>
      <c r="N496">
        <v>99</v>
      </c>
      <c r="O496">
        <v>9</v>
      </c>
      <c r="P496">
        <v>3</v>
      </c>
      <c r="Q496">
        <v>99999</v>
      </c>
      <c r="R496" s="276">
        <v>13432500.4026065</v>
      </c>
      <c r="S496" s="7">
        <v>45383.489039351851</v>
      </c>
      <c r="AX496" s="7"/>
      <c r="AY496" s="7"/>
    </row>
    <row r="497" spans="1:51">
      <c r="A497">
        <v>495</v>
      </c>
      <c r="B497" t="s">
        <v>277</v>
      </c>
      <c r="C497">
        <v>2023</v>
      </c>
      <c r="D497">
        <v>5346</v>
      </c>
      <c r="E497">
        <v>263</v>
      </c>
      <c r="F497">
        <v>1</v>
      </c>
      <c r="G497">
        <v>1</v>
      </c>
      <c r="H497">
        <v>15</v>
      </c>
      <c r="I497">
        <v>144</v>
      </c>
      <c r="J497">
        <v>999</v>
      </c>
      <c r="K497">
        <v>2</v>
      </c>
      <c r="L497">
        <v>999</v>
      </c>
      <c r="M497">
        <v>9</v>
      </c>
      <c r="N497">
        <v>5</v>
      </c>
      <c r="O497">
        <v>9</v>
      </c>
      <c r="P497">
        <v>4</v>
      </c>
      <c r="Q497">
        <v>5707</v>
      </c>
      <c r="R497" s="276">
        <v>284.55804000000001</v>
      </c>
      <c r="S497" s="7">
        <v>45383.489039351851</v>
      </c>
      <c r="AX497" s="7"/>
      <c r="AY497" s="7"/>
    </row>
    <row r="498" spans="1:51">
      <c r="A498">
        <v>496</v>
      </c>
      <c r="B498" t="s">
        <v>277</v>
      </c>
      <c r="C498">
        <v>2023</v>
      </c>
      <c r="D498">
        <v>5346</v>
      </c>
      <c r="E498">
        <v>263</v>
      </c>
      <c r="F498">
        <v>1</v>
      </c>
      <c r="G498">
        <v>1</v>
      </c>
      <c r="H498">
        <v>15</v>
      </c>
      <c r="I498">
        <v>144</v>
      </c>
      <c r="J498">
        <v>999</v>
      </c>
      <c r="K498">
        <v>2</v>
      </c>
      <c r="L498">
        <v>999</v>
      </c>
      <c r="M498">
        <v>9</v>
      </c>
      <c r="N498">
        <v>99</v>
      </c>
      <c r="O498">
        <v>9</v>
      </c>
      <c r="P498">
        <v>4</v>
      </c>
      <c r="Q498">
        <v>0</v>
      </c>
      <c r="R498" s="276">
        <v>284.55804000000001</v>
      </c>
      <c r="S498" s="7">
        <v>45383.489039351851</v>
      </c>
      <c r="AX498" s="7"/>
      <c r="AY498" s="7"/>
    </row>
    <row r="499" spans="1:51">
      <c r="A499">
        <v>497</v>
      </c>
      <c r="B499" t="s">
        <v>277</v>
      </c>
      <c r="C499">
        <v>2023</v>
      </c>
      <c r="D499">
        <v>5346</v>
      </c>
      <c r="E499">
        <v>263</v>
      </c>
      <c r="F499">
        <v>1</v>
      </c>
      <c r="G499">
        <v>1</v>
      </c>
      <c r="H499">
        <v>15</v>
      </c>
      <c r="I499">
        <v>144</v>
      </c>
      <c r="J499">
        <v>999</v>
      </c>
      <c r="K499">
        <v>2</v>
      </c>
      <c r="L499">
        <v>999</v>
      </c>
      <c r="M499">
        <v>9</v>
      </c>
      <c r="N499">
        <v>99</v>
      </c>
      <c r="O499">
        <v>9</v>
      </c>
      <c r="P499">
        <v>4</v>
      </c>
      <c r="Q499">
        <v>0</v>
      </c>
      <c r="R499" s="276">
        <v>0</v>
      </c>
      <c r="S499" s="7">
        <v>45383.489039351851</v>
      </c>
      <c r="AX499" s="7"/>
      <c r="AY499" s="7"/>
    </row>
    <row r="500" spans="1:51">
      <c r="A500">
        <v>498</v>
      </c>
      <c r="B500" t="s">
        <v>277</v>
      </c>
      <c r="C500">
        <v>2023</v>
      </c>
      <c r="D500">
        <v>5346</v>
      </c>
      <c r="E500">
        <v>263</v>
      </c>
      <c r="F500">
        <v>1</v>
      </c>
      <c r="G500">
        <v>1</v>
      </c>
      <c r="H500">
        <v>15</v>
      </c>
      <c r="I500">
        <v>144</v>
      </c>
      <c r="J500">
        <v>999</v>
      </c>
      <c r="K500">
        <v>2</v>
      </c>
      <c r="L500">
        <v>999</v>
      </c>
      <c r="M500">
        <v>9</v>
      </c>
      <c r="N500">
        <v>99</v>
      </c>
      <c r="O500">
        <v>9</v>
      </c>
      <c r="P500">
        <v>4</v>
      </c>
      <c r="Q500">
        <v>0</v>
      </c>
      <c r="R500" s="276">
        <v>0</v>
      </c>
      <c r="S500" s="7">
        <v>45383.489039351851</v>
      </c>
      <c r="AX500" s="7"/>
      <c r="AY500" s="7"/>
    </row>
    <row r="501" spans="1:51">
      <c r="A501">
        <v>499</v>
      </c>
      <c r="B501" t="s">
        <v>277</v>
      </c>
      <c r="C501">
        <v>2023</v>
      </c>
      <c r="D501">
        <v>5346</v>
      </c>
      <c r="E501">
        <v>263</v>
      </c>
      <c r="F501">
        <v>1</v>
      </c>
      <c r="G501">
        <v>1</v>
      </c>
      <c r="H501">
        <v>15</v>
      </c>
      <c r="I501">
        <v>144</v>
      </c>
      <c r="J501">
        <v>999</v>
      </c>
      <c r="K501">
        <v>2</v>
      </c>
      <c r="L501">
        <v>999</v>
      </c>
      <c r="M501">
        <v>9</v>
      </c>
      <c r="N501">
        <v>99</v>
      </c>
      <c r="O501">
        <v>9</v>
      </c>
      <c r="P501">
        <v>4</v>
      </c>
      <c r="Q501">
        <v>0</v>
      </c>
      <c r="R501" s="276">
        <v>0</v>
      </c>
      <c r="S501" s="7">
        <v>45383.489039351851</v>
      </c>
      <c r="AX501" s="7"/>
      <c r="AY501" s="7"/>
    </row>
    <row r="502" spans="1:51">
      <c r="A502">
        <v>500</v>
      </c>
      <c r="B502" t="s">
        <v>277</v>
      </c>
      <c r="C502">
        <v>2023</v>
      </c>
      <c r="D502">
        <v>5346</v>
      </c>
      <c r="E502">
        <v>263</v>
      </c>
      <c r="F502">
        <v>7</v>
      </c>
      <c r="G502">
        <v>1</v>
      </c>
      <c r="H502">
        <v>52</v>
      </c>
      <c r="I502">
        <v>999999</v>
      </c>
      <c r="J502">
        <v>999</v>
      </c>
      <c r="K502">
        <v>1</v>
      </c>
      <c r="L502">
        <v>1</v>
      </c>
      <c r="M502">
        <v>9</v>
      </c>
      <c r="N502">
        <v>99</v>
      </c>
      <c r="O502">
        <v>9</v>
      </c>
      <c r="P502">
        <v>3</v>
      </c>
      <c r="Q502">
        <v>99999</v>
      </c>
      <c r="R502" s="276">
        <v>0</v>
      </c>
      <c r="S502" s="7">
        <v>45383.489039351851</v>
      </c>
      <c r="AX502" s="7"/>
      <c r="AY502" s="7"/>
    </row>
    <row r="503" spans="1:51">
      <c r="A503">
        <v>501</v>
      </c>
      <c r="B503" t="s">
        <v>277</v>
      </c>
      <c r="C503">
        <v>2023</v>
      </c>
      <c r="D503">
        <v>5346</v>
      </c>
      <c r="E503">
        <v>263</v>
      </c>
      <c r="F503">
        <v>7</v>
      </c>
      <c r="G503">
        <v>1</v>
      </c>
      <c r="H503">
        <v>52</v>
      </c>
      <c r="I503">
        <v>999999</v>
      </c>
      <c r="J503">
        <v>999</v>
      </c>
      <c r="K503">
        <v>1</v>
      </c>
      <c r="L503">
        <v>2</v>
      </c>
      <c r="M503">
        <v>9</v>
      </c>
      <c r="N503">
        <v>99</v>
      </c>
      <c r="O503">
        <v>9</v>
      </c>
      <c r="P503">
        <v>3</v>
      </c>
      <c r="Q503">
        <v>99999</v>
      </c>
      <c r="R503" s="276">
        <v>0</v>
      </c>
      <c r="S503" s="7">
        <v>45383.489039351851</v>
      </c>
      <c r="AX503" s="7"/>
      <c r="AY503" s="7"/>
    </row>
    <row r="504" spans="1:51">
      <c r="A504">
        <v>502</v>
      </c>
      <c r="B504" t="s">
        <v>277</v>
      </c>
      <c r="C504">
        <v>2023</v>
      </c>
      <c r="D504">
        <v>5346</v>
      </c>
      <c r="E504">
        <v>263</v>
      </c>
      <c r="F504">
        <v>7</v>
      </c>
      <c r="G504">
        <v>1</v>
      </c>
      <c r="H504">
        <v>52</v>
      </c>
      <c r="I504">
        <v>999999</v>
      </c>
      <c r="J504">
        <v>999</v>
      </c>
      <c r="K504">
        <v>1</v>
      </c>
      <c r="L504">
        <v>3</v>
      </c>
      <c r="M504">
        <v>9</v>
      </c>
      <c r="N504">
        <v>99</v>
      </c>
      <c r="O504">
        <v>9</v>
      </c>
      <c r="P504">
        <v>3</v>
      </c>
      <c r="Q504">
        <v>99999</v>
      </c>
      <c r="R504" s="276">
        <v>0</v>
      </c>
      <c r="S504" s="7">
        <v>45383.489039351851</v>
      </c>
      <c r="AX504" s="7"/>
      <c r="AY504" s="7"/>
    </row>
    <row r="505" spans="1:51">
      <c r="A505">
        <v>503</v>
      </c>
      <c r="B505" t="s">
        <v>277</v>
      </c>
      <c r="C505">
        <v>2023</v>
      </c>
      <c r="D505">
        <v>5346</v>
      </c>
      <c r="E505">
        <v>263</v>
      </c>
      <c r="F505">
        <v>7</v>
      </c>
      <c r="G505">
        <v>1</v>
      </c>
      <c r="H505">
        <v>52</v>
      </c>
      <c r="I505">
        <v>999999</v>
      </c>
      <c r="J505">
        <v>999</v>
      </c>
      <c r="K505">
        <v>1</v>
      </c>
      <c r="L505">
        <v>7</v>
      </c>
      <c r="M505">
        <v>9</v>
      </c>
      <c r="N505">
        <v>99</v>
      </c>
      <c r="O505">
        <v>9</v>
      </c>
      <c r="P505">
        <v>3</v>
      </c>
      <c r="Q505">
        <v>99999</v>
      </c>
      <c r="R505" s="276">
        <v>4886284.0670609698</v>
      </c>
      <c r="S505" s="7">
        <v>45383.489039351851</v>
      </c>
      <c r="AX505" s="7"/>
      <c r="AY505" s="7"/>
    </row>
    <row r="506" spans="1:51">
      <c r="A506">
        <v>504</v>
      </c>
      <c r="B506" t="s">
        <v>277</v>
      </c>
      <c r="C506">
        <v>2023</v>
      </c>
      <c r="D506">
        <v>5346</v>
      </c>
      <c r="E506">
        <v>263</v>
      </c>
      <c r="F506">
        <v>7</v>
      </c>
      <c r="G506">
        <v>1</v>
      </c>
      <c r="H506">
        <v>52</v>
      </c>
      <c r="I506">
        <v>101</v>
      </c>
      <c r="J506">
        <v>999</v>
      </c>
      <c r="K506">
        <v>4</v>
      </c>
      <c r="L506">
        <v>999</v>
      </c>
      <c r="M506">
        <v>9</v>
      </c>
      <c r="N506">
        <v>99</v>
      </c>
      <c r="O506">
        <v>9</v>
      </c>
      <c r="P506">
        <v>3</v>
      </c>
      <c r="Q506">
        <v>99999</v>
      </c>
      <c r="R506" s="276">
        <v>13748576.4083487</v>
      </c>
      <c r="S506" s="7">
        <v>45383.489039351851</v>
      </c>
      <c r="AX506" s="7"/>
      <c r="AY506" s="7"/>
    </row>
    <row r="507" spans="1:51">
      <c r="A507">
        <v>505</v>
      </c>
      <c r="B507" t="s">
        <v>277</v>
      </c>
      <c r="C507">
        <v>2023</v>
      </c>
      <c r="D507">
        <v>5346</v>
      </c>
      <c r="E507">
        <v>263</v>
      </c>
      <c r="F507">
        <v>1</v>
      </c>
      <c r="G507">
        <v>1</v>
      </c>
      <c r="H507">
        <v>6</v>
      </c>
      <c r="I507">
        <v>999999</v>
      </c>
      <c r="J507">
        <v>999</v>
      </c>
      <c r="K507">
        <v>2</v>
      </c>
      <c r="L507">
        <v>999</v>
      </c>
      <c r="M507">
        <v>9</v>
      </c>
      <c r="N507">
        <v>99</v>
      </c>
      <c r="O507">
        <v>9</v>
      </c>
      <c r="P507">
        <v>2</v>
      </c>
      <c r="Q507">
        <v>99999</v>
      </c>
      <c r="R507" s="276">
        <v>0</v>
      </c>
      <c r="S507" s="7">
        <v>45383.489039351851</v>
      </c>
      <c r="AX507" s="7"/>
      <c r="AY507" s="7"/>
    </row>
    <row r="508" spans="1:51">
      <c r="A508">
        <v>506</v>
      </c>
      <c r="B508" t="s">
        <v>277</v>
      </c>
      <c r="C508">
        <v>2023</v>
      </c>
      <c r="D508">
        <v>5346</v>
      </c>
      <c r="E508">
        <v>263</v>
      </c>
      <c r="F508">
        <v>7</v>
      </c>
      <c r="G508">
        <v>1</v>
      </c>
      <c r="H508">
        <v>52</v>
      </c>
      <c r="I508">
        <v>999999</v>
      </c>
      <c r="J508">
        <v>999</v>
      </c>
      <c r="K508">
        <v>3</v>
      </c>
      <c r="L508">
        <v>29</v>
      </c>
      <c r="M508">
        <v>9</v>
      </c>
      <c r="N508">
        <v>99</v>
      </c>
      <c r="O508">
        <v>9</v>
      </c>
      <c r="P508">
        <v>3</v>
      </c>
      <c r="Q508">
        <v>99999</v>
      </c>
      <c r="R508" s="276">
        <v>0</v>
      </c>
      <c r="S508" s="7">
        <v>45383.489039351851</v>
      </c>
      <c r="AX508" s="7"/>
      <c r="AY508" s="7"/>
    </row>
    <row r="509" spans="1:51">
      <c r="A509">
        <v>507</v>
      </c>
      <c r="B509" t="s">
        <v>277</v>
      </c>
      <c r="C509">
        <v>2023</v>
      </c>
      <c r="D509">
        <v>5346</v>
      </c>
      <c r="E509">
        <v>263</v>
      </c>
      <c r="F509">
        <v>7</v>
      </c>
      <c r="G509">
        <v>1</v>
      </c>
      <c r="H509">
        <v>52</v>
      </c>
      <c r="I509">
        <v>81</v>
      </c>
      <c r="J509">
        <v>999</v>
      </c>
      <c r="K509">
        <v>3</v>
      </c>
      <c r="L509">
        <v>15</v>
      </c>
      <c r="M509">
        <v>9</v>
      </c>
      <c r="N509">
        <v>99</v>
      </c>
      <c r="O509">
        <v>9</v>
      </c>
      <c r="P509">
        <v>3</v>
      </c>
      <c r="Q509">
        <v>99999</v>
      </c>
      <c r="R509" s="276">
        <v>0</v>
      </c>
      <c r="S509" s="7">
        <v>45383.489039351851</v>
      </c>
      <c r="AX509" s="7"/>
      <c r="AY509" s="7"/>
    </row>
    <row r="510" spans="1:51">
      <c r="A510">
        <v>508</v>
      </c>
      <c r="B510" t="s">
        <v>277</v>
      </c>
      <c r="C510">
        <v>2023</v>
      </c>
      <c r="D510">
        <v>5346</v>
      </c>
      <c r="E510">
        <v>263</v>
      </c>
      <c r="F510">
        <v>7</v>
      </c>
      <c r="G510">
        <v>1</v>
      </c>
      <c r="H510">
        <v>52</v>
      </c>
      <c r="I510">
        <v>82</v>
      </c>
      <c r="J510">
        <v>999</v>
      </c>
      <c r="K510">
        <v>3</v>
      </c>
      <c r="L510">
        <v>25</v>
      </c>
      <c r="M510">
        <v>9</v>
      </c>
      <c r="N510">
        <v>99</v>
      </c>
      <c r="O510">
        <v>9</v>
      </c>
      <c r="P510">
        <v>3</v>
      </c>
      <c r="Q510">
        <v>99999</v>
      </c>
      <c r="R510" s="276">
        <v>0</v>
      </c>
      <c r="S510" s="7">
        <v>45383.489039351851</v>
      </c>
      <c r="AX510" s="7"/>
      <c r="AY510" s="7"/>
    </row>
    <row r="511" spans="1:51">
      <c r="A511">
        <v>509</v>
      </c>
      <c r="B511" t="s">
        <v>277</v>
      </c>
      <c r="C511">
        <v>2023</v>
      </c>
      <c r="D511">
        <v>5346</v>
      </c>
      <c r="E511">
        <v>263</v>
      </c>
      <c r="F511">
        <v>7</v>
      </c>
      <c r="G511">
        <v>1</v>
      </c>
      <c r="H511">
        <v>52</v>
      </c>
      <c r="I511">
        <v>999999</v>
      </c>
      <c r="J511">
        <v>999</v>
      </c>
      <c r="K511">
        <v>3</v>
      </c>
      <c r="L511">
        <v>17</v>
      </c>
      <c r="M511">
        <v>9</v>
      </c>
      <c r="N511">
        <v>99</v>
      </c>
      <c r="O511">
        <v>9</v>
      </c>
      <c r="P511">
        <v>3</v>
      </c>
      <c r="Q511">
        <v>99999</v>
      </c>
      <c r="R511" s="276">
        <v>0</v>
      </c>
      <c r="S511" s="7">
        <v>45383.489039351851</v>
      </c>
      <c r="AX511" s="7"/>
      <c r="AY511" s="7"/>
    </row>
    <row r="512" spans="1:51">
      <c r="A512">
        <v>510</v>
      </c>
      <c r="B512" t="s">
        <v>277</v>
      </c>
      <c r="C512">
        <v>2023</v>
      </c>
      <c r="D512">
        <v>5346</v>
      </c>
      <c r="E512">
        <v>263</v>
      </c>
      <c r="F512">
        <v>7</v>
      </c>
      <c r="G512">
        <v>1</v>
      </c>
      <c r="H512">
        <v>52</v>
      </c>
      <c r="I512">
        <v>999999</v>
      </c>
      <c r="J512">
        <v>999</v>
      </c>
      <c r="K512">
        <v>3</v>
      </c>
      <c r="L512">
        <v>18</v>
      </c>
      <c r="M512">
        <v>9</v>
      </c>
      <c r="N512">
        <v>99</v>
      </c>
      <c r="O512">
        <v>9</v>
      </c>
      <c r="P512">
        <v>3</v>
      </c>
      <c r="Q512">
        <v>99999</v>
      </c>
      <c r="R512" s="276">
        <v>304639.417074928</v>
      </c>
      <c r="S512" s="7">
        <v>45383.489039351851</v>
      </c>
      <c r="AX512" s="7"/>
      <c r="AY512" s="7"/>
    </row>
    <row r="513" spans="1:51">
      <c r="A513">
        <v>511</v>
      </c>
      <c r="B513" t="s">
        <v>277</v>
      </c>
      <c r="C513">
        <v>2023</v>
      </c>
      <c r="D513">
        <v>5346</v>
      </c>
      <c r="E513">
        <v>263</v>
      </c>
      <c r="F513">
        <v>7</v>
      </c>
      <c r="G513">
        <v>1</v>
      </c>
      <c r="H513">
        <v>52</v>
      </c>
      <c r="I513">
        <v>55</v>
      </c>
      <c r="J513">
        <v>999</v>
      </c>
      <c r="K513">
        <v>2</v>
      </c>
      <c r="L513">
        <v>999</v>
      </c>
      <c r="M513">
        <v>9</v>
      </c>
      <c r="N513">
        <v>99</v>
      </c>
      <c r="O513">
        <v>9</v>
      </c>
      <c r="P513">
        <v>3</v>
      </c>
      <c r="Q513">
        <v>99999</v>
      </c>
      <c r="R513" s="276">
        <v>7149947.5976697505</v>
      </c>
      <c r="S513" s="7">
        <v>45383.489039351851</v>
      </c>
      <c r="AX513" s="7"/>
      <c r="AY513" s="7"/>
    </row>
    <row r="514" spans="1:51">
      <c r="A514">
        <v>512</v>
      </c>
      <c r="B514" t="s">
        <v>277</v>
      </c>
      <c r="C514">
        <v>2023</v>
      </c>
      <c r="D514">
        <v>5346</v>
      </c>
      <c r="E514">
        <v>263</v>
      </c>
      <c r="F514">
        <v>7</v>
      </c>
      <c r="G514">
        <v>99</v>
      </c>
      <c r="H514">
        <v>120</v>
      </c>
      <c r="I514">
        <v>999999</v>
      </c>
      <c r="J514">
        <v>999</v>
      </c>
      <c r="K514">
        <v>99</v>
      </c>
      <c r="L514">
        <v>999</v>
      </c>
      <c r="M514">
        <v>9</v>
      </c>
      <c r="N514">
        <v>22</v>
      </c>
      <c r="O514">
        <v>9</v>
      </c>
      <c r="P514">
        <v>4</v>
      </c>
      <c r="Q514">
        <v>99999</v>
      </c>
      <c r="R514" s="276">
        <v>0.10004349179835</v>
      </c>
      <c r="S514" s="7">
        <v>45383.489039351851</v>
      </c>
      <c r="AX514" s="7"/>
      <c r="AY514" s="7"/>
    </row>
    <row r="515" spans="1:51">
      <c r="A515">
        <v>513</v>
      </c>
      <c r="B515" t="s">
        <v>277</v>
      </c>
      <c r="C515">
        <v>2023</v>
      </c>
      <c r="D515">
        <v>5346</v>
      </c>
      <c r="E515">
        <v>263</v>
      </c>
      <c r="F515">
        <v>7</v>
      </c>
      <c r="G515">
        <v>99</v>
      </c>
      <c r="H515">
        <v>130</v>
      </c>
      <c r="I515">
        <v>999999</v>
      </c>
      <c r="J515">
        <v>999</v>
      </c>
      <c r="K515">
        <v>99</v>
      </c>
      <c r="L515">
        <v>999</v>
      </c>
      <c r="M515">
        <v>9</v>
      </c>
      <c r="N515">
        <v>99</v>
      </c>
      <c r="O515">
        <v>9</v>
      </c>
      <c r="P515">
        <v>5</v>
      </c>
      <c r="Q515">
        <v>99999</v>
      </c>
      <c r="R515" s="276">
        <v>741.18</v>
      </c>
      <c r="S515" s="7">
        <v>45383.489039351851</v>
      </c>
      <c r="AX515" s="7"/>
      <c r="AY515" s="7"/>
    </row>
    <row r="516" spans="1:51">
      <c r="A516">
        <v>514</v>
      </c>
      <c r="B516" t="s">
        <v>277</v>
      </c>
      <c r="C516">
        <v>2023</v>
      </c>
      <c r="D516">
        <v>5346</v>
      </c>
      <c r="E516">
        <v>263</v>
      </c>
      <c r="F516">
        <v>7</v>
      </c>
      <c r="G516">
        <v>1</v>
      </c>
      <c r="H516">
        <v>52</v>
      </c>
      <c r="I516">
        <v>999999</v>
      </c>
      <c r="J516">
        <v>999</v>
      </c>
      <c r="K516">
        <v>3</v>
      </c>
      <c r="L516">
        <v>14</v>
      </c>
      <c r="M516">
        <v>9</v>
      </c>
      <c r="N516">
        <v>99</v>
      </c>
      <c r="O516">
        <v>9</v>
      </c>
      <c r="P516">
        <v>3</v>
      </c>
      <c r="Q516">
        <v>99999</v>
      </c>
      <c r="R516" s="276">
        <v>53441.8153067323</v>
      </c>
      <c r="S516" s="7">
        <v>45383.489039351851</v>
      </c>
      <c r="AX516" s="7"/>
      <c r="AY516" s="7"/>
    </row>
    <row r="517" spans="1:51">
      <c r="A517">
        <v>515</v>
      </c>
      <c r="B517" t="s">
        <v>277</v>
      </c>
      <c r="C517">
        <v>2023</v>
      </c>
      <c r="D517">
        <v>5346</v>
      </c>
      <c r="E517">
        <v>263</v>
      </c>
      <c r="F517">
        <v>7</v>
      </c>
      <c r="G517">
        <v>1</v>
      </c>
      <c r="H517">
        <v>52</v>
      </c>
      <c r="I517">
        <v>999999</v>
      </c>
      <c r="J517">
        <v>999</v>
      </c>
      <c r="K517">
        <v>3</v>
      </c>
      <c r="L517">
        <v>15</v>
      </c>
      <c r="M517">
        <v>9</v>
      </c>
      <c r="N517">
        <v>99</v>
      </c>
      <c r="O517">
        <v>9</v>
      </c>
      <c r="P517">
        <v>3</v>
      </c>
      <c r="Q517">
        <v>99999</v>
      </c>
      <c r="R517" s="276">
        <v>1881291.6654589199</v>
      </c>
      <c r="S517" s="7">
        <v>45383.489039351851</v>
      </c>
      <c r="AX517" s="7"/>
      <c r="AY517" s="7"/>
    </row>
    <row r="518" spans="1:51">
      <c r="A518">
        <v>516</v>
      </c>
      <c r="B518" t="s">
        <v>277</v>
      </c>
      <c r="C518">
        <v>2023</v>
      </c>
      <c r="D518">
        <v>5346</v>
      </c>
      <c r="E518">
        <v>263</v>
      </c>
      <c r="F518">
        <v>7</v>
      </c>
      <c r="G518">
        <v>1</v>
      </c>
      <c r="H518">
        <v>52</v>
      </c>
      <c r="I518">
        <v>73</v>
      </c>
      <c r="J518">
        <v>999</v>
      </c>
      <c r="K518">
        <v>3</v>
      </c>
      <c r="L518">
        <v>15</v>
      </c>
      <c r="M518">
        <v>9</v>
      </c>
      <c r="N518">
        <v>99</v>
      </c>
      <c r="O518">
        <v>9</v>
      </c>
      <c r="P518">
        <v>3</v>
      </c>
      <c r="Q518">
        <v>99999</v>
      </c>
      <c r="R518" s="276">
        <v>0</v>
      </c>
      <c r="S518" s="7">
        <v>45383.489039351851</v>
      </c>
      <c r="AX518" s="7"/>
      <c r="AY518" s="7"/>
    </row>
    <row r="519" spans="1:51">
      <c r="A519">
        <v>517</v>
      </c>
      <c r="B519" t="s">
        <v>277</v>
      </c>
      <c r="C519">
        <v>2023</v>
      </c>
      <c r="D519">
        <v>5346</v>
      </c>
      <c r="E519">
        <v>263</v>
      </c>
      <c r="F519">
        <v>7</v>
      </c>
      <c r="G519">
        <v>1</v>
      </c>
      <c r="H519">
        <v>52</v>
      </c>
      <c r="I519">
        <v>999999</v>
      </c>
      <c r="J519">
        <v>999</v>
      </c>
      <c r="K519">
        <v>3</v>
      </c>
      <c r="L519">
        <v>28</v>
      </c>
      <c r="M519">
        <v>9</v>
      </c>
      <c r="N519">
        <v>99</v>
      </c>
      <c r="O519">
        <v>9</v>
      </c>
      <c r="P519">
        <v>3</v>
      </c>
      <c r="Q519">
        <v>99999</v>
      </c>
      <c r="R519" s="276">
        <v>0</v>
      </c>
      <c r="S519" s="7">
        <v>45383.489039351851</v>
      </c>
      <c r="AX519" s="7"/>
      <c r="AY519" s="7"/>
    </row>
    <row r="520" spans="1:51">
      <c r="A520">
        <v>518</v>
      </c>
      <c r="B520" t="s">
        <v>277</v>
      </c>
      <c r="C520">
        <v>2023</v>
      </c>
      <c r="D520">
        <v>5346</v>
      </c>
      <c r="E520">
        <v>263</v>
      </c>
      <c r="F520">
        <v>1</v>
      </c>
      <c r="G520">
        <v>3</v>
      </c>
      <c r="H520">
        <v>51</v>
      </c>
      <c r="I520">
        <v>82</v>
      </c>
      <c r="J520">
        <v>999</v>
      </c>
      <c r="K520">
        <v>3</v>
      </c>
      <c r="L520">
        <v>999</v>
      </c>
      <c r="M520">
        <v>2</v>
      </c>
      <c r="N520">
        <v>99</v>
      </c>
      <c r="O520">
        <v>9</v>
      </c>
      <c r="P520">
        <v>4</v>
      </c>
      <c r="Q520">
        <v>99999</v>
      </c>
      <c r="R520" s="276">
        <v>1</v>
      </c>
      <c r="S520" s="7">
        <v>45383.489039351851</v>
      </c>
      <c r="AX520" s="7"/>
      <c r="AY520" s="7"/>
    </row>
    <row r="521" spans="1:51">
      <c r="A521">
        <v>519</v>
      </c>
      <c r="B521" t="s">
        <v>277</v>
      </c>
      <c r="C521">
        <v>2023</v>
      </c>
      <c r="D521">
        <v>5346</v>
      </c>
      <c r="E521">
        <v>263</v>
      </c>
      <c r="F521">
        <v>1</v>
      </c>
      <c r="G521">
        <v>3</v>
      </c>
      <c r="H521">
        <v>51</v>
      </c>
      <c r="I521">
        <v>73</v>
      </c>
      <c r="J521">
        <v>999</v>
      </c>
      <c r="K521">
        <v>3</v>
      </c>
      <c r="L521">
        <v>999</v>
      </c>
      <c r="M521">
        <v>1</v>
      </c>
      <c r="N521">
        <v>99</v>
      </c>
      <c r="O521">
        <v>9</v>
      </c>
      <c r="P521">
        <v>4</v>
      </c>
      <c r="Q521">
        <v>99999</v>
      </c>
      <c r="R521" s="276">
        <v>0</v>
      </c>
      <c r="S521" s="7">
        <v>45383.489039351851</v>
      </c>
      <c r="AX521" s="7"/>
      <c r="AY521" s="7"/>
    </row>
    <row r="522" spans="1:51">
      <c r="A522">
        <v>520</v>
      </c>
      <c r="B522" t="s">
        <v>277</v>
      </c>
      <c r="C522">
        <v>2023</v>
      </c>
      <c r="D522">
        <v>5346</v>
      </c>
      <c r="E522">
        <v>263</v>
      </c>
      <c r="F522">
        <v>1</v>
      </c>
      <c r="G522">
        <v>3</v>
      </c>
      <c r="H522">
        <v>51</v>
      </c>
      <c r="I522">
        <v>74</v>
      </c>
      <c r="J522">
        <v>999</v>
      </c>
      <c r="K522">
        <v>3</v>
      </c>
      <c r="L522">
        <v>999</v>
      </c>
      <c r="M522">
        <v>2</v>
      </c>
      <c r="N522">
        <v>99</v>
      </c>
      <c r="O522">
        <v>9</v>
      </c>
      <c r="P522">
        <v>4</v>
      </c>
      <c r="Q522">
        <v>99999</v>
      </c>
      <c r="R522" s="276">
        <v>0</v>
      </c>
      <c r="S522" s="7">
        <v>45383.489039351851</v>
      </c>
      <c r="AX522" s="7"/>
      <c r="AY522" s="7"/>
    </row>
    <row r="523" spans="1:51">
      <c r="A523">
        <v>521</v>
      </c>
      <c r="B523" t="s">
        <v>277</v>
      </c>
      <c r="C523">
        <v>2023</v>
      </c>
      <c r="D523">
        <v>5346</v>
      </c>
      <c r="E523">
        <v>263</v>
      </c>
      <c r="F523">
        <v>2</v>
      </c>
      <c r="G523">
        <v>1</v>
      </c>
      <c r="H523">
        <v>51</v>
      </c>
      <c r="I523">
        <v>999999</v>
      </c>
      <c r="J523">
        <v>999</v>
      </c>
      <c r="K523">
        <v>3</v>
      </c>
      <c r="L523">
        <v>29</v>
      </c>
      <c r="M523">
        <v>2</v>
      </c>
      <c r="N523">
        <v>99</v>
      </c>
      <c r="O523">
        <v>9</v>
      </c>
      <c r="P523">
        <v>3</v>
      </c>
      <c r="Q523">
        <v>99999</v>
      </c>
      <c r="R523" s="276">
        <v>137501.13299000001</v>
      </c>
      <c r="S523" s="7">
        <v>45383.489039351851</v>
      </c>
      <c r="AX523" s="7"/>
      <c r="AY523" s="7"/>
    </row>
    <row r="524" spans="1:51">
      <c r="A524">
        <v>522</v>
      </c>
      <c r="B524" t="s">
        <v>277</v>
      </c>
      <c r="C524">
        <v>2023</v>
      </c>
      <c r="D524">
        <v>5346</v>
      </c>
      <c r="E524">
        <v>263</v>
      </c>
      <c r="F524">
        <v>7</v>
      </c>
      <c r="G524">
        <v>99</v>
      </c>
      <c r="H524">
        <v>120</v>
      </c>
      <c r="I524">
        <v>999999</v>
      </c>
      <c r="J524">
        <v>999</v>
      </c>
      <c r="K524">
        <v>99</v>
      </c>
      <c r="L524">
        <v>999</v>
      </c>
      <c r="M524">
        <v>9</v>
      </c>
      <c r="N524">
        <v>20</v>
      </c>
      <c r="O524">
        <v>9</v>
      </c>
      <c r="P524">
        <v>4</v>
      </c>
      <c r="Q524">
        <v>99999</v>
      </c>
      <c r="R524" s="276">
        <v>0.121819023923877</v>
      </c>
      <c r="S524" s="7">
        <v>45383.489039351851</v>
      </c>
      <c r="AX524" s="7"/>
      <c r="AY524" s="7"/>
    </row>
    <row r="525" spans="1:51">
      <c r="A525">
        <v>523</v>
      </c>
      <c r="B525" t="s">
        <v>277</v>
      </c>
      <c r="C525">
        <v>2023</v>
      </c>
      <c r="D525">
        <v>5346</v>
      </c>
      <c r="E525">
        <v>263</v>
      </c>
      <c r="F525">
        <v>7</v>
      </c>
      <c r="G525">
        <v>99</v>
      </c>
      <c r="H525">
        <v>120</v>
      </c>
      <c r="I525">
        <v>999999</v>
      </c>
      <c r="J525">
        <v>999</v>
      </c>
      <c r="K525">
        <v>99</v>
      </c>
      <c r="L525">
        <v>999</v>
      </c>
      <c r="M525">
        <v>9</v>
      </c>
      <c r="N525">
        <v>21</v>
      </c>
      <c r="O525">
        <v>9</v>
      </c>
      <c r="P525">
        <v>4</v>
      </c>
      <c r="Q525">
        <v>99999</v>
      </c>
      <c r="R525" s="276">
        <v>9.6812742280761394E-2</v>
      </c>
      <c r="S525" s="7">
        <v>45383.489039351851</v>
      </c>
      <c r="AX525" s="7"/>
      <c r="AY525" s="7"/>
    </row>
    <row r="526" spans="1:51">
      <c r="A526">
        <v>524</v>
      </c>
      <c r="B526" t="s">
        <v>277</v>
      </c>
      <c r="C526">
        <v>2023</v>
      </c>
      <c r="D526">
        <v>5346</v>
      </c>
      <c r="E526">
        <v>263</v>
      </c>
      <c r="F526">
        <v>2</v>
      </c>
      <c r="G526">
        <v>2</v>
      </c>
      <c r="H526">
        <v>999</v>
      </c>
      <c r="I526">
        <v>999999</v>
      </c>
      <c r="J526">
        <v>999</v>
      </c>
      <c r="K526">
        <v>99</v>
      </c>
      <c r="L526">
        <v>999</v>
      </c>
      <c r="M526">
        <v>9</v>
      </c>
      <c r="N526">
        <v>99</v>
      </c>
      <c r="O526">
        <v>9</v>
      </c>
      <c r="P526">
        <v>3</v>
      </c>
      <c r="Q526">
        <v>99999</v>
      </c>
      <c r="R526" s="276">
        <v>0</v>
      </c>
      <c r="S526" s="7">
        <v>45383.489039351851</v>
      </c>
      <c r="AX526" s="7"/>
      <c r="AY526" s="7"/>
    </row>
    <row r="527" spans="1:51">
      <c r="A527">
        <v>525</v>
      </c>
      <c r="B527" t="s">
        <v>277</v>
      </c>
      <c r="C527">
        <v>2023</v>
      </c>
      <c r="D527">
        <v>5346</v>
      </c>
      <c r="E527">
        <v>263</v>
      </c>
      <c r="F527">
        <v>2</v>
      </c>
      <c r="G527">
        <v>2</v>
      </c>
      <c r="H527">
        <v>999</v>
      </c>
      <c r="I527">
        <v>999999</v>
      </c>
      <c r="J527">
        <v>999</v>
      </c>
      <c r="K527">
        <v>99</v>
      </c>
      <c r="L527">
        <v>999</v>
      </c>
      <c r="M527">
        <v>9</v>
      </c>
      <c r="N527">
        <v>99</v>
      </c>
      <c r="O527">
        <v>9</v>
      </c>
      <c r="P527">
        <v>3</v>
      </c>
      <c r="Q527">
        <v>99999</v>
      </c>
      <c r="R527" s="276">
        <v>0</v>
      </c>
      <c r="S527" s="7">
        <v>45383.489039351851</v>
      </c>
      <c r="AX527" s="7"/>
      <c r="AY527" s="7"/>
    </row>
    <row r="528" spans="1:51">
      <c r="A528">
        <v>526</v>
      </c>
      <c r="B528" t="s">
        <v>277</v>
      </c>
      <c r="C528">
        <v>2023</v>
      </c>
      <c r="D528">
        <v>5346</v>
      </c>
      <c r="E528">
        <v>263</v>
      </c>
      <c r="F528">
        <v>2</v>
      </c>
      <c r="G528">
        <v>2</v>
      </c>
      <c r="H528">
        <v>999</v>
      </c>
      <c r="I528">
        <v>999999</v>
      </c>
      <c r="J528">
        <v>999</v>
      </c>
      <c r="K528">
        <v>99</v>
      </c>
      <c r="L528">
        <v>999</v>
      </c>
      <c r="M528">
        <v>9</v>
      </c>
      <c r="N528">
        <v>99</v>
      </c>
      <c r="O528">
        <v>9</v>
      </c>
      <c r="P528">
        <v>3</v>
      </c>
      <c r="Q528">
        <v>99999</v>
      </c>
      <c r="R528" s="276">
        <v>0</v>
      </c>
      <c r="S528" s="7">
        <v>45383.489039351851</v>
      </c>
      <c r="AX528" s="7"/>
      <c r="AY528" s="7"/>
    </row>
    <row r="529" spans="1:51">
      <c r="A529">
        <v>527</v>
      </c>
      <c r="B529" t="s">
        <v>277</v>
      </c>
      <c r="C529">
        <v>2023</v>
      </c>
      <c r="D529">
        <v>5346</v>
      </c>
      <c r="E529">
        <v>263</v>
      </c>
      <c r="F529">
        <v>2</v>
      </c>
      <c r="G529">
        <v>1</v>
      </c>
      <c r="H529">
        <v>51</v>
      </c>
      <c r="I529">
        <v>82</v>
      </c>
      <c r="J529">
        <v>999</v>
      </c>
      <c r="K529">
        <v>3</v>
      </c>
      <c r="L529">
        <v>25</v>
      </c>
      <c r="M529">
        <v>2</v>
      </c>
      <c r="N529">
        <v>99</v>
      </c>
      <c r="O529">
        <v>9</v>
      </c>
      <c r="P529">
        <v>3</v>
      </c>
      <c r="Q529">
        <v>99999</v>
      </c>
      <c r="R529" s="276">
        <v>83293.302226516898</v>
      </c>
      <c r="S529" s="7">
        <v>45383.489039351851</v>
      </c>
      <c r="AX529" s="7"/>
      <c r="AY529" s="7"/>
    </row>
    <row r="530" spans="1:51">
      <c r="A530">
        <v>528</v>
      </c>
      <c r="B530" t="s">
        <v>277</v>
      </c>
      <c r="C530">
        <v>2023</v>
      </c>
      <c r="D530">
        <v>5346</v>
      </c>
      <c r="E530">
        <v>263</v>
      </c>
      <c r="F530">
        <v>2</v>
      </c>
      <c r="G530">
        <v>1</v>
      </c>
      <c r="H530">
        <v>51</v>
      </c>
      <c r="I530">
        <v>81</v>
      </c>
      <c r="J530">
        <v>999</v>
      </c>
      <c r="K530">
        <v>3</v>
      </c>
      <c r="L530">
        <v>15</v>
      </c>
      <c r="M530">
        <v>1</v>
      </c>
      <c r="N530">
        <v>99</v>
      </c>
      <c r="O530">
        <v>9</v>
      </c>
      <c r="P530">
        <v>3</v>
      </c>
      <c r="Q530">
        <v>99999</v>
      </c>
      <c r="R530" s="276">
        <v>0</v>
      </c>
      <c r="S530" s="7">
        <v>45383.489039351851</v>
      </c>
      <c r="AX530" s="7"/>
      <c r="AY530" s="7"/>
    </row>
    <row r="531" spans="1:51">
      <c r="A531">
        <v>529</v>
      </c>
      <c r="B531" t="s">
        <v>277</v>
      </c>
      <c r="C531">
        <v>2023</v>
      </c>
      <c r="D531">
        <v>5346</v>
      </c>
      <c r="E531">
        <v>263</v>
      </c>
      <c r="F531">
        <v>1</v>
      </c>
      <c r="G531">
        <v>3</v>
      </c>
      <c r="H531">
        <v>51</v>
      </c>
      <c r="I531">
        <v>81</v>
      </c>
      <c r="J531">
        <v>999</v>
      </c>
      <c r="K531">
        <v>3</v>
      </c>
      <c r="L531">
        <v>999</v>
      </c>
      <c r="M531">
        <v>1</v>
      </c>
      <c r="N531">
        <v>99</v>
      </c>
      <c r="O531">
        <v>9</v>
      </c>
      <c r="P531">
        <v>4</v>
      </c>
      <c r="Q531">
        <v>99999</v>
      </c>
      <c r="R531" s="276">
        <v>0</v>
      </c>
      <c r="S531" s="7">
        <v>45383.489039351851</v>
      </c>
      <c r="AX531" s="7"/>
      <c r="AY531" s="7"/>
    </row>
    <row r="532" spans="1:51">
      <c r="A532">
        <v>530</v>
      </c>
      <c r="B532" t="s">
        <v>277</v>
      </c>
      <c r="C532">
        <v>2023</v>
      </c>
      <c r="D532">
        <v>5346</v>
      </c>
      <c r="E532">
        <v>263</v>
      </c>
      <c r="F532">
        <v>2</v>
      </c>
      <c r="G532">
        <v>2</v>
      </c>
      <c r="H532">
        <v>22</v>
      </c>
      <c r="I532">
        <v>60</v>
      </c>
      <c r="J532">
        <v>999</v>
      </c>
      <c r="K532">
        <v>2</v>
      </c>
      <c r="L532">
        <v>11</v>
      </c>
      <c r="M532">
        <v>9</v>
      </c>
      <c r="N532">
        <v>99</v>
      </c>
      <c r="O532">
        <v>9</v>
      </c>
      <c r="P532">
        <v>3</v>
      </c>
      <c r="Q532">
        <v>99999</v>
      </c>
      <c r="R532" s="276">
        <v>0</v>
      </c>
      <c r="S532" s="7">
        <v>45383.489039351851</v>
      </c>
      <c r="AX532" s="7"/>
      <c r="AY532" s="7"/>
    </row>
    <row r="533" spans="1:51">
      <c r="A533">
        <v>531</v>
      </c>
      <c r="B533" t="s">
        <v>277</v>
      </c>
      <c r="C533">
        <v>2023</v>
      </c>
      <c r="D533">
        <v>5346</v>
      </c>
      <c r="E533">
        <v>263</v>
      </c>
      <c r="F533">
        <v>2</v>
      </c>
      <c r="G533">
        <v>2</v>
      </c>
      <c r="H533">
        <v>22</v>
      </c>
      <c r="I533">
        <v>60</v>
      </c>
      <c r="J533">
        <v>999</v>
      </c>
      <c r="K533">
        <v>2</v>
      </c>
      <c r="L533">
        <v>9</v>
      </c>
      <c r="M533">
        <v>9</v>
      </c>
      <c r="N533">
        <v>99</v>
      </c>
      <c r="O533">
        <v>9</v>
      </c>
      <c r="P533">
        <v>3</v>
      </c>
      <c r="Q533">
        <v>99999</v>
      </c>
      <c r="R533" s="276">
        <v>0</v>
      </c>
      <c r="S533" s="7">
        <v>45383.489039351851</v>
      </c>
      <c r="AX533" s="7"/>
      <c r="AY533" s="7"/>
    </row>
    <row r="534" spans="1:51">
      <c r="A534">
        <v>532</v>
      </c>
      <c r="B534" t="s">
        <v>277</v>
      </c>
      <c r="C534">
        <v>2023</v>
      </c>
      <c r="D534">
        <v>5346</v>
      </c>
      <c r="E534">
        <v>263</v>
      </c>
      <c r="F534">
        <v>2</v>
      </c>
      <c r="G534">
        <v>2</v>
      </c>
      <c r="H534">
        <v>22</v>
      </c>
      <c r="I534">
        <v>60</v>
      </c>
      <c r="J534">
        <v>999</v>
      </c>
      <c r="K534">
        <v>2</v>
      </c>
      <c r="L534">
        <v>8</v>
      </c>
      <c r="M534">
        <v>9</v>
      </c>
      <c r="N534">
        <v>99</v>
      </c>
      <c r="O534">
        <v>9</v>
      </c>
      <c r="P534">
        <v>3</v>
      </c>
      <c r="Q534">
        <v>99999</v>
      </c>
      <c r="R534" s="276">
        <v>0</v>
      </c>
      <c r="S534" s="7">
        <v>45383.489039351851</v>
      </c>
      <c r="AX534" s="7"/>
      <c r="AY534" s="7"/>
    </row>
    <row r="535" spans="1:51">
      <c r="A535">
        <v>533</v>
      </c>
      <c r="B535" t="s">
        <v>277</v>
      </c>
      <c r="C535">
        <v>2023</v>
      </c>
      <c r="D535">
        <v>5346</v>
      </c>
      <c r="E535">
        <v>263</v>
      </c>
      <c r="F535">
        <v>2</v>
      </c>
      <c r="G535">
        <v>2</v>
      </c>
      <c r="H535">
        <v>22</v>
      </c>
      <c r="I535">
        <v>60</v>
      </c>
      <c r="J535">
        <v>999</v>
      </c>
      <c r="K535">
        <v>2</v>
      </c>
      <c r="L535">
        <v>10</v>
      </c>
      <c r="M535">
        <v>9</v>
      </c>
      <c r="N535">
        <v>99</v>
      </c>
      <c r="O535">
        <v>9</v>
      </c>
      <c r="P535">
        <v>3</v>
      </c>
      <c r="Q535">
        <v>99999</v>
      </c>
      <c r="R535" s="276">
        <v>0</v>
      </c>
      <c r="S535" s="7">
        <v>45383.489039351851</v>
      </c>
      <c r="AX535" s="7"/>
      <c r="AY535" s="7"/>
    </row>
    <row r="536" spans="1:51">
      <c r="A536">
        <v>534</v>
      </c>
      <c r="B536" t="s">
        <v>277</v>
      </c>
      <c r="C536">
        <v>2023</v>
      </c>
      <c r="D536">
        <v>5346</v>
      </c>
      <c r="E536">
        <v>263</v>
      </c>
      <c r="F536">
        <v>2</v>
      </c>
      <c r="G536">
        <v>2</v>
      </c>
      <c r="H536">
        <v>22</v>
      </c>
      <c r="I536">
        <v>60</v>
      </c>
      <c r="J536">
        <v>999</v>
      </c>
      <c r="K536">
        <v>2</v>
      </c>
      <c r="L536">
        <v>24</v>
      </c>
      <c r="M536">
        <v>9</v>
      </c>
      <c r="N536">
        <v>99</v>
      </c>
      <c r="O536">
        <v>9</v>
      </c>
      <c r="P536">
        <v>3</v>
      </c>
      <c r="Q536">
        <v>99999</v>
      </c>
      <c r="R536" s="276">
        <v>0</v>
      </c>
      <c r="S536" s="7">
        <v>45383.489039351851</v>
      </c>
      <c r="AX536" s="7"/>
      <c r="AY536" s="7"/>
    </row>
    <row r="537" spans="1:51">
      <c r="A537">
        <v>535</v>
      </c>
      <c r="B537" t="s">
        <v>277</v>
      </c>
      <c r="C537">
        <v>2023</v>
      </c>
      <c r="D537">
        <v>5346</v>
      </c>
      <c r="E537">
        <v>263</v>
      </c>
      <c r="F537">
        <v>2</v>
      </c>
      <c r="G537">
        <v>2</v>
      </c>
      <c r="H537">
        <v>999</v>
      </c>
      <c r="I537">
        <v>999999</v>
      </c>
      <c r="J537">
        <v>999</v>
      </c>
      <c r="K537">
        <v>99</v>
      </c>
      <c r="L537">
        <v>999</v>
      </c>
      <c r="M537">
        <v>9</v>
      </c>
      <c r="N537">
        <v>99</v>
      </c>
      <c r="O537">
        <v>9</v>
      </c>
      <c r="P537">
        <v>3</v>
      </c>
      <c r="Q537">
        <v>99999</v>
      </c>
      <c r="R537" s="276">
        <v>0</v>
      </c>
      <c r="S537" s="7">
        <v>45383.489039351851</v>
      </c>
      <c r="AX537" s="7"/>
      <c r="AY537" s="7"/>
    </row>
    <row r="538" spans="1:51">
      <c r="A538">
        <v>536</v>
      </c>
      <c r="B538" t="s">
        <v>277</v>
      </c>
      <c r="C538">
        <v>2023</v>
      </c>
      <c r="D538">
        <v>5346</v>
      </c>
      <c r="E538">
        <v>263</v>
      </c>
      <c r="F538">
        <v>2</v>
      </c>
      <c r="G538">
        <v>2</v>
      </c>
      <c r="H538">
        <v>22</v>
      </c>
      <c r="I538">
        <v>60</v>
      </c>
      <c r="J538">
        <v>999</v>
      </c>
      <c r="K538">
        <v>4</v>
      </c>
      <c r="L538">
        <v>999</v>
      </c>
      <c r="M538">
        <v>9</v>
      </c>
      <c r="N538">
        <v>99</v>
      </c>
      <c r="O538">
        <v>9</v>
      </c>
      <c r="P538">
        <v>3</v>
      </c>
      <c r="Q538">
        <v>99999</v>
      </c>
      <c r="R538" s="276">
        <v>0</v>
      </c>
      <c r="S538" s="7">
        <v>45383.489039351851</v>
      </c>
      <c r="AX538" s="7"/>
      <c r="AY538" s="7"/>
    </row>
    <row r="539" spans="1:51">
      <c r="A539">
        <v>537</v>
      </c>
      <c r="B539" t="s">
        <v>277</v>
      </c>
      <c r="C539">
        <v>2023</v>
      </c>
      <c r="D539">
        <v>5346</v>
      </c>
      <c r="E539">
        <v>263</v>
      </c>
      <c r="F539">
        <v>2</v>
      </c>
      <c r="G539">
        <v>2</v>
      </c>
      <c r="H539">
        <v>22</v>
      </c>
      <c r="I539">
        <v>60</v>
      </c>
      <c r="J539">
        <v>999</v>
      </c>
      <c r="K539">
        <v>3</v>
      </c>
      <c r="L539">
        <v>28</v>
      </c>
      <c r="M539">
        <v>9</v>
      </c>
      <c r="N539">
        <v>99</v>
      </c>
      <c r="O539">
        <v>9</v>
      </c>
      <c r="P539">
        <v>3</v>
      </c>
      <c r="Q539">
        <v>99999</v>
      </c>
      <c r="R539" s="276">
        <v>0</v>
      </c>
      <c r="S539" s="7">
        <v>45383.489039351851</v>
      </c>
      <c r="AX539" s="7"/>
      <c r="AY539" s="7"/>
    </row>
    <row r="540" spans="1:51">
      <c r="A540">
        <v>538</v>
      </c>
      <c r="B540" t="s">
        <v>277</v>
      </c>
      <c r="C540">
        <v>2023</v>
      </c>
      <c r="D540">
        <v>5346</v>
      </c>
      <c r="E540">
        <v>263</v>
      </c>
      <c r="F540">
        <v>2</v>
      </c>
      <c r="G540">
        <v>2</v>
      </c>
      <c r="H540">
        <v>22</v>
      </c>
      <c r="I540">
        <v>60</v>
      </c>
      <c r="J540">
        <v>999</v>
      </c>
      <c r="K540">
        <v>3</v>
      </c>
      <c r="L540">
        <v>29</v>
      </c>
      <c r="M540">
        <v>9</v>
      </c>
      <c r="N540">
        <v>99</v>
      </c>
      <c r="O540">
        <v>9</v>
      </c>
      <c r="P540">
        <v>3</v>
      </c>
      <c r="Q540">
        <v>99999</v>
      </c>
      <c r="R540" s="276">
        <v>0</v>
      </c>
      <c r="S540" s="7">
        <v>45383.489039351851</v>
      </c>
      <c r="AX540" s="7"/>
      <c r="AY540" s="7"/>
    </row>
    <row r="541" spans="1:51">
      <c r="A541">
        <v>539</v>
      </c>
      <c r="B541" t="s">
        <v>277</v>
      </c>
      <c r="C541">
        <v>2023</v>
      </c>
      <c r="D541">
        <v>5346</v>
      </c>
      <c r="E541">
        <v>263</v>
      </c>
      <c r="F541">
        <v>2</v>
      </c>
      <c r="G541">
        <v>2</v>
      </c>
      <c r="H541">
        <v>20</v>
      </c>
      <c r="I541">
        <v>60</v>
      </c>
      <c r="J541">
        <v>999</v>
      </c>
      <c r="K541">
        <v>4</v>
      </c>
      <c r="L541">
        <v>999</v>
      </c>
      <c r="M541">
        <v>9</v>
      </c>
      <c r="N541">
        <v>99</v>
      </c>
      <c r="O541">
        <v>9</v>
      </c>
      <c r="P541">
        <v>3</v>
      </c>
      <c r="Q541">
        <v>99999</v>
      </c>
      <c r="R541" s="276">
        <v>0</v>
      </c>
      <c r="S541" s="7">
        <v>45383.489039351851</v>
      </c>
      <c r="AX541" s="7"/>
      <c r="AY541" s="7"/>
    </row>
    <row r="542" spans="1:51">
      <c r="A542">
        <v>540</v>
      </c>
      <c r="B542" t="s">
        <v>277</v>
      </c>
      <c r="C542">
        <v>2023</v>
      </c>
      <c r="D542">
        <v>5346</v>
      </c>
      <c r="E542">
        <v>263</v>
      </c>
      <c r="F542">
        <v>2</v>
      </c>
      <c r="G542">
        <v>2</v>
      </c>
      <c r="H542">
        <v>999</v>
      </c>
      <c r="I542">
        <v>999999</v>
      </c>
      <c r="J542">
        <v>999</v>
      </c>
      <c r="K542">
        <v>99</v>
      </c>
      <c r="L542">
        <v>999</v>
      </c>
      <c r="M542">
        <v>9</v>
      </c>
      <c r="N542">
        <v>99</v>
      </c>
      <c r="O542">
        <v>9</v>
      </c>
      <c r="P542">
        <v>3</v>
      </c>
      <c r="Q542">
        <v>99999</v>
      </c>
      <c r="R542" s="276">
        <v>0</v>
      </c>
      <c r="S542" s="7">
        <v>45383.489039351851</v>
      </c>
      <c r="AX542" s="7"/>
      <c r="AY542" s="7"/>
    </row>
    <row r="543" spans="1:51">
      <c r="A543">
        <v>541</v>
      </c>
      <c r="B543" t="s">
        <v>277</v>
      </c>
      <c r="C543">
        <v>2023</v>
      </c>
      <c r="D543">
        <v>5346</v>
      </c>
      <c r="E543">
        <v>263</v>
      </c>
      <c r="F543">
        <v>2</v>
      </c>
      <c r="G543">
        <v>2</v>
      </c>
      <c r="H543">
        <v>999</v>
      </c>
      <c r="I543">
        <v>999999</v>
      </c>
      <c r="J543">
        <v>999</v>
      </c>
      <c r="K543">
        <v>99</v>
      </c>
      <c r="L543">
        <v>999</v>
      </c>
      <c r="M543">
        <v>9</v>
      </c>
      <c r="N543">
        <v>99</v>
      </c>
      <c r="O543">
        <v>9</v>
      </c>
      <c r="P543">
        <v>3</v>
      </c>
      <c r="Q543">
        <v>99999</v>
      </c>
      <c r="R543" s="276">
        <v>0</v>
      </c>
      <c r="S543" s="7">
        <v>45383.489039351851</v>
      </c>
      <c r="AX543" s="7"/>
      <c r="AY543" s="7"/>
    </row>
    <row r="544" spans="1:51">
      <c r="A544">
        <v>542</v>
      </c>
      <c r="B544" t="s">
        <v>277</v>
      </c>
      <c r="C544">
        <v>2023</v>
      </c>
      <c r="D544">
        <v>5346</v>
      </c>
      <c r="E544">
        <v>263</v>
      </c>
      <c r="F544">
        <v>2</v>
      </c>
      <c r="G544">
        <v>2</v>
      </c>
      <c r="H544">
        <v>999</v>
      </c>
      <c r="I544">
        <v>999999</v>
      </c>
      <c r="J544">
        <v>999</v>
      </c>
      <c r="K544">
        <v>99</v>
      </c>
      <c r="L544">
        <v>999</v>
      </c>
      <c r="M544">
        <v>9</v>
      </c>
      <c r="N544">
        <v>99</v>
      </c>
      <c r="O544">
        <v>9</v>
      </c>
      <c r="P544">
        <v>3</v>
      </c>
      <c r="Q544">
        <v>99999</v>
      </c>
      <c r="R544" s="276">
        <v>0</v>
      </c>
      <c r="S544" s="7">
        <v>45383.489039351851</v>
      </c>
      <c r="AX544" s="7"/>
      <c r="AY544" s="7"/>
    </row>
    <row r="545" spans="1:51">
      <c r="A545">
        <v>543</v>
      </c>
      <c r="B545" t="s">
        <v>277</v>
      </c>
      <c r="C545">
        <v>2023</v>
      </c>
      <c r="D545">
        <v>5346</v>
      </c>
      <c r="E545">
        <v>263</v>
      </c>
      <c r="F545">
        <v>2</v>
      </c>
      <c r="G545">
        <v>2</v>
      </c>
      <c r="H545">
        <v>22</v>
      </c>
      <c r="I545">
        <v>60</v>
      </c>
      <c r="J545">
        <v>999</v>
      </c>
      <c r="K545">
        <v>2</v>
      </c>
      <c r="L545">
        <v>30</v>
      </c>
      <c r="M545">
        <v>9</v>
      </c>
      <c r="N545">
        <v>99</v>
      </c>
      <c r="O545">
        <v>9</v>
      </c>
      <c r="P545">
        <v>3</v>
      </c>
      <c r="Q545">
        <v>99999</v>
      </c>
      <c r="R545" s="276">
        <v>0</v>
      </c>
      <c r="S545" s="7">
        <v>45383.489039351851</v>
      </c>
      <c r="AX545" s="7"/>
      <c r="AY545" s="7"/>
    </row>
    <row r="546" spans="1:51">
      <c r="A546">
        <v>544</v>
      </c>
      <c r="B546" t="s">
        <v>277</v>
      </c>
      <c r="C546">
        <v>2023</v>
      </c>
      <c r="D546">
        <v>5346</v>
      </c>
      <c r="E546">
        <v>263</v>
      </c>
      <c r="F546">
        <v>2</v>
      </c>
      <c r="G546">
        <v>2</v>
      </c>
      <c r="H546">
        <v>22</v>
      </c>
      <c r="I546">
        <v>60</v>
      </c>
      <c r="J546">
        <v>999</v>
      </c>
      <c r="K546">
        <v>3</v>
      </c>
      <c r="L546">
        <v>19</v>
      </c>
      <c r="M546">
        <v>9</v>
      </c>
      <c r="N546">
        <v>99</v>
      </c>
      <c r="O546">
        <v>9</v>
      </c>
      <c r="P546">
        <v>3</v>
      </c>
      <c r="Q546">
        <v>99999</v>
      </c>
      <c r="R546" s="276">
        <v>0</v>
      </c>
      <c r="S546" s="7">
        <v>45383.489039351851</v>
      </c>
      <c r="AX546" s="7"/>
      <c r="AY546" s="7"/>
    </row>
    <row r="547" spans="1:51">
      <c r="A547">
        <v>545</v>
      </c>
      <c r="B547" t="s">
        <v>277</v>
      </c>
      <c r="C547">
        <v>2023</v>
      </c>
      <c r="D547">
        <v>5346</v>
      </c>
      <c r="E547">
        <v>263</v>
      </c>
      <c r="F547">
        <v>2</v>
      </c>
      <c r="G547">
        <v>2</v>
      </c>
      <c r="H547">
        <v>999</v>
      </c>
      <c r="I547">
        <v>999999</v>
      </c>
      <c r="J547">
        <v>999</v>
      </c>
      <c r="K547">
        <v>99</v>
      </c>
      <c r="L547">
        <v>999</v>
      </c>
      <c r="M547">
        <v>9</v>
      </c>
      <c r="N547">
        <v>99</v>
      </c>
      <c r="O547">
        <v>9</v>
      </c>
      <c r="P547">
        <v>3</v>
      </c>
      <c r="Q547">
        <v>99999</v>
      </c>
      <c r="R547" s="276">
        <v>0</v>
      </c>
      <c r="S547" s="7">
        <v>45383.489039351851</v>
      </c>
      <c r="AX547" s="7"/>
      <c r="AY547" s="7"/>
    </row>
    <row r="548" spans="1:51">
      <c r="A548">
        <v>546</v>
      </c>
      <c r="B548" t="s">
        <v>277</v>
      </c>
      <c r="C548">
        <v>2023</v>
      </c>
      <c r="D548">
        <v>5346</v>
      </c>
      <c r="E548">
        <v>263</v>
      </c>
      <c r="F548">
        <v>2</v>
      </c>
      <c r="G548">
        <v>2</v>
      </c>
      <c r="H548">
        <v>22</v>
      </c>
      <c r="I548">
        <v>60</v>
      </c>
      <c r="J548">
        <v>999</v>
      </c>
      <c r="K548">
        <v>1</v>
      </c>
      <c r="L548">
        <v>7</v>
      </c>
      <c r="M548">
        <v>9</v>
      </c>
      <c r="N548">
        <v>99</v>
      </c>
      <c r="O548">
        <v>9</v>
      </c>
      <c r="P548">
        <v>3</v>
      </c>
      <c r="Q548">
        <v>99999</v>
      </c>
      <c r="R548" s="276">
        <v>0</v>
      </c>
      <c r="S548" s="7">
        <v>45383.489039351851</v>
      </c>
      <c r="AX548" s="7"/>
      <c r="AY548" s="7"/>
    </row>
    <row r="549" spans="1:51">
      <c r="A549">
        <v>547</v>
      </c>
      <c r="B549" t="s">
        <v>277</v>
      </c>
      <c r="C549">
        <v>2023</v>
      </c>
      <c r="D549">
        <v>5346</v>
      </c>
      <c r="E549">
        <v>263</v>
      </c>
      <c r="F549">
        <v>2</v>
      </c>
      <c r="G549">
        <v>2</v>
      </c>
      <c r="H549">
        <v>22</v>
      </c>
      <c r="I549">
        <v>60</v>
      </c>
      <c r="J549">
        <v>999</v>
      </c>
      <c r="K549">
        <v>2</v>
      </c>
      <c r="L549">
        <v>30</v>
      </c>
      <c r="M549">
        <v>9</v>
      </c>
      <c r="N549">
        <v>99</v>
      </c>
      <c r="O549">
        <v>9</v>
      </c>
      <c r="P549">
        <v>3</v>
      </c>
      <c r="Q549">
        <v>99999</v>
      </c>
      <c r="R549" s="276">
        <v>0</v>
      </c>
      <c r="S549" s="7">
        <v>45383.489039351851</v>
      </c>
      <c r="AX549" s="7"/>
      <c r="AY549" s="7"/>
    </row>
    <row r="550" spans="1:51">
      <c r="A550">
        <v>548</v>
      </c>
      <c r="B550" t="s">
        <v>277</v>
      </c>
      <c r="C550">
        <v>2023</v>
      </c>
      <c r="D550">
        <v>5346</v>
      </c>
      <c r="E550">
        <v>263</v>
      </c>
      <c r="F550">
        <v>2</v>
      </c>
      <c r="G550">
        <v>2</v>
      </c>
      <c r="H550">
        <v>20</v>
      </c>
      <c r="I550">
        <v>60</v>
      </c>
      <c r="J550">
        <v>999</v>
      </c>
      <c r="K550">
        <v>2</v>
      </c>
      <c r="L550">
        <v>10</v>
      </c>
      <c r="M550">
        <v>9</v>
      </c>
      <c r="N550">
        <v>99</v>
      </c>
      <c r="O550">
        <v>9</v>
      </c>
      <c r="P550">
        <v>3</v>
      </c>
      <c r="Q550">
        <v>99999</v>
      </c>
      <c r="R550" s="276">
        <v>0</v>
      </c>
      <c r="S550" s="7">
        <v>45383.489039351851</v>
      </c>
      <c r="AX550" s="7"/>
      <c r="AY550" s="7"/>
    </row>
    <row r="551" spans="1:51">
      <c r="A551">
        <v>549</v>
      </c>
      <c r="B551" t="s">
        <v>277</v>
      </c>
      <c r="C551">
        <v>2023</v>
      </c>
      <c r="D551">
        <v>5346</v>
      </c>
      <c r="E551">
        <v>263</v>
      </c>
      <c r="F551">
        <v>2</v>
      </c>
      <c r="G551">
        <v>2</v>
      </c>
      <c r="H551">
        <v>20</v>
      </c>
      <c r="I551">
        <v>60</v>
      </c>
      <c r="J551">
        <v>999</v>
      </c>
      <c r="K551">
        <v>2</v>
      </c>
      <c r="L551">
        <v>24</v>
      </c>
      <c r="M551">
        <v>9</v>
      </c>
      <c r="N551">
        <v>99</v>
      </c>
      <c r="O551">
        <v>9</v>
      </c>
      <c r="P551">
        <v>3</v>
      </c>
      <c r="Q551">
        <v>99999</v>
      </c>
      <c r="R551" s="276">
        <v>0</v>
      </c>
      <c r="S551" s="7">
        <v>45383.489039351851</v>
      </c>
      <c r="AX551" s="7"/>
      <c r="AY551" s="7"/>
    </row>
    <row r="552" spans="1:51">
      <c r="A552">
        <v>550</v>
      </c>
      <c r="B552" t="s">
        <v>277</v>
      </c>
      <c r="C552">
        <v>2023</v>
      </c>
      <c r="D552">
        <v>5346</v>
      </c>
      <c r="E552">
        <v>263</v>
      </c>
      <c r="F552">
        <v>2</v>
      </c>
      <c r="G552">
        <v>2</v>
      </c>
      <c r="H552">
        <v>20</v>
      </c>
      <c r="I552">
        <v>60</v>
      </c>
      <c r="J552">
        <v>999</v>
      </c>
      <c r="K552">
        <v>3</v>
      </c>
      <c r="L552">
        <v>17</v>
      </c>
      <c r="M552">
        <v>9</v>
      </c>
      <c r="N552">
        <v>99</v>
      </c>
      <c r="O552">
        <v>9</v>
      </c>
      <c r="P552">
        <v>3</v>
      </c>
      <c r="Q552">
        <v>99999</v>
      </c>
      <c r="R552" s="276">
        <v>0</v>
      </c>
      <c r="S552" s="7">
        <v>45383.489039351851</v>
      </c>
      <c r="AX552" s="7"/>
      <c r="AY552" s="7"/>
    </row>
    <row r="553" spans="1:51">
      <c r="A553">
        <v>551</v>
      </c>
      <c r="B553" t="s">
        <v>277</v>
      </c>
      <c r="C553">
        <v>2023</v>
      </c>
      <c r="D553">
        <v>5346</v>
      </c>
      <c r="E553">
        <v>263</v>
      </c>
      <c r="F553">
        <v>2</v>
      </c>
      <c r="G553">
        <v>2</v>
      </c>
      <c r="H553">
        <v>999</v>
      </c>
      <c r="I553">
        <v>999999</v>
      </c>
      <c r="J553">
        <v>999</v>
      </c>
      <c r="K553">
        <v>99</v>
      </c>
      <c r="L553">
        <v>999</v>
      </c>
      <c r="M553">
        <v>9</v>
      </c>
      <c r="N553">
        <v>99</v>
      </c>
      <c r="O553">
        <v>9</v>
      </c>
      <c r="P553">
        <v>3</v>
      </c>
      <c r="Q553">
        <v>99999</v>
      </c>
      <c r="R553" s="276">
        <v>0</v>
      </c>
      <c r="S553" s="7">
        <v>45383.489039351851</v>
      </c>
      <c r="AX553" s="7"/>
      <c r="AY553" s="7"/>
    </row>
    <row r="554" spans="1:51">
      <c r="A554">
        <v>552</v>
      </c>
      <c r="B554" t="s">
        <v>277</v>
      </c>
      <c r="C554">
        <v>2023</v>
      </c>
      <c r="D554">
        <v>5346</v>
      </c>
      <c r="E554">
        <v>263</v>
      </c>
      <c r="F554">
        <v>2</v>
      </c>
      <c r="G554">
        <v>2</v>
      </c>
      <c r="H554">
        <v>22</v>
      </c>
      <c r="I554">
        <v>60</v>
      </c>
      <c r="J554">
        <v>999</v>
      </c>
      <c r="K554">
        <v>1</v>
      </c>
      <c r="L554">
        <v>1</v>
      </c>
      <c r="M554">
        <v>9</v>
      </c>
      <c r="N554">
        <v>99</v>
      </c>
      <c r="O554">
        <v>9</v>
      </c>
      <c r="P554">
        <v>3</v>
      </c>
      <c r="Q554">
        <v>99999</v>
      </c>
      <c r="R554" s="276">
        <v>0</v>
      </c>
      <c r="S554" s="7">
        <v>45383.489039351851</v>
      </c>
      <c r="AX554" s="7"/>
      <c r="AY554" s="7"/>
    </row>
    <row r="555" spans="1:51">
      <c r="A555">
        <v>553</v>
      </c>
      <c r="B555" t="s">
        <v>277</v>
      </c>
      <c r="C555">
        <v>2023</v>
      </c>
      <c r="D555">
        <v>5346</v>
      </c>
      <c r="E555">
        <v>263</v>
      </c>
      <c r="F555">
        <v>2</v>
      </c>
      <c r="G555">
        <v>2</v>
      </c>
      <c r="H555">
        <v>22</v>
      </c>
      <c r="I555">
        <v>60</v>
      </c>
      <c r="J555">
        <v>999</v>
      </c>
      <c r="K555">
        <v>1</v>
      </c>
      <c r="L555">
        <v>2</v>
      </c>
      <c r="M555">
        <v>9</v>
      </c>
      <c r="N555">
        <v>99</v>
      </c>
      <c r="O555">
        <v>9</v>
      </c>
      <c r="P555">
        <v>3</v>
      </c>
      <c r="Q555">
        <v>99999</v>
      </c>
      <c r="R555" s="276">
        <v>0</v>
      </c>
      <c r="S555" s="7">
        <v>45383.489039351851</v>
      </c>
      <c r="AX555" s="7"/>
      <c r="AY555" s="7"/>
    </row>
    <row r="556" spans="1:51">
      <c r="A556">
        <v>554</v>
      </c>
      <c r="B556" t="s">
        <v>277</v>
      </c>
      <c r="C556">
        <v>2023</v>
      </c>
      <c r="D556">
        <v>5346</v>
      </c>
      <c r="E556">
        <v>263</v>
      </c>
      <c r="F556">
        <v>2</v>
      </c>
      <c r="G556">
        <v>2</v>
      </c>
      <c r="H556">
        <v>20</v>
      </c>
      <c r="I556">
        <v>60</v>
      </c>
      <c r="J556">
        <v>999</v>
      </c>
      <c r="K556">
        <v>3</v>
      </c>
      <c r="L556">
        <v>12</v>
      </c>
      <c r="M556">
        <v>9</v>
      </c>
      <c r="N556">
        <v>99</v>
      </c>
      <c r="O556">
        <v>9</v>
      </c>
      <c r="P556">
        <v>3</v>
      </c>
      <c r="Q556">
        <v>99999</v>
      </c>
      <c r="R556" s="276">
        <v>0</v>
      </c>
      <c r="S556" s="7">
        <v>45383.489039351851</v>
      </c>
      <c r="AX556" s="7"/>
      <c r="AY556" s="7"/>
    </row>
    <row r="557" spans="1:51">
      <c r="A557">
        <v>555</v>
      </c>
      <c r="B557" t="s">
        <v>277</v>
      </c>
      <c r="C557">
        <v>2023</v>
      </c>
      <c r="D557">
        <v>5346</v>
      </c>
      <c r="E557">
        <v>263</v>
      </c>
      <c r="F557">
        <v>2</v>
      </c>
      <c r="G557">
        <v>2</v>
      </c>
      <c r="H557">
        <v>20</v>
      </c>
      <c r="I557">
        <v>60</v>
      </c>
      <c r="J557">
        <v>999</v>
      </c>
      <c r="K557">
        <v>3</v>
      </c>
      <c r="L557">
        <v>19</v>
      </c>
      <c r="M557">
        <v>9</v>
      </c>
      <c r="N557">
        <v>99</v>
      </c>
      <c r="O557">
        <v>9</v>
      </c>
      <c r="P557">
        <v>3</v>
      </c>
      <c r="Q557">
        <v>99999</v>
      </c>
      <c r="R557" s="276">
        <v>0</v>
      </c>
      <c r="S557" s="7">
        <v>45383.489039351851</v>
      </c>
      <c r="AX557" s="7"/>
      <c r="AY557" s="7"/>
    </row>
    <row r="558" spans="1:51">
      <c r="A558">
        <v>556</v>
      </c>
      <c r="B558" t="s">
        <v>277</v>
      </c>
      <c r="C558">
        <v>2023</v>
      </c>
      <c r="D558">
        <v>5346</v>
      </c>
      <c r="E558">
        <v>263</v>
      </c>
      <c r="F558">
        <v>2</v>
      </c>
      <c r="G558">
        <v>2</v>
      </c>
      <c r="H558">
        <v>20</v>
      </c>
      <c r="I558">
        <v>60</v>
      </c>
      <c r="J558">
        <v>999</v>
      </c>
      <c r="K558">
        <v>4</v>
      </c>
      <c r="L558">
        <v>999</v>
      </c>
      <c r="M558">
        <v>9</v>
      </c>
      <c r="N558">
        <v>99</v>
      </c>
      <c r="O558">
        <v>9</v>
      </c>
      <c r="P558">
        <v>3</v>
      </c>
      <c r="Q558">
        <v>99999</v>
      </c>
      <c r="R558" s="276">
        <v>0</v>
      </c>
      <c r="S558" s="7">
        <v>45383.489039351851</v>
      </c>
      <c r="AX558" s="7"/>
      <c r="AY558" s="7"/>
    </row>
    <row r="559" spans="1:51">
      <c r="A559">
        <v>557</v>
      </c>
      <c r="B559" t="s">
        <v>277</v>
      </c>
      <c r="C559">
        <v>2023</v>
      </c>
      <c r="D559">
        <v>5346</v>
      </c>
      <c r="E559">
        <v>263</v>
      </c>
      <c r="F559">
        <v>2</v>
      </c>
      <c r="G559">
        <v>2</v>
      </c>
      <c r="H559">
        <v>20</v>
      </c>
      <c r="I559">
        <v>60</v>
      </c>
      <c r="J559">
        <v>999</v>
      </c>
      <c r="K559">
        <v>2</v>
      </c>
      <c r="L559">
        <v>11</v>
      </c>
      <c r="M559">
        <v>9</v>
      </c>
      <c r="N559">
        <v>99</v>
      </c>
      <c r="O559">
        <v>9</v>
      </c>
      <c r="P559">
        <v>3</v>
      </c>
      <c r="Q559">
        <v>99999</v>
      </c>
      <c r="R559" s="276">
        <v>0</v>
      </c>
      <c r="S559" s="7">
        <v>45383.489039351851</v>
      </c>
      <c r="AX559" s="7"/>
      <c r="AY559" s="7"/>
    </row>
    <row r="560" spans="1:51">
      <c r="A560">
        <v>558</v>
      </c>
      <c r="B560" t="s">
        <v>277</v>
      </c>
      <c r="C560">
        <v>2023</v>
      </c>
      <c r="D560">
        <v>5346</v>
      </c>
      <c r="E560">
        <v>263</v>
      </c>
      <c r="F560">
        <v>2</v>
      </c>
      <c r="G560">
        <v>2</v>
      </c>
      <c r="H560">
        <v>20</v>
      </c>
      <c r="I560">
        <v>60</v>
      </c>
      <c r="J560">
        <v>999</v>
      </c>
      <c r="K560">
        <v>2</v>
      </c>
      <c r="L560">
        <v>9</v>
      </c>
      <c r="M560">
        <v>9</v>
      </c>
      <c r="N560">
        <v>99</v>
      </c>
      <c r="O560">
        <v>9</v>
      </c>
      <c r="P560">
        <v>3</v>
      </c>
      <c r="Q560">
        <v>99999</v>
      </c>
      <c r="R560" s="276">
        <v>0</v>
      </c>
      <c r="S560" s="7">
        <v>45383.489039351851</v>
      </c>
      <c r="AX560" s="7"/>
      <c r="AY560" s="7"/>
    </row>
    <row r="561" spans="1:51">
      <c r="A561">
        <v>559</v>
      </c>
      <c r="B561" t="s">
        <v>277</v>
      </c>
      <c r="C561">
        <v>2023</v>
      </c>
      <c r="D561">
        <v>5346</v>
      </c>
      <c r="E561">
        <v>263</v>
      </c>
      <c r="F561">
        <v>2</v>
      </c>
      <c r="G561">
        <v>2</v>
      </c>
      <c r="H561">
        <v>20</v>
      </c>
      <c r="I561">
        <v>60</v>
      </c>
      <c r="J561">
        <v>999</v>
      </c>
      <c r="K561">
        <v>2</v>
      </c>
      <c r="L561">
        <v>8</v>
      </c>
      <c r="M561">
        <v>9</v>
      </c>
      <c r="N561">
        <v>99</v>
      </c>
      <c r="O561">
        <v>9</v>
      </c>
      <c r="P561">
        <v>3</v>
      </c>
      <c r="Q561">
        <v>99999</v>
      </c>
      <c r="R561" s="276">
        <v>0</v>
      </c>
      <c r="S561" s="7">
        <v>45383.489039351851</v>
      </c>
      <c r="AX561" s="7"/>
      <c r="AY561" s="7"/>
    </row>
    <row r="562" spans="1:51">
      <c r="A562">
        <v>560</v>
      </c>
      <c r="B562" t="s">
        <v>277</v>
      </c>
      <c r="C562">
        <v>2023</v>
      </c>
      <c r="D562">
        <v>5346</v>
      </c>
      <c r="E562">
        <v>263</v>
      </c>
      <c r="F562">
        <v>2</v>
      </c>
      <c r="G562">
        <v>1</v>
      </c>
      <c r="H562">
        <v>51</v>
      </c>
      <c r="I562">
        <v>999999</v>
      </c>
      <c r="J562">
        <v>999</v>
      </c>
      <c r="K562">
        <v>3</v>
      </c>
      <c r="L562">
        <v>28</v>
      </c>
      <c r="M562">
        <v>2</v>
      </c>
      <c r="N562">
        <v>99</v>
      </c>
      <c r="O562">
        <v>9</v>
      </c>
      <c r="P562">
        <v>3</v>
      </c>
      <c r="Q562">
        <v>99999</v>
      </c>
      <c r="R562" s="276">
        <v>0</v>
      </c>
      <c r="S562" s="7">
        <v>45383.489039351851</v>
      </c>
      <c r="AX562" s="7"/>
      <c r="AY562" s="7"/>
    </row>
    <row r="563" spans="1:51">
      <c r="A563">
        <v>561</v>
      </c>
      <c r="B563" t="s">
        <v>277</v>
      </c>
      <c r="C563">
        <v>2023</v>
      </c>
      <c r="D563">
        <v>5346</v>
      </c>
      <c r="E563">
        <v>263</v>
      </c>
      <c r="F563">
        <v>2</v>
      </c>
      <c r="G563">
        <v>2</v>
      </c>
      <c r="H563">
        <v>20</v>
      </c>
      <c r="I563">
        <v>60</v>
      </c>
      <c r="J563">
        <v>999</v>
      </c>
      <c r="K563">
        <v>3</v>
      </c>
      <c r="L563">
        <v>14</v>
      </c>
      <c r="M563">
        <v>9</v>
      </c>
      <c r="N563">
        <v>99</v>
      </c>
      <c r="O563">
        <v>9</v>
      </c>
      <c r="P563">
        <v>3</v>
      </c>
      <c r="Q563">
        <v>99999</v>
      </c>
      <c r="R563" s="276">
        <v>-6577.25648378806</v>
      </c>
      <c r="S563" s="7">
        <v>45383.489039351851</v>
      </c>
      <c r="AX563" s="7"/>
      <c r="AY563" s="7"/>
    </row>
    <row r="564" spans="1:51">
      <c r="A564">
        <v>562</v>
      </c>
      <c r="B564" t="s">
        <v>277</v>
      </c>
      <c r="C564">
        <v>2023</v>
      </c>
      <c r="D564">
        <v>5346</v>
      </c>
      <c r="E564">
        <v>263</v>
      </c>
      <c r="F564">
        <v>2</v>
      </c>
      <c r="G564">
        <v>2</v>
      </c>
      <c r="H564">
        <v>20</v>
      </c>
      <c r="I564">
        <v>60</v>
      </c>
      <c r="J564">
        <v>999</v>
      </c>
      <c r="K564">
        <v>3</v>
      </c>
      <c r="L564">
        <v>15</v>
      </c>
      <c r="M564">
        <v>9</v>
      </c>
      <c r="N564">
        <v>99</v>
      </c>
      <c r="O564">
        <v>9</v>
      </c>
      <c r="P564">
        <v>3</v>
      </c>
      <c r="Q564">
        <v>99999</v>
      </c>
      <c r="R564" s="276">
        <v>-248251.59665730901</v>
      </c>
      <c r="S564" s="7">
        <v>45383.489039351851</v>
      </c>
      <c r="AX564" s="7"/>
      <c r="AY564" s="7"/>
    </row>
    <row r="565" spans="1:51">
      <c r="A565">
        <v>563</v>
      </c>
      <c r="B565" t="s">
        <v>277</v>
      </c>
      <c r="C565">
        <v>2023</v>
      </c>
      <c r="D565">
        <v>5346</v>
      </c>
      <c r="E565">
        <v>263</v>
      </c>
      <c r="F565">
        <v>2</v>
      </c>
      <c r="G565">
        <v>2</v>
      </c>
      <c r="H565">
        <v>20</v>
      </c>
      <c r="I565">
        <v>60</v>
      </c>
      <c r="J565">
        <v>999</v>
      </c>
      <c r="K565">
        <v>3</v>
      </c>
      <c r="L565">
        <v>16</v>
      </c>
      <c r="M565">
        <v>9</v>
      </c>
      <c r="N565">
        <v>99</v>
      </c>
      <c r="O565">
        <v>9</v>
      </c>
      <c r="P565">
        <v>3</v>
      </c>
      <c r="Q565">
        <v>99999</v>
      </c>
      <c r="R565" s="276">
        <v>0</v>
      </c>
      <c r="S565" s="7">
        <v>45383.489039351851</v>
      </c>
      <c r="AX565" s="7"/>
      <c r="AY565" s="7"/>
    </row>
    <row r="566" spans="1:51">
      <c r="A566">
        <v>564</v>
      </c>
      <c r="B566" t="s">
        <v>277</v>
      </c>
      <c r="C566">
        <v>2023</v>
      </c>
      <c r="D566">
        <v>5346</v>
      </c>
      <c r="E566">
        <v>263</v>
      </c>
      <c r="F566">
        <v>2</v>
      </c>
      <c r="G566">
        <v>2</v>
      </c>
      <c r="H566">
        <v>20</v>
      </c>
      <c r="I566">
        <v>60</v>
      </c>
      <c r="J566">
        <v>999</v>
      </c>
      <c r="K566">
        <v>3</v>
      </c>
      <c r="L566">
        <v>17</v>
      </c>
      <c r="M566">
        <v>9</v>
      </c>
      <c r="N566">
        <v>99</v>
      </c>
      <c r="O566">
        <v>9</v>
      </c>
      <c r="P566">
        <v>3</v>
      </c>
      <c r="Q566">
        <v>99999</v>
      </c>
      <c r="R566" s="276">
        <v>0</v>
      </c>
      <c r="S566" s="7">
        <v>45383.489039351851</v>
      </c>
      <c r="AX566" s="7"/>
      <c r="AY566" s="7"/>
    </row>
    <row r="567" spans="1:51">
      <c r="A567">
        <v>565</v>
      </c>
      <c r="B567" t="s">
        <v>277</v>
      </c>
      <c r="C567">
        <v>2023</v>
      </c>
      <c r="D567">
        <v>5346</v>
      </c>
      <c r="E567">
        <v>263</v>
      </c>
      <c r="F567">
        <v>2</v>
      </c>
      <c r="G567">
        <v>2</v>
      </c>
      <c r="H567">
        <v>20</v>
      </c>
      <c r="I567">
        <v>60</v>
      </c>
      <c r="J567">
        <v>999</v>
      </c>
      <c r="K567">
        <v>3</v>
      </c>
      <c r="L567">
        <v>18</v>
      </c>
      <c r="M567">
        <v>9</v>
      </c>
      <c r="N567">
        <v>99</v>
      </c>
      <c r="O567">
        <v>9</v>
      </c>
      <c r="P567">
        <v>3</v>
      </c>
      <c r="Q567">
        <v>99999</v>
      </c>
      <c r="R567" s="276">
        <v>-41084.085563556102</v>
      </c>
      <c r="S567" s="7">
        <v>45383.489039351851</v>
      </c>
      <c r="AX567" s="7"/>
      <c r="AY567" s="7"/>
    </row>
    <row r="568" spans="1:51">
      <c r="A568">
        <v>566</v>
      </c>
      <c r="B568" t="s">
        <v>277</v>
      </c>
      <c r="C568">
        <v>2023</v>
      </c>
      <c r="D568">
        <v>5346</v>
      </c>
      <c r="E568">
        <v>263</v>
      </c>
      <c r="F568">
        <v>1</v>
      </c>
      <c r="G568">
        <v>1</v>
      </c>
      <c r="H568">
        <v>203</v>
      </c>
      <c r="I568">
        <v>247</v>
      </c>
      <c r="J568">
        <v>999</v>
      </c>
      <c r="K568">
        <v>4</v>
      </c>
      <c r="L568">
        <v>999</v>
      </c>
      <c r="M568">
        <v>9</v>
      </c>
      <c r="N568">
        <v>99</v>
      </c>
      <c r="O568">
        <v>9</v>
      </c>
      <c r="P568">
        <v>3</v>
      </c>
      <c r="Q568">
        <v>99999</v>
      </c>
      <c r="R568" s="276">
        <v>13432500.4026065</v>
      </c>
      <c r="S568" s="7">
        <v>45383.489039351851</v>
      </c>
      <c r="AX568" s="7"/>
      <c r="AY568" s="7"/>
    </row>
    <row r="569" spans="1:51">
      <c r="A569">
        <v>567</v>
      </c>
      <c r="B569" t="s">
        <v>277</v>
      </c>
      <c r="C569">
        <v>2023</v>
      </c>
      <c r="D569">
        <v>5346</v>
      </c>
      <c r="E569">
        <v>263</v>
      </c>
      <c r="F569">
        <v>2</v>
      </c>
      <c r="G569">
        <v>1</v>
      </c>
      <c r="H569">
        <v>51</v>
      </c>
      <c r="I569">
        <v>73</v>
      </c>
      <c r="J569">
        <v>999</v>
      </c>
      <c r="K569">
        <v>3</v>
      </c>
      <c r="L569">
        <v>15</v>
      </c>
      <c r="M569">
        <v>1</v>
      </c>
      <c r="N569">
        <v>99</v>
      </c>
      <c r="O569">
        <v>9</v>
      </c>
      <c r="P569">
        <v>3</v>
      </c>
      <c r="Q569">
        <v>99999</v>
      </c>
      <c r="R569" s="276">
        <v>0</v>
      </c>
      <c r="S569" s="7">
        <v>45383.489039351851</v>
      </c>
      <c r="AX569" s="7"/>
      <c r="AY569" s="7"/>
    </row>
    <row r="570" spans="1:51">
      <c r="A570">
        <v>568</v>
      </c>
      <c r="B570" t="s">
        <v>277</v>
      </c>
      <c r="C570">
        <v>2023</v>
      </c>
      <c r="D570">
        <v>5346</v>
      </c>
      <c r="E570">
        <v>263</v>
      </c>
      <c r="F570">
        <v>1</v>
      </c>
      <c r="G570">
        <v>1</v>
      </c>
      <c r="H570">
        <v>8</v>
      </c>
      <c r="I570">
        <v>999999</v>
      </c>
      <c r="J570">
        <v>999</v>
      </c>
      <c r="K570">
        <v>2</v>
      </c>
      <c r="L570">
        <v>999</v>
      </c>
      <c r="M570">
        <v>9</v>
      </c>
      <c r="N570">
        <v>99</v>
      </c>
      <c r="O570">
        <v>9</v>
      </c>
      <c r="P570">
        <v>2</v>
      </c>
      <c r="Q570">
        <v>99999</v>
      </c>
      <c r="R570" s="276">
        <v>0</v>
      </c>
      <c r="S570" s="7">
        <v>45383.489039351851</v>
      </c>
      <c r="AX570" s="7"/>
      <c r="AY570" s="7"/>
    </row>
    <row r="571" spans="1:51">
      <c r="A571">
        <v>569</v>
      </c>
      <c r="B571" t="s">
        <v>277</v>
      </c>
      <c r="C571">
        <v>2023</v>
      </c>
      <c r="D571">
        <v>5346</v>
      </c>
      <c r="E571">
        <v>263</v>
      </c>
      <c r="F571">
        <v>1</v>
      </c>
      <c r="G571">
        <v>1</v>
      </c>
      <c r="H571">
        <v>8</v>
      </c>
      <c r="I571">
        <v>999999</v>
      </c>
      <c r="J571">
        <v>999</v>
      </c>
      <c r="K571">
        <v>2</v>
      </c>
      <c r="L571">
        <v>999</v>
      </c>
      <c r="M571">
        <v>9</v>
      </c>
      <c r="N571">
        <v>99</v>
      </c>
      <c r="O571">
        <v>9</v>
      </c>
      <c r="P571">
        <v>3</v>
      </c>
      <c r="Q571">
        <v>99999</v>
      </c>
      <c r="R571" s="276">
        <v>0</v>
      </c>
      <c r="S571" s="7">
        <v>45383.489039351851</v>
      </c>
      <c r="AX571" s="7"/>
      <c r="AY571" s="7"/>
    </row>
    <row r="572" spans="1:51">
      <c r="A572">
        <v>570</v>
      </c>
      <c r="B572" t="s">
        <v>277</v>
      </c>
      <c r="C572">
        <v>2023</v>
      </c>
      <c r="D572">
        <v>5346</v>
      </c>
      <c r="E572">
        <v>263</v>
      </c>
      <c r="F572">
        <v>1</v>
      </c>
      <c r="G572">
        <v>1</v>
      </c>
      <c r="H572">
        <v>17</v>
      </c>
      <c r="I572">
        <v>999999</v>
      </c>
      <c r="J572">
        <v>999</v>
      </c>
      <c r="K572">
        <v>2</v>
      </c>
      <c r="L572">
        <v>999</v>
      </c>
      <c r="M572">
        <v>9</v>
      </c>
      <c r="N572">
        <v>99</v>
      </c>
      <c r="O572">
        <v>9</v>
      </c>
      <c r="P572">
        <v>2</v>
      </c>
      <c r="Q572">
        <v>0</v>
      </c>
      <c r="R572" s="276">
        <v>0</v>
      </c>
      <c r="S572" s="7">
        <v>45383.489039351851</v>
      </c>
      <c r="AX572" s="7"/>
      <c r="AY572" s="7"/>
    </row>
    <row r="573" spans="1:51">
      <c r="A573">
        <v>571</v>
      </c>
      <c r="B573" t="s">
        <v>277</v>
      </c>
      <c r="C573">
        <v>2023</v>
      </c>
      <c r="D573">
        <v>5346</v>
      </c>
      <c r="E573">
        <v>263</v>
      </c>
      <c r="F573">
        <v>1</v>
      </c>
      <c r="G573">
        <v>1</v>
      </c>
      <c r="H573">
        <v>17</v>
      </c>
      <c r="I573">
        <v>999999</v>
      </c>
      <c r="J573">
        <v>999</v>
      </c>
      <c r="K573">
        <v>2</v>
      </c>
      <c r="L573">
        <v>999</v>
      </c>
      <c r="M573">
        <v>9</v>
      </c>
      <c r="N573">
        <v>99</v>
      </c>
      <c r="O573">
        <v>9</v>
      </c>
      <c r="P573">
        <v>3</v>
      </c>
      <c r="Q573">
        <v>0</v>
      </c>
      <c r="R573" s="276">
        <v>0</v>
      </c>
      <c r="S573" s="7">
        <v>45383.489039351851</v>
      </c>
      <c r="AX573" s="7"/>
      <c r="AY573" s="7"/>
    </row>
    <row r="574" spans="1:51">
      <c r="A574">
        <v>572</v>
      </c>
      <c r="B574" t="s">
        <v>277</v>
      </c>
      <c r="C574">
        <v>2023</v>
      </c>
      <c r="D574">
        <v>5346</v>
      </c>
      <c r="E574">
        <v>263</v>
      </c>
      <c r="F574">
        <v>2</v>
      </c>
      <c r="G574">
        <v>1</v>
      </c>
      <c r="H574">
        <v>52</v>
      </c>
      <c r="I574">
        <v>999999</v>
      </c>
      <c r="J574">
        <v>999</v>
      </c>
      <c r="K574">
        <v>1</v>
      </c>
      <c r="L574">
        <v>1</v>
      </c>
      <c r="M574">
        <v>1</v>
      </c>
      <c r="N574">
        <v>99</v>
      </c>
      <c r="O574">
        <v>9</v>
      </c>
      <c r="P574">
        <v>3</v>
      </c>
      <c r="Q574">
        <v>99999</v>
      </c>
      <c r="R574" s="276">
        <v>0</v>
      </c>
      <c r="S574" s="7">
        <v>45383.489039351851</v>
      </c>
      <c r="AX574" s="7"/>
      <c r="AY574" s="7"/>
    </row>
    <row r="575" spans="1:51">
      <c r="A575">
        <v>573</v>
      </c>
      <c r="B575" t="s">
        <v>277</v>
      </c>
      <c r="C575">
        <v>2023</v>
      </c>
      <c r="D575">
        <v>5346</v>
      </c>
      <c r="E575">
        <v>263</v>
      </c>
      <c r="F575">
        <v>2</v>
      </c>
      <c r="G575">
        <v>1</v>
      </c>
      <c r="H575">
        <v>52</v>
      </c>
      <c r="I575">
        <v>999999</v>
      </c>
      <c r="J575">
        <v>999</v>
      </c>
      <c r="K575">
        <v>1</v>
      </c>
      <c r="L575">
        <v>2</v>
      </c>
      <c r="M575">
        <v>1</v>
      </c>
      <c r="N575">
        <v>99</v>
      </c>
      <c r="O575">
        <v>9</v>
      </c>
      <c r="P575">
        <v>3</v>
      </c>
      <c r="Q575">
        <v>99999</v>
      </c>
      <c r="R575" s="276">
        <v>0</v>
      </c>
      <c r="S575" s="7">
        <v>45383.489039351851</v>
      </c>
      <c r="AX575" s="7"/>
      <c r="AY575" s="7"/>
    </row>
    <row r="576" spans="1:51">
      <c r="A576">
        <v>574</v>
      </c>
      <c r="B576" t="s">
        <v>277</v>
      </c>
      <c r="C576">
        <v>2023</v>
      </c>
      <c r="D576">
        <v>5346</v>
      </c>
      <c r="E576">
        <v>263</v>
      </c>
      <c r="F576">
        <v>2</v>
      </c>
      <c r="G576">
        <v>1</v>
      </c>
      <c r="H576">
        <v>52</v>
      </c>
      <c r="I576">
        <v>999999</v>
      </c>
      <c r="J576">
        <v>999</v>
      </c>
      <c r="K576">
        <v>1</v>
      </c>
      <c r="L576">
        <v>3</v>
      </c>
      <c r="M576">
        <v>1</v>
      </c>
      <c r="N576">
        <v>99</v>
      </c>
      <c r="O576">
        <v>9</v>
      </c>
      <c r="P576">
        <v>3</v>
      </c>
      <c r="Q576">
        <v>99999</v>
      </c>
      <c r="R576" s="276">
        <v>0</v>
      </c>
      <c r="S576" s="7">
        <v>45383.489039351851</v>
      </c>
      <c r="AX576" s="7"/>
      <c r="AY576" s="7"/>
    </row>
    <row r="577" spans="1:51">
      <c r="A577">
        <v>575</v>
      </c>
      <c r="B577" t="s">
        <v>277</v>
      </c>
      <c r="C577">
        <v>2023</v>
      </c>
      <c r="D577">
        <v>5346</v>
      </c>
      <c r="E577">
        <v>263</v>
      </c>
      <c r="F577">
        <v>1</v>
      </c>
      <c r="G577">
        <v>1</v>
      </c>
      <c r="H577">
        <v>51</v>
      </c>
      <c r="I577">
        <v>999999</v>
      </c>
      <c r="J577">
        <v>999</v>
      </c>
      <c r="K577">
        <v>1</v>
      </c>
      <c r="L577">
        <v>3</v>
      </c>
      <c r="M577">
        <v>9</v>
      </c>
      <c r="N577">
        <v>99</v>
      </c>
      <c r="O577">
        <v>9</v>
      </c>
      <c r="P577">
        <v>3</v>
      </c>
      <c r="Q577">
        <v>99999</v>
      </c>
      <c r="R577" s="276">
        <v>0</v>
      </c>
      <c r="S577" s="7">
        <v>45383.489039351851</v>
      </c>
      <c r="AX577" s="7"/>
      <c r="AY577" s="7"/>
    </row>
    <row r="578" spans="1:51">
      <c r="A578">
        <v>576</v>
      </c>
      <c r="B578" t="s">
        <v>277</v>
      </c>
      <c r="C578">
        <v>2023</v>
      </c>
      <c r="D578">
        <v>5346</v>
      </c>
      <c r="E578">
        <v>263</v>
      </c>
      <c r="F578">
        <v>1</v>
      </c>
      <c r="G578">
        <v>1</v>
      </c>
      <c r="H578">
        <v>196</v>
      </c>
      <c r="I578">
        <v>250</v>
      </c>
      <c r="J578">
        <v>999</v>
      </c>
      <c r="K578">
        <v>4</v>
      </c>
      <c r="L578">
        <v>999</v>
      </c>
      <c r="M578">
        <v>9</v>
      </c>
      <c r="N578">
        <v>99</v>
      </c>
      <c r="O578">
        <v>9</v>
      </c>
      <c r="P578">
        <v>3</v>
      </c>
      <c r="Q578">
        <v>99999</v>
      </c>
      <c r="R578" s="276">
        <v>7322855.4299999997</v>
      </c>
      <c r="S578" s="7">
        <v>45383.489039351851</v>
      </c>
      <c r="AX578" s="7"/>
      <c r="AY578" s="7"/>
    </row>
    <row r="579" spans="1:51">
      <c r="A579">
        <v>577</v>
      </c>
      <c r="B579" t="s">
        <v>277</v>
      </c>
      <c r="C579">
        <v>2023</v>
      </c>
      <c r="D579">
        <v>5346</v>
      </c>
      <c r="E579">
        <v>263</v>
      </c>
      <c r="F579">
        <v>1</v>
      </c>
      <c r="G579">
        <v>1</v>
      </c>
      <c r="H579">
        <v>15</v>
      </c>
      <c r="I579">
        <v>176</v>
      </c>
      <c r="J579">
        <v>999</v>
      </c>
      <c r="K579">
        <v>4</v>
      </c>
      <c r="L579">
        <v>999</v>
      </c>
      <c r="M579">
        <v>9</v>
      </c>
      <c r="N579">
        <v>99</v>
      </c>
      <c r="O579">
        <v>9</v>
      </c>
      <c r="P579">
        <v>3</v>
      </c>
      <c r="Q579">
        <v>99999</v>
      </c>
      <c r="R579" s="276">
        <v>6109644.9800000004</v>
      </c>
      <c r="S579" s="7">
        <v>45383.489039351851</v>
      </c>
      <c r="AX579" s="7"/>
      <c r="AY579" s="7"/>
    </row>
    <row r="580" spans="1:51">
      <c r="A580">
        <v>578</v>
      </c>
      <c r="B580" t="s">
        <v>277</v>
      </c>
      <c r="C580">
        <v>2023</v>
      </c>
      <c r="D580">
        <v>5346</v>
      </c>
      <c r="E580">
        <v>263</v>
      </c>
      <c r="F580">
        <v>4</v>
      </c>
      <c r="G580">
        <v>1</v>
      </c>
      <c r="H580">
        <v>52</v>
      </c>
      <c r="I580">
        <v>55</v>
      </c>
      <c r="J580">
        <v>999</v>
      </c>
      <c r="K580">
        <v>99</v>
      </c>
      <c r="L580">
        <v>999</v>
      </c>
      <c r="M580">
        <v>9</v>
      </c>
      <c r="N580">
        <v>99</v>
      </c>
      <c r="O580">
        <v>9</v>
      </c>
      <c r="P580">
        <v>3</v>
      </c>
      <c r="Q580">
        <v>99999</v>
      </c>
      <c r="R580" s="276">
        <v>7149947.5976697505</v>
      </c>
      <c r="S580" s="7">
        <v>45383.489039351851</v>
      </c>
      <c r="AX580" s="7"/>
      <c r="AY580" s="7"/>
    </row>
    <row r="581" spans="1:51">
      <c r="A581">
        <v>579</v>
      </c>
      <c r="B581" t="s">
        <v>277</v>
      </c>
      <c r="C581">
        <v>2023</v>
      </c>
      <c r="D581">
        <v>5346</v>
      </c>
      <c r="E581">
        <v>263</v>
      </c>
      <c r="F581">
        <v>4</v>
      </c>
      <c r="G581">
        <v>1</v>
      </c>
      <c r="H581">
        <v>52</v>
      </c>
      <c r="I581">
        <v>106</v>
      </c>
      <c r="J581">
        <v>999</v>
      </c>
      <c r="K581">
        <v>99</v>
      </c>
      <c r="L581">
        <v>999</v>
      </c>
      <c r="M581">
        <v>9</v>
      </c>
      <c r="N581">
        <v>99</v>
      </c>
      <c r="O581">
        <v>9</v>
      </c>
      <c r="P581">
        <v>3</v>
      </c>
      <c r="Q581">
        <v>99999</v>
      </c>
      <c r="R581" s="276">
        <v>28024180.97092</v>
      </c>
      <c r="S581" s="7">
        <v>45383.489039351851</v>
      </c>
      <c r="AX581" s="7"/>
      <c r="AY581" s="7"/>
    </row>
    <row r="582" spans="1:51">
      <c r="A582">
        <v>580</v>
      </c>
      <c r="B582" t="s">
        <v>277</v>
      </c>
      <c r="C582">
        <v>2023</v>
      </c>
      <c r="D582">
        <v>5346</v>
      </c>
      <c r="E582">
        <v>263</v>
      </c>
      <c r="F582">
        <v>4</v>
      </c>
      <c r="G582">
        <v>2</v>
      </c>
      <c r="H582">
        <v>51</v>
      </c>
      <c r="I582">
        <v>102</v>
      </c>
      <c r="J582">
        <v>999</v>
      </c>
      <c r="K582">
        <v>99</v>
      </c>
      <c r="L582">
        <v>999</v>
      </c>
      <c r="M582">
        <v>9</v>
      </c>
      <c r="N582">
        <v>99</v>
      </c>
      <c r="O582">
        <v>9</v>
      </c>
      <c r="P582">
        <v>3</v>
      </c>
      <c r="Q582">
        <v>99999</v>
      </c>
      <c r="R582" s="276">
        <v>-11493943.749479</v>
      </c>
      <c r="S582" s="7">
        <v>45383.489039351851</v>
      </c>
      <c r="AX582" s="7"/>
      <c r="AY582" s="7"/>
    </row>
    <row r="583" spans="1:51">
      <c r="A583">
        <v>581</v>
      </c>
      <c r="B583" t="s">
        <v>277</v>
      </c>
      <c r="C583">
        <v>2023</v>
      </c>
      <c r="D583">
        <v>5346</v>
      </c>
      <c r="E583">
        <v>263</v>
      </c>
      <c r="F583">
        <v>4</v>
      </c>
      <c r="G583">
        <v>2</v>
      </c>
      <c r="H583">
        <v>51</v>
      </c>
      <c r="I583">
        <v>102</v>
      </c>
      <c r="J583">
        <v>999</v>
      </c>
      <c r="K583">
        <v>99</v>
      </c>
      <c r="L583">
        <v>999</v>
      </c>
      <c r="M583">
        <v>9</v>
      </c>
      <c r="N583">
        <v>99</v>
      </c>
      <c r="O583">
        <v>9</v>
      </c>
      <c r="P583">
        <v>4</v>
      </c>
      <c r="Q583">
        <v>99999</v>
      </c>
      <c r="R583" s="276">
        <v>-0.41014378837354698</v>
      </c>
      <c r="S583" s="7">
        <v>45383.489039351851</v>
      </c>
      <c r="AX583" s="7"/>
      <c r="AY583" s="7"/>
    </row>
    <row r="584" spans="1:51">
      <c r="A584">
        <v>582</v>
      </c>
      <c r="B584" t="s">
        <v>277</v>
      </c>
      <c r="C584">
        <v>2023</v>
      </c>
      <c r="D584">
        <v>5346</v>
      </c>
      <c r="E584">
        <v>263</v>
      </c>
      <c r="F584">
        <v>4</v>
      </c>
      <c r="G584">
        <v>1</v>
      </c>
      <c r="H584">
        <v>51</v>
      </c>
      <c r="I584">
        <v>55</v>
      </c>
      <c r="J584">
        <v>999</v>
      </c>
      <c r="K584">
        <v>99</v>
      </c>
      <c r="L584">
        <v>999</v>
      </c>
      <c r="M584">
        <v>9</v>
      </c>
      <c r="N584">
        <v>99</v>
      </c>
      <c r="O584">
        <v>9</v>
      </c>
      <c r="P584">
        <v>2</v>
      </c>
      <c r="Q584">
        <v>99999</v>
      </c>
      <c r="R584" s="276">
        <v>25329.045310000001</v>
      </c>
      <c r="S584" s="7">
        <v>45383.489039351851</v>
      </c>
      <c r="AX584" s="7"/>
      <c r="AY584" s="7"/>
    </row>
    <row r="585" spans="1:51">
      <c r="A585">
        <v>583</v>
      </c>
      <c r="B585" t="s">
        <v>277</v>
      </c>
      <c r="C585">
        <v>2023</v>
      </c>
      <c r="D585">
        <v>5346</v>
      </c>
      <c r="E585">
        <v>263</v>
      </c>
      <c r="F585">
        <v>4</v>
      </c>
      <c r="G585">
        <v>1</v>
      </c>
      <c r="H585">
        <v>51</v>
      </c>
      <c r="I585">
        <v>55</v>
      </c>
      <c r="J585">
        <v>999</v>
      </c>
      <c r="K585">
        <v>99</v>
      </c>
      <c r="L585">
        <v>999</v>
      </c>
      <c r="M585">
        <v>9</v>
      </c>
      <c r="N585">
        <v>99</v>
      </c>
      <c r="O585">
        <v>9</v>
      </c>
      <c r="P585">
        <v>3</v>
      </c>
      <c r="Q585">
        <v>99999</v>
      </c>
      <c r="R585" s="276">
        <v>7094514.3762294101</v>
      </c>
      <c r="S585" s="7">
        <v>45383.489039351851</v>
      </c>
      <c r="AX585" s="7"/>
      <c r="AY585" s="7"/>
    </row>
    <row r="586" spans="1:51">
      <c r="A586">
        <v>584</v>
      </c>
      <c r="B586" t="s">
        <v>277</v>
      </c>
      <c r="C586">
        <v>2023</v>
      </c>
      <c r="D586">
        <v>5346</v>
      </c>
      <c r="E586">
        <v>263</v>
      </c>
      <c r="F586">
        <v>4</v>
      </c>
      <c r="G586">
        <v>1</v>
      </c>
      <c r="H586">
        <v>51</v>
      </c>
      <c r="I586">
        <v>55</v>
      </c>
      <c r="J586">
        <v>999</v>
      </c>
      <c r="K586">
        <v>99</v>
      </c>
      <c r="L586">
        <v>999</v>
      </c>
      <c r="M586">
        <v>9</v>
      </c>
      <c r="N586">
        <v>99</v>
      </c>
      <c r="O586">
        <v>9</v>
      </c>
      <c r="P586">
        <v>2</v>
      </c>
      <c r="Q586">
        <v>99999</v>
      </c>
      <c r="R586" s="276">
        <v>25329.045310000001</v>
      </c>
      <c r="S586" s="7">
        <v>45383.489039351851</v>
      </c>
      <c r="AX586" s="7"/>
      <c r="AY586" s="7"/>
    </row>
    <row r="587" spans="1:51">
      <c r="A587">
        <v>585</v>
      </c>
      <c r="B587" t="s">
        <v>277</v>
      </c>
      <c r="C587">
        <v>2023</v>
      </c>
      <c r="D587">
        <v>5346</v>
      </c>
      <c r="E587">
        <v>263</v>
      </c>
      <c r="F587">
        <v>4</v>
      </c>
      <c r="G587">
        <v>1</v>
      </c>
      <c r="H587">
        <v>51</v>
      </c>
      <c r="I587">
        <v>55</v>
      </c>
      <c r="J587">
        <v>999</v>
      </c>
      <c r="K587">
        <v>99</v>
      </c>
      <c r="L587">
        <v>999</v>
      </c>
      <c r="M587">
        <v>9</v>
      </c>
      <c r="N587">
        <v>99</v>
      </c>
      <c r="O587">
        <v>9</v>
      </c>
      <c r="P587">
        <v>3</v>
      </c>
      <c r="Q587">
        <v>99999</v>
      </c>
      <c r="R587" s="276">
        <v>7094514.3762294101</v>
      </c>
      <c r="S587" s="7">
        <v>45383.489039351851</v>
      </c>
      <c r="AX587" s="7"/>
      <c r="AY587" s="7"/>
    </row>
    <row r="588" spans="1:51">
      <c r="A588">
        <v>586</v>
      </c>
      <c r="B588" t="s">
        <v>277</v>
      </c>
      <c r="C588">
        <v>2023</v>
      </c>
      <c r="D588">
        <v>5346</v>
      </c>
      <c r="E588">
        <v>263</v>
      </c>
      <c r="F588">
        <v>4</v>
      </c>
      <c r="G588">
        <v>1</v>
      </c>
      <c r="H588">
        <v>51</v>
      </c>
      <c r="I588">
        <v>100</v>
      </c>
      <c r="J588">
        <v>999</v>
      </c>
      <c r="K588">
        <v>99</v>
      </c>
      <c r="L588">
        <v>999</v>
      </c>
      <c r="M588">
        <v>9</v>
      </c>
      <c r="N588">
        <v>99</v>
      </c>
      <c r="O588">
        <v>9</v>
      </c>
      <c r="P588">
        <v>3</v>
      </c>
      <c r="Q588">
        <v>99999</v>
      </c>
      <c r="R588" s="276">
        <v>14118850.1450962</v>
      </c>
      <c r="S588" s="7">
        <v>45383.489039351851</v>
      </c>
      <c r="AX588" s="7"/>
      <c r="AY588" s="7"/>
    </row>
    <row r="589" spans="1:51">
      <c r="A589">
        <v>587</v>
      </c>
      <c r="B589" t="s">
        <v>277</v>
      </c>
      <c r="C589">
        <v>2023</v>
      </c>
      <c r="D589">
        <v>5346</v>
      </c>
      <c r="E589">
        <v>263</v>
      </c>
      <c r="F589">
        <v>4</v>
      </c>
      <c r="G589">
        <v>1</v>
      </c>
      <c r="H589">
        <v>51</v>
      </c>
      <c r="I589">
        <v>101</v>
      </c>
      <c r="J589">
        <v>999</v>
      </c>
      <c r="K589">
        <v>99</v>
      </c>
      <c r="L589">
        <v>999</v>
      </c>
      <c r="M589">
        <v>9</v>
      </c>
      <c r="N589">
        <v>99</v>
      </c>
      <c r="O589">
        <v>9</v>
      </c>
      <c r="P589">
        <v>3</v>
      </c>
      <c r="Q589">
        <v>99999</v>
      </c>
      <c r="R589" s="276">
        <v>13432500.4026065</v>
      </c>
      <c r="S589" s="7">
        <v>45383.489039351851</v>
      </c>
      <c r="AX589" s="7"/>
      <c r="AY589" s="7"/>
    </row>
    <row r="590" spans="1:51">
      <c r="A590">
        <v>588</v>
      </c>
      <c r="B590" t="s">
        <v>277</v>
      </c>
      <c r="C590">
        <v>2023</v>
      </c>
      <c r="D590">
        <v>5346</v>
      </c>
      <c r="E590">
        <v>263</v>
      </c>
      <c r="F590">
        <v>4</v>
      </c>
      <c r="G590">
        <v>1</v>
      </c>
      <c r="H590">
        <v>51</v>
      </c>
      <c r="I590">
        <v>104</v>
      </c>
      <c r="J590">
        <v>999</v>
      </c>
      <c r="K590">
        <v>3</v>
      </c>
      <c r="L590">
        <v>999</v>
      </c>
      <c r="M590">
        <v>9</v>
      </c>
      <c r="N590">
        <v>99</v>
      </c>
      <c r="O590">
        <v>9</v>
      </c>
      <c r="P590">
        <v>3</v>
      </c>
      <c r="Q590">
        <v>99999</v>
      </c>
      <c r="R590" s="276">
        <v>2323782.2118419702</v>
      </c>
      <c r="S590" s="7">
        <v>45383.489039351851</v>
      </c>
      <c r="AX590" s="7"/>
      <c r="AY590" s="7"/>
    </row>
    <row r="591" spans="1:51">
      <c r="A591">
        <v>589</v>
      </c>
      <c r="B591" t="s">
        <v>277</v>
      </c>
      <c r="C591">
        <v>2023</v>
      </c>
      <c r="D591">
        <v>5346</v>
      </c>
      <c r="E591">
        <v>263</v>
      </c>
      <c r="F591">
        <v>4</v>
      </c>
      <c r="G591">
        <v>1</v>
      </c>
      <c r="H591">
        <v>51</v>
      </c>
      <c r="I591">
        <v>106</v>
      </c>
      <c r="J591">
        <v>999</v>
      </c>
      <c r="K591">
        <v>99</v>
      </c>
      <c r="L591">
        <v>999</v>
      </c>
      <c r="M591">
        <v>9</v>
      </c>
      <c r="N591">
        <v>99</v>
      </c>
      <c r="O591">
        <v>9</v>
      </c>
      <c r="P591">
        <v>3</v>
      </c>
      <c r="Q591">
        <v>99999</v>
      </c>
      <c r="R591" s="276">
        <v>27551350.5477027</v>
      </c>
      <c r="S591" s="7">
        <v>45383.489039351851</v>
      </c>
      <c r="AX591" s="7"/>
      <c r="AY591" s="7"/>
    </row>
    <row r="592" spans="1:51">
      <c r="A592">
        <v>590</v>
      </c>
      <c r="B592" t="s">
        <v>277</v>
      </c>
      <c r="C592">
        <v>2023</v>
      </c>
      <c r="D592">
        <v>5346</v>
      </c>
      <c r="E592">
        <v>263</v>
      </c>
      <c r="F592">
        <v>1</v>
      </c>
      <c r="G592">
        <v>3</v>
      </c>
      <c r="H592">
        <v>50</v>
      </c>
      <c r="I592">
        <v>50</v>
      </c>
      <c r="J592">
        <v>999</v>
      </c>
      <c r="K592">
        <v>99</v>
      </c>
      <c r="L592">
        <v>999</v>
      </c>
      <c r="M592">
        <v>9</v>
      </c>
      <c r="N592">
        <v>3</v>
      </c>
      <c r="O592">
        <v>9</v>
      </c>
      <c r="P592">
        <v>3</v>
      </c>
      <c r="Q592">
        <v>99999</v>
      </c>
      <c r="R592" s="276">
        <v>0</v>
      </c>
      <c r="S592" s="7">
        <v>45383.489039351851</v>
      </c>
      <c r="AX592" s="7"/>
      <c r="AY592" s="7"/>
    </row>
    <row r="593" spans="1:51">
      <c r="A593">
        <v>591</v>
      </c>
      <c r="B593" t="s">
        <v>277</v>
      </c>
      <c r="C593">
        <v>2023</v>
      </c>
      <c r="D593">
        <v>5346</v>
      </c>
      <c r="E593">
        <v>263</v>
      </c>
      <c r="F593">
        <v>1</v>
      </c>
      <c r="G593">
        <v>3</v>
      </c>
      <c r="H593">
        <v>50</v>
      </c>
      <c r="I593">
        <v>50</v>
      </c>
      <c r="J593">
        <v>999</v>
      </c>
      <c r="K593">
        <v>99</v>
      </c>
      <c r="L593">
        <v>999</v>
      </c>
      <c r="M593">
        <v>9</v>
      </c>
      <c r="N593">
        <v>4</v>
      </c>
      <c r="O593">
        <v>9</v>
      </c>
      <c r="P593">
        <v>3</v>
      </c>
      <c r="Q593">
        <v>99999</v>
      </c>
      <c r="R593" s="276">
        <v>0</v>
      </c>
      <c r="S593" s="7">
        <v>45383.489039351851</v>
      </c>
      <c r="AX593" s="7"/>
      <c r="AY593" s="7"/>
    </row>
    <row r="594" spans="1:51">
      <c r="A594">
        <v>592</v>
      </c>
      <c r="B594" t="s">
        <v>277</v>
      </c>
      <c r="C594">
        <v>2023</v>
      </c>
      <c r="D594">
        <v>5346</v>
      </c>
      <c r="E594">
        <v>263</v>
      </c>
      <c r="F594">
        <v>1</v>
      </c>
      <c r="G594">
        <v>3</v>
      </c>
      <c r="H594">
        <v>50</v>
      </c>
      <c r="I594">
        <v>50</v>
      </c>
      <c r="J594">
        <v>999</v>
      </c>
      <c r="K594">
        <v>99</v>
      </c>
      <c r="L594">
        <v>999</v>
      </c>
      <c r="M594">
        <v>9</v>
      </c>
      <c r="N594">
        <v>5</v>
      </c>
      <c r="O594">
        <v>9</v>
      </c>
      <c r="P594">
        <v>3</v>
      </c>
      <c r="Q594">
        <v>99999</v>
      </c>
      <c r="R594" s="276">
        <v>2582495.23459</v>
      </c>
      <c r="S594" s="7">
        <v>45383.489039351851</v>
      </c>
      <c r="AX594" s="7"/>
      <c r="AY594" s="7"/>
    </row>
    <row r="595" spans="1:51">
      <c r="A595">
        <v>593</v>
      </c>
      <c r="B595" t="s">
        <v>277</v>
      </c>
      <c r="C595">
        <v>2023</v>
      </c>
      <c r="D595">
        <v>5346</v>
      </c>
      <c r="E595">
        <v>263</v>
      </c>
      <c r="F595">
        <v>1</v>
      </c>
      <c r="G595">
        <v>3</v>
      </c>
      <c r="H595">
        <v>50</v>
      </c>
      <c r="I595">
        <v>50</v>
      </c>
      <c r="J595">
        <v>999</v>
      </c>
      <c r="K595">
        <v>99</v>
      </c>
      <c r="L595">
        <v>999</v>
      </c>
      <c r="M595">
        <v>9</v>
      </c>
      <c r="N595">
        <v>6</v>
      </c>
      <c r="O595">
        <v>9</v>
      </c>
      <c r="P595">
        <v>3</v>
      </c>
      <c r="Q595">
        <v>99999</v>
      </c>
      <c r="R595" s="276">
        <v>0</v>
      </c>
      <c r="S595" s="7">
        <v>45383.489039351851</v>
      </c>
      <c r="AX595" s="7"/>
      <c r="AY595" s="7"/>
    </row>
    <row r="596" spans="1:51">
      <c r="A596">
        <v>594</v>
      </c>
      <c r="B596" t="s">
        <v>277</v>
      </c>
      <c r="C596">
        <v>2023</v>
      </c>
      <c r="D596">
        <v>5346</v>
      </c>
      <c r="E596">
        <v>263</v>
      </c>
      <c r="F596">
        <v>1</v>
      </c>
      <c r="G596">
        <v>3</v>
      </c>
      <c r="H596">
        <v>50</v>
      </c>
      <c r="I596">
        <v>50</v>
      </c>
      <c r="J596">
        <v>999</v>
      </c>
      <c r="K596">
        <v>99</v>
      </c>
      <c r="L596">
        <v>999</v>
      </c>
      <c r="M596">
        <v>9</v>
      </c>
      <c r="N596">
        <v>21</v>
      </c>
      <c r="O596">
        <v>9</v>
      </c>
      <c r="P596">
        <v>3</v>
      </c>
      <c r="Q596">
        <v>99999</v>
      </c>
      <c r="R596" s="276">
        <v>25441685.736329999</v>
      </c>
      <c r="S596" s="7">
        <v>45383.489039351851</v>
      </c>
      <c r="AX596" s="7"/>
      <c r="AY596" s="7"/>
    </row>
    <row r="597" spans="1:51">
      <c r="A597">
        <v>595</v>
      </c>
      <c r="B597" t="s">
        <v>277</v>
      </c>
      <c r="C597">
        <v>2023</v>
      </c>
      <c r="D597">
        <v>5346</v>
      </c>
      <c r="E597">
        <v>263</v>
      </c>
      <c r="F597">
        <v>1</v>
      </c>
      <c r="G597">
        <v>1</v>
      </c>
      <c r="H597">
        <v>51</v>
      </c>
      <c r="I597">
        <v>999999</v>
      </c>
      <c r="J597">
        <v>999</v>
      </c>
      <c r="K597">
        <v>2</v>
      </c>
      <c r="L597">
        <v>11</v>
      </c>
      <c r="M597">
        <v>2</v>
      </c>
      <c r="N597">
        <v>99</v>
      </c>
      <c r="O597">
        <v>9</v>
      </c>
      <c r="P597">
        <v>2</v>
      </c>
      <c r="Q597">
        <v>99999</v>
      </c>
      <c r="R597" s="276">
        <v>21379.449000000001</v>
      </c>
      <c r="S597" s="7">
        <v>45383.489039351851</v>
      </c>
      <c r="AX597" s="7"/>
      <c r="AY597" s="7"/>
    </row>
    <row r="598" spans="1:51">
      <c r="A598">
        <v>596</v>
      </c>
      <c r="B598" t="s">
        <v>277</v>
      </c>
      <c r="C598">
        <v>2023</v>
      </c>
      <c r="D598">
        <v>5346</v>
      </c>
      <c r="E598">
        <v>263</v>
      </c>
      <c r="F598">
        <v>1</v>
      </c>
      <c r="G598">
        <v>3</v>
      </c>
      <c r="H598">
        <v>50</v>
      </c>
      <c r="I598">
        <v>50</v>
      </c>
      <c r="J598">
        <v>999</v>
      </c>
      <c r="K598">
        <v>99</v>
      </c>
      <c r="L598">
        <v>999</v>
      </c>
      <c r="M598">
        <v>9</v>
      </c>
      <c r="N598">
        <v>99</v>
      </c>
      <c r="O598">
        <v>9</v>
      </c>
      <c r="P598">
        <v>3</v>
      </c>
      <c r="Q598">
        <v>99999</v>
      </c>
      <c r="R598" s="276">
        <v>28024180.97092</v>
      </c>
      <c r="S598" s="7">
        <v>45383.489039351851</v>
      </c>
      <c r="AX598" s="7"/>
      <c r="AY598" s="7"/>
    </row>
    <row r="599" spans="1:51">
      <c r="A599">
        <v>597</v>
      </c>
      <c r="B599" t="s">
        <v>277</v>
      </c>
      <c r="C599">
        <v>2023</v>
      </c>
      <c r="D599">
        <v>5346</v>
      </c>
      <c r="E599">
        <v>263</v>
      </c>
      <c r="F599">
        <v>1</v>
      </c>
      <c r="G599">
        <v>3</v>
      </c>
      <c r="H599">
        <v>50</v>
      </c>
      <c r="I599">
        <v>51</v>
      </c>
      <c r="J599">
        <v>999</v>
      </c>
      <c r="K599">
        <v>99</v>
      </c>
      <c r="L599">
        <v>999</v>
      </c>
      <c r="M599">
        <v>9</v>
      </c>
      <c r="N599">
        <v>99</v>
      </c>
      <c r="O599">
        <v>9</v>
      </c>
      <c r="P599">
        <v>3</v>
      </c>
      <c r="Q599">
        <v>99999</v>
      </c>
      <c r="R599" s="276">
        <v>0</v>
      </c>
      <c r="S599" s="7">
        <v>45383.489039351851</v>
      </c>
      <c r="AX599" s="7"/>
      <c r="AY599" s="7"/>
    </row>
    <row r="600" spans="1:51">
      <c r="A600">
        <v>598</v>
      </c>
      <c r="B600" t="s">
        <v>277</v>
      </c>
      <c r="C600">
        <v>2023</v>
      </c>
      <c r="D600">
        <v>5346</v>
      </c>
      <c r="E600">
        <v>263</v>
      </c>
      <c r="F600">
        <v>1</v>
      </c>
      <c r="G600">
        <v>3</v>
      </c>
      <c r="H600">
        <v>50</v>
      </c>
      <c r="I600">
        <v>53</v>
      </c>
      <c r="J600">
        <v>999</v>
      </c>
      <c r="K600">
        <v>99</v>
      </c>
      <c r="L600">
        <v>999</v>
      </c>
      <c r="M600">
        <v>9</v>
      </c>
      <c r="N600">
        <v>99</v>
      </c>
      <c r="O600">
        <v>9</v>
      </c>
      <c r="P600">
        <v>3</v>
      </c>
      <c r="Q600">
        <v>99999</v>
      </c>
      <c r="R600" s="276">
        <v>0</v>
      </c>
      <c r="S600" s="7">
        <v>45383.489039351851</v>
      </c>
      <c r="AX600" s="7"/>
      <c r="AY600" s="7"/>
    </row>
    <row r="601" spans="1:51">
      <c r="A601">
        <v>599</v>
      </c>
      <c r="B601" t="s">
        <v>277</v>
      </c>
      <c r="C601">
        <v>2023</v>
      </c>
      <c r="D601">
        <v>5346</v>
      </c>
      <c r="E601">
        <v>263</v>
      </c>
      <c r="F601">
        <v>1</v>
      </c>
      <c r="G601">
        <v>3</v>
      </c>
      <c r="H601">
        <v>50</v>
      </c>
      <c r="I601">
        <v>54</v>
      </c>
      <c r="J601">
        <v>999</v>
      </c>
      <c r="K601">
        <v>99</v>
      </c>
      <c r="L601">
        <v>999</v>
      </c>
      <c r="M601">
        <v>9</v>
      </c>
      <c r="N601">
        <v>99</v>
      </c>
      <c r="O601">
        <v>9</v>
      </c>
      <c r="P601">
        <v>3</v>
      </c>
      <c r="Q601">
        <v>99999</v>
      </c>
      <c r="R601" s="276">
        <v>0</v>
      </c>
      <c r="S601" s="7">
        <v>45383.489039351851</v>
      </c>
      <c r="AX601" s="7"/>
      <c r="AY601" s="7"/>
    </row>
    <row r="602" spans="1:51">
      <c r="A602">
        <v>600</v>
      </c>
      <c r="B602" t="s">
        <v>277</v>
      </c>
      <c r="C602">
        <v>2023</v>
      </c>
      <c r="D602">
        <v>5346</v>
      </c>
      <c r="E602">
        <v>263</v>
      </c>
      <c r="F602">
        <v>1</v>
      </c>
      <c r="G602">
        <v>3</v>
      </c>
      <c r="H602">
        <v>50</v>
      </c>
      <c r="I602">
        <v>50</v>
      </c>
      <c r="J602">
        <v>999</v>
      </c>
      <c r="K602">
        <v>99</v>
      </c>
      <c r="L602">
        <v>999</v>
      </c>
      <c r="M602">
        <v>9</v>
      </c>
      <c r="N602">
        <v>1</v>
      </c>
      <c r="O602">
        <v>9</v>
      </c>
      <c r="P602">
        <v>3</v>
      </c>
      <c r="Q602">
        <v>99999</v>
      </c>
      <c r="R602" s="276">
        <v>0</v>
      </c>
      <c r="S602" s="7">
        <v>45383.489039351851</v>
      </c>
      <c r="AX602" s="7"/>
      <c r="AY602" s="7"/>
    </row>
    <row r="603" spans="1:51">
      <c r="A603">
        <v>601</v>
      </c>
      <c r="B603" t="s">
        <v>277</v>
      </c>
      <c r="C603">
        <v>2023</v>
      </c>
      <c r="D603">
        <v>5346</v>
      </c>
      <c r="E603">
        <v>263</v>
      </c>
      <c r="F603">
        <v>1</v>
      </c>
      <c r="G603">
        <v>3</v>
      </c>
      <c r="H603">
        <v>50</v>
      </c>
      <c r="I603">
        <v>50</v>
      </c>
      <c r="J603">
        <v>999</v>
      </c>
      <c r="K603">
        <v>99</v>
      </c>
      <c r="L603">
        <v>999</v>
      </c>
      <c r="M603">
        <v>9</v>
      </c>
      <c r="N603">
        <v>2</v>
      </c>
      <c r="O603">
        <v>9</v>
      </c>
      <c r="P603">
        <v>3</v>
      </c>
      <c r="Q603">
        <v>99999</v>
      </c>
      <c r="R603" s="276">
        <v>0</v>
      </c>
      <c r="S603" s="7">
        <v>45383.489039351851</v>
      </c>
      <c r="AX603" s="7"/>
      <c r="AY603" s="7"/>
    </row>
    <row r="604" spans="1:51">
      <c r="A604">
        <v>602</v>
      </c>
      <c r="B604" t="s">
        <v>277</v>
      </c>
      <c r="C604">
        <v>2023</v>
      </c>
      <c r="D604">
        <v>5346</v>
      </c>
      <c r="E604">
        <v>263</v>
      </c>
      <c r="F604">
        <v>1</v>
      </c>
      <c r="G604">
        <v>3</v>
      </c>
      <c r="H604">
        <v>50</v>
      </c>
      <c r="I604">
        <v>50</v>
      </c>
      <c r="J604">
        <v>999</v>
      </c>
      <c r="K604">
        <v>99</v>
      </c>
      <c r="L604">
        <v>999</v>
      </c>
      <c r="M604">
        <v>9</v>
      </c>
      <c r="N604">
        <v>2</v>
      </c>
      <c r="O604">
        <v>9</v>
      </c>
      <c r="P604">
        <v>2</v>
      </c>
      <c r="Q604">
        <v>99999</v>
      </c>
      <c r="R604" s="276">
        <v>0</v>
      </c>
      <c r="S604" s="7">
        <v>45383.489039351851</v>
      </c>
      <c r="AX604" s="7"/>
      <c r="AY604" s="7"/>
    </row>
    <row r="605" spans="1:51">
      <c r="A605">
        <v>603</v>
      </c>
      <c r="B605" t="s">
        <v>277</v>
      </c>
      <c r="C605">
        <v>2023</v>
      </c>
      <c r="D605">
        <v>5346</v>
      </c>
      <c r="E605">
        <v>263</v>
      </c>
      <c r="F605">
        <v>1</v>
      </c>
      <c r="G605">
        <v>3</v>
      </c>
      <c r="H605">
        <v>50</v>
      </c>
      <c r="I605">
        <v>50</v>
      </c>
      <c r="J605">
        <v>999</v>
      </c>
      <c r="K605">
        <v>99</v>
      </c>
      <c r="L605">
        <v>999</v>
      </c>
      <c r="M605">
        <v>9</v>
      </c>
      <c r="N605">
        <v>3</v>
      </c>
      <c r="O605">
        <v>9</v>
      </c>
      <c r="P605">
        <v>2</v>
      </c>
      <c r="Q605">
        <v>99999</v>
      </c>
      <c r="R605" s="276">
        <v>0</v>
      </c>
      <c r="S605" s="7">
        <v>45383.489039351851</v>
      </c>
      <c r="AX605" s="7"/>
      <c r="AY605" s="7"/>
    </row>
    <row r="606" spans="1:51">
      <c r="A606">
        <v>604</v>
      </c>
      <c r="B606" t="s">
        <v>277</v>
      </c>
      <c r="C606">
        <v>2023</v>
      </c>
      <c r="D606">
        <v>5346</v>
      </c>
      <c r="E606">
        <v>263</v>
      </c>
      <c r="F606">
        <v>1</v>
      </c>
      <c r="G606">
        <v>3</v>
      </c>
      <c r="H606">
        <v>50</v>
      </c>
      <c r="I606">
        <v>50</v>
      </c>
      <c r="J606">
        <v>999</v>
      </c>
      <c r="K606">
        <v>99</v>
      </c>
      <c r="L606">
        <v>999</v>
      </c>
      <c r="M606">
        <v>9</v>
      </c>
      <c r="N606">
        <v>4</v>
      </c>
      <c r="O606">
        <v>9</v>
      </c>
      <c r="P606">
        <v>2</v>
      </c>
      <c r="Q606">
        <v>99999</v>
      </c>
      <c r="R606" s="276">
        <v>0</v>
      </c>
      <c r="S606" s="7">
        <v>45383.489039351851</v>
      </c>
      <c r="AX606" s="7"/>
      <c r="AY606" s="7"/>
    </row>
    <row r="607" spans="1:51">
      <c r="A607">
        <v>605</v>
      </c>
      <c r="B607" t="s">
        <v>277</v>
      </c>
      <c r="C607">
        <v>2023</v>
      </c>
      <c r="D607">
        <v>5346</v>
      </c>
      <c r="E607">
        <v>263</v>
      </c>
      <c r="F607">
        <v>1</v>
      </c>
      <c r="G607">
        <v>3</v>
      </c>
      <c r="H607">
        <v>50</v>
      </c>
      <c r="I607">
        <v>50</v>
      </c>
      <c r="J607">
        <v>999</v>
      </c>
      <c r="K607">
        <v>99</v>
      </c>
      <c r="L607">
        <v>999</v>
      </c>
      <c r="M607">
        <v>9</v>
      </c>
      <c r="N607">
        <v>5</v>
      </c>
      <c r="O607">
        <v>9</v>
      </c>
      <c r="P607">
        <v>2</v>
      </c>
      <c r="Q607">
        <v>99999</v>
      </c>
      <c r="R607" s="276">
        <v>3148.7440000000001</v>
      </c>
      <c r="S607" s="7">
        <v>45383.489039351851</v>
      </c>
      <c r="AX607" s="7"/>
      <c r="AY607" s="7"/>
    </row>
    <row r="608" spans="1:51">
      <c r="A608">
        <v>606</v>
      </c>
      <c r="B608" t="s">
        <v>277</v>
      </c>
      <c r="C608">
        <v>2023</v>
      </c>
      <c r="D608">
        <v>5346</v>
      </c>
      <c r="E608">
        <v>263</v>
      </c>
      <c r="F608">
        <v>1</v>
      </c>
      <c r="G608">
        <v>3</v>
      </c>
      <c r="H608">
        <v>50</v>
      </c>
      <c r="I608">
        <v>50</v>
      </c>
      <c r="J608">
        <v>999</v>
      </c>
      <c r="K608">
        <v>99</v>
      </c>
      <c r="L608">
        <v>999</v>
      </c>
      <c r="M608">
        <v>9</v>
      </c>
      <c r="N608">
        <v>6</v>
      </c>
      <c r="O608">
        <v>9</v>
      </c>
      <c r="P608">
        <v>2</v>
      </c>
      <c r="Q608">
        <v>99999</v>
      </c>
      <c r="R608" s="276">
        <v>0</v>
      </c>
      <c r="S608" s="7">
        <v>45383.489039351851</v>
      </c>
      <c r="AX608" s="7"/>
      <c r="AY608" s="7"/>
    </row>
    <row r="609" spans="1:51">
      <c r="A609">
        <v>607</v>
      </c>
      <c r="B609" t="s">
        <v>277</v>
      </c>
      <c r="C609">
        <v>2023</v>
      </c>
      <c r="D609">
        <v>5346</v>
      </c>
      <c r="E609">
        <v>263</v>
      </c>
      <c r="F609">
        <v>1</v>
      </c>
      <c r="G609">
        <v>3</v>
      </c>
      <c r="H609">
        <v>50</v>
      </c>
      <c r="I609">
        <v>50</v>
      </c>
      <c r="J609">
        <v>999</v>
      </c>
      <c r="K609">
        <v>99</v>
      </c>
      <c r="L609">
        <v>999</v>
      </c>
      <c r="M609">
        <v>9</v>
      </c>
      <c r="N609">
        <v>21</v>
      </c>
      <c r="O609">
        <v>9</v>
      </c>
      <c r="P609">
        <v>2</v>
      </c>
      <c r="Q609">
        <v>99999</v>
      </c>
      <c r="R609" s="276">
        <v>19337.383999999998</v>
      </c>
      <c r="S609" s="7">
        <v>45383.489039351851</v>
      </c>
      <c r="AX609" s="7"/>
      <c r="AY609" s="7"/>
    </row>
    <row r="610" spans="1:51">
      <c r="A610">
        <v>608</v>
      </c>
      <c r="B610" t="s">
        <v>277</v>
      </c>
      <c r="C610">
        <v>2023</v>
      </c>
      <c r="D610">
        <v>5346</v>
      </c>
      <c r="E610">
        <v>263</v>
      </c>
      <c r="F610">
        <v>1</v>
      </c>
      <c r="G610">
        <v>1</v>
      </c>
      <c r="H610">
        <v>15</v>
      </c>
      <c r="I610">
        <v>143</v>
      </c>
      <c r="J610">
        <v>999</v>
      </c>
      <c r="K610">
        <v>2</v>
      </c>
      <c r="L610">
        <v>999</v>
      </c>
      <c r="M610">
        <v>9</v>
      </c>
      <c r="N610">
        <v>99</v>
      </c>
      <c r="O610">
        <v>9</v>
      </c>
      <c r="P610">
        <v>4</v>
      </c>
      <c r="Q610">
        <v>0</v>
      </c>
      <c r="R610" s="276">
        <v>0</v>
      </c>
      <c r="S610" s="7">
        <v>45383.489039351851</v>
      </c>
      <c r="AX610" s="7"/>
      <c r="AY610" s="7"/>
    </row>
    <row r="611" spans="1:51">
      <c r="A611">
        <v>609</v>
      </c>
      <c r="B611" t="s">
        <v>277</v>
      </c>
      <c r="C611">
        <v>2023</v>
      </c>
      <c r="D611">
        <v>5346</v>
      </c>
      <c r="E611">
        <v>263</v>
      </c>
      <c r="F611">
        <v>1</v>
      </c>
      <c r="G611">
        <v>3</v>
      </c>
      <c r="H611">
        <v>50</v>
      </c>
      <c r="I611">
        <v>50</v>
      </c>
      <c r="J611">
        <v>999</v>
      </c>
      <c r="K611">
        <v>99</v>
      </c>
      <c r="L611">
        <v>999</v>
      </c>
      <c r="M611">
        <v>9</v>
      </c>
      <c r="N611">
        <v>99</v>
      </c>
      <c r="O611">
        <v>9</v>
      </c>
      <c r="P611">
        <v>2</v>
      </c>
      <c r="Q611">
        <v>99999</v>
      </c>
      <c r="R611" s="276">
        <v>22486.128000000001</v>
      </c>
      <c r="S611" s="7">
        <v>45383.489039351851</v>
      </c>
      <c r="AX611" s="7"/>
      <c r="AY611" s="7"/>
    </row>
    <row r="612" spans="1:51">
      <c r="A612">
        <v>610</v>
      </c>
      <c r="B612" t="s">
        <v>277</v>
      </c>
      <c r="C612">
        <v>2023</v>
      </c>
      <c r="D612">
        <v>5346</v>
      </c>
      <c r="E612">
        <v>263</v>
      </c>
      <c r="F612">
        <v>1</v>
      </c>
      <c r="G612">
        <v>3</v>
      </c>
      <c r="H612">
        <v>50</v>
      </c>
      <c r="I612">
        <v>51</v>
      </c>
      <c r="J612">
        <v>999</v>
      </c>
      <c r="K612">
        <v>99</v>
      </c>
      <c r="L612">
        <v>999</v>
      </c>
      <c r="M612">
        <v>9</v>
      </c>
      <c r="N612">
        <v>99</v>
      </c>
      <c r="O612">
        <v>9</v>
      </c>
      <c r="P612">
        <v>2</v>
      </c>
      <c r="Q612">
        <v>99999</v>
      </c>
      <c r="R612" s="276">
        <v>0</v>
      </c>
      <c r="S612" s="7">
        <v>45383.489039351851</v>
      </c>
      <c r="AX612" s="7"/>
      <c r="AY612" s="7"/>
    </row>
    <row r="613" spans="1:51">
      <c r="A613">
        <v>611</v>
      </c>
      <c r="B613" t="s">
        <v>277</v>
      </c>
      <c r="C613">
        <v>2023</v>
      </c>
      <c r="D613">
        <v>5346</v>
      </c>
      <c r="E613">
        <v>263</v>
      </c>
      <c r="F613">
        <v>1</v>
      </c>
      <c r="G613">
        <v>3</v>
      </c>
      <c r="H613">
        <v>50</v>
      </c>
      <c r="I613">
        <v>53</v>
      </c>
      <c r="J613">
        <v>999</v>
      </c>
      <c r="K613">
        <v>99</v>
      </c>
      <c r="L613">
        <v>999</v>
      </c>
      <c r="M613">
        <v>9</v>
      </c>
      <c r="N613">
        <v>99</v>
      </c>
      <c r="O613">
        <v>9</v>
      </c>
      <c r="P613">
        <v>2</v>
      </c>
      <c r="Q613">
        <v>99999</v>
      </c>
      <c r="R613" s="276">
        <v>0</v>
      </c>
      <c r="S613" s="7">
        <v>45383.489039351851</v>
      </c>
      <c r="AX613" s="7"/>
      <c r="AY613" s="7"/>
    </row>
    <row r="614" spans="1:51">
      <c r="A614">
        <v>612</v>
      </c>
      <c r="B614" t="s">
        <v>277</v>
      </c>
      <c r="C614">
        <v>2023</v>
      </c>
      <c r="D614">
        <v>5346</v>
      </c>
      <c r="E614">
        <v>263</v>
      </c>
      <c r="F614">
        <v>1</v>
      </c>
      <c r="G614">
        <v>3</v>
      </c>
      <c r="H614">
        <v>50</v>
      </c>
      <c r="I614">
        <v>54</v>
      </c>
      <c r="J614">
        <v>999</v>
      </c>
      <c r="K614">
        <v>99</v>
      </c>
      <c r="L614">
        <v>999</v>
      </c>
      <c r="M614">
        <v>9</v>
      </c>
      <c r="N614">
        <v>99</v>
      </c>
      <c r="O614">
        <v>9</v>
      </c>
      <c r="P614">
        <v>2</v>
      </c>
      <c r="Q614">
        <v>99999</v>
      </c>
      <c r="R614" s="276">
        <v>0</v>
      </c>
      <c r="S614" s="7">
        <v>45383.489039351851</v>
      </c>
      <c r="AX614" s="7"/>
      <c r="AY614" s="7"/>
    </row>
    <row r="615" spans="1:51">
      <c r="A615">
        <v>613</v>
      </c>
      <c r="B615" t="s">
        <v>277</v>
      </c>
      <c r="C615">
        <v>2023</v>
      </c>
      <c r="D615">
        <v>5346</v>
      </c>
      <c r="E615">
        <v>263</v>
      </c>
      <c r="F615">
        <v>1</v>
      </c>
      <c r="G615">
        <v>3</v>
      </c>
      <c r="H615">
        <v>50</v>
      </c>
      <c r="I615">
        <v>50</v>
      </c>
      <c r="J615">
        <v>999</v>
      </c>
      <c r="K615">
        <v>99</v>
      </c>
      <c r="L615">
        <v>999</v>
      </c>
      <c r="M615">
        <v>9</v>
      </c>
      <c r="N615">
        <v>1</v>
      </c>
      <c r="O615">
        <v>9</v>
      </c>
      <c r="P615">
        <v>2</v>
      </c>
      <c r="Q615">
        <v>99999</v>
      </c>
      <c r="R615" s="276">
        <v>0</v>
      </c>
      <c r="S615" s="7">
        <v>45383.489039351851</v>
      </c>
      <c r="AX615" s="7"/>
      <c r="AY615" s="7"/>
    </row>
    <row r="616" spans="1:51">
      <c r="A616">
        <v>614</v>
      </c>
      <c r="B616" t="s">
        <v>277</v>
      </c>
      <c r="C616">
        <v>2023</v>
      </c>
      <c r="D616">
        <v>5346</v>
      </c>
      <c r="E616">
        <v>263</v>
      </c>
      <c r="F616">
        <v>1</v>
      </c>
      <c r="G616">
        <v>1</v>
      </c>
      <c r="H616">
        <v>6</v>
      </c>
      <c r="I616">
        <v>999999</v>
      </c>
      <c r="J616">
        <v>999</v>
      </c>
      <c r="K616">
        <v>2</v>
      </c>
      <c r="L616">
        <v>999</v>
      </c>
      <c r="M616">
        <v>9</v>
      </c>
      <c r="N616">
        <v>99</v>
      </c>
      <c r="O616">
        <v>9</v>
      </c>
      <c r="P616">
        <v>3</v>
      </c>
      <c r="Q616">
        <v>99999</v>
      </c>
      <c r="R616" s="276">
        <v>0</v>
      </c>
      <c r="S616" s="7">
        <v>45383.489039351851</v>
      </c>
      <c r="AX616" s="7"/>
      <c r="AY616" s="7"/>
    </row>
    <row r="617" spans="1:51">
      <c r="A617">
        <v>615</v>
      </c>
      <c r="B617" t="s">
        <v>277</v>
      </c>
      <c r="C617">
        <v>2023</v>
      </c>
      <c r="D617">
        <v>5346</v>
      </c>
      <c r="E617">
        <v>263</v>
      </c>
      <c r="F617">
        <v>1</v>
      </c>
      <c r="G617">
        <v>1</v>
      </c>
      <c r="H617">
        <v>6</v>
      </c>
      <c r="I617">
        <v>999999</v>
      </c>
      <c r="J617">
        <v>999</v>
      </c>
      <c r="K617">
        <v>2</v>
      </c>
      <c r="L617">
        <v>999</v>
      </c>
      <c r="M617">
        <v>9</v>
      </c>
      <c r="N617">
        <v>99</v>
      </c>
      <c r="O617">
        <v>9</v>
      </c>
      <c r="P617">
        <v>5</v>
      </c>
      <c r="Q617">
        <v>99999</v>
      </c>
      <c r="R617" s="276">
        <v>0</v>
      </c>
      <c r="S617" s="7">
        <v>45383.489039351851</v>
      </c>
      <c r="AX617" s="7"/>
      <c r="AY617" s="7"/>
    </row>
    <row r="618" spans="1:51">
      <c r="A618">
        <v>616</v>
      </c>
      <c r="B618" t="s">
        <v>277</v>
      </c>
      <c r="C618">
        <v>2023</v>
      </c>
      <c r="D618">
        <v>5346</v>
      </c>
      <c r="E618">
        <v>263</v>
      </c>
      <c r="F618">
        <v>1</v>
      </c>
      <c r="G618">
        <v>1</v>
      </c>
      <c r="H618">
        <v>15</v>
      </c>
      <c r="I618">
        <v>143</v>
      </c>
      <c r="J618">
        <v>999</v>
      </c>
      <c r="K618">
        <v>2</v>
      </c>
      <c r="L618">
        <v>999</v>
      </c>
      <c r="M618">
        <v>9</v>
      </c>
      <c r="N618">
        <v>5</v>
      </c>
      <c r="O618">
        <v>9</v>
      </c>
      <c r="P618">
        <v>4</v>
      </c>
      <c r="Q618">
        <v>5707</v>
      </c>
      <c r="R618" s="276">
        <v>4.0599999999999997E-2</v>
      </c>
      <c r="S618" s="7">
        <v>45383.489039351851</v>
      </c>
      <c r="AX618" s="7"/>
      <c r="AY618" s="7"/>
    </row>
    <row r="619" spans="1:51">
      <c r="A619">
        <v>617</v>
      </c>
      <c r="B619" t="s">
        <v>277</v>
      </c>
      <c r="C619">
        <v>2023</v>
      </c>
      <c r="D619">
        <v>5346</v>
      </c>
      <c r="E619">
        <v>263</v>
      </c>
      <c r="F619">
        <v>1</v>
      </c>
      <c r="G619">
        <v>1</v>
      </c>
      <c r="H619">
        <v>15</v>
      </c>
      <c r="I619">
        <v>143</v>
      </c>
      <c r="J619">
        <v>999</v>
      </c>
      <c r="K619">
        <v>2</v>
      </c>
      <c r="L619">
        <v>999</v>
      </c>
      <c r="M619">
        <v>9</v>
      </c>
      <c r="N619">
        <v>99</v>
      </c>
      <c r="O619">
        <v>9</v>
      </c>
      <c r="P619">
        <v>4</v>
      </c>
      <c r="Q619">
        <v>0</v>
      </c>
      <c r="R619" s="276">
        <v>0</v>
      </c>
      <c r="S619" s="7">
        <v>45383.489039351851</v>
      </c>
      <c r="AX619" s="7"/>
      <c r="AY619" s="7"/>
    </row>
    <row r="620" spans="1:51">
      <c r="A620">
        <v>618</v>
      </c>
      <c r="B620" t="s">
        <v>277</v>
      </c>
      <c r="C620">
        <v>2023</v>
      </c>
      <c r="D620">
        <v>5346</v>
      </c>
      <c r="E620">
        <v>263</v>
      </c>
      <c r="F620">
        <v>1</v>
      </c>
      <c r="G620">
        <v>1</v>
      </c>
      <c r="H620">
        <v>15</v>
      </c>
      <c r="I620">
        <v>143</v>
      </c>
      <c r="J620">
        <v>999</v>
      </c>
      <c r="K620">
        <v>2</v>
      </c>
      <c r="L620">
        <v>999</v>
      </c>
      <c r="M620">
        <v>9</v>
      </c>
      <c r="N620">
        <v>99</v>
      </c>
      <c r="O620">
        <v>9</v>
      </c>
      <c r="P620">
        <v>4</v>
      </c>
      <c r="Q620">
        <v>0</v>
      </c>
      <c r="R620" s="276">
        <v>0</v>
      </c>
      <c r="S620" s="7">
        <v>45383.489039351851</v>
      </c>
      <c r="AX620" s="7"/>
      <c r="AY620" s="7"/>
    </row>
    <row r="621" spans="1:51">
      <c r="A621">
        <v>619</v>
      </c>
      <c r="B621" t="s">
        <v>277</v>
      </c>
      <c r="C621">
        <v>2023</v>
      </c>
      <c r="D621">
        <v>5346</v>
      </c>
      <c r="E621">
        <v>263</v>
      </c>
      <c r="F621">
        <v>1</v>
      </c>
      <c r="G621">
        <v>1</v>
      </c>
      <c r="H621">
        <v>15</v>
      </c>
      <c r="I621">
        <v>143</v>
      </c>
      <c r="J621">
        <v>999</v>
      </c>
      <c r="K621">
        <v>2</v>
      </c>
      <c r="L621">
        <v>999</v>
      </c>
      <c r="M621">
        <v>9</v>
      </c>
      <c r="N621">
        <v>99</v>
      </c>
      <c r="O621">
        <v>9</v>
      </c>
      <c r="P621">
        <v>4</v>
      </c>
      <c r="Q621">
        <v>0</v>
      </c>
      <c r="R621" s="276">
        <v>0</v>
      </c>
      <c r="S621" s="7">
        <v>45383.489039351851</v>
      </c>
      <c r="AX621" s="7"/>
      <c r="AY621" s="7"/>
    </row>
    <row r="622" spans="1:51">
      <c r="A622">
        <v>620</v>
      </c>
      <c r="B622" t="s">
        <v>277</v>
      </c>
      <c r="C622">
        <v>2023</v>
      </c>
      <c r="D622">
        <v>5346</v>
      </c>
      <c r="E622">
        <v>263</v>
      </c>
      <c r="F622">
        <v>1</v>
      </c>
      <c r="G622">
        <v>1</v>
      </c>
      <c r="H622">
        <v>51</v>
      </c>
      <c r="I622">
        <v>999999</v>
      </c>
      <c r="J622">
        <v>999</v>
      </c>
      <c r="K622">
        <v>2</v>
      </c>
      <c r="L622">
        <v>9</v>
      </c>
      <c r="M622">
        <v>9</v>
      </c>
      <c r="N622">
        <v>99</v>
      </c>
      <c r="O622">
        <v>9</v>
      </c>
      <c r="P622">
        <v>4</v>
      </c>
      <c r="Q622">
        <v>99999</v>
      </c>
      <c r="R622" s="276">
        <v>4.2947859001658498E-2</v>
      </c>
      <c r="S622" s="7">
        <v>45383.489039351851</v>
      </c>
      <c r="AX622" s="7"/>
      <c r="AY622" s="7"/>
    </row>
    <row r="623" spans="1:51">
      <c r="A623">
        <v>621</v>
      </c>
      <c r="B623" t="s">
        <v>277</v>
      </c>
      <c r="C623">
        <v>2023</v>
      </c>
      <c r="D623">
        <v>5346</v>
      </c>
      <c r="E623">
        <v>263</v>
      </c>
      <c r="F623">
        <v>1</v>
      </c>
      <c r="G623">
        <v>1</v>
      </c>
      <c r="H623">
        <v>51</v>
      </c>
      <c r="I623">
        <v>999999</v>
      </c>
      <c r="J623">
        <v>999</v>
      </c>
      <c r="K623">
        <v>2</v>
      </c>
      <c r="L623">
        <v>10</v>
      </c>
      <c r="M623">
        <v>9</v>
      </c>
      <c r="N623">
        <v>99</v>
      </c>
      <c r="O623">
        <v>9</v>
      </c>
      <c r="P623">
        <v>4</v>
      </c>
      <c r="Q623">
        <v>99999</v>
      </c>
      <c r="R623" s="276">
        <v>0</v>
      </c>
      <c r="S623" s="7">
        <v>45383.489039351851</v>
      </c>
      <c r="AX623" s="7"/>
      <c r="AY623" s="7"/>
    </row>
    <row r="624" spans="1:51">
      <c r="A624">
        <v>622</v>
      </c>
      <c r="B624" t="s">
        <v>277</v>
      </c>
      <c r="C624">
        <v>2023</v>
      </c>
      <c r="D624">
        <v>5346</v>
      </c>
      <c r="E624">
        <v>263</v>
      </c>
      <c r="F624">
        <v>2</v>
      </c>
      <c r="G624">
        <v>1</v>
      </c>
      <c r="H624">
        <v>51</v>
      </c>
      <c r="I624">
        <v>999999</v>
      </c>
      <c r="J624">
        <v>999</v>
      </c>
      <c r="K624">
        <v>2</v>
      </c>
      <c r="L624">
        <v>30</v>
      </c>
      <c r="M624">
        <v>2</v>
      </c>
      <c r="N624">
        <v>99</v>
      </c>
      <c r="O624">
        <v>9</v>
      </c>
      <c r="P624">
        <v>3</v>
      </c>
      <c r="Q624">
        <v>99999</v>
      </c>
      <c r="R624" s="276">
        <v>7094514.3762294101</v>
      </c>
      <c r="S624" s="7">
        <v>45383.489039351851</v>
      </c>
      <c r="AX624" s="7"/>
      <c r="AY624" s="7"/>
    </row>
    <row r="625" spans="1:51">
      <c r="A625">
        <v>623</v>
      </c>
      <c r="B625" t="s">
        <v>277</v>
      </c>
      <c r="C625">
        <v>2023</v>
      </c>
      <c r="D625">
        <v>5346</v>
      </c>
      <c r="E625">
        <v>263</v>
      </c>
      <c r="F625">
        <v>1</v>
      </c>
      <c r="G625">
        <v>1</v>
      </c>
      <c r="H625">
        <v>51</v>
      </c>
      <c r="I625">
        <v>150</v>
      </c>
      <c r="J625">
        <v>999</v>
      </c>
      <c r="K625">
        <v>2</v>
      </c>
      <c r="L625">
        <v>999</v>
      </c>
      <c r="M625">
        <v>9</v>
      </c>
      <c r="N625">
        <v>99</v>
      </c>
      <c r="O625">
        <v>9</v>
      </c>
      <c r="P625">
        <v>5</v>
      </c>
      <c r="Q625">
        <v>99999</v>
      </c>
      <c r="R625" s="276">
        <v>280.09402997232098</v>
      </c>
      <c r="S625" s="7">
        <v>45383.489039351851</v>
      </c>
      <c r="AX625" s="7"/>
      <c r="AY625" s="7"/>
    </row>
    <row r="626" spans="1:51">
      <c r="A626">
        <v>624</v>
      </c>
      <c r="B626" t="s">
        <v>277</v>
      </c>
      <c r="C626">
        <v>2023</v>
      </c>
      <c r="D626">
        <v>5346</v>
      </c>
      <c r="E626">
        <v>263</v>
      </c>
      <c r="F626">
        <v>1</v>
      </c>
      <c r="G626">
        <v>1</v>
      </c>
      <c r="H626">
        <v>4</v>
      </c>
      <c r="I626">
        <v>999999</v>
      </c>
      <c r="J626">
        <v>999</v>
      </c>
      <c r="K626">
        <v>2</v>
      </c>
      <c r="L626">
        <v>999</v>
      </c>
      <c r="M626">
        <v>9</v>
      </c>
      <c r="N626">
        <v>99</v>
      </c>
      <c r="O626">
        <v>9</v>
      </c>
      <c r="P626">
        <v>2</v>
      </c>
      <c r="Q626">
        <v>99999</v>
      </c>
      <c r="R626" s="276">
        <v>397.34991236017203</v>
      </c>
      <c r="S626" s="7">
        <v>45383.489039351851</v>
      </c>
      <c r="AX626" s="7"/>
      <c r="AY626" s="7"/>
    </row>
    <row r="627" spans="1:51">
      <c r="A627">
        <v>625</v>
      </c>
      <c r="B627" t="s">
        <v>277</v>
      </c>
      <c r="C627">
        <v>2023</v>
      </c>
      <c r="D627">
        <v>5346</v>
      </c>
      <c r="E627">
        <v>263</v>
      </c>
      <c r="F627">
        <v>1</v>
      </c>
      <c r="G627">
        <v>1</v>
      </c>
      <c r="H627">
        <v>6</v>
      </c>
      <c r="I627">
        <v>999999</v>
      </c>
      <c r="J627">
        <v>999</v>
      </c>
      <c r="K627">
        <v>2</v>
      </c>
      <c r="L627">
        <v>999</v>
      </c>
      <c r="M627">
        <v>9</v>
      </c>
      <c r="N627">
        <v>99</v>
      </c>
      <c r="O627">
        <v>9</v>
      </c>
      <c r="P627">
        <v>2</v>
      </c>
      <c r="Q627">
        <v>99999</v>
      </c>
      <c r="R627" s="276">
        <v>0</v>
      </c>
      <c r="S627" s="7">
        <v>45383.489039351851</v>
      </c>
      <c r="AX627" s="7"/>
      <c r="AY627" s="7"/>
    </row>
    <row r="628" spans="1:51">
      <c r="A628">
        <v>626</v>
      </c>
      <c r="B628" t="s">
        <v>277</v>
      </c>
      <c r="C628">
        <v>2023</v>
      </c>
      <c r="D628">
        <v>5346</v>
      </c>
      <c r="E628">
        <v>263</v>
      </c>
      <c r="F628">
        <v>1</v>
      </c>
      <c r="G628">
        <v>1</v>
      </c>
      <c r="H628">
        <v>51</v>
      </c>
      <c r="I628">
        <v>55</v>
      </c>
      <c r="J628">
        <v>999</v>
      </c>
      <c r="K628">
        <v>2</v>
      </c>
      <c r="L628">
        <v>999</v>
      </c>
      <c r="M628">
        <v>9</v>
      </c>
      <c r="N628">
        <v>99</v>
      </c>
      <c r="O628">
        <v>9</v>
      </c>
      <c r="P628">
        <v>2</v>
      </c>
      <c r="Q628">
        <v>99999</v>
      </c>
      <c r="R628" s="276">
        <v>25329.045310000001</v>
      </c>
      <c r="S628" s="7">
        <v>45383.489039351851</v>
      </c>
      <c r="AX628" s="7"/>
      <c r="AY628" s="7"/>
    </row>
    <row r="629" spans="1:51">
      <c r="A629">
        <v>627</v>
      </c>
      <c r="B629" t="s">
        <v>277</v>
      </c>
      <c r="C629">
        <v>2023</v>
      </c>
      <c r="D629">
        <v>5346</v>
      </c>
      <c r="E629">
        <v>263</v>
      </c>
      <c r="F629">
        <v>1</v>
      </c>
      <c r="G629">
        <v>1</v>
      </c>
      <c r="H629">
        <v>51</v>
      </c>
      <c r="I629">
        <v>999999</v>
      </c>
      <c r="J629">
        <v>999</v>
      </c>
      <c r="K629">
        <v>2</v>
      </c>
      <c r="L629">
        <v>8</v>
      </c>
      <c r="M629">
        <v>9</v>
      </c>
      <c r="N629">
        <v>99</v>
      </c>
      <c r="O629">
        <v>9</v>
      </c>
      <c r="P629">
        <v>2</v>
      </c>
      <c r="Q629">
        <v>99999</v>
      </c>
      <c r="R629" s="276">
        <v>3163.8966673974501</v>
      </c>
      <c r="S629" s="7">
        <v>45383.489039351851</v>
      </c>
      <c r="AX629" s="7"/>
      <c r="AY629" s="7"/>
    </row>
    <row r="630" spans="1:51">
      <c r="A630">
        <v>628</v>
      </c>
      <c r="B630" t="s">
        <v>277</v>
      </c>
      <c r="C630">
        <v>2023</v>
      </c>
      <c r="D630">
        <v>5346</v>
      </c>
      <c r="E630">
        <v>263</v>
      </c>
      <c r="F630">
        <v>1</v>
      </c>
      <c r="G630">
        <v>1</v>
      </c>
      <c r="H630">
        <v>51</v>
      </c>
      <c r="I630">
        <v>999999</v>
      </c>
      <c r="J630">
        <v>999</v>
      </c>
      <c r="K630">
        <v>2</v>
      </c>
      <c r="L630">
        <v>9</v>
      </c>
      <c r="M630">
        <v>9</v>
      </c>
      <c r="N630">
        <v>99</v>
      </c>
      <c r="O630">
        <v>9</v>
      </c>
      <c r="P630">
        <v>2</v>
      </c>
      <c r="Q630">
        <v>99999</v>
      </c>
      <c r="R630" s="276">
        <v>785.69964260255301</v>
      </c>
      <c r="S630" s="7">
        <v>45383.489039351851</v>
      </c>
      <c r="AX630" s="7"/>
      <c r="AY630" s="7"/>
    </row>
    <row r="631" spans="1:51">
      <c r="A631">
        <v>629</v>
      </c>
      <c r="B631" t="s">
        <v>277</v>
      </c>
      <c r="C631">
        <v>2023</v>
      </c>
      <c r="D631">
        <v>5346</v>
      </c>
      <c r="E631">
        <v>263</v>
      </c>
      <c r="F631">
        <v>1</v>
      </c>
      <c r="G631">
        <v>1</v>
      </c>
      <c r="H631">
        <v>51</v>
      </c>
      <c r="I631">
        <v>999999</v>
      </c>
      <c r="J631">
        <v>999</v>
      </c>
      <c r="K631">
        <v>2</v>
      </c>
      <c r="L631">
        <v>10</v>
      </c>
      <c r="M631">
        <v>9</v>
      </c>
      <c r="N631">
        <v>99</v>
      </c>
      <c r="O631">
        <v>9</v>
      </c>
      <c r="P631">
        <v>2</v>
      </c>
      <c r="Q631">
        <v>99999</v>
      </c>
      <c r="R631" s="276">
        <v>0</v>
      </c>
      <c r="S631" s="7">
        <v>45383.489039351851</v>
      </c>
      <c r="AX631" s="7"/>
      <c r="AY631" s="7"/>
    </row>
    <row r="632" spans="1:51">
      <c r="A632">
        <v>630</v>
      </c>
      <c r="B632" t="s">
        <v>277</v>
      </c>
      <c r="C632">
        <v>2023</v>
      </c>
      <c r="D632">
        <v>5346</v>
      </c>
      <c r="E632">
        <v>263</v>
      </c>
      <c r="F632">
        <v>1</v>
      </c>
      <c r="G632">
        <v>1</v>
      </c>
      <c r="H632">
        <v>51</v>
      </c>
      <c r="I632">
        <v>999999</v>
      </c>
      <c r="J632">
        <v>999</v>
      </c>
      <c r="K632">
        <v>2</v>
      </c>
      <c r="L632">
        <v>24</v>
      </c>
      <c r="M632">
        <v>9</v>
      </c>
      <c r="N632">
        <v>99</v>
      </c>
      <c r="O632">
        <v>9</v>
      </c>
      <c r="P632">
        <v>2</v>
      </c>
      <c r="Q632">
        <v>99999</v>
      </c>
      <c r="R632" s="276">
        <v>0</v>
      </c>
      <c r="S632" s="7">
        <v>45383.489039351851</v>
      </c>
      <c r="AX632" s="7"/>
      <c r="AY632" s="7"/>
    </row>
    <row r="633" spans="1:51">
      <c r="A633">
        <v>631</v>
      </c>
      <c r="B633" t="s">
        <v>277</v>
      </c>
      <c r="C633">
        <v>2023</v>
      </c>
      <c r="D633">
        <v>5346</v>
      </c>
      <c r="E633">
        <v>263</v>
      </c>
      <c r="F633">
        <v>1</v>
      </c>
      <c r="G633">
        <v>1</v>
      </c>
      <c r="H633">
        <v>51</v>
      </c>
      <c r="I633">
        <v>999999</v>
      </c>
      <c r="J633">
        <v>999</v>
      </c>
      <c r="K633">
        <v>2</v>
      </c>
      <c r="L633">
        <v>8</v>
      </c>
      <c r="M633">
        <v>9</v>
      </c>
      <c r="N633">
        <v>99</v>
      </c>
      <c r="O633">
        <v>9</v>
      </c>
      <c r="P633">
        <v>4</v>
      </c>
      <c r="Q633">
        <v>99999</v>
      </c>
      <c r="R633" s="276">
        <v>0.12491180100453</v>
      </c>
      <c r="S633" s="7">
        <v>45383.489039351851</v>
      </c>
      <c r="AX633" s="7"/>
      <c r="AY633" s="7"/>
    </row>
    <row r="634" spans="1:51">
      <c r="A634">
        <v>632</v>
      </c>
      <c r="B634" t="s">
        <v>277</v>
      </c>
      <c r="C634">
        <v>2023</v>
      </c>
      <c r="D634">
        <v>5346</v>
      </c>
      <c r="E634">
        <v>263</v>
      </c>
      <c r="F634">
        <v>1</v>
      </c>
      <c r="G634">
        <v>1</v>
      </c>
      <c r="H634">
        <v>15</v>
      </c>
      <c r="I634">
        <v>140</v>
      </c>
      <c r="J634">
        <v>999</v>
      </c>
      <c r="K634">
        <v>1</v>
      </c>
      <c r="L634">
        <v>7</v>
      </c>
      <c r="M634">
        <v>9</v>
      </c>
      <c r="N634">
        <v>99</v>
      </c>
      <c r="O634">
        <v>9</v>
      </c>
      <c r="P634">
        <v>4</v>
      </c>
      <c r="Q634">
        <v>99999</v>
      </c>
      <c r="R634" s="276">
        <v>0</v>
      </c>
      <c r="S634" s="7">
        <v>45383.489039351851</v>
      </c>
      <c r="AX634" s="7"/>
      <c r="AY634" s="7"/>
    </row>
    <row r="635" spans="1:51">
      <c r="A635">
        <v>633</v>
      </c>
      <c r="B635" t="s">
        <v>277</v>
      </c>
      <c r="C635">
        <v>2023</v>
      </c>
      <c r="D635">
        <v>5346</v>
      </c>
      <c r="E635">
        <v>263</v>
      </c>
      <c r="F635">
        <v>2</v>
      </c>
      <c r="G635">
        <v>1</v>
      </c>
      <c r="H635">
        <v>51</v>
      </c>
      <c r="I635">
        <v>999999</v>
      </c>
      <c r="J635">
        <v>999</v>
      </c>
      <c r="K635">
        <v>1</v>
      </c>
      <c r="L635">
        <v>7</v>
      </c>
      <c r="M635">
        <v>1</v>
      </c>
      <c r="N635">
        <v>99</v>
      </c>
      <c r="O635">
        <v>9</v>
      </c>
      <c r="P635">
        <v>3</v>
      </c>
      <c r="Q635">
        <v>99999</v>
      </c>
      <c r="R635" s="276">
        <v>4700553.5570248002</v>
      </c>
      <c r="S635" s="7">
        <v>45383.489039351851</v>
      </c>
      <c r="AX635" s="7"/>
      <c r="AY635" s="7"/>
    </row>
    <row r="636" spans="1:51">
      <c r="A636">
        <v>634</v>
      </c>
      <c r="B636" t="s">
        <v>277</v>
      </c>
      <c r="C636">
        <v>2023</v>
      </c>
      <c r="D636">
        <v>5346</v>
      </c>
      <c r="E636">
        <v>263</v>
      </c>
      <c r="F636">
        <v>2</v>
      </c>
      <c r="G636">
        <v>1</v>
      </c>
      <c r="H636">
        <v>51</v>
      </c>
      <c r="I636">
        <v>999999</v>
      </c>
      <c r="J636">
        <v>999</v>
      </c>
      <c r="K636">
        <v>1</v>
      </c>
      <c r="L636">
        <v>1</v>
      </c>
      <c r="M636">
        <v>1</v>
      </c>
      <c r="N636">
        <v>99</v>
      </c>
      <c r="O636">
        <v>9</v>
      </c>
      <c r="P636">
        <v>3</v>
      </c>
      <c r="Q636">
        <v>99999</v>
      </c>
      <c r="R636" s="276">
        <v>0</v>
      </c>
      <c r="S636" s="7">
        <v>45383.489039351851</v>
      </c>
      <c r="AX636" s="7"/>
      <c r="AY636" s="7"/>
    </row>
    <row r="637" spans="1:51">
      <c r="A637">
        <v>635</v>
      </c>
      <c r="B637" t="s">
        <v>277</v>
      </c>
      <c r="C637">
        <v>2023</v>
      </c>
      <c r="D637">
        <v>5346</v>
      </c>
      <c r="E637">
        <v>263</v>
      </c>
      <c r="F637">
        <v>2</v>
      </c>
      <c r="G637">
        <v>1</v>
      </c>
      <c r="H637">
        <v>51</v>
      </c>
      <c r="I637">
        <v>999999</v>
      </c>
      <c r="J637">
        <v>999</v>
      </c>
      <c r="K637">
        <v>1</v>
      </c>
      <c r="L637">
        <v>2</v>
      </c>
      <c r="M637">
        <v>1</v>
      </c>
      <c r="N637">
        <v>99</v>
      </c>
      <c r="O637">
        <v>9</v>
      </c>
      <c r="P637">
        <v>3</v>
      </c>
      <c r="Q637">
        <v>99999</v>
      </c>
      <c r="R637" s="276">
        <v>0</v>
      </c>
      <c r="S637" s="7">
        <v>45383.489039351851</v>
      </c>
      <c r="AX637" s="7"/>
      <c r="AY637" s="7"/>
    </row>
    <row r="638" spans="1:51">
      <c r="A638">
        <v>636</v>
      </c>
      <c r="B638" t="s">
        <v>277</v>
      </c>
      <c r="C638">
        <v>2023</v>
      </c>
      <c r="D638">
        <v>5346</v>
      </c>
      <c r="E638">
        <v>263</v>
      </c>
      <c r="F638">
        <v>2</v>
      </c>
      <c r="G638">
        <v>1</v>
      </c>
      <c r="H638">
        <v>51</v>
      </c>
      <c r="I638">
        <v>999999</v>
      </c>
      <c r="J638">
        <v>999</v>
      </c>
      <c r="K638">
        <v>1</v>
      </c>
      <c r="L638">
        <v>3</v>
      </c>
      <c r="M638">
        <v>1</v>
      </c>
      <c r="N638">
        <v>99</v>
      </c>
      <c r="O638">
        <v>9</v>
      </c>
      <c r="P638">
        <v>3</v>
      </c>
      <c r="Q638">
        <v>99999</v>
      </c>
      <c r="R638" s="276">
        <v>0</v>
      </c>
      <c r="S638" s="7">
        <v>45383.489039351851</v>
      </c>
      <c r="AX638" s="7"/>
      <c r="AY638" s="7"/>
    </row>
    <row r="639" spans="1:51">
      <c r="A639">
        <v>637</v>
      </c>
      <c r="B639" t="s">
        <v>277</v>
      </c>
      <c r="C639">
        <v>2023</v>
      </c>
      <c r="D639">
        <v>5346</v>
      </c>
      <c r="E639">
        <v>263</v>
      </c>
      <c r="F639">
        <v>1</v>
      </c>
      <c r="G639">
        <v>1</v>
      </c>
      <c r="H639">
        <v>52</v>
      </c>
      <c r="I639">
        <v>55</v>
      </c>
      <c r="J639">
        <v>999</v>
      </c>
      <c r="K639">
        <v>2</v>
      </c>
      <c r="L639">
        <v>999</v>
      </c>
      <c r="M639">
        <v>9</v>
      </c>
      <c r="N639">
        <v>99</v>
      </c>
      <c r="O639">
        <v>9</v>
      </c>
      <c r="P639">
        <v>2</v>
      </c>
      <c r="Q639">
        <v>99999</v>
      </c>
      <c r="R639" s="276">
        <v>0</v>
      </c>
      <c r="S639" s="7">
        <v>45383.489039351851</v>
      </c>
      <c r="AX639" s="7"/>
      <c r="AY639" s="7"/>
    </row>
    <row r="640" spans="1:51">
      <c r="A640">
        <v>638</v>
      </c>
      <c r="B640" t="s">
        <v>277</v>
      </c>
      <c r="C640">
        <v>2023</v>
      </c>
      <c r="D640">
        <v>5346</v>
      </c>
      <c r="E640">
        <v>263</v>
      </c>
      <c r="F640">
        <v>2</v>
      </c>
      <c r="G640">
        <v>1</v>
      </c>
      <c r="H640">
        <v>51</v>
      </c>
      <c r="I640">
        <v>999999</v>
      </c>
      <c r="J640">
        <v>999</v>
      </c>
      <c r="K640">
        <v>3</v>
      </c>
      <c r="L640">
        <v>14</v>
      </c>
      <c r="M640">
        <v>1</v>
      </c>
      <c r="N640">
        <v>99</v>
      </c>
      <c r="O640">
        <v>9</v>
      </c>
      <c r="P640">
        <v>3</v>
      </c>
      <c r="Q640">
        <v>99999</v>
      </c>
      <c r="R640" s="276">
        <v>53926.041935449597</v>
      </c>
      <c r="S640" s="7">
        <v>45383.489039351851</v>
      </c>
      <c r="AX640" s="7"/>
      <c r="AY640" s="7"/>
    </row>
    <row r="641" spans="1:51">
      <c r="A641">
        <v>639</v>
      </c>
      <c r="B641" t="s">
        <v>277</v>
      </c>
      <c r="C641">
        <v>2023</v>
      </c>
      <c r="D641">
        <v>5346</v>
      </c>
      <c r="E641">
        <v>263</v>
      </c>
      <c r="F641">
        <v>2</v>
      </c>
      <c r="G641">
        <v>1</v>
      </c>
      <c r="H641">
        <v>51</v>
      </c>
      <c r="I641">
        <v>999999</v>
      </c>
      <c r="J641">
        <v>999</v>
      </c>
      <c r="K641">
        <v>3</v>
      </c>
      <c r="L641">
        <v>15</v>
      </c>
      <c r="M641">
        <v>1</v>
      </c>
      <c r="N641">
        <v>99</v>
      </c>
      <c r="O641">
        <v>9</v>
      </c>
      <c r="P641">
        <v>3</v>
      </c>
      <c r="Q641">
        <v>99999</v>
      </c>
      <c r="R641" s="276">
        <v>1792421.4284699999</v>
      </c>
      <c r="S641" s="7">
        <v>45383.489039351851</v>
      </c>
      <c r="AX641" s="7"/>
      <c r="AY641" s="7"/>
    </row>
    <row r="642" spans="1:51">
      <c r="A642">
        <v>640</v>
      </c>
      <c r="B642" t="s">
        <v>277</v>
      </c>
      <c r="C642">
        <v>2023</v>
      </c>
      <c r="D642">
        <v>5346</v>
      </c>
      <c r="E642">
        <v>263</v>
      </c>
      <c r="F642">
        <v>2</v>
      </c>
      <c r="G642">
        <v>1</v>
      </c>
      <c r="H642">
        <v>51</v>
      </c>
      <c r="I642">
        <v>999999</v>
      </c>
      <c r="J642">
        <v>999</v>
      </c>
      <c r="K642">
        <v>3</v>
      </c>
      <c r="L642">
        <v>16</v>
      </c>
      <c r="M642">
        <v>2</v>
      </c>
      <c r="N642">
        <v>99</v>
      </c>
      <c r="O642">
        <v>9</v>
      </c>
      <c r="P642">
        <v>3</v>
      </c>
      <c r="Q642">
        <v>99999</v>
      </c>
      <c r="R642" s="276">
        <v>0</v>
      </c>
      <c r="S642" s="7">
        <v>45383.489039351851</v>
      </c>
      <c r="AX642" s="7"/>
      <c r="AY642" s="7"/>
    </row>
    <row r="643" spans="1:51">
      <c r="A643">
        <v>641</v>
      </c>
      <c r="B643" t="s">
        <v>277</v>
      </c>
      <c r="C643">
        <v>2023</v>
      </c>
      <c r="D643">
        <v>5346</v>
      </c>
      <c r="E643">
        <v>263</v>
      </c>
      <c r="F643">
        <v>2</v>
      </c>
      <c r="G643">
        <v>1</v>
      </c>
      <c r="H643">
        <v>51</v>
      </c>
      <c r="I643">
        <v>999999</v>
      </c>
      <c r="J643">
        <v>999</v>
      </c>
      <c r="K643">
        <v>3</v>
      </c>
      <c r="L643">
        <v>17</v>
      </c>
      <c r="M643">
        <v>2</v>
      </c>
      <c r="N643">
        <v>99</v>
      </c>
      <c r="O643">
        <v>9</v>
      </c>
      <c r="P643">
        <v>3</v>
      </c>
      <c r="Q643">
        <v>99999</v>
      </c>
      <c r="R643" s="276">
        <v>0</v>
      </c>
      <c r="S643" s="7">
        <v>45383.489039351851</v>
      </c>
      <c r="AX643" s="7"/>
      <c r="AY643" s="7"/>
    </row>
    <row r="644" spans="1:51">
      <c r="A644">
        <v>642</v>
      </c>
      <c r="B644" t="s">
        <v>277</v>
      </c>
      <c r="C644">
        <v>2023</v>
      </c>
      <c r="D644">
        <v>5346</v>
      </c>
      <c r="E644">
        <v>263</v>
      </c>
      <c r="F644">
        <v>2</v>
      </c>
      <c r="G644">
        <v>1</v>
      </c>
      <c r="H644">
        <v>51</v>
      </c>
      <c r="I644">
        <v>999999</v>
      </c>
      <c r="J644">
        <v>999</v>
      </c>
      <c r="K644">
        <v>3</v>
      </c>
      <c r="L644">
        <v>18</v>
      </c>
      <c r="M644">
        <v>1</v>
      </c>
      <c r="N644">
        <v>99</v>
      </c>
      <c r="O644">
        <v>9</v>
      </c>
      <c r="P644">
        <v>3</v>
      </c>
      <c r="Q644">
        <v>99999</v>
      </c>
      <c r="R644" s="276">
        <v>256640.30622</v>
      </c>
      <c r="S644" s="7">
        <v>45383.489039351851</v>
      </c>
      <c r="AX644" s="7"/>
      <c r="AY644" s="7"/>
    </row>
    <row r="645" spans="1:51">
      <c r="A645">
        <v>643</v>
      </c>
      <c r="B645" t="s">
        <v>277</v>
      </c>
      <c r="C645">
        <v>2023</v>
      </c>
      <c r="D645">
        <v>5346</v>
      </c>
      <c r="E645">
        <v>263</v>
      </c>
      <c r="F645">
        <v>2</v>
      </c>
      <c r="G645">
        <v>1</v>
      </c>
      <c r="H645">
        <v>51</v>
      </c>
      <c r="I645">
        <v>999999</v>
      </c>
      <c r="J645">
        <v>999</v>
      </c>
      <c r="K645">
        <v>3</v>
      </c>
      <c r="L645">
        <v>19</v>
      </c>
      <c r="M645">
        <v>3</v>
      </c>
      <c r="N645">
        <v>99</v>
      </c>
      <c r="O645">
        <v>9</v>
      </c>
      <c r="P645">
        <v>3</v>
      </c>
      <c r="Q645">
        <v>99999</v>
      </c>
      <c r="R645" s="276">
        <v>0</v>
      </c>
      <c r="S645" s="7">
        <v>45383.489039351851</v>
      </c>
      <c r="AX645" s="7"/>
      <c r="AY645" s="7"/>
    </row>
    <row r="646" spans="1:51">
      <c r="A646">
        <v>644</v>
      </c>
      <c r="B646" t="s">
        <v>277</v>
      </c>
      <c r="C646">
        <v>2023</v>
      </c>
      <c r="D646">
        <v>5346</v>
      </c>
      <c r="E646">
        <v>263</v>
      </c>
      <c r="F646">
        <v>1</v>
      </c>
      <c r="G646">
        <v>4</v>
      </c>
      <c r="H646">
        <v>14</v>
      </c>
      <c r="I646">
        <v>29</v>
      </c>
      <c r="J646">
        <v>999</v>
      </c>
      <c r="K646">
        <v>99</v>
      </c>
      <c r="L646">
        <v>999</v>
      </c>
      <c r="M646">
        <v>9</v>
      </c>
      <c r="N646">
        <v>99</v>
      </c>
      <c r="O646">
        <v>9</v>
      </c>
      <c r="P646">
        <v>4</v>
      </c>
      <c r="Q646">
        <v>99999</v>
      </c>
      <c r="R646" s="276">
        <v>0.108646260196582</v>
      </c>
      <c r="S646" s="7">
        <v>45383.489039351851</v>
      </c>
      <c r="AX646" s="7"/>
      <c r="AY646" s="7"/>
    </row>
    <row r="647" spans="1:51">
      <c r="A647">
        <v>645</v>
      </c>
      <c r="B647" t="s">
        <v>277</v>
      </c>
      <c r="C647">
        <v>2023</v>
      </c>
      <c r="D647">
        <v>5346</v>
      </c>
      <c r="E647">
        <v>263</v>
      </c>
      <c r="F647">
        <v>1</v>
      </c>
      <c r="G647">
        <v>4</v>
      </c>
      <c r="H647">
        <v>14</v>
      </c>
      <c r="I647">
        <v>30</v>
      </c>
      <c r="J647">
        <v>999</v>
      </c>
      <c r="K647">
        <v>99</v>
      </c>
      <c r="L647">
        <v>999</v>
      </c>
      <c r="M647">
        <v>9</v>
      </c>
      <c r="N647">
        <v>99</v>
      </c>
      <c r="O647">
        <v>9</v>
      </c>
      <c r="P647">
        <v>4</v>
      </c>
      <c r="Q647">
        <v>99999</v>
      </c>
      <c r="R647" s="276">
        <v>3.9279186772239502E-2</v>
      </c>
      <c r="S647" s="7">
        <v>45383.489039351851</v>
      </c>
      <c r="AX647" s="7"/>
      <c r="AY647" s="7"/>
    </row>
    <row r="648" spans="1:51">
      <c r="A648">
        <v>646</v>
      </c>
      <c r="B648" t="s">
        <v>277</v>
      </c>
      <c r="C648">
        <v>2023</v>
      </c>
      <c r="D648">
        <v>5346</v>
      </c>
      <c r="E648">
        <v>263</v>
      </c>
      <c r="F648">
        <v>2</v>
      </c>
      <c r="G648">
        <v>1</v>
      </c>
      <c r="H648">
        <v>51</v>
      </c>
      <c r="I648">
        <v>999999</v>
      </c>
      <c r="J648">
        <v>999</v>
      </c>
      <c r="K648">
        <v>3</v>
      </c>
      <c r="L648">
        <v>12</v>
      </c>
      <c r="M648">
        <v>1</v>
      </c>
      <c r="N648">
        <v>99</v>
      </c>
      <c r="O648">
        <v>9</v>
      </c>
      <c r="P648">
        <v>3</v>
      </c>
      <c r="Q648">
        <v>99999</v>
      </c>
      <c r="R648" s="276">
        <v>0</v>
      </c>
      <c r="S648" s="7">
        <v>45383.489039351851</v>
      </c>
      <c r="AX648" s="7"/>
      <c r="AY648" s="7"/>
    </row>
    <row r="649" spans="1:51">
      <c r="A649">
        <v>647</v>
      </c>
      <c r="B649" t="s">
        <v>277</v>
      </c>
      <c r="C649">
        <v>2023</v>
      </c>
      <c r="D649">
        <v>5346</v>
      </c>
      <c r="E649">
        <v>263</v>
      </c>
      <c r="F649">
        <v>2</v>
      </c>
      <c r="G649">
        <v>2</v>
      </c>
      <c r="H649">
        <v>22</v>
      </c>
      <c r="I649">
        <v>60</v>
      </c>
      <c r="J649">
        <v>240</v>
      </c>
      <c r="K649">
        <v>2</v>
      </c>
      <c r="L649">
        <v>10</v>
      </c>
      <c r="M649">
        <v>9</v>
      </c>
      <c r="N649">
        <v>99</v>
      </c>
      <c r="O649">
        <v>9</v>
      </c>
      <c r="P649">
        <v>3</v>
      </c>
      <c r="Q649">
        <v>99999</v>
      </c>
      <c r="R649" s="276">
        <v>0</v>
      </c>
      <c r="S649" s="7">
        <v>45383.489039351851</v>
      </c>
      <c r="AX649" s="7"/>
      <c r="AY649" s="7"/>
    </row>
    <row r="650" spans="1:51">
      <c r="A650">
        <v>648</v>
      </c>
      <c r="B650" t="s">
        <v>277</v>
      </c>
      <c r="C650">
        <v>2023</v>
      </c>
      <c r="D650">
        <v>5346</v>
      </c>
      <c r="E650">
        <v>263</v>
      </c>
      <c r="F650">
        <v>2</v>
      </c>
      <c r="G650">
        <v>2</v>
      </c>
      <c r="H650">
        <v>22</v>
      </c>
      <c r="I650">
        <v>60</v>
      </c>
      <c r="J650">
        <v>240</v>
      </c>
      <c r="K650">
        <v>2</v>
      </c>
      <c r="L650">
        <v>24</v>
      </c>
      <c r="M650">
        <v>9</v>
      </c>
      <c r="N650">
        <v>99</v>
      </c>
      <c r="O650">
        <v>9</v>
      </c>
      <c r="P650">
        <v>3</v>
      </c>
      <c r="Q650">
        <v>99999</v>
      </c>
      <c r="R650" s="276">
        <v>0</v>
      </c>
      <c r="S650" s="7">
        <v>45383.489039351851</v>
      </c>
      <c r="AX650" s="7"/>
      <c r="AY650" s="7"/>
    </row>
    <row r="651" spans="1:51">
      <c r="A651">
        <v>649</v>
      </c>
      <c r="B651" t="s">
        <v>277</v>
      </c>
      <c r="C651">
        <v>2023</v>
      </c>
      <c r="D651">
        <v>5346</v>
      </c>
      <c r="E651">
        <v>263</v>
      </c>
      <c r="F651">
        <v>2</v>
      </c>
      <c r="G651">
        <v>2</v>
      </c>
      <c r="H651">
        <v>22</v>
      </c>
      <c r="I651">
        <v>60</v>
      </c>
      <c r="J651">
        <v>240</v>
      </c>
      <c r="K651">
        <v>2</v>
      </c>
      <c r="L651">
        <v>10</v>
      </c>
      <c r="M651">
        <v>9</v>
      </c>
      <c r="N651">
        <v>99</v>
      </c>
      <c r="O651">
        <v>9</v>
      </c>
      <c r="P651">
        <v>3</v>
      </c>
      <c r="Q651">
        <v>99999</v>
      </c>
      <c r="R651" s="276">
        <v>0</v>
      </c>
      <c r="S651" s="7">
        <v>45383.489039351851</v>
      </c>
      <c r="AX651" s="7"/>
      <c r="AY651" s="7"/>
    </row>
    <row r="652" spans="1:51">
      <c r="A652">
        <v>650</v>
      </c>
      <c r="B652" t="s">
        <v>277</v>
      </c>
      <c r="C652">
        <v>2023</v>
      </c>
      <c r="D652">
        <v>5346</v>
      </c>
      <c r="E652">
        <v>263</v>
      </c>
      <c r="F652">
        <v>2</v>
      </c>
      <c r="G652">
        <v>2</v>
      </c>
      <c r="H652">
        <v>22</v>
      </c>
      <c r="I652">
        <v>60</v>
      </c>
      <c r="J652">
        <v>240</v>
      </c>
      <c r="K652">
        <v>2</v>
      </c>
      <c r="L652">
        <v>24</v>
      </c>
      <c r="M652">
        <v>9</v>
      </c>
      <c r="N652">
        <v>99</v>
      </c>
      <c r="O652">
        <v>9</v>
      </c>
      <c r="P652">
        <v>3</v>
      </c>
      <c r="Q652">
        <v>99999</v>
      </c>
      <c r="R652" s="276">
        <v>0</v>
      </c>
      <c r="S652" s="7">
        <v>45383.489039351851</v>
      </c>
      <c r="AX652" s="7"/>
      <c r="AY652" s="7"/>
    </row>
    <row r="653" spans="1:51">
      <c r="A653">
        <v>651</v>
      </c>
      <c r="B653" t="s">
        <v>277</v>
      </c>
      <c r="C653">
        <v>2023</v>
      </c>
      <c r="D653">
        <v>5346</v>
      </c>
      <c r="E653">
        <v>263</v>
      </c>
      <c r="F653">
        <v>2</v>
      </c>
      <c r="G653">
        <v>2</v>
      </c>
      <c r="H653">
        <v>22</v>
      </c>
      <c r="I653">
        <v>60</v>
      </c>
      <c r="J653">
        <v>240</v>
      </c>
      <c r="K653">
        <v>3</v>
      </c>
      <c r="L653">
        <v>17</v>
      </c>
      <c r="M653">
        <v>9</v>
      </c>
      <c r="N653">
        <v>99</v>
      </c>
      <c r="O653">
        <v>9</v>
      </c>
      <c r="P653">
        <v>3</v>
      </c>
      <c r="Q653">
        <v>99999</v>
      </c>
      <c r="R653" s="276">
        <v>0</v>
      </c>
      <c r="S653" s="7">
        <v>45383.489039351851</v>
      </c>
      <c r="AX653" s="7"/>
      <c r="AY653" s="7"/>
    </row>
    <row r="654" spans="1:51">
      <c r="A654">
        <v>652</v>
      </c>
      <c r="B654" t="s">
        <v>277</v>
      </c>
      <c r="C654">
        <v>2023</v>
      </c>
      <c r="D654">
        <v>5346</v>
      </c>
      <c r="E654">
        <v>263</v>
      </c>
      <c r="F654">
        <v>2</v>
      </c>
      <c r="G654">
        <v>2</v>
      </c>
      <c r="H654">
        <v>22</v>
      </c>
      <c r="I654">
        <v>60</v>
      </c>
      <c r="J654">
        <v>240</v>
      </c>
      <c r="K654">
        <v>2</v>
      </c>
      <c r="L654">
        <v>11</v>
      </c>
      <c r="M654">
        <v>9</v>
      </c>
      <c r="N654">
        <v>99</v>
      </c>
      <c r="O654">
        <v>9</v>
      </c>
      <c r="P654">
        <v>3</v>
      </c>
      <c r="Q654">
        <v>99999</v>
      </c>
      <c r="R654" s="276">
        <v>0</v>
      </c>
      <c r="S654" s="7">
        <v>45383.489039351851</v>
      </c>
      <c r="AX654" s="7"/>
      <c r="AY654" s="7"/>
    </row>
    <row r="655" spans="1:51">
      <c r="A655">
        <v>653</v>
      </c>
      <c r="B655" t="s">
        <v>277</v>
      </c>
      <c r="C655">
        <v>2023</v>
      </c>
      <c r="D655">
        <v>5346</v>
      </c>
      <c r="E655">
        <v>263</v>
      </c>
      <c r="F655">
        <v>2</v>
      </c>
      <c r="G655">
        <v>2</v>
      </c>
      <c r="H655">
        <v>22</v>
      </c>
      <c r="I655">
        <v>60</v>
      </c>
      <c r="J655">
        <v>240</v>
      </c>
      <c r="K655">
        <v>2</v>
      </c>
      <c r="L655">
        <v>9</v>
      </c>
      <c r="M655">
        <v>9</v>
      </c>
      <c r="N655">
        <v>99</v>
      </c>
      <c r="O655">
        <v>9</v>
      </c>
      <c r="P655">
        <v>3</v>
      </c>
      <c r="Q655">
        <v>99999</v>
      </c>
      <c r="R655" s="276">
        <v>0</v>
      </c>
      <c r="S655" s="7">
        <v>45383.489039351851</v>
      </c>
      <c r="AX655" s="7"/>
      <c r="AY655" s="7"/>
    </row>
    <row r="656" spans="1:51">
      <c r="A656">
        <v>654</v>
      </c>
      <c r="B656" t="s">
        <v>277</v>
      </c>
      <c r="C656">
        <v>2023</v>
      </c>
      <c r="D656">
        <v>5346</v>
      </c>
      <c r="E656">
        <v>263</v>
      </c>
      <c r="F656">
        <v>2</v>
      </c>
      <c r="G656">
        <v>2</v>
      </c>
      <c r="H656">
        <v>22</v>
      </c>
      <c r="I656">
        <v>60</v>
      </c>
      <c r="J656">
        <v>240</v>
      </c>
      <c r="K656">
        <v>2</v>
      </c>
      <c r="L656">
        <v>8</v>
      </c>
      <c r="M656">
        <v>9</v>
      </c>
      <c r="N656">
        <v>99</v>
      </c>
      <c r="O656">
        <v>9</v>
      </c>
      <c r="P656">
        <v>3</v>
      </c>
      <c r="Q656">
        <v>99999</v>
      </c>
      <c r="R656" s="276">
        <v>0</v>
      </c>
      <c r="S656" s="7">
        <v>45383.489039351851</v>
      </c>
      <c r="AX656" s="7"/>
      <c r="AY656" s="7"/>
    </row>
    <row r="657" spans="1:51">
      <c r="A657">
        <v>655</v>
      </c>
      <c r="B657" t="s">
        <v>277</v>
      </c>
      <c r="C657">
        <v>2023</v>
      </c>
      <c r="D657">
        <v>5346</v>
      </c>
      <c r="E657">
        <v>263</v>
      </c>
      <c r="F657">
        <v>2</v>
      </c>
      <c r="G657">
        <v>2</v>
      </c>
      <c r="H657">
        <v>22</v>
      </c>
      <c r="I657">
        <v>60</v>
      </c>
      <c r="J657">
        <v>240</v>
      </c>
      <c r="K657">
        <v>2</v>
      </c>
      <c r="L657">
        <v>11</v>
      </c>
      <c r="M657">
        <v>9</v>
      </c>
      <c r="N657">
        <v>99</v>
      </c>
      <c r="O657">
        <v>9</v>
      </c>
      <c r="P657">
        <v>3</v>
      </c>
      <c r="Q657">
        <v>99999</v>
      </c>
      <c r="R657" s="276">
        <v>0</v>
      </c>
      <c r="S657" s="7">
        <v>45383.489039351851</v>
      </c>
      <c r="AX657" s="7"/>
      <c r="AY657" s="7"/>
    </row>
    <row r="658" spans="1:51">
      <c r="A658">
        <v>656</v>
      </c>
      <c r="B658" t="s">
        <v>277</v>
      </c>
      <c r="C658">
        <v>2023</v>
      </c>
      <c r="D658">
        <v>5346</v>
      </c>
      <c r="E658">
        <v>263</v>
      </c>
      <c r="F658">
        <v>2</v>
      </c>
      <c r="G658">
        <v>2</v>
      </c>
      <c r="H658">
        <v>22</v>
      </c>
      <c r="I658">
        <v>60</v>
      </c>
      <c r="J658">
        <v>240</v>
      </c>
      <c r="K658">
        <v>2</v>
      </c>
      <c r="L658">
        <v>9</v>
      </c>
      <c r="M658">
        <v>9</v>
      </c>
      <c r="N658">
        <v>99</v>
      </c>
      <c r="O658">
        <v>9</v>
      </c>
      <c r="P658">
        <v>3</v>
      </c>
      <c r="Q658">
        <v>99999</v>
      </c>
      <c r="R658" s="276">
        <v>0</v>
      </c>
      <c r="S658" s="7">
        <v>45383.489039351851</v>
      </c>
      <c r="AX658" s="7"/>
      <c r="AY658" s="7"/>
    </row>
    <row r="659" spans="1:51">
      <c r="A659">
        <v>657</v>
      </c>
      <c r="B659" t="s">
        <v>277</v>
      </c>
      <c r="C659">
        <v>2023</v>
      </c>
      <c r="D659">
        <v>5346</v>
      </c>
      <c r="E659">
        <v>263</v>
      </c>
      <c r="F659">
        <v>2</v>
      </c>
      <c r="G659">
        <v>2</v>
      </c>
      <c r="H659">
        <v>22</v>
      </c>
      <c r="I659">
        <v>60</v>
      </c>
      <c r="J659">
        <v>240</v>
      </c>
      <c r="K659">
        <v>2</v>
      </c>
      <c r="L659">
        <v>8</v>
      </c>
      <c r="M659">
        <v>9</v>
      </c>
      <c r="N659">
        <v>99</v>
      </c>
      <c r="O659">
        <v>9</v>
      </c>
      <c r="P659">
        <v>3</v>
      </c>
      <c r="Q659">
        <v>99999</v>
      </c>
      <c r="R659" s="276">
        <v>0</v>
      </c>
      <c r="S659" s="7">
        <v>45383.489039351851</v>
      </c>
      <c r="AX659" s="7"/>
      <c r="AY659" s="7"/>
    </row>
    <row r="660" spans="1:51">
      <c r="A660">
        <v>658</v>
      </c>
      <c r="B660" t="s">
        <v>277</v>
      </c>
      <c r="C660">
        <v>2023</v>
      </c>
      <c r="D660">
        <v>5346</v>
      </c>
      <c r="E660">
        <v>263</v>
      </c>
      <c r="F660">
        <v>1</v>
      </c>
      <c r="G660">
        <v>3</v>
      </c>
      <c r="H660">
        <v>50</v>
      </c>
      <c r="I660">
        <v>52</v>
      </c>
      <c r="J660">
        <v>11</v>
      </c>
      <c r="K660">
        <v>99</v>
      </c>
      <c r="L660">
        <v>999</v>
      </c>
      <c r="M660">
        <v>9</v>
      </c>
      <c r="N660">
        <v>99</v>
      </c>
      <c r="O660">
        <v>9</v>
      </c>
      <c r="P660">
        <v>2</v>
      </c>
      <c r="Q660">
        <v>99999</v>
      </c>
      <c r="R660" s="276">
        <v>0</v>
      </c>
      <c r="S660" s="7">
        <v>45383.489039351851</v>
      </c>
      <c r="AX660" s="7"/>
      <c r="AY660" s="7"/>
    </row>
    <row r="661" spans="1:51">
      <c r="A661">
        <v>659</v>
      </c>
      <c r="B661" t="s">
        <v>277</v>
      </c>
      <c r="C661">
        <v>2023</v>
      </c>
      <c r="D661">
        <v>5346</v>
      </c>
      <c r="E661">
        <v>263</v>
      </c>
      <c r="F661">
        <v>1</v>
      </c>
      <c r="G661">
        <v>3</v>
      </c>
      <c r="H661">
        <v>50</v>
      </c>
      <c r="I661">
        <v>52</v>
      </c>
      <c r="J661">
        <v>11</v>
      </c>
      <c r="K661">
        <v>99</v>
      </c>
      <c r="L661">
        <v>999</v>
      </c>
      <c r="M661">
        <v>9</v>
      </c>
      <c r="N661">
        <v>99</v>
      </c>
      <c r="O661">
        <v>9</v>
      </c>
      <c r="P661">
        <v>3</v>
      </c>
      <c r="Q661">
        <v>99999</v>
      </c>
      <c r="R661" s="276">
        <v>0</v>
      </c>
      <c r="S661" s="7">
        <v>45383.489039351851</v>
      </c>
      <c r="AX661" s="7"/>
      <c r="AY661" s="7"/>
    </row>
    <row r="662" spans="1:51">
      <c r="A662">
        <v>660</v>
      </c>
      <c r="B662" t="s">
        <v>277</v>
      </c>
      <c r="C662">
        <v>2023</v>
      </c>
      <c r="D662">
        <v>5346</v>
      </c>
      <c r="E662">
        <v>263</v>
      </c>
      <c r="F662">
        <v>2</v>
      </c>
      <c r="G662">
        <v>2</v>
      </c>
      <c r="H662">
        <v>22</v>
      </c>
      <c r="I662">
        <v>60</v>
      </c>
      <c r="J662">
        <v>241</v>
      </c>
      <c r="K662">
        <v>2</v>
      </c>
      <c r="L662">
        <v>8</v>
      </c>
      <c r="M662">
        <v>9</v>
      </c>
      <c r="N662">
        <v>99</v>
      </c>
      <c r="O662">
        <v>9</v>
      </c>
      <c r="P662">
        <v>3</v>
      </c>
      <c r="Q662">
        <v>99999</v>
      </c>
      <c r="R662" s="276">
        <v>0</v>
      </c>
      <c r="S662" s="7">
        <v>45383.489039351851</v>
      </c>
      <c r="AX662" s="7"/>
      <c r="AY662" s="7"/>
    </row>
    <row r="663" spans="1:51">
      <c r="A663">
        <v>661</v>
      </c>
      <c r="B663" t="s">
        <v>277</v>
      </c>
      <c r="C663">
        <v>2023</v>
      </c>
      <c r="D663">
        <v>5346</v>
      </c>
      <c r="E663">
        <v>263</v>
      </c>
      <c r="F663">
        <v>2</v>
      </c>
      <c r="G663">
        <v>2</v>
      </c>
      <c r="H663">
        <v>22</v>
      </c>
      <c r="I663">
        <v>60</v>
      </c>
      <c r="J663">
        <v>241</v>
      </c>
      <c r="K663">
        <v>2</v>
      </c>
      <c r="L663">
        <v>10</v>
      </c>
      <c r="M663">
        <v>9</v>
      </c>
      <c r="N663">
        <v>99</v>
      </c>
      <c r="O663">
        <v>9</v>
      </c>
      <c r="P663">
        <v>3</v>
      </c>
      <c r="Q663">
        <v>99999</v>
      </c>
      <c r="R663" s="276">
        <v>0</v>
      </c>
      <c r="S663" s="7">
        <v>45383.489039351851</v>
      </c>
      <c r="AX663" s="7"/>
      <c r="AY663" s="7"/>
    </row>
    <row r="664" spans="1:51">
      <c r="A664">
        <v>662</v>
      </c>
      <c r="B664" t="s">
        <v>277</v>
      </c>
      <c r="C664">
        <v>2023</v>
      </c>
      <c r="D664">
        <v>5346</v>
      </c>
      <c r="E664">
        <v>263</v>
      </c>
      <c r="F664">
        <v>2</v>
      </c>
      <c r="G664">
        <v>2</v>
      </c>
      <c r="H664">
        <v>22</v>
      </c>
      <c r="I664">
        <v>60</v>
      </c>
      <c r="J664">
        <v>241</v>
      </c>
      <c r="K664">
        <v>2</v>
      </c>
      <c r="L664">
        <v>24</v>
      </c>
      <c r="M664">
        <v>9</v>
      </c>
      <c r="N664">
        <v>99</v>
      </c>
      <c r="O664">
        <v>9</v>
      </c>
      <c r="P664">
        <v>3</v>
      </c>
      <c r="Q664">
        <v>99999</v>
      </c>
      <c r="R664" s="276">
        <v>0</v>
      </c>
      <c r="S664" s="7">
        <v>45383.489039351851</v>
      </c>
      <c r="AX664" s="7"/>
      <c r="AY664" s="7"/>
    </row>
    <row r="665" spans="1:51">
      <c r="A665">
        <v>663</v>
      </c>
      <c r="B665" t="s">
        <v>277</v>
      </c>
      <c r="C665">
        <v>2023</v>
      </c>
      <c r="D665">
        <v>5346</v>
      </c>
      <c r="E665">
        <v>263</v>
      </c>
      <c r="F665">
        <v>2</v>
      </c>
      <c r="G665">
        <v>2</v>
      </c>
      <c r="H665">
        <v>22</v>
      </c>
      <c r="I665">
        <v>60</v>
      </c>
      <c r="J665">
        <v>241</v>
      </c>
      <c r="K665">
        <v>3</v>
      </c>
      <c r="L665">
        <v>18</v>
      </c>
      <c r="M665">
        <v>9</v>
      </c>
      <c r="N665">
        <v>99</v>
      </c>
      <c r="O665">
        <v>9</v>
      </c>
      <c r="P665">
        <v>3</v>
      </c>
      <c r="Q665">
        <v>99999</v>
      </c>
      <c r="R665" s="276">
        <v>0</v>
      </c>
      <c r="S665" s="7">
        <v>45383.489039351851</v>
      </c>
      <c r="AX665" s="7"/>
      <c r="AY665" s="7"/>
    </row>
    <row r="666" spans="1:51">
      <c r="A666">
        <v>664</v>
      </c>
      <c r="B666" t="s">
        <v>277</v>
      </c>
      <c r="C666">
        <v>2023</v>
      </c>
      <c r="D666">
        <v>5346</v>
      </c>
      <c r="E666">
        <v>263</v>
      </c>
      <c r="F666">
        <v>2</v>
      </c>
      <c r="G666">
        <v>2</v>
      </c>
      <c r="H666">
        <v>22</v>
      </c>
      <c r="I666">
        <v>60</v>
      </c>
      <c r="J666">
        <v>241</v>
      </c>
      <c r="K666">
        <v>3</v>
      </c>
      <c r="L666">
        <v>16</v>
      </c>
      <c r="M666">
        <v>9</v>
      </c>
      <c r="N666">
        <v>99</v>
      </c>
      <c r="O666">
        <v>9</v>
      </c>
      <c r="P666">
        <v>3</v>
      </c>
      <c r="Q666">
        <v>99999</v>
      </c>
      <c r="R666" s="276">
        <v>0</v>
      </c>
      <c r="S666" s="7">
        <v>45383.489039351851</v>
      </c>
      <c r="AX666" s="7"/>
      <c r="AY666" s="7"/>
    </row>
    <row r="667" spans="1:51">
      <c r="A667">
        <v>665</v>
      </c>
      <c r="B667" t="s">
        <v>277</v>
      </c>
      <c r="C667">
        <v>2023</v>
      </c>
      <c r="D667">
        <v>5346</v>
      </c>
      <c r="E667">
        <v>263</v>
      </c>
      <c r="F667">
        <v>2</v>
      </c>
      <c r="G667">
        <v>2</v>
      </c>
      <c r="H667">
        <v>22</v>
      </c>
      <c r="I667">
        <v>60</v>
      </c>
      <c r="J667">
        <v>241</v>
      </c>
      <c r="K667">
        <v>3</v>
      </c>
      <c r="L667">
        <v>17</v>
      </c>
      <c r="M667">
        <v>9</v>
      </c>
      <c r="N667">
        <v>99</v>
      </c>
      <c r="O667">
        <v>9</v>
      </c>
      <c r="P667">
        <v>3</v>
      </c>
      <c r="Q667">
        <v>99999</v>
      </c>
      <c r="R667" s="276">
        <v>0</v>
      </c>
      <c r="S667" s="7">
        <v>45383.489039351851</v>
      </c>
      <c r="AX667" s="7"/>
      <c r="AY667" s="7"/>
    </row>
    <row r="668" spans="1:51">
      <c r="A668">
        <v>666</v>
      </c>
      <c r="B668" t="s">
        <v>277</v>
      </c>
      <c r="C668">
        <v>2023</v>
      </c>
      <c r="D668">
        <v>5346</v>
      </c>
      <c r="E668">
        <v>263</v>
      </c>
      <c r="F668">
        <v>2</v>
      </c>
      <c r="G668">
        <v>2</v>
      </c>
      <c r="H668">
        <v>22</v>
      </c>
      <c r="I668">
        <v>60</v>
      </c>
      <c r="J668">
        <v>241</v>
      </c>
      <c r="K668">
        <v>1</v>
      </c>
      <c r="L668">
        <v>1</v>
      </c>
      <c r="M668">
        <v>9</v>
      </c>
      <c r="N668">
        <v>99</v>
      </c>
      <c r="O668">
        <v>9</v>
      </c>
      <c r="P668">
        <v>3</v>
      </c>
      <c r="Q668">
        <v>99999</v>
      </c>
      <c r="R668" s="276">
        <v>0</v>
      </c>
      <c r="S668" s="7">
        <v>45383.489039351851</v>
      </c>
      <c r="AX668" s="7"/>
      <c r="AY668" s="7"/>
    </row>
    <row r="669" spans="1:51">
      <c r="A669">
        <v>667</v>
      </c>
      <c r="B669" t="s">
        <v>277</v>
      </c>
      <c r="C669">
        <v>2023</v>
      </c>
      <c r="D669">
        <v>5346</v>
      </c>
      <c r="E669">
        <v>263</v>
      </c>
      <c r="F669">
        <v>2</v>
      </c>
      <c r="G669">
        <v>2</v>
      </c>
      <c r="H669">
        <v>22</v>
      </c>
      <c r="I669">
        <v>60</v>
      </c>
      <c r="J669">
        <v>241</v>
      </c>
      <c r="K669">
        <v>1</v>
      </c>
      <c r="L669">
        <v>1</v>
      </c>
      <c r="M669">
        <v>9</v>
      </c>
      <c r="N669">
        <v>99</v>
      </c>
      <c r="O669">
        <v>9</v>
      </c>
      <c r="P669">
        <v>3</v>
      </c>
      <c r="Q669">
        <v>99999</v>
      </c>
      <c r="R669" s="276">
        <v>0</v>
      </c>
      <c r="S669" s="7">
        <v>45383.489039351851</v>
      </c>
      <c r="AX669" s="7"/>
      <c r="AY669" s="7"/>
    </row>
    <row r="670" spans="1:51">
      <c r="A670">
        <v>668</v>
      </c>
      <c r="B670" t="s">
        <v>277</v>
      </c>
      <c r="C670">
        <v>2023</v>
      </c>
      <c r="D670">
        <v>5346</v>
      </c>
      <c r="E670">
        <v>263</v>
      </c>
      <c r="F670">
        <v>2</v>
      </c>
      <c r="G670">
        <v>2</v>
      </c>
      <c r="H670">
        <v>22</v>
      </c>
      <c r="I670">
        <v>60</v>
      </c>
      <c r="J670">
        <v>241</v>
      </c>
      <c r="K670">
        <v>1</v>
      </c>
      <c r="L670">
        <v>1</v>
      </c>
      <c r="M670">
        <v>9</v>
      </c>
      <c r="N670">
        <v>99</v>
      </c>
      <c r="O670">
        <v>9</v>
      </c>
      <c r="P670">
        <v>3</v>
      </c>
      <c r="Q670">
        <v>99999</v>
      </c>
      <c r="R670" s="276">
        <v>0</v>
      </c>
      <c r="S670" s="7">
        <v>45383.489039351851</v>
      </c>
      <c r="AX670" s="7"/>
      <c r="AY670" s="7"/>
    </row>
    <row r="671" spans="1:51">
      <c r="A671">
        <v>669</v>
      </c>
      <c r="B671" t="s">
        <v>277</v>
      </c>
      <c r="C671">
        <v>2023</v>
      </c>
      <c r="D671">
        <v>5346</v>
      </c>
      <c r="E671">
        <v>263</v>
      </c>
      <c r="F671">
        <v>2</v>
      </c>
      <c r="G671">
        <v>2</v>
      </c>
      <c r="H671">
        <v>22</v>
      </c>
      <c r="I671">
        <v>60</v>
      </c>
      <c r="J671">
        <v>241</v>
      </c>
      <c r="K671">
        <v>1</v>
      </c>
      <c r="L671">
        <v>1</v>
      </c>
      <c r="M671">
        <v>9</v>
      </c>
      <c r="N671">
        <v>99</v>
      </c>
      <c r="O671">
        <v>9</v>
      </c>
      <c r="P671">
        <v>3</v>
      </c>
      <c r="Q671">
        <v>99999</v>
      </c>
      <c r="R671" s="276">
        <v>0</v>
      </c>
      <c r="S671" s="7">
        <v>45383.489039351851</v>
      </c>
      <c r="AX671" s="7"/>
      <c r="AY671" s="7"/>
    </row>
    <row r="672" spans="1:51">
      <c r="A672">
        <v>670</v>
      </c>
      <c r="B672" t="s">
        <v>277</v>
      </c>
      <c r="C672">
        <v>2023</v>
      </c>
      <c r="D672">
        <v>5346</v>
      </c>
      <c r="E672">
        <v>263</v>
      </c>
      <c r="F672">
        <v>2</v>
      </c>
      <c r="G672">
        <v>2</v>
      </c>
      <c r="H672">
        <v>22</v>
      </c>
      <c r="I672">
        <v>60</v>
      </c>
      <c r="J672">
        <v>241</v>
      </c>
      <c r="K672">
        <v>2</v>
      </c>
      <c r="L672">
        <v>11</v>
      </c>
      <c r="M672">
        <v>9</v>
      </c>
      <c r="N672">
        <v>99</v>
      </c>
      <c r="O672">
        <v>9</v>
      </c>
      <c r="P672">
        <v>3</v>
      </c>
      <c r="Q672">
        <v>99999</v>
      </c>
      <c r="R672" s="276">
        <v>0</v>
      </c>
      <c r="S672" s="7">
        <v>45383.489039351851</v>
      </c>
      <c r="AX672" s="7"/>
      <c r="AY672" s="7"/>
    </row>
    <row r="673" spans="1:51">
      <c r="A673">
        <v>671</v>
      </c>
      <c r="B673" t="s">
        <v>277</v>
      </c>
      <c r="C673">
        <v>2023</v>
      </c>
      <c r="D673">
        <v>5346</v>
      </c>
      <c r="E673">
        <v>263</v>
      </c>
      <c r="F673">
        <v>2</v>
      </c>
      <c r="G673">
        <v>2</v>
      </c>
      <c r="H673">
        <v>22</v>
      </c>
      <c r="I673">
        <v>60</v>
      </c>
      <c r="J673">
        <v>241</v>
      </c>
      <c r="K673">
        <v>2</v>
      </c>
      <c r="L673">
        <v>9</v>
      </c>
      <c r="M673">
        <v>9</v>
      </c>
      <c r="N673">
        <v>99</v>
      </c>
      <c r="O673">
        <v>9</v>
      </c>
      <c r="P673">
        <v>3</v>
      </c>
      <c r="Q673">
        <v>99999</v>
      </c>
      <c r="R673" s="276">
        <v>0</v>
      </c>
      <c r="S673" s="7">
        <v>45383.489039351851</v>
      </c>
      <c r="AX673" s="7"/>
      <c r="AY673" s="7"/>
    </row>
    <row r="674" spans="1:51">
      <c r="A674">
        <v>672</v>
      </c>
      <c r="B674" t="s">
        <v>277</v>
      </c>
      <c r="C674">
        <v>2023</v>
      </c>
      <c r="D674">
        <v>5346</v>
      </c>
      <c r="E674">
        <v>263</v>
      </c>
      <c r="F674">
        <v>2</v>
      </c>
      <c r="G674">
        <v>2</v>
      </c>
      <c r="H674">
        <v>22</v>
      </c>
      <c r="I674">
        <v>60</v>
      </c>
      <c r="J674">
        <v>241</v>
      </c>
      <c r="K674">
        <v>3</v>
      </c>
      <c r="L674">
        <v>15</v>
      </c>
      <c r="M674">
        <v>9</v>
      </c>
      <c r="N674">
        <v>99</v>
      </c>
      <c r="O674">
        <v>9</v>
      </c>
      <c r="P674">
        <v>3</v>
      </c>
      <c r="Q674">
        <v>99999</v>
      </c>
      <c r="R674" s="276">
        <v>0</v>
      </c>
      <c r="S674" s="7">
        <v>45383.489039351851</v>
      </c>
      <c r="AX674" s="7"/>
      <c r="AY674" s="7"/>
    </row>
    <row r="675" spans="1:51">
      <c r="A675">
        <v>673</v>
      </c>
      <c r="B675" t="s">
        <v>277</v>
      </c>
      <c r="C675">
        <v>2023</v>
      </c>
      <c r="D675">
        <v>5346</v>
      </c>
      <c r="E675">
        <v>263</v>
      </c>
      <c r="F675">
        <v>2</v>
      </c>
      <c r="G675">
        <v>2</v>
      </c>
      <c r="H675">
        <v>22</v>
      </c>
      <c r="I675">
        <v>60</v>
      </c>
      <c r="J675">
        <v>241</v>
      </c>
      <c r="K675">
        <v>3</v>
      </c>
      <c r="L675">
        <v>25</v>
      </c>
      <c r="M675">
        <v>9</v>
      </c>
      <c r="N675">
        <v>99</v>
      </c>
      <c r="O675">
        <v>9</v>
      </c>
      <c r="P675">
        <v>3</v>
      </c>
      <c r="Q675">
        <v>99999</v>
      </c>
      <c r="R675" s="276">
        <v>0</v>
      </c>
      <c r="S675" s="7">
        <v>45383.489039351851</v>
      </c>
      <c r="AX675" s="7"/>
      <c r="AY675" s="7"/>
    </row>
    <row r="676" spans="1:51">
      <c r="A676">
        <v>674</v>
      </c>
      <c r="B676" t="s">
        <v>277</v>
      </c>
      <c r="C676">
        <v>2023</v>
      </c>
      <c r="D676">
        <v>5346</v>
      </c>
      <c r="E676">
        <v>263</v>
      </c>
      <c r="F676">
        <v>2</v>
      </c>
      <c r="G676">
        <v>2</v>
      </c>
      <c r="H676">
        <v>22</v>
      </c>
      <c r="I676">
        <v>60</v>
      </c>
      <c r="J676">
        <v>241</v>
      </c>
      <c r="K676">
        <v>1</v>
      </c>
      <c r="L676">
        <v>1</v>
      </c>
      <c r="M676">
        <v>9</v>
      </c>
      <c r="N676">
        <v>99</v>
      </c>
      <c r="O676">
        <v>9</v>
      </c>
      <c r="P676">
        <v>3</v>
      </c>
      <c r="Q676">
        <v>99999</v>
      </c>
      <c r="R676" s="276">
        <v>0</v>
      </c>
      <c r="S676" s="7">
        <v>45383.489039351851</v>
      </c>
      <c r="AX676" s="7"/>
      <c r="AY676" s="7"/>
    </row>
    <row r="677" spans="1:51">
      <c r="A677">
        <v>675</v>
      </c>
      <c r="B677" t="s">
        <v>277</v>
      </c>
      <c r="C677">
        <v>2023</v>
      </c>
      <c r="D677">
        <v>5346</v>
      </c>
      <c r="E677">
        <v>263</v>
      </c>
      <c r="F677">
        <v>2</v>
      </c>
      <c r="G677">
        <v>2</v>
      </c>
      <c r="H677">
        <v>22</v>
      </c>
      <c r="I677">
        <v>60</v>
      </c>
      <c r="J677">
        <v>106</v>
      </c>
      <c r="K677">
        <v>2</v>
      </c>
      <c r="L677">
        <v>10</v>
      </c>
      <c r="M677">
        <v>9</v>
      </c>
      <c r="N677">
        <v>99</v>
      </c>
      <c r="O677">
        <v>9</v>
      </c>
      <c r="P677">
        <v>3</v>
      </c>
      <c r="Q677">
        <v>99999</v>
      </c>
      <c r="R677" s="276">
        <v>0</v>
      </c>
      <c r="S677" s="7">
        <v>45383.489039351851</v>
      </c>
      <c r="AX677" s="7"/>
      <c r="AY677" s="7"/>
    </row>
    <row r="678" spans="1:51">
      <c r="A678">
        <v>676</v>
      </c>
      <c r="B678" t="s">
        <v>277</v>
      </c>
      <c r="C678">
        <v>2023</v>
      </c>
      <c r="D678">
        <v>5346</v>
      </c>
      <c r="E678">
        <v>263</v>
      </c>
      <c r="F678">
        <v>2</v>
      </c>
      <c r="G678">
        <v>2</v>
      </c>
      <c r="H678">
        <v>22</v>
      </c>
      <c r="I678">
        <v>60</v>
      </c>
      <c r="J678">
        <v>106</v>
      </c>
      <c r="K678">
        <v>2</v>
      </c>
      <c r="L678">
        <v>24</v>
      </c>
      <c r="M678">
        <v>9</v>
      </c>
      <c r="N678">
        <v>99</v>
      </c>
      <c r="O678">
        <v>9</v>
      </c>
      <c r="P678">
        <v>3</v>
      </c>
      <c r="Q678">
        <v>99999</v>
      </c>
      <c r="R678" s="276">
        <v>0</v>
      </c>
      <c r="S678" s="7">
        <v>45383.489039351851</v>
      </c>
      <c r="AX678" s="7"/>
      <c r="AY678" s="7"/>
    </row>
    <row r="679" spans="1:51">
      <c r="A679">
        <v>677</v>
      </c>
      <c r="B679" t="s">
        <v>277</v>
      </c>
      <c r="C679">
        <v>2023</v>
      </c>
      <c r="D679">
        <v>5346</v>
      </c>
      <c r="E679">
        <v>263</v>
      </c>
      <c r="F679">
        <v>2</v>
      </c>
      <c r="G679">
        <v>2</v>
      </c>
      <c r="H679">
        <v>22</v>
      </c>
      <c r="I679">
        <v>60</v>
      </c>
      <c r="J679">
        <v>106</v>
      </c>
      <c r="K679">
        <v>2</v>
      </c>
      <c r="L679">
        <v>11</v>
      </c>
      <c r="M679">
        <v>9</v>
      </c>
      <c r="N679">
        <v>99</v>
      </c>
      <c r="O679">
        <v>9</v>
      </c>
      <c r="P679">
        <v>3</v>
      </c>
      <c r="Q679">
        <v>99999</v>
      </c>
      <c r="R679" s="276">
        <v>0</v>
      </c>
      <c r="S679" s="7">
        <v>45383.489039351851</v>
      </c>
      <c r="AX679" s="7"/>
      <c r="AY679" s="7"/>
    </row>
    <row r="680" spans="1:51">
      <c r="A680">
        <v>678</v>
      </c>
      <c r="B680" t="s">
        <v>277</v>
      </c>
      <c r="C680">
        <v>2023</v>
      </c>
      <c r="D680">
        <v>5346</v>
      </c>
      <c r="E680">
        <v>263</v>
      </c>
      <c r="F680">
        <v>2</v>
      </c>
      <c r="G680">
        <v>2</v>
      </c>
      <c r="H680">
        <v>22</v>
      </c>
      <c r="I680">
        <v>60</v>
      </c>
      <c r="J680">
        <v>106</v>
      </c>
      <c r="K680">
        <v>2</v>
      </c>
      <c r="L680">
        <v>9</v>
      </c>
      <c r="M680">
        <v>9</v>
      </c>
      <c r="N680">
        <v>99</v>
      </c>
      <c r="O680">
        <v>9</v>
      </c>
      <c r="P680">
        <v>3</v>
      </c>
      <c r="Q680">
        <v>99999</v>
      </c>
      <c r="R680" s="276">
        <v>0</v>
      </c>
      <c r="S680" s="7">
        <v>45383.489039351851</v>
      </c>
      <c r="AX680" s="7"/>
      <c r="AY680" s="7"/>
    </row>
    <row r="681" spans="1:51">
      <c r="A681">
        <v>679</v>
      </c>
      <c r="B681" t="s">
        <v>277</v>
      </c>
      <c r="C681">
        <v>2023</v>
      </c>
      <c r="D681">
        <v>5346</v>
      </c>
      <c r="E681">
        <v>263</v>
      </c>
      <c r="F681">
        <v>2</v>
      </c>
      <c r="G681">
        <v>2</v>
      </c>
      <c r="H681">
        <v>22</v>
      </c>
      <c r="I681">
        <v>60</v>
      </c>
      <c r="J681">
        <v>106</v>
      </c>
      <c r="K681">
        <v>2</v>
      </c>
      <c r="L681">
        <v>8</v>
      </c>
      <c r="M681">
        <v>9</v>
      </c>
      <c r="N681">
        <v>99</v>
      </c>
      <c r="O681">
        <v>9</v>
      </c>
      <c r="P681">
        <v>3</v>
      </c>
      <c r="Q681">
        <v>99999</v>
      </c>
      <c r="R681" s="276">
        <v>0</v>
      </c>
      <c r="S681" s="7">
        <v>45383.489039351851</v>
      </c>
      <c r="AX681" s="7"/>
      <c r="AY681" s="7"/>
    </row>
    <row r="682" spans="1:51">
      <c r="A682">
        <v>680</v>
      </c>
      <c r="B682" t="s">
        <v>277</v>
      </c>
      <c r="C682">
        <v>2023</v>
      </c>
      <c r="D682">
        <v>5346</v>
      </c>
      <c r="E682">
        <v>263</v>
      </c>
      <c r="F682">
        <v>3</v>
      </c>
      <c r="G682">
        <v>99</v>
      </c>
      <c r="H682">
        <v>24</v>
      </c>
      <c r="I682">
        <v>63</v>
      </c>
      <c r="J682">
        <v>110</v>
      </c>
      <c r="K682">
        <v>99</v>
      </c>
      <c r="L682">
        <v>999</v>
      </c>
      <c r="M682">
        <v>9</v>
      </c>
      <c r="N682">
        <v>99</v>
      </c>
      <c r="O682">
        <v>9</v>
      </c>
      <c r="P682">
        <v>3</v>
      </c>
      <c r="Q682">
        <v>99999</v>
      </c>
      <c r="R682" s="276">
        <v>0</v>
      </c>
      <c r="S682" s="7">
        <v>45383.489039351851</v>
      </c>
      <c r="AX682" s="7"/>
      <c r="AY682" s="7"/>
    </row>
    <row r="683" spans="1:51">
      <c r="A683">
        <v>681</v>
      </c>
      <c r="B683" t="s">
        <v>277</v>
      </c>
      <c r="C683">
        <v>2023</v>
      </c>
      <c r="D683">
        <v>5346</v>
      </c>
      <c r="E683">
        <v>263</v>
      </c>
      <c r="F683">
        <v>3</v>
      </c>
      <c r="G683">
        <v>99</v>
      </c>
      <c r="H683">
        <v>24</v>
      </c>
      <c r="I683">
        <v>61</v>
      </c>
      <c r="J683">
        <v>110</v>
      </c>
      <c r="K683">
        <v>99</v>
      </c>
      <c r="L683">
        <v>999</v>
      </c>
      <c r="M683">
        <v>9</v>
      </c>
      <c r="N683">
        <v>99</v>
      </c>
      <c r="O683">
        <v>9</v>
      </c>
      <c r="P683">
        <v>3</v>
      </c>
      <c r="Q683">
        <v>99999</v>
      </c>
      <c r="R683" s="276">
        <v>0</v>
      </c>
      <c r="S683" s="7">
        <v>45383.489039351851</v>
      </c>
      <c r="AX683" s="7"/>
      <c r="AY683" s="7"/>
    </row>
    <row r="684" spans="1:51">
      <c r="A684">
        <v>682</v>
      </c>
      <c r="B684" t="s">
        <v>277</v>
      </c>
      <c r="C684">
        <v>2023</v>
      </c>
      <c r="D684">
        <v>5346</v>
      </c>
      <c r="E684">
        <v>263</v>
      </c>
      <c r="F684">
        <v>3</v>
      </c>
      <c r="G684">
        <v>99</v>
      </c>
      <c r="H684">
        <v>24</v>
      </c>
      <c r="I684">
        <v>79</v>
      </c>
      <c r="J684">
        <v>110</v>
      </c>
      <c r="K684">
        <v>99</v>
      </c>
      <c r="L684">
        <v>999</v>
      </c>
      <c r="M684">
        <v>9</v>
      </c>
      <c r="N684">
        <v>99</v>
      </c>
      <c r="O684">
        <v>9</v>
      </c>
      <c r="P684">
        <v>3</v>
      </c>
      <c r="Q684">
        <v>99999</v>
      </c>
      <c r="R684" s="276">
        <v>0</v>
      </c>
      <c r="S684" s="7">
        <v>45383.489039351851</v>
      </c>
      <c r="AX684" s="7"/>
      <c r="AY684" s="7"/>
    </row>
    <row r="685" spans="1:51">
      <c r="A685">
        <v>683</v>
      </c>
      <c r="B685" t="s">
        <v>277</v>
      </c>
      <c r="C685">
        <v>2023</v>
      </c>
      <c r="D685">
        <v>5346</v>
      </c>
      <c r="E685">
        <v>263</v>
      </c>
      <c r="F685">
        <v>3</v>
      </c>
      <c r="G685">
        <v>99</v>
      </c>
      <c r="H685">
        <v>24</v>
      </c>
      <c r="I685">
        <v>63</v>
      </c>
      <c r="J685">
        <v>111</v>
      </c>
      <c r="K685">
        <v>99</v>
      </c>
      <c r="L685">
        <v>999</v>
      </c>
      <c r="M685">
        <v>9</v>
      </c>
      <c r="N685">
        <v>99</v>
      </c>
      <c r="O685">
        <v>9</v>
      </c>
      <c r="P685">
        <v>3</v>
      </c>
      <c r="Q685">
        <v>99999</v>
      </c>
      <c r="R685" s="276">
        <v>0</v>
      </c>
      <c r="S685" s="7">
        <v>45383.489039351851</v>
      </c>
      <c r="AX685" s="7"/>
      <c r="AY685" s="7"/>
    </row>
    <row r="686" spans="1:51">
      <c r="A686">
        <v>684</v>
      </c>
      <c r="B686" t="s">
        <v>277</v>
      </c>
      <c r="C686">
        <v>2023</v>
      </c>
      <c r="D686">
        <v>5346</v>
      </c>
      <c r="E686">
        <v>263</v>
      </c>
      <c r="F686">
        <v>3</v>
      </c>
      <c r="G686">
        <v>99</v>
      </c>
      <c r="H686">
        <v>24</v>
      </c>
      <c r="I686">
        <v>61</v>
      </c>
      <c r="J686">
        <v>111</v>
      </c>
      <c r="K686">
        <v>99</v>
      </c>
      <c r="L686">
        <v>999</v>
      </c>
      <c r="M686">
        <v>9</v>
      </c>
      <c r="N686">
        <v>99</v>
      </c>
      <c r="O686">
        <v>9</v>
      </c>
      <c r="P686">
        <v>3</v>
      </c>
      <c r="Q686">
        <v>99999</v>
      </c>
      <c r="R686" s="276">
        <v>0</v>
      </c>
      <c r="S686" s="7">
        <v>45383.489039351851</v>
      </c>
      <c r="AX686" s="7"/>
      <c r="AY686" s="7"/>
    </row>
    <row r="687" spans="1:51">
      <c r="A687">
        <v>685</v>
      </c>
      <c r="B687" t="s">
        <v>277</v>
      </c>
      <c r="C687">
        <v>2023</v>
      </c>
      <c r="D687">
        <v>5346</v>
      </c>
      <c r="E687">
        <v>263</v>
      </c>
      <c r="F687">
        <v>3</v>
      </c>
      <c r="G687">
        <v>99</v>
      </c>
      <c r="H687">
        <v>24</v>
      </c>
      <c r="I687">
        <v>79</v>
      </c>
      <c r="J687">
        <v>111</v>
      </c>
      <c r="K687">
        <v>99</v>
      </c>
      <c r="L687">
        <v>999</v>
      </c>
      <c r="M687">
        <v>9</v>
      </c>
      <c r="N687">
        <v>99</v>
      </c>
      <c r="O687">
        <v>9</v>
      </c>
      <c r="P687">
        <v>3</v>
      </c>
      <c r="Q687">
        <v>99999</v>
      </c>
      <c r="R687" s="276">
        <v>0</v>
      </c>
      <c r="S687" s="7">
        <v>45383.489039351851</v>
      </c>
      <c r="AX687" s="7"/>
      <c r="AY687" s="7"/>
    </row>
    <row r="688" spans="1:51">
      <c r="A688">
        <v>686</v>
      </c>
      <c r="B688" t="s">
        <v>277</v>
      </c>
      <c r="C688">
        <v>2023</v>
      </c>
      <c r="D688">
        <v>5346</v>
      </c>
      <c r="E688">
        <v>263</v>
      </c>
      <c r="F688">
        <v>3</v>
      </c>
      <c r="G688">
        <v>99</v>
      </c>
      <c r="H688">
        <v>24</v>
      </c>
      <c r="I688">
        <v>63</v>
      </c>
      <c r="J688">
        <v>112</v>
      </c>
      <c r="K688">
        <v>99</v>
      </c>
      <c r="L688">
        <v>999</v>
      </c>
      <c r="M688">
        <v>9</v>
      </c>
      <c r="N688">
        <v>99</v>
      </c>
      <c r="O688">
        <v>9</v>
      </c>
      <c r="P688">
        <v>3</v>
      </c>
      <c r="Q688">
        <v>99999</v>
      </c>
      <c r="R688" s="276">
        <v>6556.16810993936</v>
      </c>
      <c r="S688" s="7">
        <v>45383.489039351851</v>
      </c>
      <c r="AX688" s="7"/>
      <c r="AY688" s="7"/>
    </row>
    <row r="689" spans="1:51">
      <c r="A689">
        <v>687</v>
      </c>
      <c r="B689" t="s">
        <v>277</v>
      </c>
      <c r="C689">
        <v>2023</v>
      </c>
      <c r="D689">
        <v>5346</v>
      </c>
      <c r="E689">
        <v>263</v>
      </c>
      <c r="F689">
        <v>3</v>
      </c>
      <c r="G689">
        <v>99</v>
      </c>
      <c r="H689">
        <v>24</v>
      </c>
      <c r="I689">
        <v>61</v>
      </c>
      <c r="J689">
        <v>112</v>
      </c>
      <c r="K689">
        <v>99</v>
      </c>
      <c r="L689">
        <v>999</v>
      </c>
      <c r="M689">
        <v>9</v>
      </c>
      <c r="N689">
        <v>99</v>
      </c>
      <c r="O689">
        <v>9</v>
      </c>
      <c r="P689">
        <v>3</v>
      </c>
      <c r="Q689">
        <v>99999</v>
      </c>
      <c r="R689" s="276">
        <v>34713.7469072561</v>
      </c>
      <c r="S689" s="7">
        <v>45383.489039351851</v>
      </c>
      <c r="AX689" s="7"/>
      <c r="AY689" s="7"/>
    </row>
    <row r="690" spans="1:51">
      <c r="A690">
        <v>688</v>
      </c>
      <c r="B690" t="s">
        <v>277</v>
      </c>
      <c r="C690">
        <v>2023</v>
      </c>
      <c r="D690">
        <v>5346</v>
      </c>
      <c r="E690">
        <v>263</v>
      </c>
      <c r="F690">
        <v>3</v>
      </c>
      <c r="G690">
        <v>99</v>
      </c>
      <c r="H690">
        <v>24</v>
      </c>
      <c r="I690">
        <v>79</v>
      </c>
      <c r="J690">
        <v>112</v>
      </c>
      <c r="K690">
        <v>99</v>
      </c>
      <c r="L690">
        <v>999</v>
      </c>
      <c r="M690">
        <v>9</v>
      </c>
      <c r="N690">
        <v>99</v>
      </c>
      <c r="O690">
        <v>9</v>
      </c>
      <c r="P690">
        <v>3</v>
      </c>
      <c r="Q690">
        <v>99999</v>
      </c>
      <c r="R690" s="276">
        <v>41269.915017195497</v>
      </c>
      <c r="S690" s="7">
        <v>45383.489039351851</v>
      </c>
      <c r="AX690" s="7"/>
      <c r="AY690" s="7"/>
    </row>
    <row r="691" spans="1:51">
      <c r="A691">
        <v>689</v>
      </c>
      <c r="B691" t="s">
        <v>277</v>
      </c>
      <c r="C691">
        <v>2023</v>
      </c>
      <c r="D691">
        <v>5346</v>
      </c>
      <c r="E691">
        <v>263</v>
      </c>
      <c r="F691">
        <v>2</v>
      </c>
      <c r="G691">
        <v>2</v>
      </c>
      <c r="H691">
        <v>22</v>
      </c>
      <c r="I691">
        <v>60</v>
      </c>
      <c r="J691">
        <v>120</v>
      </c>
      <c r="K691">
        <v>4</v>
      </c>
      <c r="L691">
        <v>999</v>
      </c>
      <c r="M691">
        <v>9</v>
      </c>
      <c r="N691">
        <v>99</v>
      </c>
      <c r="O691">
        <v>9</v>
      </c>
      <c r="P691">
        <v>3</v>
      </c>
      <c r="Q691">
        <v>99999</v>
      </c>
      <c r="R691" s="276">
        <v>0</v>
      </c>
      <c r="S691" s="7">
        <v>45383.489039351851</v>
      </c>
      <c r="AX691" s="7"/>
      <c r="AY691" s="7"/>
    </row>
    <row r="692" spans="1:51">
      <c r="A692">
        <v>690</v>
      </c>
      <c r="B692" t="s">
        <v>277</v>
      </c>
      <c r="C692">
        <v>2023</v>
      </c>
      <c r="D692">
        <v>5346</v>
      </c>
      <c r="E692">
        <v>263</v>
      </c>
      <c r="F692">
        <v>2</v>
      </c>
      <c r="G692">
        <v>2</v>
      </c>
      <c r="H692">
        <v>22</v>
      </c>
      <c r="I692">
        <v>60</v>
      </c>
      <c r="J692">
        <v>167</v>
      </c>
      <c r="K692">
        <v>4</v>
      </c>
      <c r="L692">
        <v>999</v>
      </c>
      <c r="M692">
        <v>9</v>
      </c>
      <c r="N692">
        <v>99</v>
      </c>
      <c r="O692">
        <v>9</v>
      </c>
      <c r="P692">
        <v>3</v>
      </c>
      <c r="Q692">
        <v>99999</v>
      </c>
      <c r="R692" s="276">
        <v>0</v>
      </c>
      <c r="S692" s="7">
        <v>45383.489039351851</v>
      </c>
      <c r="AX692" s="7"/>
      <c r="AY692" s="7"/>
    </row>
    <row r="693" spans="1:51">
      <c r="A693">
        <v>691</v>
      </c>
      <c r="B693" t="s">
        <v>277</v>
      </c>
      <c r="C693">
        <v>2023</v>
      </c>
      <c r="D693">
        <v>5346</v>
      </c>
      <c r="E693">
        <v>263</v>
      </c>
      <c r="F693">
        <v>2</v>
      </c>
      <c r="G693">
        <v>2</v>
      </c>
      <c r="H693">
        <v>22</v>
      </c>
      <c r="I693">
        <v>60</v>
      </c>
      <c r="J693">
        <v>178</v>
      </c>
      <c r="K693">
        <v>1</v>
      </c>
      <c r="L693">
        <v>7</v>
      </c>
      <c r="M693">
        <v>9</v>
      </c>
      <c r="N693">
        <v>99</v>
      </c>
      <c r="O693">
        <v>9</v>
      </c>
      <c r="P693">
        <v>3</v>
      </c>
      <c r="Q693">
        <v>99999</v>
      </c>
      <c r="R693" s="276">
        <v>-560301.484692581</v>
      </c>
      <c r="S693" s="7">
        <v>45383.489039351851</v>
      </c>
      <c r="AX693" s="7"/>
      <c r="AY693" s="7"/>
    </row>
    <row r="694" spans="1:51">
      <c r="A694">
        <v>692</v>
      </c>
      <c r="B694" t="s">
        <v>277</v>
      </c>
      <c r="C694">
        <v>2023</v>
      </c>
      <c r="D694">
        <v>5346</v>
      </c>
      <c r="E694">
        <v>263</v>
      </c>
      <c r="F694">
        <v>2</v>
      </c>
      <c r="G694">
        <v>2</v>
      </c>
      <c r="H694">
        <v>20</v>
      </c>
      <c r="I694">
        <v>60</v>
      </c>
      <c r="J694">
        <v>179</v>
      </c>
      <c r="K694">
        <v>99</v>
      </c>
      <c r="L694">
        <v>999</v>
      </c>
      <c r="M694">
        <v>3</v>
      </c>
      <c r="N694">
        <v>99</v>
      </c>
      <c r="O694">
        <v>9</v>
      </c>
      <c r="P694">
        <v>3</v>
      </c>
      <c r="Q694">
        <v>99999</v>
      </c>
      <c r="R694" s="276">
        <v>0</v>
      </c>
      <c r="S694" s="7">
        <v>45383.489039351851</v>
      </c>
      <c r="AX694" s="7"/>
      <c r="AY694" s="7"/>
    </row>
    <row r="695" spans="1:51">
      <c r="A695">
        <v>693</v>
      </c>
      <c r="B695" t="s">
        <v>277</v>
      </c>
      <c r="C695">
        <v>2023</v>
      </c>
      <c r="D695">
        <v>5346</v>
      </c>
      <c r="E695">
        <v>263</v>
      </c>
      <c r="F695">
        <v>2</v>
      </c>
      <c r="G695">
        <v>2</v>
      </c>
      <c r="H695">
        <v>22</v>
      </c>
      <c r="I695">
        <v>60</v>
      </c>
      <c r="J695">
        <v>179</v>
      </c>
      <c r="K695">
        <v>99</v>
      </c>
      <c r="L695">
        <v>999</v>
      </c>
      <c r="M695">
        <v>3</v>
      </c>
      <c r="N695">
        <v>99</v>
      </c>
      <c r="O695">
        <v>9</v>
      </c>
      <c r="P695">
        <v>3</v>
      </c>
      <c r="Q695">
        <v>99999</v>
      </c>
      <c r="R695" s="276">
        <v>0</v>
      </c>
      <c r="S695" s="7">
        <v>45383.489039351851</v>
      </c>
      <c r="AX695" s="7"/>
      <c r="AY695" s="7"/>
    </row>
    <row r="696" spans="1:51">
      <c r="A696">
        <v>694</v>
      </c>
      <c r="B696" t="s">
        <v>277</v>
      </c>
      <c r="C696">
        <v>2023</v>
      </c>
      <c r="D696">
        <v>5346</v>
      </c>
      <c r="E696">
        <v>263</v>
      </c>
      <c r="F696">
        <v>3</v>
      </c>
      <c r="G696">
        <v>99</v>
      </c>
      <c r="H696">
        <v>24</v>
      </c>
      <c r="I696">
        <v>63</v>
      </c>
      <c r="J696">
        <v>182</v>
      </c>
      <c r="K696">
        <v>99</v>
      </c>
      <c r="L696">
        <v>999</v>
      </c>
      <c r="M696">
        <v>9</v>
      </c>
      <c r="N696">
        <v>99</v>
      </c>
      <c r="O696">
        <v>9</v>
      </c>
      <c r="P696">
        <v>3</v>
      </c>
      <c r="Q696">
        <v>99999</v>
      </c>
      <c r="R696" s="276">
        <v>0</v>
      </c>
      <c r="S696" s="7">
        <v>45383.489039351851</v>
      </c>
      <c r="AX696" s="7"/>
      <c r="AY696" s="7"/>
    </row>
    <row r="697" spans="1:51">
      <c r="A697">
        <v>695</v>
      </c>
      <c r="B697" t="s">
        <v>277</v>
      </c>
      <c r="C697">
        <v>2023</v>
      </c>
      <c r="D697">
        <v>5346</v>
      </c>
      <c r="E697">
        <v>263</v>
      </c>
      <c r="F697">
        <v>3</v>
      </c>
      <c r="G697">
        <v>99</v>
      </c>
      <c r="H697">
        <v>24</v>
      </c>
      <c r="I697">
        <v>61</v>
      </c>
      <c r="J697">
        <v>182</v>
      </c>
      <c r="K697">
        <v>99</v>
      </c>
      <c r="L697">
        <v>999</v>
      </c>
      <c r="M697">
        <v>9</v>
      </c>
      <c r="N697">
        <v>99</v>
      </c>
      <c r="O697">
        <v>9</v>
      </c>
      <c r="P697">
        <v>3</v>
      </c>
      <c r="Q697">
        <v>99999</v>
      </c>
      <c r="R697" s="276">
        <v>0</v>
      </c>
      <c r="S697" s="7">
        <v>45383.489039351851</v>
      </c>
      <c r="AX697" s="7"/>
      <c r="AY697" s="7"/>
    </row>
    <row r="698" spans="1:51">
      <c r="A698">
        <v>696</v>
      </c>
      <c r="B698" t="s">
        <v>277</v>
      </c>
      <c r="C698">
        <v>2023</v>
      </c>
      <c r="D698">
        <v>5346</v>
      </c>
      <c r="E698">
        <v>263</v>
      </c>
      <c r="F698">
        <v>3</v>
      </c>
      <c r="G698">
        <v>99</v>
      </c>
      <c r="H698">
        <v>24</v>
      </c>
      <c r="I698">
        <v>79</v>
      </c>
      <c r="J698">
        <v>182</v>
      </c>
      <c r="K698">
        <v>99</v>
      </c>
      <c r="L698">
        <v>999</v>
      </c>
      <c r="M698">
        <v>9</v>
      </c>
      <c r="N698">
        <v>99</v>
      </c>
      <c r="O698">
        <v>9</v>
      </c>
      <c r="P698">
        <v>3</v>
      </c>
      <c r="Q698">
        <v>99999</v>
      </c>
      <c r="R698" s="276">
        <v>0</v>
      </c>
      <c r="S698" s="7">
        <v>45383.489039351851</v>
      </c>
      <c r="AX698" s="7"/>
      <c r="AY698" s="7"/>
    </row>
    <row r="699" spans="1:51">
      <c r="A699">
        <v>697</v>
      </c>
      <c r="B699" t="s">
        <v>277</v>
      </c>
      <c r="C699">
        <v>2023</v>
      </c>
      <c r="D699">
        <v>5346</v>
      </c>
      <c r="E699">
        <v>263</v>
      </c>
      <c r="F699">
        <v>3</v>
      </c>
      <c r="G699">
        <v>99</v>
      </c>
      <c r="H699">
        <v>24</v>
      </c>
      <c r="I699">
        <v>63</v>
      </c>
      <c r="J699">
        <v>183</v>
      </c>
      <c r="K699">
        <v>99</v>
      </c>
      <c r="L699">
        <v>999</v>
      </c>
      <c r="M699">
        <v>9</v>
      </c>
      <c r="N699">
        <v>99</v>
      </c>
      <c r="O699">
        <v>9</v>
      </c>
      <c r="P699">
        <v>3</v>
      </c>
      <c r="Q699">
        <v>99999</v>
      </c>
      <c r="R699" s="276">
        <v>-365.44614076819101</v>
      </c>
      <c r="S699" s="7">
        <v>45383.489039351851</v>
      </c>
      <c r="AX699" s="7"/>
      <c r="AY699" s="7"/>
    </row>
    <row r="700" spans="1:51">
      <c r="A700">
        <v>698</v>
      </c>
      <c r="B700" t="s">
        <v>277</v>
      </c>
      <c r="C700">
        <v>2023</v>
      </c>
      <c r="D700">
        <v>5346</v>
      </c>
      <c r="E700">
        <v>263</v>
      </c>
      <c r="F700">
        <v>3</v>
      </c>
      <c r="G700">
        <v>99</v>
      </c>
      <c r="H700">
        <v>24</v>
      </c>
      <c r="I700">
        <v>61</v>
      </c>
      <c r="J700">
        <v>183</v>
      </c>
      <c r="K700">
        <v>99</v>
      </c>
      <c r="L700">
        <v>999</v>
      </c>
      <c r="M700">
        <v>9</v>
      </c>
      <c r="N700">
        <v>99</v>
      </c>
      <c r="O700">
        <v>9</v>
      </c>
      <c r="P700">
        <v>3</v>
      </c>
      <c r="Q700">
        <v>99999</v>
      </c>
      <c r="R700" s="276">
        <v>0</v>
      </c>
      <c r="S700" s="7">
        <v>45383.489039351851</v>
      </c>
      <c r="AX700" s="7"/>
      <c r="AY700" s="7"/>
    </row>
    <row r="701" spans="1:51">
      <c r="A701">
        <v>699</v>
      </c>
      <c r="B701" t="s">
        <v>277</v>
      </c>
      <c r="C701">
        <v>2023</v>
      </c>
      <c r="D701">
        <v>5346</v>
      </c>
      <c r="E701">
        <v>263</v>
      </c>
      <c r="F701">
        <v>3</v>
      </c>
      <c r="G701">
        <v>99</v>
      </c>
      <c r="H701">
        <v>24</v>
      </c>
      <c r="I701">
        <v>79</v>
      </c>
      <c r="J701">
        <v>183</v>
      </c>
      <c r="K701">
        <v>99</v>
      </c>
      <c r="L701">
        <v>999</v>
      </c>
      <c r="M701">
        <v>9</v>
      </c>
      <c r="N701">
        <v>99</v>
      </c>
      <c r="O701">
        <v>9</v>
      </c>
      <c r="P701">
        <v>3</v>
      </c>
      <c r="Q701">
        <v>99999</v>
      </c>
      <c r="R701" s="276">
        <v>-365.44614076819101</v>
      </c>
      <c r="S701" s="7">
        <v>45383.489039351851</v>
      </c>
      <c r="AX701" s="7"/>
      <c r="AY701" s="7"/>
    </row>
    <row r="702" spans="1:51">
      <c r="A702">
        <v>700</v>
      </c>
      <c r="B702" t="s">
        <v>277</v>
      </c>
      <c r="C702">
        <v>2023</v>
      </c>
      <c r="D702">
        <v>5346</v>
      </c>
      <c r="E702">
        <v>263</v>
      </c>
      <c r="F702">
        <v>3</v>
      </c>
      <c r="G702">
        <v>99</v>
      </c>
      <c r="H702">
        <v>24</v>
      </c>
      <c r="I702">
        <v>63</v>
      </c>
      <c r="J702">
        <v>184</v>
      </c>
      <c r="K702">
        <v>99</v>
      </c>
      <c r="L702">
        <v>999</v>
      </c>
      <c r="M702">
        <v>9</v>
      </c>
      <c r="N702">
        <v>99</v>
      </c>
      <c r="O702">
        <v>9</v>
      </c>
      <c r="P702">
        <v>3</v>
      </c>
      <c r="Q702">
        <v>99999</v>
      </c>
      <c r="R702" s="276">
        <v>2220.55160432106</v>
      </c>
      <c r="S702" s="7">
        <v>45383.489039351851</v>
      </c>
      <c r="AX702" s="7"/>
      <c r="AY702" s="7"/>
    </row>
    <row r="703" spans="1:51">
      <c r="A703">
        <v>701</v>
      </c>
      <c r="B703" t="s">
        <v>277</v>
      </c>
      <c r="C703">
        <v>2023</v>
      </c>
      <c r="D703">
        <v>5346</v>
      </c>
      <c r="E703">
        <v>263</v>
      </c>
      <c r="F703">
        <v>3</v>
      </c>
      <c r="G703">
        <v>99</v>
      </c>
      <c r="H703">
        <v>24</v>
      </c>
      <c r="I703">
        <v>61</v>
      </c>
      <c r="J703">
        <v>184</v>
      </c>
      <c r="K703">
        <v>99</v>
      </c>
      <c r="L703">
        <v>999</v>
      </c>
      <c r="M703">
        <v>9</v>
      </c>
      <c r="N703">
        <v>99</v>
      </c>
      <c r="O703">
        <v>9</v>
      </c>
      <c r="P703">
        <v>3</v>
      </c>
      <c r="Q703">
        <v>99999</v>
      </c>
      <c r="R703" s="276">
        <v>0</v>
      </c>
      <c r="S703" s="7">
        <v>45383.489039351851</v>
      </c>
      <c r="AX703" s="7"/>
      <c r="AY703" s="7"/>
    </row>
    <row r="704" spans="1:51">
      <c r="A704">
        <v>702</v>
      </c>
      <c r="B704" t="s">
        <v>277</v>
      </c>
      <c r="C704">
        <v>2023</v>
      </c>
      <c r="D704">
        <v>5346</v>
      </c>
      <c r="E704">
        <v>263</v>
      </c>
      <c r="F704">
        <v>3</v>
      </c>
      <c r="G704">
        <v>99</v>
      </c>
      <c r="H704">
        <v>24</v>
      </c>
      <c r="I704">
        <v>79</v>
      </c>
      <c r="J704">
        <v>184</v>
      </c>
      <c r="K704">
        <v>99</v>
      </c>
      <c r="L704">
        <v>999</v>
      </c>
      <c r="M704">
        <v>9</v>
      </c>
      <c r="N704">
        <v>99</v>
      </c>
      <c r="O704">
        <v>9</v>
      </c>
      <c r="P704">
        <v>3</v>
      </c>
      <c r="Q704">
        <v>99999</v>
      </c>
      <c r="R704" s="276">
        <v>2220.55160432106</v>
      </c>
      <c r="S704" s="7">
        <v>45383.489039351851</v>
      </c>
      <c r="AX704" s="7"/>
      <c r="AY704" s="7"/>
    </row>
    <row r="705" spans="1:51">
      <c r="A705">
        <v>703</v>
      </c>
      <c r="B705" t="s">
        <v>277</v>
      </c>
      <c r="C705">
        <v>2023</v>
      </c>
      <c r="D705">
        <v>5346</v>
      </c>
      <c r="E705">
        <v>263</v>
      </c>
      <c r="F705">
        <v>1</v>
      </c>
      <c r="G705">
        <v>1</v>
      </c>
      <c r="H705">
        <v>205</v>
      </c>
      <c r="I705">
        <v>350</v>
      </c>
      <c r="J705">
        <v>201</v>
      </c>
      <c r="K705">
        <v>4</v>
      </c>
      <c r="L705">
        <v>999</v>
      </c>
      <c r="M705">
        <v>9</v>
      </c>
      <c r="N705">
        <v>99</v>
      </c>
      <c r="O705">
        <v>9</v>
      </c>
      <c r="P705">
        <v>99</v>
      </c>
      <c r="Q705">
        <v>99999</v>
      </c>
      <c r="R705" s="276">
        <v>5672</v>
      </c>
      <c r="S705" s="7">
        <v>45383.489039351851</v>
      </c>
      <c r="AX705" s="7"/>
      <c r="AY705" s="7"/>
    </row>
    <row r="706" spans="1:51">
      <c r="A706">
        <v>704</v>
      </c>
      <c r="B706" t="s">
        <v>277</v>
      </c>
      <c r="C706">
        <v>2023</v>
      </c>
      <c r="D706">
        <v>5346</v>
      </c>
      <c r="E706">
        <v>263</v>
      </c>
      <c r="F706">
        <v>2</v>
      </c>
      <c r="G706">
        <v>2</v>
      </c>
      <c r="H706">
        <v>22</v>
      </c>
      <c r="I706">
        <v>60</v>
      </c>
      <c r="J706">
        <v>220</v>
      </c>
      <c r="K706">
        <v>2</v>
      </c>
      <c r="L706">
        <v>9</v>
      </c>
      <c r="M706">
        <v>9</v>
      </c>
      <c r="N706">
        <v>99</v>
      </c>
      <c r="O706">
        <v>9</v>
      </c>
      <c r="P706">
        <v>3</v>
      </c>
      <c r="Q706">
        <v>99999</v>
      </c>
      <c r="R706" s="276">
        <v>0</v>
      </c>
      <c r="S706" s="7">
        <v>45383.489039351851</v>
      </c>
      <c r="AX706" s="7"/>
      <c r="AY706" s="7"/>
    </row>
    <row r="707" spans="1:51">
      <c r="A707">
        <v>705</v>
      </c>
      <c r="B707" t="s">
        <v>277</v>
      </c>
      <c r="C707">
        <v>2023</v>
      </c>
      <c r="D707">
        <v>5346</v>
      </c>
      <c r="E707">
        <v>263</v>
      </c>
      <c r="F707">
        <v>2</v>
      </c>
      <c r="G707">
        <v>2</v>
      </c>
      <c r="H707">
        <v>22</v>
      </c>
      <c r="I707">
        <v>60</v>
      </c>
      <c r="J707">
        <v>220</v>
      </c>
      <c r="K707">
        <v>2</v>
      </c>
      <c r="L707">
        <v>8</v>
      </c>
      <c r="M707">
        <v>9</v>
      </c>
      <c r="N707">
        <v>99</v>
      </c>
      <c r="O707">
        <v>9</v>
      </c>
      <c r="P707">
        <v>3</v>
      </c>
      <c r="Q707">
        <v>99999</v>
      </c>
      <c r="R707" s="276">
        <v>0</v>
      </c>
      <c r="S707" s="7">
        <v>45383.489039351851</v>
      </c>
      <c r="AX707" s="7"/>
      <c r="AY707" s="7"/>
    </row>
    <row r="708" spans="1:51">
      <c r="A708">
        <v>706</v>
      </c>
      <c r="B708" t="s">
        <v>277</v>
      </c>
      <c r="C708">
        <v>2023</v>
      </c>
      <c r="D708">
        <v>5346</v>
      </c>
      <c r="E708">
        <v>263</v>
      </c>
      <c r="F708">
        <v>2</v>
      </c>
      <c r="G708">
        <v>2</v>
      </c>
      <c r="H708">
        <v>22</v>
      </c>
      <c r="I708">
        <v>60</v>
      </c>
      <c r="J708">
        <v>220</v>
      </c>
      <c r="K708">
        <v>2</v>
      </c>
      <c r="L708">
        <v>10</v>
      </c>
      <c r="M708">
        <v>9</v>
      </c>
      <c r="N708">
        <v>99</v>
      </c>
      <c r="O708">
        <v>9</v>
      </c>
      <c r="P708">
        <v>3</v>
      </c>
      <c r="Q708">
        <v>99999</v>
      </c>
      <c r="R708" s="276">
        <v>0</v>
      </c>
      <c r="S708" s="7">
        <v>45383.489039351851</v>
      </c>
      <c r="AX708" s="7"/>
      <c r="AY708" s="7"/>
    </row>
    <row r="709" spans="1:51">
      <c r="A709">
        <v>707</v>
      </c>
      <c r="B709" t="s">
        <v>277</v>
      </c>
      <c r="C709">
        <v>2023</v>
      </c>
      <c r="D709">
        <v>5346</v>
      </c>
      <c r="E709">
        <v>263</v>
      </c>
      <c r="F709">
        <v>2</v>
      </c>
      <c r="G709">
        <v>2</v>
      </c>
      <c r="H709">
        <v>22</v>
      </c>
      <c r="I709">
        <v>60</v>
      </c>
      <c r="J709">
        <v>220</v>
      </c>
      <c r="K709">
        <v>2</v>
      </c>
      <c r="L709">
        <v>24</v>
      </c>
      <c r="M709">
        <v>9</v>
      </c>
      <c r="N709">
        <v>99</v>
      </c>
      <c r="O709">
        <v>9</v>
      </c>
      <c r="P709">
        <v>3</v>
      </c>
      <c r="Q709">
        <v>99999</v>
      </c>
      <c r="R709" s="276">
        <v>0</v>
      </c>
      <c r="S709" s="7">
        <v>45383.489039351851</v>
      </c>
      <c r="AX709" s="7"/>
      <c r="AY709" s="7"/>
    </row>
    <row r="710" spans="1:51">
      <c r="A710">
        <v>708</v>
      </c>
      <c r="B710" t="s">
        <v>277</v>
      </c>
      <c r="C710">
        <v>2023</v>
      </c>
      <c r="D710">
        <v>5346</v>
      </c>
      <c r="E710">
        <v>263</v>
      </c>
      <c r="F710">
        <v>2</v>
      </c>
      <c r="G710">
        <v>2</v>
      </c>
      <c r="H710">
        <v>22</v>
      </c>
      <c r="I710">
        <v>62</v>
      </c>
      <c r="J710">
        <v>220</v>
      </c>
      <c r="K710">
        <v>2</v>
      </c>
      <c r="L710">
        <v>11</v>
      </c>
      <c r="M710">
        <v>9</v>
      </c>
      <c r="N710">
        <v>99</v>
      </c>
      <c r="O710">
        <v>9</v>
      </c>
      <c r="P710">
        <v>3</v>
      </c>
      <c r="Q710">
        <v>99999</v>
      </c>
      <c r="R710" s="276">
        <v>0</v>
      </c>
      <c r="S710" s="7">
        <v>45383.489039351851</v>
      </c>
      <c r="AX710" s="7"/>
      <c r="AY710" s="7"/>
    </row>
    <row r="711" spans="1:51">
      <c r="A711">
        <v>709</v>
      </c>
      <c r="B711" t="s">
        <v>277</v>
      </c>
      <c r="C711">
        <v>2023</v>
      </c>
      <c r="D711">
        <v>5346</v>
      </c>
      <c r="E711">
        <v>263</v>
      </c>
      <c r="F711">
        <v>2</v>
      </c>
      <c r="G711">
        <v>2</v>
      </c>
      <c r="H711">
        <v>22</v>
      </c>
      <c r="I711">
        <v>62</v>
      </c>
      <c r="J711">
        <v>220</v>
      </c>
      <c r="K711">
        <v>2</v>
      </c>
      <c r="L711">
        <v>9</v>
      </c>
      <c r="M711">
        <v>9</v>
      </c>
      <c r="N711">
        <v>99</v>
      </c>
      <c r="O711">
        <v>9</v>
      </c>
      <c r="P711">
        <v>3</v>
      </c>
      <c r="Q711">
        <v>99999</v>
      </c>
      <c r="R711" s="276">
        <v>0</v>
      </c>
      <c r="S711" s="7">
        <v>45383.489039351851</v>
      </c>
      <c r="AX711" s="7"/>
      <c r="AY711" s="7"/>
    </row>
    <row r="712" spans="1:51">
      <c r="A712">
        <v>710</v>
      </c>
      <c r="B712" t="s">
        <v>277</v>
      </c>
      <c r="C712">
        <v>2023</v>
      </c>
      <c r="D712">
        <v>5346</v>
      </c>
      <c r="E712">
        <v>263</v>
      </c>
      <c r="F712">
        <v>2</v>
      </c>
      <c r="G712">
        <v>2</v>
      </c>
      <c r="H712">
        <v>22</v>
      </c>
      <c r="I712">
        <v>62</v>
      </c>
      <c r="J712">
        <v>220</v>
      </c>
      <c r="K712">
        <v>2</v>
      </c>
      <c r="L712">
        <v>8</v>
      </c>
      <c r="M712">
        <v>9</v>
      </c>
      <c r="N712">
        <v>99</v>
      </c>
      <c r="O712">
        <v>9</v>
      </c>
      <c r="P712">
        <v>3</v>
      </c>
      <c r="Q712">
        <v>99999</v>
      </c>
      <c r="R712" s="276">
        <v>0</v>
      </c>
      <c r="S712" s="7">
        <v>45383.489039351851</v>
      </c>
      <c r="AX712" s="7"/>
      <c r="AY712" s="7"/>
    </row>
    <row r="713" spans="1:51">
      <c r="A713">
        <v>711</v>
      </c>
      <c r="B713" t="s">
        <v>277</v>
      </c>
      <c r="C713">
        <v>2023</v>
      </c>
      <c r="D713">
        <v>5346</v>
      </c>
      <c r="E713">
        <v>263</v>
      </c>
      <c r="F713">
        <v>2</v>
      </c>
      <c r="G713">
        <v>2</v>
      </c>
      <c r="H713">
        <v>22</v>
      </c>
      <c r="I713">
        <v>62</v>
      </c>
      <c r="J713">
        <v>220</v>
      </c>
      <c r="K713">
        <v>2</v>
      </c>
      <c r="L713">
        <v>10</v>
      </c>
      <c r="M713">
        <v>9</v>
      </c>
      <c r="N713">
        <v>99</v>
      </c>
      <c r="O713">
        <v>9</v>
      </c>
      <c r="P713">
        <v>3</v>
      </c>
      <c r="Q713">
        <v>99999</v>
      </c>
      <c r="R713" s="276">
        <v>0</v>
      </c>
      <c r="S713" s="7">
        <v>45383.489039351851</v>
      </c>
      <c r="AX713" s="7"/>
      <c r="AY713" s="7"/>
    </row>
    <row r="714" spans="1:51">
      <c r="A714">
        <v>712</v>
      </c>
      <c r="B714" t="s">
        <v>277</v>
      </c>
      <c r="C714">
        <v>2023</v>
      </c>
      <c r="D714">
        <v>5346</v>
      </c>
      <c r="E714">
        <v>263</v>
      </c>
      <c r="F714">
        <v>2</v>
      </c>
      <c r="G714">
        <v>2</v>
      </c>
      <c r="H714">
        <v>22</v>
      </c>
      <c r="I714">
        <v>62</v>
      </c>
      <c r="J714">
        <v>220</v>
      </c>
      <c r="K714">
        <v>2</v>
      </c>
      <c r="L714">
        <v>24</v>
      </c>
      <c r="M714">
        <v>9</v>
      </c>
      <c r="N714">
        <v>99</v>
      </c>
      <c r="O714">
        <v>9</v>
      </c>
      <c r="P714">
        <v>3</v>
      </c>
      <c r="Q714">
        <v>99999</v>
      </c>
      <c r="R714" s="276">
        <v>0</v>
      </c>
      <c r="S714" s="7">
        <v>45383.489039351851</v>
      </c>
      <c r="AX714" s="7"/>
      <c r="AY714" s="7"/>
    </row>
    <row r="715" spans="1:51">
      <c r="A715">
        <v>713</v>
      </c>
      <c r="B715" t="s">
        <v>277</v>
      </c>
      <c r="C715">
        <v>2023</v>
      </c>
      <c r="D715">
        <v>5346</v>
      </c>
      <c r="E715">
        <v>263</v>
      </c>
      <c r="F715">
        <v>2</v>
      </c>
      <c r="G715">
        <v>2</v>
      </c>
      <c r="H715">
        <v>22</v>
      </c>
      <c r="I715">
        <v>60</v>
      </c>
      <c r="J715">
        <v>220</v>
      </c>
      <c r="K715">
        <v>2</v>
      </c>
      <c r="L715">
        <v>11</v>
      </c>
      <c r="M715">
        <v>9</v>
      </c>
      <c r="N715">
        <v>99</v>
      </c>
      <c r="O715">
        <v>9</v>
      </c>
      <c r="P715">
        <v>3</v>
      </c>
      <c r="Q715">
        <v>99999</v>
      </c>
      <c r="R715" s="276">
        <v>0</v>
      </c>
      <c r="S715" s="7">
        <v>45383.489039351851</v>
      </c>
      <c r="AX715" s="7"/>
      <c r="AY715" s="7"/>
    </row>
    <row r="716" spans="1:51">
      <c r="A716">
        <v>714</v>
      </c>
      <c r="B716" t="s">
        <v>277</v>
      </c>
      <c r="C716">
        <v>2023</v>
      </c>
      <c r="D716">
        <v>5346</v>
      </c>
      <c r="E716">
        <v>263</v>
      </c>
      <c r="F716">
        <v>2</v>
      </c>
      <c r="G716">
        <v>2</v>
      </c>
      <c r="H716">
        <v>22</v>
      </c>
      <c r="I716">
        <v>60</v>
      </c>
      <c r="J716">
        <v>235</v>
      </c>
      <c r="K716">
        <v>4</v>
      </c>
      <c r="L716">
        <v>999</v>
      </c>
      <c r="M716">
        <v>9</v>
      </c>
      <c r="N716">
        <v>99</v>
      </c>
      <c r="O716">
        <v>9</v>
      </c>
      <c r="P716">
        <v>3</v>
      </c>
      <c r="Q716">
        <v>99999</v>
      </c>
      <c r="R716" s="276">
        <v>0</v>
      </c>
      <c r="S716" s="7">
        <v>45383.489039351851</v>
      </c>
      <c r="AX716" s="7"/>
      <c r="AY716" s="7"/>
    </row>
    <row r="717" spans="1:51">
      <c r="A717">
        <v>715</v>
      </c>
      <c r="B717" t="s">
        <v>277</v>
      </c>
      <c r="C717">
        <v>2023</v>
      </c>
      <c r="D717">
        <v>5346</v>
      </c>
      <c r="E717">
        <v>263</v>
      </c>
      <c r="F717">
        <v>2</v>
      </c>
      <c r="G717">
        <v>2</v>
      </c>
      <c r="H717">
        <v>22</v>
      </c>
      <c r="I717">
        <v>60</v>
      </c>
      <c r="J717">
        <v>242</v>
      </c>
      <c r="K717">
        <v>4</v>
      </c>
      <c r="L717">
        <v>999</v>
      </c>
      <c r="M717">
        <v>9</v>
      </c>
      <c r="N717">
        <v>99</v>
      </c>
      <c r="O717">
        <v>9</v>
      </c>
      <c r="P717">
        <v>3</v>
      </c>
      <c r="Q717">
        <v>99999</v>
      </c>
      <c r="R717" s="276">
        <v>-11162470.8473772</v>
      </c>
      <c r="S717" s="7">
        <v>45383.489039351851</v>
      </c>
      <c r="AX717" s="7"/>
      <c r="AY717" s="7"/>
    </row>
    <row r="718" spans="1:51">
      <c r="A718">
        <v>716</v>
      </c>
      <c r="B718" t="s">
        <v>277</v>
      </c>
      <c r="C718">
        <v>2023</v>
      </c>
      <c r="D718">
        <v>5346</v>
      </c>
      <c r="E718">
        <v>263</v>
      </c>
      <c r="F718">
        <v>2</v>
      </c>
      <c r="G718">
        <v>2</v>
      </c>
      <c r="H718">
        <v>22</v>
      </c>
      <c r="I718">
        <v>60</v>
      </c>
      <c r="J718">
        <v>242</v>
      </c>
      <c r="K718">
        <v>4</v>
      </c>
      <c r="L718">
        <v>999</v>
      </c>
      <c r="M718">
        <v>9</v>
      </c>
      <c r="N718">
        <v>99</v>
      </c>
      <c r="O718">
        <v>9</v>
      </c>
      <c r="P718">
        <v>3</v>
      </c>
      <c r="Q718">
        <v>99999</v>
      </c>
      <c r="R718" s="276">
        <v>0</v>
      </c>
      <c r="S718" s="7">
        <v>45383.489039351851</v>
      </c>
      <c r="AX718" s="7"/>
      <c r="AY718" s="7"/>
    </row>
    <row r="719" spans="1:51">
      <c r="A719">
        <v>717</v>
      </c>
      <c r="B719" t="s">
        <v>277</v>
      </c>
      <c r="C719">
        <v>2023</v>
      </c>
      <c r="D719">
        <v>5346</v>
      </c>
      <c r="E719">
        <v>263</v>
      </c>
      <c r="F719">
        <v>3</v>
      </c>
      <c r="G719">
        <v>99</v>
      </c>
      <c r="H719">
        <v>24</v>
      </c>
      <c r="I719">
        <v>63</v>
      </c>
      <c r="J719">
        <v>198</v>
      </c>
      <c r="K719">
        <v>99</v>
      </c>
      <c r="L719">
        <v>999</v>
      </c>
      <c r="M719">
        <v>9</v>
      </c>
      <c r="N719">
        <v>99</v>
      </c>
      <c r="O719">
        <v>9</v>
      </c>
      <c r="P719">
        <v>3</v>
      </c>
      <c r="Q719">
        <v>99999</v>
      </c>
      <c r="R719" s="276">
        <v>37214.627924150001</v>
      </c>
      <c r="S719" s="7">
        <v>45383.489039351851</v>
      </c>
      <c r="AX719" s="7"/>
      <c r="AY719" s="7"/>
    </row>
    <row r="720" spans="1:51">
      <c r="A720">
        <v>718</v>
      </c>
      <c r="B720" t="s">
        <v>277</v>
      </c>
      <c r="C720">
        <v>2023</v>
      </c>
      <c r="D720">
        <v>5346</v>
      </c>
      <c r="E720">
        <v>263</v>
      </c>
      <c r="F720">
        <v>3</v>
      </c>
      <c r="G720">
        <v>99</v>
      </c>
      <c r="H720">
        <v>24</v>
      </c>
      <c r="I720">
        <v>61</v>
      </c>
      <c r="J720">
        <v>198</v>
      </c>
      <c r="K720">
        <v>99</v>
      </c>
      <c r="L720">
        <v>999</v>
      </c>
      <c r="M720">
        <v>9</v>
      </c>
      <c r="N720">
        <v>99</v>
      </c>
      <c r="O720">
        <v>9</v>
      </c>
      <c r="P720">
        <v>3</v>
      </c>
      <c r="Q720">
        <v>99999</v>
      </c>
      <c r="R720" s="276">
        <v>10879.435246802401</v>
      </c>
      <c r="S720" s="7">
        <v>45383.489039351851</v>
      </c>
      <c r="AX720" s="7"/>
      <c r="AY720" s="7"/>
    </row>
    <row r="721" spans="1:51">
      <c r="A721">
        <v>719</v>
      </c>
      <c r="B721" t="s">
        <v>277</v>
      </c>
      <c r="C721">
        <v>2023</v>
      </c>
      <c r="D721">
        <v>5346</v>
      </c>
      <c r="E721">
        <v>263</v>
      </c>
      <c r="F721">
        <v>3</v>
      </c>
      <c r="G721">
        <v>99</v>
      </c>
      <c r="H721">
        <v>24</v>
      </c>
      <c r="I721">
        <v>79</v>
      </c>
      <c r="J721">
        <v>198</v>
      </c>
      <c r="K721">
        <v>99</v>
      </c>
      <c r="L721">
        <v>999</v>
      </c>
      <c r="M721">
        <v>9</v>
      </c>
      <c r="N721">
        <v>99</v>
      </c>
      <c r="O721">
        <v>9</v>
      </c>
      <c r="P721">
        <v>3</v>
      </c>
      <c r="Q721">
        <v>99999</v>
      </c>
      <c r="R721" s="276">
        <v>48094.0631709523</v>
      </c>
      <c r="S721" s="7">
        <v>45383.489039351851</v>
      </c>
      <c r="AX721" s="7"/>
      <c r="AY721" s="7"/>
    </row>
    <row r="722" spans="1:51">
      <c r="A722">
        <v>720</v>
      </c>
      <c r="B722" t="s">
        <v>277</v>
      </c>
      <c r="C722">
        <v>2023</v>
      </c>
      <c r="D722">
        <v>5346</v>
      </c>
      <c r="E722">
        <v>263</v>
      </c>
      <c r="F722">
        <v>2</v>
      </c>
      <c r="G722">
        <v>2</v>
      </c>
      <c r="H722">
        <v>22</v>
      </c>
      <c r="I722">
        <v>60</v>
      </c>
      <c r="J722">
        <v>522</v>
      </c>
      <c r="K722">
        <v>3</v>
      </c>
      <c r="L722">
        <v>15</v>
      </c>
      <c r="M722">
        <v>9</v>
      </c>
      <c r="N722">
        <v>99</v>
      </c>
      <c r="O722">
        <v>9</v>
      </c>
      <c r="P722">
        <v>3</v>
      </c>
      <c r="Q722">
        <v>99999</v>
      </c>
      <c r="R722" s="276">
        <v>0</v>
      </c>
      <c r="S722" s="7">
        <v>45383.489039351851</v>
      </c>
      <c r="AX722" s="7"/>
      <c r="AY722" s="7"/>
    </row>
    <row r="723" spans="1:51">
      <c r="A723">
        <v>721</v>
      </c>
      <c r="B723" t="s">
        <v>277</v>
      </c>
      <c r="C723">
        <v>2023</v>
      </c>
      <c r="D723">
        <v>5346</v>
      </c>
      <c r="E723">
        <v>263</v>
      </c>
      <c r="F723">
        <v>2</v>
      </c>
      <c r="G723">
        <v>2</v>
      </c>
      <c r="H723">
        <v>22</v>
      </c>
      <c r="I723">
        <v>60</v>
      </c>
      <c r="J723">
        <v>522</v>
      </c>
      <c r="K723">
        <v>1</v>
      </c>
      <c r="L723">
        <v>1</v>
      </c>
      <c r="M723">
        <v>9</v>
      </c>
      <c r="N723">
        <v>99</v>
      </c>
      <c r="O723">
        <v>9</v>
      </c>
      <c r="P723">
        <v>3</v>
      </c>
      <c r="Q723">
        <v>99999</v>
      </c>
      <c r="R723" s="276">
        <v>0</v>
      </c>
      <c r="S723" s="7">
        <v>45383.489039351851</v>
      </c>
      <c r="AX723" s="7"/>
      <c r="AY723" s="7"/>
    </row>
    <row r="724" spans="1:51">
      <c r="A724">
        <v>722</v>
      </c>
      <c r="B724" t="s">
        <v>277</v>
      </c>
      <c r="C724">
        <v>2023</v>
      </c>
      <c r="D724">
        <v>5346</v>
      </c>
      <c r="E724">
        <v>263</v>
      </c>
      <c r="F724">
        <v>2</v>
      </c>
      <c r="G724">
        <v>2</v>
      </c>
      <c r="H724">
        <v>22</v>
      </c>
      <c r="I724">
        <v>60</v>
      </c>
      <c r="J724">
        <v>522</v>
      </c>
      <c r="K724">
        <v>1</v>
      </c>
      <c r="L724">
        <v>1</v>
      </c>
      <c r="M724">
        <v>9</v>
      </c>
      <c r="N724">
        <v>99</v>
      </c>
      <c r="O724">
        <v>9</v>
      </c>
      <c r="P724">
        <v>3</v>
      </c>
      <c r="Q724">
        <v>99999</v>
      </c>
      <c r="R724" s="276">
        <v>0</v>
      </c>
      <c r="S724" s="7">
        <v>45383.489039351851</v>
      </c>
      <c r="AX724" s="7"/>
      <c r="AY724" s="7"/>
    </row>
    <row r="725" spans="1:51">
      <c r="A725">
        <v>723</v>
      </c>
      <c r="B725" t="s">
        <v>277</v>
      </c>
      <c r="C725">
        <v>2023</v>
      </c>
      <c r="D725">
        <v>5346</v>
      </c>
      <c r="E725">
        <v>263</v>
      </c>
      <c r="F725">
        <v>2</v>
      </c>
      <c r="G725">
        <v>2</v>
      </c>
      <c r="H725">
        <v>22</v>
      </c>
      <c r="I725">
        <v>60</v>
      </c>
      <c r="J725">
        <v>522</v>
      </c>
      <c r="K725">
        <v>1</v>
      </c>
      <c r="L725">
        <v>1</v>
      </c>
      <c r="M725">
        <v>9</v>
      </c>
      <c r="N725">
        <v>99</v>
      </c>
      <c r="O725">
        <v>9</v>
      </c>
      <c r="P725">
        <v>3</v>
      </c>
      <c r="Q725">
        <v>99999</v>
      </c>
      <c r="R725" s="276">
        <v>0</v>
      </c>
      <c r="S725" s="7">
        <v>45383.489039351851</v>
      </c>
      <c r="AX725" s="7"/>
      <c r="AY725" s="7"/>
    </row>
    <row r="726" spans="1:51">
      <c r="A726">
        <v>724</v>
      </c>
      <c r="B726" t="s">
        <v>277</v>
      </c>
      <c r="C726">
        <v>2023</v>
      </c>
      <c r="D726">
        <v>5346</v>
      </c>
      <c r="E726">
        <v>263</v>
      </c>
      <c r="F726">
        <v>2</v>
      </c>
      <c r="G726">
        <v>2</v>
      </c>
      <c r="H726">
        <v>22</v>
      </c>
      <c r="I726">
        <v>60</v>
      </c>
      <c r="J726">
        <v>522</v>
      </c>
      <c r="K726">
        <v>1</v>
      </c>
      <c r="L726">
        <v>1</v>
      </c>
      <c r="M726">
        <v>9</v>
      </c>
      <c r="N726">
        <v>99</v>
      </c>
      <c r="O726">
        <v>9</v>
      </c>
      <c r="P726">
        <v>3</v>
      </c>
      <c r="Q726">
        <v>99999</v>
      </c>
      <c r="R726" s="276">
        <v>0</v>
      </c>
      <c r="S726" s="7">
        <v>45383.489039351851</v>
      </c>
      <c r="AX726" s="7"/>
      <c r="AY726" s="7"/>
    </row>
    <row r="727" spans="1:51">
      <c r="A727">
        <v>725</v>
      </c>
      <c r="B727" t="s">
        <v>277</v>
      </c>
      <c r="C727">
        <v>2023</v>
      </c>
      <c r="D727">
        <v>5346</v>
      </c>
      <c r="E727">
        <v>263</v>
      </c>
      <c r="F727">
        <v>2</v>
      </c>
      <c r="G727">
        <v>2</v>
      </c>
      <c r="H727">
        <v>22</v>
      </c>
      <c r="I727">
        <v>60</v>
      </c>
      <c r="J727">
        <v>522</v>
      </c>
      <c r="K727">
        <v>2</v>
      </c>
      <c r="L727">
        <v>11</v>
      </c>
      <c r="M727">
        <v>9</v>
      </c>
      <c r="N727">
        <v>99</v>
      </c>
      <c r="O727">
        <v>9</v>
      </c>
      <c r="P727">
        <v>3</v>
      </c>
      <c r="Q727">
        <v>99999</v>
      </c>
      <c r="R727" s="276">
        <v>0</v>
      </c>
      <c r="S727" s="7">
        <v>45383.489039351851</v>
      </c>
      <c r="AX727" s="7"/>
      <c r="AY727" s="7"/>
    </row>
    <row r="728" spans="1:51">
      <c r="A728">
        <v>726</v>
      </c>
      <c r="B728" t="s">
        <v>277</v>
      </c>
      <c r="C728">
        <v>2023</v>
      </c>
      <c r="D728">
        <v>5346</v>
      </c>
      <c r="E728">
        <v>263</v>
      </c>
      <c r="F728">
        <v>2</v>
      </c>
      <c r="G728">
        <v>2</v>
      </c>
      <c r="H728">
        <v>22</v>
      </c>
      <c r="I728">
        <v>60</v>
      </c>
      <c r="J728">
        <v>522</v>
      </c>
      <c r="K728">
        <v>2</v>
      </c>
      <c r="L728">
        <v>9</v>
      </c>
      <c r="M728">
        <v>9</v>
      </c>
      <c r="N728">
        <v>99</v>
      </c>
      <c r="O728">
        <v>9</v>
      </c>
      <c r="P728">
        <v>3</v>
      </c>
      <c r="Q728">
        <v>99999</v>
      </c>
      <c r="R728" s="276">
        <v>0</v>
      </c>
      <c r="S728" s="7">
        <v>45383.489039351851</v>
      </c>
      <c r="AX728" s="7"/>
      <c r="AY728" s="7"/>
    </row>
    <row r="729" spans="1:51">
      <c r="A729">
        <v>727</v>
      </c>
      <c r="B729" t="s">
        <v>277</v>
      </c>
      <c r="C729">
        <v>2023</v>
      </c>
      <c r="D729">
        <v>5346</v>
      </c>
      <c r="E729">
        <v>263</v>
      </c>
      <c r="F729">
        <v>2</v>
      </c>
      <c r="G729">
        <v>2</v>
      </c>
      <c r="H729">
        <v>22</v>
      </c>
      <c r="I729">
        <v>60</v>
      </c>
      <c r="J729">
        <v>522</v>
      </c>
      <c r="K729">
        <v>2</v>
      </c>
      <c r="L729">
        <v>8</v>
      </c>
      <c r="M729">
        <v>9</v>
      </c>
      <c r="N729">
        <v>99</v>
      </c>
      <c r="O729">
        <v>9</v>
      </c>
      <c r="P729">
        <v>3</v>
      </c>
      <c r="Q729">
        <v>99999</v>
      </c>
      <c r="R729" s="276">
        <v>0</v>
      </c>
      <c r="S729" s="7">
        <v>45383.489039351851</v>
      </c>
      <c r="AX729" s="7"/>
      <c r="AY729" s="7"/>
    </row>
    <row r="730" spans="1:51">
      <c r="A730">
        <v>728</v>
      </c>
      <c r="B730" t="s">
        <v>277</v>
      </c>
      <c r="C730">
        <v>2023</v>
      </c>
      <c r="D730">
        <v>5346</v>
      </c>
      <c r="E730">
        <v>263</v>
      </c>
      <c r="F730">
        <v>2</v>
      </c>
      <c r="G730">
        <v>2</v>
      </c>
      <c r="H730">
        <v>22</v>
      </c>
      <c r="I730">
        <v>60</v>
      </c>
      <c r="J730">
        <v>522</v>
      </c>
      <c r="K730">
        <v>2</v>
      </c>
      <c r="L730">
        <v>10</v>
      </c>
      <c r="M730">
        <v>9</v>
      </c>
      <c r="N730">
        <v>99</v>
      </c>
      <c r="O730">
        <v>9</v>
      </c>
      <c r="P730">
        <v>3</v>
      </c>
      <c r="Q730">
        <v>99999</v>
      </c>
      <c r="R730" s="276">
        <v>0</v>
      </c>
      <c r="S730" s="7">
        <v>45383.489039351851</v>
      </c>
      <c r="AX730" s="7"/>
      <c r="AY730" s="7"/>
    </row>
    <row r="731" spans="1:51">
      <c r="A731">
        <v>729</v>
      </c>
      <c r="B731" t="s">
        <v>277</v>
      </c>
      <c r="C731">
        <v>2023</v>
      </c>
      <c r="D731">
        <v>5346</v>
      </c>
      <c r="E731">
        <v>263</v>
      </c>
      <c r="F731">
        <v>2</v>
      </c>
      <c r="G731">
        <v>2</v>
      </c>
      <c r="H731">
        <v>22</v>
      </c>
      <c r="I731">
        <v>60</v>
      </c>
      <c r="J731">
        <v>522</v>
      </c>
      <c r="K731">
        <v>2</v>
      </c>
      <c r="L731">
        <v>24</v>
      </c>
      <c r="M731">
        <v>9</v>
      </c>
      <c r="N731">
        <v>99</v>
      </c>
      <c r="O731">
        <v>9</v>
      </c>
      <c r="P731">
        <v>3</v>
      </c>
      <c r="Q731">
        <v>99999</v>
      </c>
      <c r="R731" s="276">
        <v>0</v>
      </c>
      <c r="S731" s="7">
        <v>45383.489039351851</v>
      </c>
      <c r="AX731" s="7"/>
      <c r="AY731" s="7"/>
    </row>
    <row r="732" spans="1:51">
      <c r="A732">
        <v>730</v>
      </c>
      <c r="B732" t="s">
        <v>277</v>
      </c>
      <c r="C732">
        <v>2023</v>
      </c>
      <c r="D732">
        <v>5346</v>
      </c>
      <c r="E732">
        <v>263</v>
      </c>
      <c r="F732">
        <v>2</v>
      </c>
      <c r="G732">
        <v>2</v>
      </c>
      <c r="H732">
        <v>22</v>
      </c>
      <c r="I732">
        <v>60</v>
      </c>
      <c r="J732">
        <v>522</v>
      </c>
      <c r="K732">
        <v>3</v>
      </c>
      <c r="L732">
        <v>18</v>
      </c>
      <c r="M732">
        <v>9</v>
      </c>
      <c r="N732">
        <v>99</v>
      </c>
      <c r="O732">
        <v>9</v>
      </c>
      <c r="P732">
        <v>3</v>
      </c>
      <c r="Q732">
        <v>99999</v>
      </c>
      <c r="R732" s="276">
        <v>0</v>
      </c>
      <c r="S732" s="7">
        <v>45383.489039351851</v>
      </c>
      <c r="AX732" s="7"/>
      <c r="AY732" s="7"/>
    </row>
    <row r="733" spans="1:51">
      <c r="A733">
        <v>731</v>
      </c>
      <c r="B733" t="s">
        <v>277</v>
      </c>
      <c r="C733">
        <v>2023</v>
      </c>
      <c r="D733">
        <v>5346</v>
      </c>
      <c r="E733">
        <v>263</v>
      </c>
      <c r="F733">
        <v>2</v>
      </c>
      <c r="G733">
        <v>2</v>
      </c>
      <c r="H733">
        <v>22</v>
      </c>
      <c r="I733">
        <v>60</v>
      </c>
      <c r="J733">
        <v>523</v>
      </c>
      <c r="K733">
        <v>2</v>
      </c>
      <c r="L733">
        <v>30</v>
      </c>
      <c r="M733">
        <v>9</v>
      </c>
      <c r="N733">
        <v>99</v>
      </c>
      <c r="O733">
        <v>9</v>
      </c>
      <c r="P733">
        <v>3</v>
      </c>
      <c r="Q733">
        <v>99999</v>
      </c>
      <c r="R733" s="276">
        <v>0</v>
      </c>
      <c r="S733" s="7">
        <v>45383.489039351851</v>
      </c>
      <c r="AX733" s="7"/>
      <c r="AY733" s="7"/>
    </row>
    <row r="734" spans="1:51">
      <c r="A734">
        <v>732</v>
      </c>
      <c r="B734" t="s">
        <v>277</v>
      </c>
      <c r="C734">
        <v>2023</v>
      </c>
      <c r="D734">
        <v>5346</v>
      </c>
      <c r="E734">
        <v>263</v>
      </c>
      <c r="F734">
        <v>2</v>
      </c>
      <c r="G734">
        <v>2</v>
      </c>
      <c r="H734">
        <v>22</v>
      </c>
      <c r="I734">
        <v>60</v>
      </c>
      <c r="J734">
        <v>524</v>
      </c>
      <c r="K734">
        <v>1</v>
      </c>
      <c r="L734">
        <v>7</v>
      </c>
      <c r="M734">
        <v>9</v>
      </c>
      <c r="N734">
        <v>99</v>
      </c>
      <c r="O734">
        <v>9</v>
      </c>
      <c r="P734">
        <v>3</v>
      </c>
      <c r="Q734">
        <v>99999</v>
      </c>
      <c r="R734" s="276">
        <v>0</v>
      </c>
      <c r="S734" s="7">
        <v>45383.489039351851</v>
      </c>
      <c r="AX734" s="7"/>
      <c r="AY734" s="7"/>
    </row>
    <row r="735" spans="1:51">
      <c r="A735">
        <v>733</v>
      </c>
      <c r="B735" t="s">
        <v>277</v>
      </c>
      <c r="C735">
        <v>2023</v>
      </c>
      <c r="D735">
        <v>5346</v>
      </c>
      <c r="E735">
        <v>263</v>
      </c>
      <c r="F735">
        <v>2</v>
      </c>
      <c r="G735">
        <v>2</v>
      </c>
      <c r="H735">
        <v>22</v>
      </c>
      <c r="I735">
        <v>60</v>
      </c>
      <c r="J735">
        <v>524</v>
      </c>
      <c r="K735">
        <v>2</v>
      </c>
      <c r="L735">
        <v>30</v>
      </c>
      <c r="M735">
        <v>9</v>
      </c>
      <c r="N735">
        <v>99</v>
      </c>
      <c r="O735">
        <v>9</v>
      </c>
      <c r="P735">
        <v>3</v>
      </c>
      <c r="Q735">
        <v>99999</v>
      </c>
      <c r="R735" s="276">
        <v>0</v>
      </c>
      <c r="S735" s="7">
        <v>45383.489039351851</v>
      </c>
      <c r="AX735" s="7"/>
      <c r="AY735" s="7"/>
    </row>
    <row r="736" spans="1:51">
      <c r="A736">
        <v>734</v>
      </c>
      <c r="B736" t="s">
        <v>277</v>
      </c>
      <c r="C736">
        <v>2023</v>
      </c>
      <c r="D736">
        <v>5346</v>
      </c>
      <c r="E736">
        <v>263</v>
      </c>
      <c r="F736">
        <v>2</v>
      </c>
      <c r="G736">
        <v>2</v>
      </c>
      <c r="H736">
        <v>22</v>
      </c>
      <c r="I736">
        <v>60</v>
      </c>
      <c r="J736">
        <v>525</v>
      </c>
      <c r="K736">
        <v>2</v>
      </c>
      <c r="L736">
        <v>30</v>
      </c>
      <c r="M736">
        <v>9</v>
      </c>
      <c r="N736">
        <v>99</v>
      </c>
      <c r="O736">
        <v>9</v>
      </c>
      <c r="P736">
        <v>3</v>
      </c>
      <c r="Q736">
        <v>99999</v>
      </c>
      <c r="R736" s="276">
        <v>-76.768250194452804</v>
      </c>
      <c r="S736" s="7">
        <v>45383.489039351851</v>
      </c>
      <c r="AX736" s="7"/>
      <c r="AY736" s="7"/>
    </row>
    <row r="737" spans="1:51">
      <c r="A737">
        <v>735</v>
      </c>
      <c r="B737" t="s">
        <v>277</v>
      </c>
      <c r="C737">
        <v>2023</v>
      </c>
      <c r="D737">
        <v>5346</v>
      </c>
      <c r="E737">
        <v>263</v>
      </c>
      <c r="F737">
        <v>2</v>
      </c>
      <c r="G737">
        <v>2</v>
      </c>
      <c r="H737">
        <v>22</v>
      </c>
      <c r="I737">
        <v>60</v>
      </c>
      <c r="J737">
        <v>526</v>
      </c>
      <c r="K737">
        <v>1</v>
      </c>
      <c r="L737">
        <v>7</v>
      </c>
      <c r="M737">
        <v>9</v>
      </c>
      <c r="N737">
        <v>99</v>
      </c>
      <c r="O737">
        <v>9</v>
      </c>
      <c r="P737">
        <v>3</v>
      </c>
      <c r="Q737">
        <v>99999</v>
      </c>
      <c r="R737" s="276">
        <v>158435.713047659</v>
      </c>
      <c r="S737" s="7">
        <v>45383.489039351851</v>
      </c>
      <c r="AX737" s="7"/>
      <c r="AY737" s="7"/>
    </row>
    <row r="738" spans="1:51">
      <c r="A738">
        <v>736</v>
      </c>
      <c r="B738" t="s">
        <v>277</v>
      </c>
      <c r="C738">
        <v>2023</v>
      </c>
      <c r="D738">
        <v>5346</v>
      </c>
      <c r="E738">
        <v>263</v>
      </c>
      <c r="F738">
        <v>2</v>
      </c>
      <c r="G738">
        <v>2</v>
      </c>
      <c r="H738">
        <v>22</v>
      </c>
      <c r="I738">
        <v>60</v>
      </c>
      <c r="J738">
        <v>526</v>
      </c>
      <c r="K738">
        <v>2</v>
      </c>
      <c r="L738">
        <v>11</v>
      </c>
      <c r="M738">
        <v>9</v>
      </c>
      <c r="N738">
        <v>99</v>
      </c>
      <c r="O738">
        <v>9</v>
      </c>
      <c r="P738">
        <v>3</v>
      </c>
      <c r="Q738">
        <v>99999</v>
      </c>
      <c r="R738" s="276">
        <v>309251.98770263902</v>
      </c>
      <c r="S738" s="7">
        <v>45383.489039351851</v>
      </c>
      <c r="AX738" s="7"/>
      <c r="AY738" s="7"/>
    </row>
    <row r="739" spans="1:51">
      <c r="A739">
        <v>737</v>
      </c>
      <c r="B739" t="s">
        <v>277</v>
      </c>
      <c r="C739">
        <v>2023</v>
      </c>
      <c r="D739">
        <v>5346</v>
      </c>
      <c r="E739">
        <v>263</v>
      </c>
      <c r="F739">
        <v>2</v>
      </c>
      <c r="G739">
        <v>2</v>
      </c>
      <c r="H739">
        <v>22</v>
      </c>
      <c r="I739">
        <v>60</v>
      </c>
      <c r="J739">
        <v>526</v>
      </c>
      <c r="K739">
        <v>2</v>
      </c>
      <c r="L739">
        <v>9</v>
      </c>
      <c r="M739">
        <v>9</v>
      </c>
      <c r="N739">
        <v>99</v>
      </c>
      <c r="O739">
        <v>9</v>
      </c>
      <c r="P739">
        <v>3</v>
      </c>
      <c r="Q739">
        <v>99999</v>
      </c>
      <c r="R739" s="276">
        <v>11365.081308320599</v>
      </c>
      <c r="S739" s="7">
        <v>45383.489039351851</v>
      </c>
      <c r="AX739" s="7"/>
      <c r="AY739" s="7"/>
    </row>
    <row r="740" spans="1:51">
      <c r="A740">
        <v>738</v>
      </c>
      <c r="B740" t="s">
        <v>277</v>
      </c>
      <c r="C740">
        <v>2023</v>
      </c>
      <c r="D740">
        <v>5346</v>
      </c>
      <c r="E740">
        <v>263</v>
      </c>
      <c r="F740">
        <v>2</v>
      </c>
      <c r="G740">
        <v>2</v>
      </c>
      <c r="H740">
        <v>22</v>
      </c>
      <c r="I740">
        <v>60</v>
      </c>
      <c r="J740">
        <v>526</v>
      </c>
      <c r="K740">
        <v>2</v>
      </c>
      <c r="L740">
        <v>8</v>
      </c>
      <c r="M740">
        <v>9</v>
      </c>
      <c r="N740">
        <v>99</v>
      </c>
      <c r="O740">
        <v>9</v>
      </c>
      <c r="P740">
        <v>3</v>
      </c>
      <c r="Q740">
        <v>99999</v>
      </c>
      <c r="R740" s="276">
        <v>45765.507487045899</v>
      </c>
      <c r="S740" s="7">
        <v>45383.489039351851</v>
      </c>
      <c r="AX740" s="7"/>
      <c r="AY740" s="7"/>
    </row>
    <row r="741" spans="1:51">
      <c r="A741">
        <v>739</v>
      </c>
      <c r="B741" t="s">
        <v>277</v>
      </c>
      <c r="C741">
        <v>2023</v>
      </c>
      <c r="D741">
        <v>5346</v>
      </c>
      <c r="E741">
        <v>263</v>
      </c>
      <c r="F741">
        <v>2</v>
      </c>
      <c r="G741">
        <v>2</v>
      </c>
      <c r="H741">
        <v>22</v>
      </c>
      <c r="I741">
        <v>60</v>
      </c>
      <c r="J741">
        <v>526</v>
      </c>
      <c r="K741">
        <v>2</v>
      </c>
      <c r="L741">
        <v>10</v>
      </c>
      <c r="M741">
        <v>9</v>
      </c>
      <c r="N741">
        <v>99</v>
      </c>
      <c r="O741">
        <v>9</v>
      </c>
      <c r="P741">
        <v>3</v>
      </c>
      <c r="Q741">
        <v>99999</v>
      </c>
      <c r="R741" s="276">
        <v>0</v>
      </c>
      <c r="S741" s="7">
        <v>45383.489039351851</v>
      </c>
      <c r="AX741" s="7"/>
      <c r="AY741" s="7"/>
    </row>
    <row r="742" spans="1:51">
      <c r="A742">
        <v>740</v>
      </c>
      <c r="B742" t="s">
        <v>277</v>
      </c>
      <c r="C742">
        <v>2023</v>
      </c>
      <c r="D742">
        <v>5346</v>
      </c>
      <c r="E742">
        <v>263</v>
      </c>
      <c r="F742">
        <v>2</v>
      </c>
      <c r="G742">
        <v>2</v>
      </c>
      <c r="H742">
        <v>22</v>
      </c>
      <c r="I742">
        <v>60</v>
      </c>
      <c r="J742">
        <v>526</v>
      </c>
      <c r="K742">
        <v>2</v>
      </c>
      <c r="L742">
        <v>24</v>
      </c>
      <c r="M742">
        <v>9</v>
      </c>
      <c r="N742">
        <v>99</v>
      </c>
      <c r="O742">
        <v>9</v>
      </c>
      <c r="P742">
        <v>3</v>
      </c>
      <c r="Q742">
        <v>99999</v>
      </c>
      <c r="R742" s="276">
        <v>0</v>
      </c>
      <c r="S742" s="7">
        <v>45383.489039351851</v>
      </c>
      <c r="AX742" s="7"/>
      <c r="AY742" s="7"/>
    </row>
    <row r="743" spans="1:51">
      <c r="A743">
        <v>741</v>
      </c>
      <c r="B743" t="s">
        <v>277</v>
      </c>
      <c r="C743">
        <v>2023</v>
      </c>
      <c r="D743">
        <v>5346</v>
      </c>
      <c r="E743">
        <v>263</v>
      </c>
      <c r="F743">
        <v>2</v>
      </c>
      <c r="G743">
        <v>2</v>
      </c>
      <c r="H743">
        <v>22</v>
      </c>
      <c r="I743">
        <v>60</v>
      </c>
      <c r="J743">
        <v>510</v>
      </c>
      <c r="K743">
        <v>4</v>
      </c>
      <c r="L743">
        <v>999</v>
      </c>
      <c r="M743">
        <v>9</v>
      </c>
      <c r="N743">
        <v>99</v>
      </c>
      <c r="O743">
        <v>9</v>
      </c>
      <c r="P743">
        <v>3</v>
      </c>
      <c r="Q743">
        <v>99999</v>
      </c>
      <c r="R743" s="276">
        <v>0</v>
      </c>
      <c r="S743" s="7">
        <v>45383.489039351851</v>
      </c>
      <c r="AX743" s="7"/>
      <c r="AY743" s="7"/>
    </row>
    <row r="744" spans="1:51">
      <c r="S744" s="7"/>
      <c r="AX744" s="7"/>
      <c r="AY744" s="7"/>
    </row>
    <row r="745" spans="1:51">
      <c r="S745" s="7"/>
      <c r="AX745" s="7"/>
      <c r="AY745" s="7"/>
    </row>
    <row r="746" spans="1:51">
      <c r="S746" s="7"/>
      <c r="AX746" s="7"/>
      <c r="AY746" s="7"/>
    </row>
    <row r="747" spans="1:51">
      <c r="S747" s="7"/>
      <c r="AX747" s="7"/>
      <c r="AY747" s="7"/>
    </row>
    <row r="748" spans="1:51">
      <c r="S748" s="7"/>
      <c r="AX748" s="7"/>
      <c r="AY748" s="7"/>
    </row>
    <row r="749" spans="1:51">
      <c r="S749" s="7"/>
      <c r="AX749" s="7"/>
      <c r="AY749" s="7"/>
    </row>
    <row r="750" spans="1:51">
      <c r="S750" s="7"/>
      <c r="AX750" s="7"/>
      <c r="AY750" s="7"/>
    </row>
    <row r="751" spans="1:51">
      <c r="S751" s="7"/>
      <c r="AX751" s="7"/>
      <c r="AY751" s="7"/>
    </row>
    <row r="752" spans="1:51">
      <c r="S752" s="7"/>
      <c r="AX752" s="7"/>
      <c r="AY752" s="7"/>
    </row>
    <row r="753" spans="19:51">
      <c r="S753" s="7"/>
      <c r="AX753" s="7"/>
      <c r="AY753" s="7"/>
    </row>
    <row r="754" spans="19:51">
      <c r="S754" s="7"/>
      <c r="AX754" s="7"/>
      <c r="AY754" s="7"/>
    </row>
    <row r="755" spans="19:51">
      <c r="S755" s="7"/>
      <c r="AX755" s="7"/>
      <c r="AY755" s="7"/>
    </row>
    <row r="756" spans="19:51">
      <c r="S756" s="7"/>
      <c r="AX756" s="7"/>
      <c r="AY756" s="7"/>
    </row>
    <row r="757" spans="19:51">
      <c r="S757" s="7"/>
      <c r="AX757" s="7"/>
      <c r="AY757" s="7"/>
    </row>
    <row r="758" spans="19:51">
      <c r="S758" s="7"/>
      <c r="AX758" s="7"/>
      <c r="AY758" s="7"/>
    </row>
    <row r="759" spans="19:51">
      <c r="S759" s="7"/>
      <c r="AX759" s="7"/>
      <c r="AY759" s="7"/>
    </row>
    <row r="760" spans="19:51">
      <c r="S760" s="7"/>
      <c r="AX760" s="7"/>
      <c r="AY760" s="7"/>
    </row>
    <row r="761" spans="19:51">
      <c r="S761" s="7"/>
      <c r="AX761" s="7"/>
      <c r="AY761" s="7"/>
    </row>
    <row r="762" spans="19:51">
      <c r="S762" s="7"/>
      <c r="AX762" s="7"/>
      <c r="AY762" s="7"/>
    </row>
    <row r="763" spans="19:51">
      <c r="S763" s="7"/>
      <c r="AX763" s="7"/>
      <c r="AY763" s="7"/>
    </row>
    <row r="764" spans="19:51">
      <c r="S764" s="7"/>
      <c r="AX764" s="7"/>
      <c r="AY764" s="7"/>
    </row>
    <row r="765" spans="19:51">
      <c r="S765" s="7"/>
      <c r="AX765" s="7"/>
      <c r="AY765" s="7"/>
    </row>
    <row r="766" spans="19:51">
      <c r="S766" s="7"/>
      <c r="AX766" s="7"/>
      <c r="AY766" s="7"/>
    </row>
    <row r="767" spans="19:51">
      <c r="S767" s="7"/>
      <c r="AX767" s="7"/>
      <c r="AY767" s="7"/>
    </row>
    <row r="768" spans="19:51">
      <c r="S768" s="7"/>
      <c r="AX768" s="7"/>
      <c r="AY768" s="7"/>
    </row>
    <row r="769" spans="19:51">
      <c r="S769" s="7"/>
      <c r="AX769" s="7"/>
      <c r="AY769" s="7"/>
    </row>
    <row r="770" spans="19:51">
      <c r="S770" s="7"/>
      <c r="AX770" s="7"/>
      <c r="AY770" s="7"/>
    </row>
    <row r="771" spans="19:51">
      <c r="S771" s="7"/>
      <c r="AX771" s="7"/>
      <c r="AY771" s="7"/>
    </row>
    <row r="772" spans="19:51">
      <c r="S772" s="7"/>
      <c r="AX772" s="7"/>
      <c r="AY772" s="7"/>
    </row>
    <row r="773" spans="19:51">
      <c r="S773" s="7"/>
      <c r="AX773" s="7"/>
      <c r="AY773" s="7"/>
    </row>
    <row r="774" spans="19:51">
      <c r="S774" s="7"/>
      <c r="AX774" s="7"/>
      <c r="AY774" s="7"/>
    </row>
    <row r="775" spans="19:51">
      <c r="S775" s="7"/>
      <c r="AX775" s="7"/>
      <c r="AY775" s="7"/>
    </row>
    <row r="776" spans="19:51">
      <c r="S776" s="7"/>
      <c r="AX776" s="7"/>
      <c r="AY776" s="7"/>
    </row>
    <row r="777" spans="19:51">
      <c r="S777" s="7"/>
      <c r="AX777" s="7"/>
      <c r="AY777" s="7"/>
    </row>
    <row r="778" spans="19:51">
      <c r="S778" s="7"/>
      <c r="AX778" s="7"/>
      <c r="AY778" s="7"/>
    </row>
    <row r="779" spans="19:51">
      <c r="S779" s="7"/>
      <c r="AX779" s="7"/>
      <c r="AY779" s="7"/>
    </row>
    <row r="780" spans="19:51">
      <c r="S780" s="7"/>
      <c r="AX780" s="7"/>
      <c r="AY780" s="7"/>
    </row>
    <row r="781" spans="19:51">
      <c r="S781" s="7"/>
      <c r="AX781" s="7"/>
      <c r="AY781" s="7"/>
    </row>
    <row r="782" spans="19:51">
      <c r="S782" s="7"/>
      <c r="AX782" s="7"/>
      <c r="AY782" s="7"/>
    </row>
    <row r="783" spans="19:51">
      <c r="S783" s="7"/>
      <c r="AX783" s="7"/>
      <c r="AY783" s="7"/>
    </row>
    <row r="784" spans="19:51">
      <c r="S784" s="7"/>
      <c r="AX784" s="7"/>
      <c r="AY784" s="7"/>
    </row>
    <row r="785" spans="19:51">
      <c r="S785" s="7"/>
      <c r="AX785" s="7"/>
      <c r="AY785" s="7"/>
    </row>
    <row r="786" spans="19:51">
      <c r="S786" s="7"/>
      <c r="AX786" s="7"/>
      <c r="AY786" s="7"/>
    </row>
    <row r="787" spans="19:51">
      <c r="S787" s="7"/>
      <c r="AX787" s="7"/>
      <c r="AY787" s="7"/>
    </row>
    <row r="788" spans="19:51">
      <c r="S788" s="7"/>
      <c r="AX788" s="7"/>
      <c r="AY788" s="7"/>
    </row>
    <row r="789" spans="19:51">
      <c r="S789" s="7"/>
      <c r="AX789" s="7"/>
      <c r="AY789" s="7"/>
    </row>
    <row r="790" spans="19:51">
      <c r="S790" s="7"/>
      <c r="AX790" s="7"/>
      <c r="AY790" s="7"/>
    </row>
    <row r="791" spans="19:51">
      <c r="S791" s="7"/>
      <c r="AX791" s="7"/>
      <c r="AY791" s="7"/>
    </row>
    <row r="792" spans="19:51">
      <c r="S792" s="7"/>
      <c r="AX792" s="7"/>
      <c r="AY792" s="7"/>
    </row>
    <row r="793" spans="19:51">
      <c r="S793" s="7"/>
      <c r="AX793" s="7"/>
      <c r="AY793" s="7"/>
    </row>
    <row r="794" spans="19:51">
      <c r="S794" s="7"/>
      <c r="AX794" s="7"/>
      <c r="AY794" s="7"/>
    </row>
    <row r="795" spans="19:51">
      <c r="S795" s="7"/>
      <c r="AX795" s="7"/>
      <c r="AY795" s="7"/>
    </row>
    <row r="796" spans="19:51">
      <c r="S796" s="7"/>
      <c r="AX796" s="7"/>
      <c r="AY796" s="7"/>
    </row>
    <row r="797" spans="19:51">
      <c r="S797" s="7"/>
      <c r="AX797" s="7"/>
      <c r="AY797" s="7"/>
    </row>
    <row r="798" spans="19:51">
      <c r="S798" s="7"/>
      <c r="AX798" s="7"/>
      <c r="AY798" s="7"/>
    </row>
    <row r="799" spans="19:51">
      <c r="S799" s="7"/>
      <c r="AX799" s="7"/>
      <c r="AY799" s="7"/>
    </row>
    <row r="800" spans="19:51">
      <c r="S800" s="7"/>
      <c r="AX800" s="7"/>
      <c r="AY800" s="7"/>
    </row>
    <row r="801" spans="19:51">
      <c r="S801" s="7"/>
      <c r="AX801" s="7"/>
      <c r="AY801" s="7"/>
    </row>
    <row r="802" spans="19:51">
      <c r="S802" s="7"/>
      <c r="AX802" s="7"/>
      <c r="AY802" s="7"/>
    </row>
    <row r="803" spans="19:51">
      <c r="S803" s="7"/>
      <c r="AX803" s="7"/>
      <c r="AY803" s="7"/>
    </row>
    <row r="804" spans="19:51">
      <c r="S804" s="7"/>
      <c r="AX804" s="7"/>
      <c r="AY804" s="7"/>
    </row>
    <row r="805" spans="19:51">
      <c r="S805" s="7"/>
      <c r="AX805" s="7"/>
      <c r="AY805" s="7"/>
    </row>
    <row r="806" spans="19:51">
      <c r="S806" s="7"/>
      <c r="AX806" s="7"/>
      <c r="AY806" s="7"/>
    </row>
    <row r="807" spans="19:51">
      <c r="S807" s="7"/>
      <c r="AX807" s="7"/>
      <c r="AY807" s="7"/>
    </row>
    <row r="808" spans="19:51">
      <c r="S808" s="7"/>
      <c r="AX808" s="7"/>
      <c r="AY808" s="7"/>
    </row>
    <row r="809" spans="19:51">
      <c r="S809" s="7"/>
      <c r="AX809" s="7"/>
      <c r="AY809" s="7"/>
    </row>
    <row r="810" spans="19:51">
      <c r="S810" s="7"/>
      <c r="AX810" s="7"/>
      <c r="AY810" s="7"/>
    </row>
    <row r="811" spans="19:51">
      <c r="S811" s="7"/>
      <c r="AX811" s="7"/>
      <c r="AY811" s="7"/>
    </row>
    <row r="812" spans="19:51">
      <c r="S812" s="7"/>
      <c r="AX812" s="7"/>
      <c r="AY812" s="7"/>
    </row>
    <row r="813" spans="19:51">
      <c r="S813" s="7"/>
      <c r="AX813" s="7"/>
      <c r="AY813" s="7"/>
    </row>
    <row r="814" spans="19:51">
      <c r="S814" s="7"/>
      <c r="AX814" s="7"/>
      <c r="AY814" s="7"/>
    </row>
    <row r="815" spans="19:51">
      <c r="S815" s="7"/>
      <c r="AX815" s="7"/>
      <c r="AY815" s="7"/>
    </row>
    <row r="816" spans="19:51">
      <c r="S816" s="7"/>
      <c r="AX816" s="7"/>
      <c r="AY816" s="7"/>
    </row>
    <row r="817" spans="19:51">
      <c r="S817" s="7"/>
      <c r="AX817" s="7"/>
      <c r="AY817" s="7"/>
    </row>
    <row r="818" spans="19:51">
      <c r="S818" s="7"/>
      <c r="AX818" s="7"/>
      <c r="AY818" s="7"/>
    </row>
    <row r="819" spans="19:51">
      <c r="S819" s="7"/>
      <c r="AX819" s="7"/>
      <c r="AY819" s="7"/>
    </row>
    <row r="820" spans="19:51">
      <c r="S820" s="7"/>
      <c r="AX820" s="7"/>
      <c r="AY820" s="7"/>
    </row>
    <row r="821" spans="19:51">
      <c r="S821" s="7"/>
      <c r="AX821" s="7"/>
      <c r="AY821" s="7"/>
    </row>
    <row r="822" spans="19:51">
      <c r="S822" s="7"/>
      <c r="AX822" s="7"/>
      <c r="AY822" s="7"/>
    </row>
    <row r="823" spans="19:51">
      <c r="S823" s="7"/>
      <c r="AX823" s="7"/>
      <c r="AY823" s="7"/>
    </row>
    <row r="824" spans="19:51">
      <c r="S824" s="7"/>
      <c r="AX824" s="7"/>
      <c r="AY824" s="7"/>
    </row>
    <row r="825" spans="19:51">
      <c r="S825" s="7"/>
      <c r="AX825" s="7"/>
      <c r="AY825" s="7"/>
    </row>
    <row r="826" spans="19:51">
      <c r="S826" s="7"/>
      <c r="AX826" s="7"/>
      <c r="AY826" s="7"/>
    </row>
    <row r="827" spans="19:51">
      <c r="S827" s="7"/>
      <c r="AX827" s="7"/>
      <c r="AY827" s="7"/>
    </row>
    <row r="828" spans="19:51">
      <c r="S828" s="7"/>
      <c r="AX828" s="7"/>
      <c r="AY828" s="7"/>
    </row>
    <row r="829" spans="19:51">
      <c r="S829" s="7"/>
      <c r="AX829" s="7"/>
      <c r="AY829" s="7"/>
    </row>
    <row r="830" spans="19:51">
      <c r="S830" s="7"/>
      <c r="AX830" s="7"/>
      <c r="AY830" s="7"/>
    </row>
    <row r="831" spans="19:51">
      <c r="S831" s="7"/>
      <c r="AX831" s="7"/>
      <c r="AY831" s="7"/>
    </row>
    <row r="832" spans="19:51">
      <c r="S832" s="7"/>
      <c r="AX832" s="7"/>
      <c r="AY832" s="7"/>
    </row>
    <row r="833" spans="19:51">
      <c r="S833" s="7"/>
      <c r="AX833" s="7"/>
      <c r="AY833" s="7"/>
    </row>
    <row r="834" spans="19:51">
      <c r="S834" s="7"/>
      <c r="AX834" s="7"/>
      <c r="AY834" s="7"/>
    </row>
    <row r="835" spans="19:51">
      <c r="S835" s="7"/>
      <c r="AX835" s="7"/>
      <c r="AY835" s="7"/>
    </row>
    <row r="836" spans="19:51">
      <c r="S836" s="7"/>
      <c r="AX836" s="7"/>
      <c r="AY836" s="7"/>
    </row>
    <row r="837" spans="19:51">
      <c r="S837" s="7"/>
      <c r="AX837" s="7"/>
      <c r="AY837" s="7"/>
    </row>
    <row r="838" spans="19:51">
      <c r="S838" s="7"/>
      <c r="AX838" s="7"/>
      <c r="AY838" s="7"/>
    </row>
    <row r="839" spans="19:51">
      <c r="S839" s="7"/>
      <c r="AX839" s="7"/>
      <c r="AY839" s="7"/>
    </row>
    <row r="840" spans="19:51">
      <c r="S840" s="7"/>
      <c r="AX840" s="7"/>
      <c r="AY840" s="7"/>
    </row>
    <row r="841" spans="19:51">
      <c r="S841" s="7"/>
      <c r="AX841" s="7"/>
      <c r="AY841" s="7"/>
    </row>
    <row r="842" spans="19:51">
      <c r="S842" s="7"/>
      <c r="AX842" s="7"/>
      <c r="AY842" s="7"/>
    </row>
    <row r="843" spans="19:51">
      <c r="S843" s="7"/>
      <c r="AX843" s="7"/>
      <c r="AY843" s="7"/>
    </row>
    <row r="844" spans="19:51">
      <c r="S844" s="7"/>
      <c r="AX844" s="7"/>
      <c r="AY844" s="7"/>
    </row>
    <row r="845" spans="19:51">
      <c r="S845" s="7"/>
      <c r="AX845" s="7"/>
      <c r="AY845" s="7"/>
    </row>
    <row r="846" spans="19:51">
      <c r="S846" s="7"/>
      <c r="AX846" s="7"/>
      <c r="AY846" s="7"/>
    </row>
    <row r="847" spans="19:51">
      <c r="S847" s="7"/>
      <c r="AX847" s="7"/>
      <c r="AY847" s="7"/>
    </row>
    <row r="848" spans="19:51">
      <c r="S848" s="7"/>
      <c r="AX848" s="7"/>
      <c r="AY848" s="7"/>
    </row>
    <row r="849" spans="19:51">
      <c r="S849" s="7"/>
      <c r="AX849" s="7"/>
      <c r="AY849" s="7"/>
    </row>
    <row r="850" spans="19:51">
      <c r="S850" s="7"/>
      <c r="AX850" s="7"/>
      <c r="AY850" s="7"/>
    </row>
    <row r="851" spans="19:51">
      <c r="S851" s="7"/>
      <c r="AX851" s="7"/>
      <c r="AY851" s="7"/>
    </row>
    <row r="852" spans="19:51">
      <c r="S852" s="7"/>
      <c r="AX852" s="7"/>
      <c r="AY852" s="7"/>
    </row>
    <row r="853" spans="19:51">
      <c r="S853" s="7"/>
      <c r="AX853" s="7"/>
      <c r="AY853" s="7"/>
    </row>
    <row r="854" spans="19:51">
      <c r="S854" s="7"/>
      <c r="AX854" s="7"/>
      <c r="AY854" s="7"/>
    </row>
    <row r="855" spans="19:51">
      <c r="S855" s="7"/>
      <c r="AX855" s="7"/>
      <c r="AY855" s="7"/>
    </row>
    <row r="856" spans="19:51">
      <c r="S856" s="7"/>
      <c r="AX856" s="7"/>
      <c r="AY856" s="7"/>
    </row>
    <row r="857" spans="19:51">
      <c r="S857" s="7"/>
      <c r="AX857" s="7"/>
      <c r="AY857" s="7"/>
    </row>
    <row r="858" spans="19:51">
      <c r="S858" s="7"/>
      <c r="AX858" s="7"/>
      <c r="AY858" s="7"/>
    </row>
    <row r="859" spans="19:51">
      <c r="S859" s="7"/>
      <c r="AX859" s="7"/>
      <c r="AY859" s="7"/>
    </row>
    <row r="860" spans="19:51">
      <c r="S860" s="7"/>
      <c r="AX860" s="7"/>
      <c r="AY860" s="7"/>
    </row>
    <row r="861" spans="19:51">
      <c r="S861" s="7"/>
      <c r="AX861" s="7"/>
      <c r="AY861" s="7"/>
    </row>
    <row r="862" spans="19:51">
      <c r="S862" s="7"/>
      <c r="AX862" s="7"/>
      <c r="AY862" s="7"/>
    </row>
    <row r="863" spans="19:51">
      <c r="S863" s="7"/>
      <c r="AX863" s="7"/>
      <c r="AY863" s="7"/>
    </row>
    <row r="864" spans="19:51">
      <c r="S864" s="7"/>
      <c r="AX864" s="7"/>
      <c r="AY864" s="7"/>
    </row>
    <row r="865" spans="19:51">
      <c r="S865" s="7"/>
      <c r="AX865" s="7"/>
      <c r="AY865" s="7"/>
    </row>
    <row r="866" spans="19:51">
      <c r="S866" s="7"/>
      <c r="AX866" s="7"/>
      <c r="AY866" s="7"/>
    </row>
    <row r="867" spans="19:51">
      <c r="S867" s="7"/>
      <c r="AX867" s="7"/>
      <c r="AY867" s="7"/>
    </row>
    <row r="868" spans="19:51">
      <c r="S868" s="7"/>
      <c r="AX868" s="7"/>
      <c r="AY868" s="7"/>
    </row>
    <row r="869" spans="19:51">
      <c r="S869" s="7"/>
      <c r="AX869" s="7"/>
      <c r="AY869" s="7"/>
    </row>
    <row r="870" spans="19:51">
      <c r="S870" s="7"/>
      <c r="AX870" s="7"/>
      <c r="AY870" s="7"/>
    </row>
    <row r="871" spans="19:51">
      <c r="S871" s="7"/>
      <c r="AX871" s="7"/>
      <c r="AY871" s="7"/>
    </row>
    <row r="872" spans="19:51">
      <c r="S872" s="7"/>
      <c r="AX872" s="7"/>
      <c r="AY872" s="7"/>
    </row>
    <row r="873" spans="19:51">
      <c r="S873" s="7"/>
      <c r="AX873" s="7"/>
      <c r="AY873" s="7"/>
    </row>
    <row r="874" spans="19:51">
      <c r="S874" s="7"/>
      <c r="AX874" s="7"/>
      <c r="AY874" s="7"/>
    </row>
    <row r="875" spans="19:51">
      <c r="S875" s="7"/>
      <c r="AX875" s="7"/>
      <c r="AY875" s="7"/>
    </row>
    <row r="876" spans="19:51">
      <c r="S876" s="7"/>
      <c r="AX876" s="7"/>
      <c r="AY876" s="7"/>
    </row>
    <row r="877" spans="19:51">
      <c r="S877" s="7"/>
      <c r="AX877" s="7"/>
      <c r="AY877" s="7"/>
    </row>
    <row r="878" spans="19:51">
      <c r="S878" s="7"/>
      <c r="AX878" s="7"/>
      <c r="AY878" s="7"/>
    </row>
    <row r="879" spans="19:51">
      <c r="S879" s="7"/>
      <c r="AX879" s="7"/>
      <c r="AY879" s="7"/>
    </row>
    <row r="880" spans="19:51">
      <c r="S880" s="7"/>
      <c r="AX880" s="7"/>
      <c r="AY880" s="7"/>
    </row>
    <row r="881" spans="19:51">
      <c r="S881" s="7"/>
      <c r="AX881" s="7"/>
      <c r="AY881" s="7"/>
    </row>
    <row r="882" spans="19:51">
      <c r="S882" s="7"/>
      <c r="AX882" s="7"/>
      <c r="AY882" s="7"/>
    </row>
    <row r="883" spans="19:51">
      <c r="S883" s="7"/>
      <c r="AX883" s="7"/>
      <c r="AY883" s="7"/>
    </row>
    <row r="884" spans="19:51">
      <c r="S884" s="7"/>
      <c r="AX884" s="7"/>
      <c r="AY884" s="7"/>
    </row>
    <row r="885" spans="19:51">
      <c r="S885" s="7"/>
      <c r="AX885" s="7"/>
      <c r="AY885" s="7"/>
    </row>
    <row r="886" spans="19:51">
      <c r="S886" s="7"/>
      <c r="AX886" s="7"/>
      <c r="AY886" s="7"/>
    </row>
    <row r="887" spans="19:51">
      <c r="S887" s="7"/>
      <c r="AX887" s="7"/>
      <c r="AY887" s="7"/>
    </row>
    <row r="888" spans="19:51">
      <c r="S888" s="7"/>
      <c r="AX888" s="7"/>
      <c r="AY888" s="7"/>
    </row>
    <row r="889" spans="19:51">
      <c r="S889" s="7"/>
      <c r="AX889" s="7"/>
      <c r="AY889" s="7"/>
    </row>
    <row r="890" spans="19:51">
      <c r="S890" s="7"/>
      <c r="AX890" s="7"/>
      <c r="AY890" s="7"/>
    </row>
    <row r="891" spans="19:51">
      <c r="S891" s="7"/>
      <c r="AX891" s="7"/>
      <c r="AY891" s="7"/>
    </row>
    <row r="892" spans="19:51">
      <c r="S892" s="7"/>
      <c r="AX892" s="7"/>
      <c r="AY892" s="7"/>
    </row>
    <row r="893" spans="19:51">
      <c r="S893" s="7"/>
      <c r="AX893" s="7"/>
      <c r="AY893" s="7"/>
    </row>
    <row r="894" spans="19:51">
      <c r="S894" s="7"/>
      <c r="AX894" s="7"/>
      <c r="AY894" s="7"/>
    </row>
    <row r="895" spans="19:51">
      <c r="S895" s="7"/>
      <c r="AX895" s="7"/>
      <c r="AY895" s="7"/>
    </row>
    <row r="896" spans="19:51">
      <c r="S896" s="7"/>
      <c r="AX896" s="7"/>
      <c r="AY896" s="7"/>
    </row>
    <row r="897" spans="19:51">
      <c r="S897" s="7"/>
      <c r="AX897" s="7"/>
      <c r="AY897" s="7"/>
    </row>
    <row r="898" spans="19:51">
      <c r="S898" s="7"/>
      <c r="AX898" s="7"/>
      <c r="AY898" s="7"/>
    </row>
    <row r="899" spans="19:51">
      <c r="S899" s="7"/>
      <c r="AX899" s="7"/>
      <c r="AY899" s="7"/>
    </row>
    <row r="900" spans="19:51">
      <c r="S900" s="7"/>
      <c r="AX900" s="7"/>
      <c r="AY900" s="7"/>
    </row>
    <row r="901" spans="19:51">
      <c r="S901" s="7"/>
      <c r="AX901" s="7"/>
      <c r="AY901" s="7"/>
    </row>
    <row r="902" spans="19:51">
      <c r="S902" s="7"/>
      <c r="AX902" s="7"/>
      <c r="AY902" s="7"/>
    </row>
    <row r="903" spans="19:51">
      <c r="S903" s="7"/>
      <c r="AX903" s="7"/>
      <c r="AY903" s="7"/>
    </row>
    <row r="904" spans="19:51">
      <c r="S904" s="7"/>
      <c r="AX904" s="7"/>
      <c r="AY904" s="7"/>
    </row>
    <row r="905" spans="19:51">
      <c r="S905" s="7"/>
      <c r="AX905" s="7"/>
      <c r="AY905" s="7"/>
    </row>
    <row r="906" spans="19:51">
      <c r="S906" s="7"/>
      <c r="AX906" s="7"/>
      <c r="AY906" s="7"/>
    </row>
    <row r="907" spans="19:51">
      <c r="S907" s="7"/>
      <c r="AX907" s="7"/>
      <c r="AY907" s="7"/>
    </row>
    <row r="908" spans="19:51">
      <c r="S908" s="7"/>
      <c r="AX908" s="7"/>
      <c r="AY908" s="7"/>
    </row>
    <row r="909" spans="19:51">
      <c r="S909" s="7"/>
      <c r="AX909" s="7"/>
      <c r="AY909" s="7"/>
    </row>
    <row r="910" spans="19:51">
      <c r="S910" s="7"/>
      <c r="AX910" s="7"/>
      <c r="AY910" s="7"/>
    </row>
    <row r="911" spans="19:51">
      <c r="S911" s="7"/>
      <c r="AX911" s="7"/>
      <c r="AY911" s="7"/>
    </row>
    <row r="912" spans="19:51">
      <c r="S912" s="7"/>
      <c r="AX912" s="7"/>
      <c r="AY912" s="7"/>
    </row>
    <row r="913" spans="19:51">
      <c r="S913" s="7"/>
      <c r="AX913" s="7"/>
      <c r="AY913" s="7"/>
    </row>
    <row r="914" spans="19:51">
      <c r="S914" s="7"/>
      <c r="AX914" s="7"/>
      <c r="AY914" s="7"/>
    </row>
    <row r="915" spans="19:51">
      <c r="S915" s="7"/>
      <c r="AX915" s="7"/>
      <c r="AY915" s="7"/>
    </row>
    <row r="916" spans="19:51">
      <c r="S916" s="7"/>
      <c r="AX916" s="7"/>
      <c r="AY916" s="7"/>
    </row>
    <row r="917" spans="19:51">
      <c r="S917" s="7"/>
      <c r="AX917" s="7"/>
      <c r="AY917" s="7"/>
    </row>
    <row r="918" spans="19:51">
      <c r="S918" s="7"/>
      <c r="AX918" s="7"/>
      <c r="AY918" s="7"/>
    </row>
    <row r="919" spans="19:51">
      <c r="S919" s="7"/>
      <c r="AX919" s="7"/>
      <c r="AY919" s="7"/>
    </row>
    <row r="920" spans="19:51">
      <c r="S920" s="7"/>
      <c r="AX920" s="7"/>
      <c r="AY920" s="7"/>
    </row>
    <row r="921" spans="19:51">
      <c r="S921" s="7"/>
      <c r="AX921" s="7"/>
      <c r="AY921" s="7"/>
    </row>
    <row r="922" spans="19:51">
      <c r="S922" s="7"/>
      <c r="AX922" s="7"/>
      <c r="AY922" s="7"/>
    </row>
    <row r="923" spans="19:51">
      <c r="S923" s="7"/>
      <c r="AX923" s="7"/>
      <c r="AY923" s="7"/>
    </row>
    <row r="924" spans="19:51">
      <c r="S924" s="7"/>
      <c r="AX924" s="7"/>
      <c r="AY924" s="7"/>
    </row>
    <row r="925" spans="19:51">
      <c r="S925" s="7"/>
      <c r="AX925" s="7"/>
      <c r="AY925" s="7"/>
    </row>
    <row r="926" spans="19:51">
      <c r="S926" s="7"/>
      <c r="AX926" s="7"/>
      <c r="AY926" s="7"/>
    </row>
    <row r="927" spans="19:51">
      <c r="S927" s="7"/>
      <c r="AX927" s="7"/>
      <c r="AY927" s="7"/>
    </row>
    <row r="928" spans="19:51">
      <c r="S928" s="7"/>
      <c r="AX928" s="7"/>
      <c r="AY928" s="7"/>
    </row>
    <row r="929" spans="19:51">
      <c r="S929" s="7"/>
      <c r="AX929" s="7"/>
      <c r="AY929" s="7"/>
    </row>
    <row r="930" spans="19:51">
      <c r="S930" s="7"/>
      <c r="AX930" s="7"/>
      <c r="AY930" s="7"/>
    </row>
    <row r="931" spans="19:51">
      <c r="S931" s="7"/>
      <c r="AX931" s="7"/>
      <c r="AY931" s="7"/>
    </row>
    <row r="932" spans="19:51">
      <c r="S932" s="7"/>
      <c r="AX932" s="7"/>
      <c r="AY932" s="7"/>
    </row>
    <row r="933" spans="19:51">
      <c r="S933" s="7"/>
      <c r="AX933" s="7"/>
      <c r="AY933" s="7"/>
    </row>
    <row r="934" spans="19:51">
      <c r="S934" s="7"/>
      <c r="AX934" s="7"/>
      <c r="AY934" s="7"/>
    </row>
    <row r="935" spans="19:51">
      <c r="S935" s="7"/>
      <c r="AX935" s="7"/>
      <c r="AY935" s="7"/>
    </row>
    <row r="936" spans="19:51">
      <c r="S936" s="7"/>
      <c r="AX936" s="7"/>
      <c r="AY936" s="7"/>
    </row>
    <row r="937" spans="19:51">
      <c r="S937" s="7"/>
      <c r="AX937" s="7"/>
      <c r="AY937" s="7"/>
    </row>
    <row r="938" spans="19:51">
      <c r="S938" s="7"/>
      <c r="AX938" s="7"/>
      <c r="AY938" s="7"/>
    </row>
    <row r="939" spans="19:51">
      <c r="S939" s="7"/>
      <c r="AX939" s="7"/>
      <c r="AY939" s="7"/>
    </row>
    <row r="940" spans="19:51">
      <c r="S940" s="7"/>
      <c r="AX940" s="7"/>
      <c r="AY940" s="7"/>
    </row>
    <row r="941" spans="19:51">
      <c r="S941" s="7"/>
      <c r="AX941" s="7"/>
      <c r="AY941" s="7"/>
    </row>
    <row r="942" spans="19:51">
      <c r="S942" s="7"/>
      <c r="AX942" s="7"/>
      <c r="AY942" s="7"/>
    </row>
    <row r="943" spans="19:51">
      <c r="S943" s="7"/>
      <c r="AX943" s="7"/>
      <c r="AY943" s="7"/>
    </row>
    <row r="944" spans="19:51">
      <c r="S944" s="7"/>
      <c r="AX944" s="7"/>
      <c r="AY944" s="7"/>
    </row>
    <row r="945" spans="19:51">
      <c r="S945" s="7"/>
      <c r="AX945" s="7"/>
      <c r="AY945" s="7"/>
    </row>
    <row r="946" spans="19:51">
      <c r="S946" s="7"/>
      <c r="AX946" s="7"/>
      <c r="AY946" s="7"/>
    </row>
    <row r="947" spans="19:51">
      <c r="S947" s="7"/>
      <c r="AX947" s="7"/>
      <c r="AY947" s="7"/>
    </row>
    <row r="948" spans="19:51">
      <c r="S948" s="7"/>
      <c r="AX948" s="7"/>
      <c r="AY948" s="7"/>
    </row>
    <row r="949" spans="19:51">
      <c r="S949" s="7"/>
      <c r="AX949" s="7"/>
      <c r="AY949" s="7"/>
    </row>
    <row r="950" spans="19:51">
      <c r="S950" s="7"/>
      <c r="AX950" s="7"/>
      <c r="AY950" s="7"/>
    </row>
    <row r="951" spans="19:51">
      <c r="S951" s="7"/>
      <c r="AX951" s="7"/>
      <c r="AY951" s="7"/>
    </row>
    <row r="952" spans="19:51">
      <c r="S952" s="7"/>
      <c r="AX952" s="7"/>
      <c r="AY952" s="7"/>
    </row>
    <row r="953" spans="19:51">
      <c r="S953" s="7"/>
      <c r="AX953" s="7"/>
      <c r="AY953" s="7"/>
    </row>
    <row r="954" spans="19:51">
      <c r="S954" s="7"/>
      <c r="AX954" s="7"/>
      <c r="AY954" s="7"/>
    </row>
    <row r="955" spans="19:51">
      <c r="S955" s="7"/>
      <c r="AX955" s="7"/>
      <c r="AY955" s="7"/>
    </row>
    <row r="956" spans="19:51">
      <c r="S956" s="7"/>
      <c r="AX956" s="7"/>
      <c r="AY956" s="7"/>
    </row>
    <row r="957" spans="19:51">
      <c r="S957" s="7"/>
      <c r="AX957" s="7"/>
      <c r="AY957" s="7"/>
    </row>
    <row r="958" spans="19:51">
      <c r="S958" s="7"/>
      <c r="AX958" s="7"/>
      <c r="AY958" s="7"/>
    </row>
    <row r="959" spans="19:51">
      <c r="S959" s="7"/>
      <c r="AX959" s="7"/>
      <c r="AY959" s="7"/>
    </row>
    <row r="960" spans="19:51">
      <c r="S960" s="7"/>
      <c r="AX960" s="7"/>
      <c r="AY960" s="7"/>
    </row>
    <row r="961" spans="19:51">
      <c r="S961" s="7"/>
      <c r="AX961" s="7"/>
      <c r="AY961" s="7"/>
    </row>
    <row r="962" spans="19:51">
      <c r="S962" s="7"/>
      <c r="AX962" s="7"/>
      <c r="AY962" s="7"/>
    </row>
    <row r="963" spans="19:51">
      <c r="S963" s="7"/>
      <c r="AX963" s="7"/>
      <c r="AY963" s="7"/>
    </row>
    <row r="964" spans="19:51">
      <c r="S964" s="7"/>
      <c r="AX964" s="7"/>
      <c r="AY964" s="7"/>
    </row>
    <row r="965" spans="19:51">
      <c r="S965" s="7"/>
      <c r="AX965" s="7"/>
      <c r="AY965" s="7"/>
    </row>
    <row r="966" spans="19:51">
      <c r="S966" s="7"/>
      <c r="AX966" s="7"/>
      <c r="AY966" s="7"/>
    </row>
    <row r="967" spans="19:51">
      <c r="S967" s="7"/>
      <c r="AX967" s="7"/>
      <c r="AY967" s="7"/>
    </row>
    <row r="968" spans="19:51">
      <c r="S968" s="7"/>
      <c r="AX968" s="7"/>
      <c r="AY968" s="7"/>
    </row>
    <row r="969" spans="19:51">
      <c r="S969" s="7"/>
      <c r="AX969" s="7"/>
      <c r="AY969" s="7"/>
    </row>
    <row r="970" spans="19:51">
      <c r="S970" s="7"/>
      <c r="AX970" s="7"/>
      <c r="AY970" s="7"/>
    </row>
    <row r="971" spans="19:51">
      <c r="S971" s="7"/>
      <c r="AX971" s="7"/>
      <c r="AY971" s="7"/>
    </row>
    <row r="972" spans="19:51">
      <c r="S972" s="7"/>
      <c r="AX972" s="7"/>
      <c r="AY972" s="7"/>
    </row>
    <row r="973" spans="19:51">
      <c r="S973" s="7"/>
      <c r="AX973" s="7"/>
      <c r="AY973" s="7"/>
    </row>
    <row r="974" spans="19:51">
      <c r="S974" s="7"/>
      <c r="AX974" s="7"/>
      <c r="AY974" s="7"/>
    </row>
    <row r="975" spans="19:51">
      <c r="S975" s="7"/>
      <c r="AX975" s="7"/>
      <c r="AY975" s="7"/>
    </row>
    <row r="976" spans="19:51">
      <c r="S976" s="7"/>
      <c r="AX976" s="7"/>
      <c r="AY976" s="7"/>
    </row>
    <row r="977" spans="19:51">
      <c r="S977" s="7"/>
      <c r="AX977" s="7"/>
      <c r="AY977" s="7"/>
    </row>
    <row r="978" spans="19:51">
      <c r="S978" s="7"/>
      <c r="AX978" s="7"/>
      <c r="AY978" s="7"/>
    </row>
    <row r="979" spans="19:51">
      <c r="S979" s="7"/>
      <c r="AX979" s="7"/>
      <c r="AY979" s="7"/>
    </row>
    <row r="980" spans="19:51">
      <c r="S980" s="7"/>
      <c r="AX980" s="7"/>
      <c r="AY980" s="7"/>
    </row>
    <row r="981" spans="19:51">
      <c r="S981" s="7"/>
      <c r="AX981" s="7"/>
      <c r="AY981" s="7"/>
    </row>
    <row r="982" spans="19:51">
      <c r="S982" s="7"/>
      <c r="AX982" s="7"/>
      <c r="AY982" s="7"/>
    </row>
    <row r="983" spans="19:51">
      <c r="S983" s="7"/>
      <c r="AX983" s="7"/>
      <c r="AY983" s="7"/>
    </row>
    <row r="984" spans="19:51">
      <c r="S984" s="7"/>
      <c r="AX984" s="7"/>
      <c r="AY984" s="7"/>
    </row>
    <row r="985" spans="19:51">
      <c r="S985" s="7"/>
      <c r="AX985" s="7"/>
      <c r="AY985" s="7"/>
    </row>
    <row r="986" spans="19:51">
      <c r="S986" s="7"/>
      <c r="AX986" s="7"/>
      <c r="AY986" s="7"/>
    </row>
    <row r="987" spans="19:51">
      <c r="S987" s="7"/>
      <c r="AX987" s="7"/>
      <c r="AY987" s="7"/>
    </row>
    <row r="988" spans="19:51">
      <c r="S988" s="7"/>
      <c r="AX988" s="7"/>
      <c r="AY988" s="7"/>
    </row>
    <row r="989" spans="19:51">
      <c r="S989" s="7"/>
      <c r="AX989" s="7"/>
      <c r="AY989" s="7"/>
    </row>
    <row r="990" spans="19:51">
      <c r="S990" s="7"/>
      <c r="AX990" s="7"/>
      <c r="AY990" s="7"/>
    </row>
    <row r="991" spans="19:51">
      <c r="S991" s="7"/>
      <c r="AX991" s="7"/>
      <c r="AY991" s="7"/>
    </row>
    <row r="992" spans="19:51">
      <c r="S992" s="7"/>
      <c r="AX992" s="7"/>
      <c r="AY992" s="7"/>
    </row>
    <row r="993" spans="19:51">
      <c r="S993" s="7"/>
      <c r="AX993" s="7"/>
      <c r="AY993" s="7"/>
    </row>
    <row r="994" spans="19:51">
      <c r="S994" s="7"/>
      <c r="AX994" s="7"/>
      <c r="AY994" s="7"/>
    </row>
    <row r="995" spans="19:51">
      <c r="S995" s="7"/>
      <c r="AX995" s="7"/>
      <c r="AY995" s="7"/>
    </row>
    <row r="996" spans="19:51">
      <c r="S996" s="7"/>
      <c r="AX996" s="7"/>
      <c r="AY996" s="7"/>
    </row>
    <row r="997" spans="19:51">
      <c r="S997" s="7"/>
      <c r="AX997" s="7"/>
      <c r="AY997" s="7"/>
    </row>
    <row r="998" spans="19:51">
      <c r="S998" s="7"/>
      <c r="AX998" s="7"/>
      <c r="AY998" s="7"/>
    </row>
    <row r="999" spans="19:51">
      <c r="S999" s="7"/>
      <c r="AX999" s="7"/>
      <c r="AY999" s="7"/>
    </row>
    <row r="1000" spans="19:51">
      <c r="S1000" s="7"/>
      <c r="AX1000" s="7"/>
      <c r="AY1000" s="7"/>
    </row>
    <row r="1001" spans="19:51">
      <c r="S1001" s="7"/>
      <c r="AX1001" s="7"/>
      <c r="AY1001" s="7"/>
    </row>
    <row r="1002" spans="19:51">
      <c r="S1002" s="7"/>
      <c r="AX1002" s="7"/>
      <c r="AY1002" s="7"/>
    </row>
    <row r="1003" spans="19:51">
      <c r="S1003" s="7"/>
      <c r="AX1003" s="7"/>
      <c r="AY1003" s="7"/>
    </row>
    <row r="1004" spans="19:51">
      <c r="S1004" s="7"/>
      <c r="AX1004" s="7"/>
      <c r="AY1004" s="7"/>
    </row>
    <row r="1005" spans="19:51">
      <c r="S1005" s="7"/>
      <c r="AX1005" s="7"/>
      <c r="AY1005" s="7"/>
    </row>
    <row r="1006" spans="19:51">
      <c r="S1006" s="7"/>
      <c r="AX1006" s="7"/>
      <c r="AY1006" s="7"/>
    </row>
    <row r="1007" spans="19:51">
      <c r="S1007" s="7"/>
      <c r="AX1007" s="7"/>
      <c r="AY1007" s="7"/>
    </row>
    <row r="1008" spans="19:51">
      <c r="S1008" s="7"/>
      <c r="AX1008" s="7"/>
      <c r="AY1008" s="7"/>
    </row>
    <row r="1009" spans="19:51">
      <c r="S1009" s="7"/>
      <c r="AX1009" s="7"/>
      <c r="AY1009" s="7"/>
    </row>
    <row r="1010" spans="19:51">
      <c r="S1010" s="7"/>
      <c r="AX1010" s="7"/>
      <c r="AY1010" s="7"/>
    </row>
    <row r="1011" spans="19:51">
      <c r="S1011" s="7"/>
      <c r="AX1011" s="7"/>
      <c r="AY1011" s="7"/>
    </row>
    <row r="1012" spans="19:51">
      <c r="S1012" s="7"/>
      <c r="AX1012" s="7"/>
      <c r="AY1012" s="7"/>
    </row>
    <row r="1013" spans="19:51">
      <c r="S1013" s="7"/>
      <c r="AX1013" s="7"/>
      <c r="AY1013" s="7"/>
    </row>
    <row r="1014" spans="19:51">
      <c r="S1014" s="7"/>
      <c r="AX1014" s="7"/>
      <c r="AY1014" s="7"/>
    </row>
    <row r="1015" spans="19:51">
      <c r="S1015" s="7"/>
      <c r="AX1015" s="7"/>
      <c r="AY1015" s="7"/>
    </row>
    <row r="1016" spans="19:51">
      <c r="S1016" s="7"/>
      <c r="AX1016" s="7"/>
      <c r="AY1016" s="7"/>
    </row>
    <row r="1017" spans="19:51">
      <c r="S1017" s="7"/>
      <c r="AX1017" s="7"/>
      <c r="AY1017" s="7"/>
    </row>
    <row r="1018" spans="19:51">
      <c r="S1018" s="7"/>
      <c r="AX1018" s="7"/>
      <c r="AY1018" s="7"/>
    </row>
    <row r="1019" spans="19:51">
      <c r="S1019" s="7"/>
      <c r="AX1019" s="7"/>
      <c r="AY1019" s="7"/>
    </row>
    <row r="1020" spans="19:51">
      <c r="S1020" s="7"/>
      <c r="AX1020" s="7"/>
      <c r="AY1020" s="7"/>
    </row>
    <row r="1021" spans="19:51">
      <c r="S1021" s="7"/>
      <c r="AX1021" s="7"/>
      <c r="AY1021" s="7"/>
    </row>
    <row r="1022" spans="19:51">
      <c r="S1022" s="7"/>
      <c r="AX1022" s="7"/>
      <c r="AY1022" s="7"/>
    </row>
    <row r="1023" spans="19:51">
      <c r="S1023" s="7"/>
      <c r="AX1023" s="7"/>
      <c r="AY1023" s="7"/>
    </row>
    <row r="1024" spans="19:51">
      <c r="S1024" s="7"/>
      <c r="AX1024" s="7"/>
      <c r="AY1024" s="7"/>
    </row>
    <row r="1025" spans="19:51">
      <c r="S1025" s="7"/>
      <c r="AX1025" s="7"/>
      <c r="AY1025" s="7"/>
    </row>
    <row r="1026" spans="19:51">
      <c r="S1026" s="7"/>
      <c r="AX1026" s="7"/>
      <c r="AY1026" s="7"/>
    </row>
    <row r="1027" spans="19:51">
      <c r="S1027" s="7"/>
      <c r="AX1027" s="7"/>
      <c r="AY1027" s="7"/>
    </row>
    <row r="1028" spans="19:51">
      <c r="S1028" s="7"/>
      <c r="AX1028" s="7"/>
      <c r="AY1028" s="7"/>
    </row>
    <row r="1029" spans="19:51">
      <c r="S1029" s="7"/>
      <c r="AX1029" s="7"/>
      <c r="AY1029" s="7"/>
    </row>
    <row r="1030" spans="19:51">
      <c r="S1030" s="7"/>
      <c r="AX1030" s="7"/>
      <c r="AY1030" s="7"/>
    </row>
    <row r="1031" spans="19:51">
      <c r="S1031" s="7"/>
      <c r="AX1031" s="7"/>
      <c r="AY1031" s="7"/>
    </row>
    <row r="1032" spans="19:51">
      <c r="S1032" s="7"/>
      <c r="AX1032" s="7"/>
      <c r="AY1032" s="7"/>
    </row>
    <row r="1033" spans="19:51">
      <c r="S1033" s="7"/>
      <c r="AX1033" s="7"/>
      <c r="AY1033" s="7"/>
    </row>
    <row r="1034" spans="19:51">
      <c r="S1034" s="7"/>
      <c r="AX1034" s="7"/>
      <c r="AY1034" s="7"/>
    </row>
    <row r="1035" spans="19:51">
      <c r="S1035" s="7"/>
      <c r="AX1035" s="7"/>
      <c r="AY1035" s="7"/>
    </row>
    <row r="1036" spans="19:51">
      <c r="S1036" s="7"/>
      <c r="AX1036" s="7"/>
      <c r="AY1036" s="7"/>
    </row>
    <row r="1037" spans="19:51">
      <c r="S1037" s="7"/>
      <c r="AX1037" s="7"/>
      <c r="AY1037" s="7"/>
    </row>
    <row r="1038" spans="19:51">
      <c r="S1038" s="7"/>
      <c r="AX1038" s="7"/>
      <c r="AY1038" s="7"/>
    </row>
    <row r="1039" spans="19:51">
      <c r="S1039" s="7"/>
      <c r="AX1039" s="7"/>
      <c r="AY1039" s="7"/>
    </row>
    <row r="1040" spans="19:51">
      <c r="S1040" s="7"/>
      <c r="AX1040" s="7"/>
      <c r="AY1040" s="7"/>
    </row>
    <row r="1041" spans="19:51">
      <c r="S1041" s="7"/>
      <c r="AX1041" s="7"/>
      <c r="AY1041" s="7"/>
    </row>
    <row r="1042" spans="19:51">
      <c r="S1042" s="7"/>
      <c r="AX1042" s="7"/>
      <c r="AY1042" s="7"/>
    </row>
    <row r="1043" spans="19:51">
      <c r="S1043" s="7"/>
      <c r="AX1043" s="7"/>
      <c r="AY1043" s="7"/>
    </row>
    <row r="1044" spans="19:51">
      <c r="S1044" s="7"/>
      <c r="AX1044" s="7"/>
      <c r="AY1044" s="7"/>
    </row>
    <row r="1045" spans="19:51">
      <c r="S1045" s="7"/>
      <c r="AX1045" s="7"/>
      <c r="AY1045" s="7"/>
    </row>
    <row r="1046" spans="19:51">
      <c r="S1046" s="7"/>
      <c r="AX1046" s="7"/>
      <c r="AY1046" s="7"/>
    </row>
    <row r="1047" spans="19:51">
      <c r="S1047" s="7"/>
      <c r="AX1047" s="7"/>
      <c r="AY1047" s="7"/>
    </row>
    <row r="1048" spans="19:51">
      <c r="S1048" s="7"/>
      <c r="AX1048" s="7"/>
      <c r="AY1048" s="7"/>
    </row>
    <row r="1049" spans="19:51">
      <c r="S1049" s="7"/>
      <c r="AX1049" s="7"/>
      <c r="AY1049" s="7"/>
    </row>
    <row r="1050" spans="19:51">
      <c r="S1050" s="7"/>
      <c r="AX1050" s="7"/>
      <c r="AY1050" s="7"/>
    </row>
    <row r="1051" spans="19:51">
      <c r="S1051" s="7"/>
      <c r="AX1051" s="7"/>
      <c r="AY1051" s="7"/>
    </row>
    <row r="1052" spans="19:51">
      <c r="S1052" s="7"/>
      <c r="AX1052" s="7"/>
      <c r="AY1052" s="7"/>
    </row>
    <row r="1053" spans="19:51">
      <c r="S1053" s="7"/>
      <c r="AX1053" s="7"/>
      <c r="AY1053" s="7"/>
    </row>
    <row r="1054" spans="19:51">
      <c r="S1054" s="7"/>
      <c r="AX1054" s="7"/>
      <c r="AY1054" s="7"/>
    </row>
    <row r="1055" spans="19:51">
      <c r="S1055" s="7"/>
      <c r="AX1055" s="7"/>
      <c r="AY1055" s="7"/>
    </row>
    <row r="1056" spans="19:51">
      <c r="S1056" s="7"/>
      <c r="AX1056" s="7"/>
      <c r="AY1056" s="7"/>
    </row>
    <row r="1057" spans="19:51">
      <c r="S1057" s="7"/>
      <c r="AX1057" s="7"/>
      <c r="AY1057" s="7"/>
    </row>
    <row r="1058" spans="19:51">
      <c r="S1058" s="7"/>
      <c r="AX1058" s="7"/>
      <c r="AY1058" s="7"/>
    </row>
    <row r="1059" spans="19:51">
      <c r="S1059" s="7"/>
      <c r="AX1059" s="7"/>
      <c r="AY1059" s="7"/>
    </row>
    <row r="1060" spans="19:51">
      <c r="S1060" s="7"/>
      <c r="AX1060" s="7"/>
      <c r="AY1060" s="7"/>
    </row>
    <row r="1061" spans="19:51">
      <c r="S1061" s="7"/>
      <c r="AX1061" s="7"/>
      <c r="AY1061" s="7"/>
    </row>
    <row r="1062" spans="19:51">
      <c r="S1062" s="7"/>
      <c r="AX1062" s="7"/>
      <c r="AY1062" s="7"/>
    </row>
    <row r="1063" spans="19:51">
      <c r="S1063" s="7"/>
      <c r="AX1063" s="7"/>
      <c r="AY1063" s="7"/>
    </row>
    <row r="1064" spans="19:51">
      <c r="S1064" s="7"/>
      <c r="AX1064" s="7"/>
      <c r="AY1064" s="7"/>
    </row>
    <row r="1065" spans="19:51">
      <c r="S1065" s="7"/>
      <c r="AX1065" s="7"/>
      <c r="AY1065" s="7"/>
    </row>
    <row r="1066" spans="19:51">
      <c r="S1066" s="7"/>
      <c r="AX1066" s="7"/>
      <c r="AY1066" s="7"/>
    </row>
    <row r="1067" spans="19:51">
      <c r="S1067" s="7"/>
      <c r="AX1067" s="7"/>
      <c r="AY1067" s="7"/>
    </row>
    <row r="1068" spans="19:51">
      <c r="S1068" s="7"/>
      <c r="AX1068" s="7"/>
      <c r="AY1068" s="7"/>
    </row>
    <row r="1069" spans="19:51">
      <c r="S1069" s="7"/>
      <c r="AX1069" s="7"/>
      <c r="AY1069" s="7"/>
    </row>
    <row r="1070" spans="19:51">
      <c r="S1070" s="7"/>
      <c r="AX1070" s="7"/>
      <c r="AY1070" s="7"/>
    </row>
    <row r="1071" spans="19:51">
      <c r="S1071" s="7"/>
      <c r="AX1071" s="7"/>
      <c r="AY1071" s="7"/>
    </row>
    <row r="1072" spans="19:51">
      <c r="S1072" s="7"/>
      <c r="AX1072" s="7"/>
      <c r="AY1072" s="7"/>
    </row>
    <row r="1073" spans="19:51">
      <c r="S1073" s="7"/>
      <c r="AX1073" s="7"/>
      <c r="AY1073" s="7"/>
    </row>
    <row r="1074" spans="19:51">
      <c r="S1074" s="7"/>
      <c r="AX1074" s="7"/>
      <c r="AY1074" s="7"/>
    </row>
    <row r="1075" spans="19:51">
      <c r="S1075" s="7"/>
      <c r="AX1075" s="7"/>
      <c r="AY1075" s="7"/>
    </row>
    <row r="1076" spans="19:51">
      <c r="S1076" s="7"/>
      <c r="AX1076" s="7"/>
      <c r="AY1076" s="7"/>
    </row>
    <row r="1077" spans="19:51">
      <c r="S1077" s="7"/>
      <c r="AX1077" s="7"/>
      <c r="AY1077" s="7"/>
    </row>
    <row r="1078" spans="19:51">
      <c r="S1078" s="7"/>
      <c r="AX1078" s="7"/>
      <c r="AY1078" s="7"/>
    </row>
    <row r="1079" spans="19:51">
      <c r="S1079" s="7"/>
      <c r="AX1079" s="7"/>
      <c r="AY1079" s="7"/>
    </row>
    <row r="1080" spans="19:51">
      <c r="S1080" s="7"/>
      <c r="AX1080" s="7"/>
      <c r="AY1080" s="7"/>
    </row>
    <row r="1081" spans="19:51">
      <c r="S1081" s="7"/>
      <c r="AX1081" s="7"/>
      <c r="AY1081" s="7"/>
    </row>
    <row r="1082" spans="19:51">
      <c r="S1082" s="7"/>
      <c r="AX1082" s="7"/>
      <c r="AY1082" s="7"/>
    </row>
    <row r="1083" spans="19:51">
      <c r="S1083" s="7"/>
      <c r="AX1083" s="7"/>
      <c r="AY1083" s="7"/>
    </row>
    <row r="1084" spans="19:51">
      <c r="S1084" s="7"/>
      <c r="AX1084" s="7"/>
      <c r="AY1084" s="7"/>
    </row>
    <row r="1085" spans="19:51">
      <c r="S1085" s="7"/>
      <c r="AX1085" s="7"/>
      <c r="AY1085" s="7"/>
    </row>
    <row r="1086" spans="19:51">
      <c r="S1086" s="7"/>
      <c r="AX1086" s="7"/>
      <c r="AY1086" s="7"/>
    </row>
    <row r="1087" spans="19:51">
      <c r="S1087" s="7"/>
      <c r="AX1087" s="7"/>
      <c r="AY1087" s="7"/>
    </row>
    <row r="1088" spans="19:51">
      <c r="S1088" s="7"/>
      <c r="AX1088" s="7"/>
      <c r="AY1088" s="7"/>
    </row>
    <row r="1089" spans="19:51">
      <c r="S1089" s="7"/>
      <c r="AX1089" s="7"/>
      <c r="AY1089" s="7"/>
    </row>
    <row r="1090" spans="19:51">
      <c r="S1090" s="7"/>
      <c r="AX1090" s="7"/>
      <c r="AY1090" s="7"/>
    </row>
    <row r="1091" spans="19:51">
      <c r="S1091" s="7"/>
      <c r="AX1091" s="7"/>
      <c r="AY1091" s="7"/>
    </row>
    <row r="1092" spans="19:51">
      <c r="S1092" s="7"/>
      <c r="AX1092" s="7"/>
      <c r="AY1092" s="7"/>
    </row>
    <row r="1093" spans="19:51">
      <c r="S1093" s="7"/>
      <c r="AX1093" s="7"/>
      <c r="AY1093" s="7"/>
    </row>
    <row r="1094" spans="19:51">
      <c r="S1094" s="7"/>
      <c r="AX1094" s="7"/>
      <c r="AY1094" s="7"/>
    </row>
    <row r="1095" spans="19:51">
      <c r="S1095" s="7"/>
      <c r="AX1095" s="7"/>
      <c r="AY1095" s="7"/>
    </row>
    <row r="1096" spans="19:51">
      <c r="S1096" s="7"/>
      <c r="AX1096" s="7"/>
      <c r="AY1096" s="7"/>
    </row>
    <row r="1097" spans="19:51">
      <c r="S1097" s="7"/>
      <c r="AX1097" s="7"/>
      <c r="AY1097" s="7"/>
    </row>
    <row r="1098" spans="19:51">
      <c r="S1098" s="7"/>
      <c r="AX1098" s="7"/>
      <c r="AY1098" s="7"/>
    </row>
    <row r="1099" spans="19:51">
      <c r="S1099" s="7"/>
      <c r="AX1099" s="7"/>
      <c r="AY1099" s="7"/>
    </row>
    <row r="1100" spans="19:51">
      <c r="S1100" s="7"/>
      <c r="AX1100" s="7"/>
      <c r="AY1100" s="7"/>
    </row>
    <row r="1101" spans="19:51">
      <c r="S1101" s="7"/>
      <c r="AX1101" s="7"/>
      <c r="AY1101" s="7"/>
    </row>
    <row r="1102" spans="19:51">
      <c r="S1102" s="7"/>
      <c r="AX1102" s="7"/>
      <c r="AY1102" s="7"/>
    </row>
    <row r="1103" spans="19:51">
      <c r="S1103" s="7"/>
      <c r="AX1103" s="7"/>
      <c r="AY1103" s="7"/>
    </row>
    <row r="1104" spans="19:51">
      <c r="S1104" s="7"/>
      <c r="AX1104" s="7"/>
      <c r="AY1104" s="7"/>
    </row>
    <row r="1105" spans="19:51">
      <c r="S1105" s="7"/>
      <c r="AX1105" s="7"/>
      <c r="AY1105" s="7"/>
    </row>
    <row r="1106" spans="19:51">
      <c r="S1106" s="7"/>
      <c r="AX1106" s="7"/>
      <c r="AY1106" s="7"/>
    </row>
    <row r="1107" spans="19:51">
      <c r="S1107" s="7"/>
      <c r="AX1107" s="7"/>
      <c r="AY1107" s="7"/>
    </row>
    <row r="1108" spans="19:51">
      <c r="S1108" s="7"/>
      <c r="AX1108" s="7"/>
      <c r="AY1108" s="7"/>
    </row>
    <row r="1109" spans="19:51">
      <c r="S1109" s="7"/>
      <c r="AX1109" s="7"/>
      <c r="AY1109" s="7"/>
    </row>
    <row r="1110" spans="19:51">
      <c r="S1110" s="7"/>
      <c r="AX1110" s="7"/>
      <c r="AY1110" s="7"/>
    </row>
    <row r="1111" spans="19:51">
      <c r="S1111" s="7"/>
      <c r="AX1111" s="7"/>
      <c r="AY1111" s="7"/>
    </row>
    <row r="1112" spans="19:51">
      <c r="S1112" s="7"/>
      <c r="AX1112" s="7"/>
      <c r="AY1112" s="7"/>
    </row>
    <row r="1113" spans="19:51">
      <c r="S1113" s="7"/>
      <c r="AX1113" s="7"/>
      <c r="AY1113" s="7"/>
    </row>
    <row r="1114" spans="19:51">
      <c r="S1114" s="7"/>
      <c r="AX1114" s="7"/>
      <c r="AY1114" s="7"/>
    </row>
    <row r="1115" spans="19:51">
      <c r="S1115" s="7"/>
      <c r="AX1115" s="7"/>
      <c r="AY1115" s="7"/>
    </row>
    <row r="1116" spans="19:51">
      <c r="S1116" s="7"/>
      <c r="AX1116" s="7"/>
      <c r="AY1116" s="7"/>
    </row>
    <row r="1117" spans="19:51">
      <c r="S1117" s="7"/>
      <c r="AX1117" s="7"/>
      <c r="AY1117" s="7"/>
    </row>
    <row r="1118" spans="19:51">
      <c r="S1118" s="7"/>
      <c r="AX1118" s="7"/>
      <c r="AY1118" s="7"/>
    </row>
    <row r="1119" spans="19:51">
      <c r="S1119" s="7"/>
      <c r="AX1119" s="7"/>
      <c r="AY1119" s="7"/>
    </row>
    <row r="1120" spans="19:51">
      <c r="S1120" s="7"/>
      <c r="AX1120" s="7"/>
      <c r="AY1120" s="7"/>
    </row>
    <row r="1121" spans="19:51">
      <c r="S1121" s="7"/>
      <c r="AX1121" s="7"/>
      <c r="AY1121" s="7"/>
    </row>
    <row r="1122" spans="19:51">
      <c r="S1122" s="7"/>
      <c r="AX1122" s="7"/>
      <c r="AY1122" s="7"/>
    </row>
    <row r="1123" spans="19:51">
      <c r="S1123" s="7"/>
      <c r="AX1123" s="7"/>
      <c r="AY1123" s="7"/>
    </row>
    <row r="1124" spans="19:51">
      <c r="S1124" s="7"/>
      <c r="AX1124" s="7"/>
      <c r="AY1124" s="7"/>
    </row>
    <row r="1125" spans="19:51">
      <c r="S1125" s="7"/>
      <c r="AX1125" s="7"/>
      <c r="AY1125" s="7"/>
    </row>
    <row r="1126" spans="19:51">
      <c r="S1126" s="7"/>
      <c r="AX1126" s="7"/>
      <c r="AY1126" s="7"/>
    </row>
    <row r="1127" spans="19:51">
      <c r="S1127" s="7"/>
      <c r="AX1127" s="7"/>
      <c r="AY1127" s="7"/>
    </row>
    <row r="1128" spans="19:51">
      <c r="S1128" s="7"/>
      <c r="AX1128" s="7"/>
      <c r="AY1128" s="7"/>
    </row>
    <row r="1129" spans="19:51">
      <c r="S1129" s="7"/>
      <c r="AX1129" s="7"/>
      <c r="AY1129" s="7"/>
    </row>
    <row r="1130" spans="19:51">
      <c r="S1130" s="7"/>
      <c r="AX1130" s="7"/>
      <c r="AY1130" s="7"/>
    </row>
    <row r="1131" spans="19:51">
      <c r="S1131" s="7"/>
      <c r="AX1131" s="7"/>
      <c r="AY1131" s="7"/>
    </row>
    <row r="1132" spans="19:51">
      <c r="S1132" s="7"/>
      <c r="AX1132" s="7"/>
      <c r="AY1132" s="7"/>
    </row>
    <row r="1133" spans="19:51">
      <c r="S1133" s="7"/>
      <c r="AX1133" s="7"/>
      <c r="AY1133" s="7"/>
    </row>
    <row r="1134" spans="19:51">
      <c r="S1134" s="7"/>
      <c r="AX1134" s="7"/>
      <c r="AY1134" s="7"/>
    </row>
    <row r="1135" spans="19:51">
      <c r="S1135" s="7"/>
      <c r="AX1135" s="7"/>
      <c r="AY1135" s="7"/>
    </row>
    <row r="1136" spans="19:51">
      <c r="S1136" s="7"/>
      <c r="AX1136" s="7"/>
      <c r="AY1136" s="7"/>
    </row>
    <row r="1137" spans="19:51">
      <c r="S1137" s="7"/>
      <c r="AX1137" s="7"/>
      <c r="AY1137" s="7"/>
    </row>
    <row r="1138" spans="19:51">
      <c r="S1138" s="7"/>
      <c r="AX1138" s="7"/>
      <c r="AY1138" s="7"/>
    </row>
    <row r="1139" spans="19:51">
      <c r="S1139" s="7"/>
      <c r="AX1139" s="7"/>
      <c r="AY1139" s="7"/>
    </row>
    <row r="1140" spans="19:51">
      <c r="S1140" s="7"/>
      <c r="AX1140" s="7"/>
      <c r="AY1140" s="7"/>
    </row>
    <row r="1141" spans="19:51">
      <c r="S1141" s="7"/>
      <c r="AX1141" s="7"/>
      <c r="AY1141" s="7"/>
    </row>
    <row r="1142" spans="19:51">
      <c r="S1142" s="7"/>
      <c r="AX1142" s="7"/>
      <c r="AY1142" s="7"/>
    </row>
    <row r="1143" spans="19:51">
      <c r="S1143" s="7"/>
      <c r="AX1143" s="7"/>
      <c r="AY1143" s="7"/>
    </row>
    <row r="1144" spans="19:51">
      <c r="S1144" s="7"/>
      <c r="AX1144" s="7"/>
      <c r="AY1144" s="7"/>
    </row>
    <row r="1145" spans="19:51">
      <c r="S1145" s="7"/>
      <c r="AX1145" s="7"/>
      <c r="AY1145" s="7"/>
    </row>
    <row r="1146" spans="19:51">
      <c r="S1146" s="7"/>
      <c r="AX1146" s="7"/>
      <c r="AY1146" s="7"/>
    </row>
    <row r="1147" spans="19:51">
      <c r="S1147" s="7"/>
      <c r="AX1147" s="7"/>
      <c r="AY1147" s="7"/>
    </row>
    <row r="1148" spans="19:51">
      <c r="S1148" s="7"/>
      <c r="AX1148" s="7"/>
      <c r="AY1148" s="7"/>
    </row>
    <row r="1149" spans="19:51">
      <c r="S1149" s="7"/>
      <c r="AX1149" s="7"/>
      <c r="AY1149" s="7"/>
    </row>
    <row r="1150" spans="19:51">
      <c r="S1150" s="7"/>
      <c r="AX1150" s="7"/>
      <c r="AY1150" s="7"/>
    </row>
    <row r="1151" spans="19:51">
      <c r="S1151" s="7"/>
      <c r="AX1151" s="7"/>
      <c r="AY1151" s="7"/>
    </row>
    <row r="1152" spans="19:51">
      <c r="S1152" s="7"/>
      <c r="AX1152" s="7"/>
      <c r="AY1152" s="7"/>
    </row>
    <row r="1153" spans="19:51">
      <c r="S1153" s="7"/>
      <c r="AX1153" s="7"/>
      <c r="AY1153" s="7"/>
    </row>
    <row r="1154" spans="19:51">
      <c r="S1154" s="7"/>
      <c r="AX1154" s="7"/>
      <c r="AY1154" s="7"/>
    </row>
    <row r="1155" spans="19:51">
      <c r="S1155" s="7"/>
      <c r="AX1155" s="7"/>
      <c r="AY1155" s="7"/>
    </row>
    <row r="1156" spans="19:51">
      <c r="S1156" s="7"/>
      <c r="AX1156" s="7"/>
      <c r="AY1156" s="7"/>
    </row>
    <row r="1157" spans="19:51">
      <c r="S1157" s="7"/>
      <c r="AX1157" s="7"/>
      <c r="AY1157" s="7"/>
    </row>
    <row r="1158" spans="19:51">
      <c r="S1158" s="7"/>
      <c r="AX1158" s="7"/>
      <c r="AY1158" s="7"/>
    </row>
    <row r="1159" spans="19:51">
      <c r="S1159" s="7"/>
      <c r="AX1159" s="7"/>
      <c r="AY1159" s="7"/>
    </row>
    <row r="1160" spans="19:51">
      <c r="S1160" s="7"/>
      <c r="AX1160" s="7"/>
      <c r="AY1160" s="7"/>
    </row>
    <row r="1161" spans="19:51">
      <c r="S1161" s="7"/>
      <c r="AX1161" s="7"/>
      <c r="AY1161" s="7"/>
    </row>
    <row r="1162" spans="19:51">
      <c r="S1162" s="7"/>
      <c r="AX1162" s="7"/>
      <c r="AY1162" s="7"/>
    </row>
    <row r="1163" spans="19:51">
      <c r="S1163" s="7"/>
      <c r="AX1163" s="7"/>
      <c r="AY1163" s="7"/>
    </row>
    <row r="1164" spans="19:51">
      <c r="S1164" s="7"/>
      <c r="AX1164" s="7"/>
      <c r="AY1164" s="7"/>
    </row>
    <row r="1165" spans="19:51">
      <c r="S1165" s="7"/>
      <c r="AX1165" s="7"/>
      <c r="AY1165" s="7"/>
    </row>
    <row r="1166" spans="19:51">
      <c r="S1166" s="7"/>
      <c r="AX1166" s="7"/>
      <c r="AY1166" s="7"/>
    </row>
    <row r="1167" spans="19:51">
      <c r="S1167" s="7"/>
      <c r="AX1167" s="7"/>
      <c r="AY1167" s="7"/>
    </row>
    <row r="1168" spans="19:51">
      <c r="S1168" s="7"/>
      <c r="AX1168" s="7"/>
      <c r="AY1168" s="7"/>
    </row>
    <row r="1169" spans="19:51">
      <c r="S1169" s="7"/>
      <c r="AX1169" s="7"/>
      <c r="AY1169" s="7"/>
    </row>
    <row r="1170" spans="19:51">
      <c r="S1170" s="7"/>
      <c r="AX1170" s="7"/>
      <c r="AY1170" s="7"/>
    </row>
    <row r="1171" spans="19:51">
      <c r="S1171" s="7"/>
      <c r="AX1171" s="7"/>
      <c r="AY1171" s="7"/>
    </row>
    <row r="1172" spans="19:51">
      <c r="S1172" s="7"/>
      <c r="AX1172" s="7"/>
      <c r="AY1172" s="7"/>
    </row>
    <row r="1173" spans="19:51">
      <c r="S1173" s="7"/>
      <c r="AX1173" s="7"/>
      <c r="AY1173" s="7"/>
    </row>
    <row r="1174" spans="19:51">
      <c r="S1174" s="7"/>
      <c r="AX1174" s="7"/>
      <c r="AY1174" s="7"/>
    </row>
    <row r="1175" spans="19:51">
      <c r="S1175" s="7"/>
      <c r="AX1175" s="7"/>
      <c r="AY1175" s="7"/>
    </row>
    <row r="1176" spans="19:51">
      <c r="S1176" s="7"/>
      <c r="AX1176" s="7"/>
      <c r="AY1176" s="7"/>
    </row>
    <row r="1177" spans="19:51">
      <c r="S1177" s="7"/>
      <c r="AX1177" s="7"/>
      <c r="AY1177" s="7"/>
    </row>
    <row r="1178" spans="19:51">
      <c r="S1178" s="7"/>
      <c r="AX1178" s="7"/>
      <c r="AY1178" s="7"/>
    </row>
    <row r="1179" spans="19:51">
      <c r="S1179" s="7"/>
      <c r="AX1179" s="7"/>
      <c r="AY1179" s="7"/>
    </row>
    <row r="1180" spans="19:51">
      <c r="S1180" s="7"/>
      <c r="AX1180" s="7"/>
      <c r="AY1180" s="7"/>
    </row>
    <row r="1181" spans="19:51">
      <c r="S1181" s="7"/>
      <c r="AX1181" s="7"/>
      <c r="AY1181" s="7"/>
    </row>
    <row r="1182" spans="19:51">
      <c r="S1182" s="7"/>
      <c r="AX1182" s="7"/>
      <c r="AY1182" s="7"/>
    </row>
    <row r="1183" spans="19:51">
      <c r="S1183" s="7"/>
      <c r="AX1183" s="7"/>
      <c r="AY1183" s="7"/>
    </row>
    <row r="1184" spans="19:51">
      <c r="S1184" s="7"/>
      <c r="AX1184" s="7"/>
      <c r="AY1184" s="7"/>
    </row>
    <row r="1185" spans="19:51">
      <c r="S1185" s="7"/>
      <c r="AX1185" s="7"/>
      <c r="AY1185" s="7"/>
    </row>
    <row r="1186" spans="19:51">
      <c r="S1186" s="7"/>
      <c r="AX1186" s="7"/>
      <c r="AY1186" s="7"/>
    </row>
    <row r="1187" spans="19:51">
      <c r="S1187" s="7"/>
      <c r="AX1187" s="7"/>
      <c r="AY1187" s="7"/>
    </row>
    <row r="1188" spans="19:51">
      <c r="S1188" s="7"/>
      <c r="AX1188" s="7"/>
      <c r="AY1188" s="7"/>
    </row>
    <row r="1189" spans="19:51">
      <c r="S1189" s="7"/>
      <c r="AX1189" s="7"/>
      <c r="AY1189" s="7"/>
    </row>
    <row r="1190" spans="19:51">
      <c r="S1190" s="7"/>
      <c r="AX1190" s="7"/>
      <c r="AY1190" s="7"/>
    </row>
    <row r="1191" spans="19:51">
      <c r="S1191" s="7"/>
      <c r="AX1191" s="7"/>
      <c r="AY1191" s="7"/>
    </row>
    <row r="1192" spans="19:51">
      <c r="S1192" s="7"/>
      <c r="AX1192" s="7"/>
      <c r="AY1192" s="7"/>
    </row>
    <row r="1193" spans="19:51">
      <c r="S1193" s="7"/>
      <c r="AX1193" s="7"/>
      <c r="AY1193" s="7"/>
    </row>
    <row r="1194" spans="19:51">
      <c r="S1194" s="7"/>
      <c r="AX1194" s="7"/>
      <c r="AY1194" s="7"/>
    </row>
    <row r="1195" spans="19:51">
      <c r="S1195" s="7"/>
      <c r="AX1195" s="7"/>
      <c r="AY1195" s="7"/>
    </row>
    <row r="1196" spans="19:51">
      <c r="S1196" s="7"/>
      <c r="AX1196" s="7"/>
      <c r="AY1196" s="7"/>
    </row>
    <row r="1197" spans="19:51">
      <c r="S1197" s="7"/>
      <c r="AX1197" s="7"/>
      <c r="AY1197" s="7"/>
    </row>
    <row r="1198" spans="19:51">
      <c r="S1198" s="7"/>
      <c r="AX1198" s="7"/>
      <c r="AY1198" s="7"/>
    </row>
    <row r="1199" spans="19:51">
      <c r="S1199" s="7"/>
      <c r="AX1199" s="7"/>
      <c r="AY1199" s="7"/>
    </row>
    <row r="1200" spans="19:51">
      <c r="S1200" s="7"/>
      <c r="AX1200" s="7"/>
      <c r="AY1200" s="7"/>
    </row>
    <row r="1201" spans="19:51">
      <c r="S1201" s="7"/>
      <c r="AX1201" s="7"/>
      <c r="AY1201" s="7"/>
    </row>
    <row r="1202" spans="19:51">
      <c r="S1202" s="7"/>
      <c r="AX1202" s="7"/>
      <c r="AY1202" s="7"/>
    </row>
    <row r="1203" spans="19:51">
      <c r="S1203" s="7"/>
      <c r="AX1203" s="7"/>
      <c r="AY1203" s="7"/>
    </row>
    <row r="1204" spans="19:51">
      <c r="S1204" s="7"/>
      <c r="AX1204" s="7"/>
      <c r="AY1204" s="7"/>
    </row>
    <row r="1205" spans="19:51">
      <c r="S1205" s="7"/>
      <c r="AX1205" s="7"/>
      <c r="AY1205" s="7"/>
    </row>
    <row r="1206" spans="19:51">
      <c r="S1206" s="7"/>
      <c r="AX1206" s="7"/>
      <c r="AY1206" s="7"/>
    </row>
    <row r="1207" spans="19:51">
      <c r="S1207" s="7"/>
      <c r="AX1207" s="7"/>
      <c r="AY1207" s="7"/>
    </row>
    <row r="1208" spans="19:51">
      <c r="S1208" s="7"/>
      <c r="AX1208" s="7"/>
      <c r="AY1208" s="7"/>
    </row>
    <row r="1209" spans="19:51">
      <c r="S1209" s="7"/>
      <c r="AX1209" s="7"/>
      <c r="AY1209" s="7"/>
    </row>
    <row r="1210" spans="19:51">
      <c r="S1210" s="7"/>
      <c r="AX1210" s="7"/>
      <c r="AY1210" s="7"/>
    </row>
    <row r="1211" spans="19:51">
      <c r="S1211" s="7"/>
      <c r="AX1211" s="7"/>
      <c r="AY1211" s="7"/>
    </row>
    <row r="1212" spans="19:51">
      <c r="S1212" s="7"/>
      <c r="AX1212" s="7"/>
      <c r="AY1212" s="7"/>
    </row>
    <row r="1213" spans="19:51">
      <c r="S1213" s="7"/>
      <c r="AX1213" s="7"/>
      <c r="AY1213" s="7"/>
    </row>
    <row r="1214" spans="19:51">
      <c r="S1214" s="7"/>
      <c r="AX1214" s="7"/>
      <c r="AY1214" s="7"/>
    </row>
    <row r="1215" spans="19:51">
      <c r="S1215" s="7"/>
      <c r="AX1215" s="7"/>
      <c r="AY1215" s="7"/>
    </row>
    <row r="1216" spans="19:51">
      <c r="S1216" s="7"/>
      <c r="AX1216" s="7"/>
      <c r="AY1216" s="7"/>
    </row>
    <row r="1217" spans="19:51">
      <c r="S1217" s="7"/>
      <c r="AX1217" s="7"/>
      <c r="AY1217" s="7"/>
    </row>
    <row r="1218" spans="19:51">
      <c r="S1218" s="7"/>
      <c r="AX1218" s="7"/>
      <c r="AY1218" s="7"/>
    </row>
    <row r="1219" spans="19:51">
      <c r="S1219" s="7"/>
      <c r="AX1219" s="7"/>
      <c r="AY1219" s="7"/>
    </row>
    <row r="1220" spans="19:51">
      <c r="S1220" s="7"/>
      <c r="AX1220" s="7"/>
      <c r="AY1220" s="7"/>
    </row>
    <row r="1221" spans="19:51">
      <c r="S1221" s="7"/>
      <c r="AX1221" s="7"/>
      <c r="AY1221" s="7"/>
    </row>
    <row r="1222" spans="19:51">
      <c r="S1222" s="7"/>
      <c r="AX1222" s="7"/>
      <c r="AY1222" s="7"/>
    </row>
    <row r="1223" spans="19:51">
      <c r="S1223" s="7"/>
      <c r="AX1223" s="7"/>
      <c r="AY1223" s="7"/>
    </row>
    <row r="1224" spans="19:51">
      <c r="S1224" s="7"/>
      <c r="AX1224" s="7"/>
      <c r="AY1224" s="7"/>
    </row>
    <row r="1225" spans="19:51">
      <c r="S1225" s="7"/>
      <c r="AX1225" s="7"/>
      <c r="AY1225" s="7"/>
    </row>
    <row r="1226" spans="19:51">
      <c r="S1226" s="7"/>
      <c r="AX1226" s="7"/>
      <c r="AY1226" s="7"/>
    </row>
    <row r="1227" spans="19:51">
      <c r="S1227" s="7"/>
      <c r="AX1227" s="7"/>
      <c r="AY1227" s="7"/>
    </row>
    <row r="1228" spans="19:51">
      <c r="S1228" s="7"/>
      <c r="AX1228" s="7"/>
      <c r="AY1228" s="7"/>
    </row>
    <row r="1229" spans="19:51">
      <c r="S1229" s="7"/>
      <c r="AX1229" s="7"/>
      <c r="AY1229" s="7"/>
    </row>
    <row r="1230" spans="19:51">
      <c r="S1230" s="7"/>
      <c r="AX1230" s="7"/>
      <c r="AY1230" s="7"/>
    </row>
    <row r="1231" spans="19:51">
      <c r="S1231" s="7"/>
      <c r="AX1231" s="7"/>
      <c r="AY1231" s="7"/>
    </row>
    <row r="1232" spans="19:51">
      <c r="S1232" s="7"/>
      <c r="AX1232" s="7"/>
      <c r="AY1232" s="7"/>
    </row>
    <row r="1233" spans="19:51">
      <c r="S1233" s="7"/>
      <c r="AX1233" s="7"/>
      <c r="AY1233" s="7"/>
    </row>
    <row r="1234" spans="19:51">
      <c r="S1234" s="7"/>
      <c r="AX1234" s="7"/>
      <c r="AY1234" s="7"/>
    </row>
    <row r="1235" spans="19:51">
      <c r="S1235" s="7"/>
      <c r="AX1235" s="7"/>
      <c r="AY1235" s="7"/>
    </row>
    <row r="1236" spans="19:51">
      <c r="S1236" s="7"/>
      <c r="AX1236" s="7"/>
      <c r="AY1236" s="7"/>
    </row>
    <row r="1237" spans="19:51">
      <c r="S1237" s="7"/>
      <c r="AX1237" s="7"/>
      <c r="AY1237" s="7"/>
    </row>
    <row r="1238" spans="19:51">
      <c r="S1238" s="7"/>
      <c r="AX1238" s="7"/>
      <c r="AY1238" s="7"/>
    </row>
    <row r="1239" spans="19:51">
      <c r="S1239" s="7"/>
      <c r="AX1239" s="7"/>
      <c r="AY1239" s="7"/>
    </row>
    <row r="1240" spans="19:51">
      <c r="S1240" s="7"/>
      <c r="AX1240" s="7"/>
      <c r="AY1240" s="7"/>
    </row>
    <row r="1241" spans="19:51">
      <c r="S1241" s="7"/>
      <c r="AX1241" s="7"/>
      <c r="AY1241" s="7"/>
    </row>
    <row r="1242" spans="19:51">
      <c r="S1242" s="7"/>
      <c r="AX1242" s="7"/>
      <c r="AY1242" s="7"/>
    </row>
    <row r="1243" spans="19:51">
      <c r="S1243" s="7"/>
      <c r="AX1243" s="7"/>
      <c r="AY1243" s="7"/>
    </row>
    <row r="1244" spans="19:51">
      <c r="S1244" s="7"/>
      <c r="AX1244" s="7"/>
      <c r="AY1244" s="7"/>
    </row>
    <row r="1245" spans="19:51">
      <c r="S1245" s="7"/>
      <c r="AX1245" s="7"/>
      <c r="AY1245" s="7"/>
    </row>
    <row r="1246" spans="19:51">
      <c r="S1246" s="7"/>
      <c r="AX1246" s="7"/>
      <c r="AY1246" s="7"/>
    </row>
    <row r="1247" spans="19:51">
      <c r="S1247" s="7"/>
      <c r="AX1247" s="7"/>
      <c r="AY1247" s="7"/>
    </row>
    <row r="1248" spans="19:51">
      <c r="S1248" s="7"/>
      <c r="AX1248" s="7"/>
      <c r="AY1248" s="7"/>
    </row>
    <row r="1249" spans="19:51">
      <c r="S1249" s="7"/>
      <c r="AX1249" s="7"/>
      <c r="AY1249" s="7"/>
    </row>
    <row r="1250" spans="19:51">
      <c r="S1250" s="7"/>
      <c r="AX1250" s="7"/>
      <c r="AY1250" s="7"/>
    </row>
    <row r="1251" spans="19:51">
      <c r="S1251" s="7"/>
      <c r="AX1251" s="7"/>
      <c r="AY1251" s="7"/>
    </row>
    <row r="1252" spans="19:51">
      <c r="S1252" s="7"/>
      <c r="AX1252" s="7"/>
      <c r="AY1252" s="7"/>
    </row>
    <row r="1253" spans="19:51">
      <c r="S1253" s="7"/>
      <c r="AX1253" s="7"/>
      <c r="AY1253" s="7"/>
    </row>
    <row r="1254" spans="19:51">
      <c r="S1254" s="7"/>
      <c r="AX1254" s="7"/>
      <c r="AY1254" s="7"/>
    </row>
    <row r="1255" spans="19:51">
      <c r="S1255" s="7"/>
      <c r="AX1255" s="7"/>
      <c r="AY1255" s="7"/>
    </row>
    <row r="1256" spans="19:51">
      <c r="S1256" s="7"/>
      <c r="AX1256" s="7"/>
      <c r="AY1256" s="7"/>
    </row>
    <row r="1257" spans="19:51">
      <c r="S1257" s="7"/>
      <c r="AX1257" s="7"/>
      <c r="AY1257" s="7"/>
    </row>
    <row r="1258" spans="19:51">
      <c r="S1258" s="7"/>
      <c r="AX1258" s="7"/>
      <c r="AY1258" s="7"/>
    </row>
    <row r="1259" spans="19:51">
      <c r="S1259" s="7"/>
      <c r="AX1259" s="7"/>
      <c r="AY1259" s="7"/>
    </row>
    <row r="1260" spans="19:51">
      <c r="S1260" s="7"/>
      <c r="AX1260" s="7"/>
      <c r="AY1260" s="7"/>
    </row>
    <row r="1261" spans="19:51">
      <c r="S1261" s="7"/>
      <c r="AX1261" s="7"/>
      <c r="AY1261" s="7"/>
    </row>
    <row r="1262" spans="19:51">
      <c r="S1262" s="7"/>
      <c r="AX1262" s="7"/>
      <c r="AY1262" s="7"/>
    </row>
    <row r="1263" spans="19:51">
      <c r="S1263" s="7"/>
      <c r="AX1263" s="7"/>
      <c r="AY1263" s="7"/>
    </row>
    <row r="1264" spans="19:51">
      <c r="S1264" s="7"/>
      <c r="AX1264" s="7"/>
      <c r="AY1264" s="7"/>
    </row>
    <row r="1265" spans="19:51">
      <c r="S1265" s="7"/>
      <c r="AX1265" s="7"/>
      <c r="AY1265" s="7"/>
    </row>
    <row r="1266" spans="19:51">
      <c r="S1266" s="7"/>
      <c r="AX1266" s="7"/>
      <c r="AY1266" s="7"/>
    </row>
    <row r="1267" spans="19:51">
      <c r="S1267" s="7"/>
      <c r="AX1267" s="7"/>
      <c r="AY1267" s="7"/>
    </row>
    <row r="1268" spans="19:51">
      <c r="S1268" s="7"/>
      <c r="AX1268" s="7"/>
      <c r="AY1268" s="7"/>
    </row>
    <row r="1269" spans="19:51">
      <c r="S1269" s="7"/>
      <c r="AX1269" s="7"/>
      <c r="AY1269" s="7"/>
    </row>
    <row r="1270" spans="19:51">
      <c r="S1270" s="7"/>
      <c r="AX1270" s="7"/>
      <c r="AY1270" s="7"/>
    </row>
    <row r="1271" spans="19:51">
      <c r="S1271" s="7"/>
      <c r="AX1271" s="7"/>
      <c r="AY1271" s="7"/>
    </row>
    <row r="1272" spans="19:51">
      <c r="S1272" s="7"/>
      <c r="AX1272" s="7"/>
      <c r="AY1272" s="7"/>
    </row>
    <row r="1273" spans="19:51">
      <c r="S1273" s="7"/>
      <c r="AX1273" s="7"/>
      <c r="AY1273" s="7"/>
    </row>
    <row r="1274" spans="19:51">
      <c r="S1274" s="7"/>
      <c r="AX1274" s="7"/>
      <c r="AY1274" s="7"/>
    </row>
    <row r="1275" spans="19:51">
      <c r="S1275" s="7"/>
      <c r="AX1275" s="7"/>
      <c r="AY1275" s="7"/>
    </row>
    <row r="1276" spans="19:51">
      <c r="S1276" s="7"/>
      <c r="AX1276" s="7"/>
      <c r="AY1276" s="7"/>
    </row>
    <row r="1277" spans="19:51">
      <c r="S1277" s="7"/>
      <c r="AX1277" s="7"/>
      <c r="AY1277" s="7"/>
    </row>
    <row r="1278" spans="19:51">
      <c r="S1278" s="7"/>
      <c r="AX1278" s="7"/>
      <c r="AY1278" s="7"/>
    </row>
    <row r="1279" spans="19:51">
      <c r="S1279" s="7"/>
      <c r="AX1279" s="7"/>
      <c r="AY1279" s="7"/>
    </row>
    <row r="1280" spans="19:51">
      <c r="S1280" s="7"/>
      <c r="AX1280" s="7"/>
      <c r="AY1280" s="7"/>
    </row>
    <row r="1281" spans="19:51">
      <c r="S1281" s="7"/>
      <c r="AX1281" s="7"/>
      <c r="AY1281" s="7"/>
    </row>
    <row r="1282" spans="19:51">
      <c r="S1282" s="7"/>
      <c r="AX1282" s="7"/>
      <c r="AY1282" s="7"/>
    </row>
    <row r="1283" spans="19:51">
      <c r="S1283" s="7"/>
      <c r="AX1283" s="7"/>
      <c r="AY1283" s="7"/>
    </row>
    <row r="1284" spans="19:51">
      <c r="S1284" s="7"/>
      <c r="AX1284" s="7"/>
      <c r="AY1284" s="7"/>
    </row>
    <row r="1285" spans="19:51">
      <c r="S1285" s="7"/>
      <c r="AX1285" s="7"/>
      <c r="AY1285" s="7"/>
    </row>
    <row r="1286" spans="19:51">
      <c r="S1286" s="7"/>
      <c r="AX1286" s="7"/>
      <c r="AY1286" s="7"/>
    </row>
    <row r="1287" spans="19:51">
      <c r="S1287" s="7"/>
      <c r="AX1287" s="7"/>
      <c r="AY1287" s="7"/>
    </row>
    <row r="1288" spans="19:51">
      <c r="S1288" s="7"/>
      <c r="AX1288" s="7"/>
      <c r="AY1288" s="7"/>
    </row>
    <row r="1289" spans="19:51">
      <c r="S1289" s="7"/>
      <c r="AX1289" s="7"/>
      <c r="AY1289" s="7"/>
    </row>
    <row r="1290" spans="19:51">
      <c r="S1290" s="7"/>
      <c r="AX1290" s="7"/>
      <c r="AY1290" s="7"/>
    </row>
    <row r="1291" spans="19:51">
      <c r="S1291" s="7"/>
      <c r="AX1291" s="7"/>
      <c r="AY1291" s="7"/>
    </row>
    <row r="1292" spans="19:51">
      <c r="S1292" s="7"/>
      <c r="AX1292" s="7"/>
      <c r="AY1292" s="7"/>
    </row>
    <row r="1293" spans="19:51">
      <c r="S1293" s="7"/>
      <c r="AX1293" s="7"/>
      <c r="AY1293" s="7"/>
    </row>
    <row r="1294" spans="19:51">
      <c r="S1294" s="7"/>
      <c r="AX1294" s="7"/>
      <c r="AY1294" s="7"/>
    </row>
    <row r="1295" spans="19:51">
      <c r="S1295" s="7"/>
      <c r="AX1295" s="7"/>
      <c r="AY1295" s="7"/>
    </row>
    <row r="1296" spans="19:51">
      <c r="S1296" s="7"/>
      <c r="AX1296" s="7"/>
      <c r="AY1296" s="7"/>
    </row>
    <row r="1297" spans="19:51">
      <c r="S1297" s="7"/>
      <c r="AX1297" s="7"/>
      <c r="AY1297" s="7"/>
    </row>
    <row r="1298" spans="19:51">
      <c r="S1298" s="7"/>
      <c r="AX1298" s="7"/>
      <c r="AY1298" s="7"/>
    </row>
    <row r="1299" spans="19:51">
      <c r="S1299" s="7"/>
      <c r="AX1299" s="7"/>
      <c r="AY1299" s="7"/>
    </row>
    <row r="1300" spans="19:51">
      <c r="S1300" s="7"/>
      <c r="AX1300" s="7"/>
      <c r="AY1300" s="7"/>
    </row>
    <row r="1301" spans="19:51">
      <c r="S1301" s="7"/>
      <c r="AX1301" s="7"/>
      <c r="AY1301" s="7"/>
    </row>
    <row r="1302" spans="19:51">
      <c r="S1302" s="7"/>
      <c r="AX1302" s="7"/>
      <c r="AY1302" s="7"/>
    </row>
    <row r="1303" spans="19:51">
      <c r="S1303" s="7"/>
      <c r="AX1303" s="7"/>
      <c r="AY1303" s="7"/>
    </row>
    <row r="1304" spans="19:51">
      <c r="S1304" s="7"/>
      <c r="AX1304" s="7"/>
      <c r="AY1304" s="7"/>
    </row>
    <row r="1305" spans="19:51">
      <c r="S1305" s="7"/>
      <c r="AX1305" s="7"/>
      <c r="AY1305" s="7"/>
    </row>
    <row r="1306" spans="19:51">
      <c r="S1306" s="7"/>
      <c r="AX1306" s="7"/>
      <c r="AY1306" s="7"/>
    </row>
    <row r="1307" spans="19:51">
      <c r="S1307" s="7"/>
      <c r="AX1307" s="7"/>
      <c r="AY1307" s="7"/>
    </row>
    <row r="1308" spans="19:51">
      <c r="S1308" s="7"/>
      <c r="AX1308" s="7"/>
      <c r="AY1308" s="7"/>
    </row>
    <row r="1309" spans="19:51">
      <c r="S1309" s="7"/>
      <c r="AX1309" s="7"/>
      <c r="AY1309" s="7"/>
    </row>
    <row r="1310" spans="19:51">
      <c r="S1310" s="7"/>
      <c r="AX1310" s="7"/>
      <c r="AY1310" s="7"/>
    </row>
    <row r="1311" spans="19:51">
      <c r="S1311" s="7"/>
      <c r="AX1311" s="7"/>
      <c r="AY1311" s="7"/>
    </row>
    <row r="1312" spans="19:51">
      <c r="S1312" s="7"/>
      <c r="AX1312" s="7"/>
      <c r="AY1312" s="7"/>
    </row>
    <row r="1313" spans="19:51">
      <c r="S1313" s="7"/>
      <c r="AX1313" s="7"/>
      <c r="AY1313" s="7"/>
    </row>
    <row r="1314" spans="19:51">
      <c r="S1314" s="7"/>
      <c r="AX1314" s="7"/>
      <c r="AY1314" s="7"/>
    </row>
    <row r="1315" spans="19:51">
      <c r="S1315" s="7"/>
      <c r="AX1315" s="7"/>
      <c r="AY1315" s="7"/>
    </row>
    <row r="1316" spans="19:51">
      <c r="S1316" s="7"/>
      <c r="AX1316" s="7"/>
      <c r="AY1316" s="7"/>
    </row>
    <row r="1317" spans="19:51">
      <c r="S1317" s="7"/>
      <c r="AX1317" s="7"/>
      <c r="AY1317" s="7"/>
    </row>
    <row r="1318" spans="19:51">
      <c r="S1318" s="7"/>
      <c r="AX1318" s="7"/>
      <c r="AY1318" s="7"/>
    </row>
    <row r="1319" spans="19:51">
      <c r="S1319" s="7"/>
      <c r="AX1319" s="7"/>
      <c r="AY1319" s="7"/>
    </row>
    <row r="1320" spans="19:51">
      <c r="S1320" s="7"/>
      <c r="AX1320" s="7"/>
      <c r="AY1320" s="7"/>
    </row>
    <row r="1321" spans="19:51">
      <c r="S1321" s="7"/>
      <c r="AX1321" s="7"/>
      <c r="AY1321" s="7"/>
    </row>
    <row r="1322" spans="19:51">
      <c r="S1322" s="7"/>
      <c r="AX1322" s="7"/>
      <c r="AY1322" s="7"/>
    </row>
    <row r="1323" spans="19:51">
      <c r="S1323" s="7"/>
      <c r="AX1323" s="7"/>
      <c r="AY1323" s="7"/>
    </row>
    <row r="1324" spans="19:51">
      <c r="S1324" s="7"/>
      <c r="AX1324" s="7"/>
      <c r="AY1324" s="7"/>
    </row>
    <row r="1325" spans="19:51">
      <c r="S1325" s="7"/>
      <c r="AX1325" s="7"/>
      <c r="AY1325" s="7"/>
    </row>
    <row r="1326" spans="19:51">
      <c r="S1326" s="7"/>
      <c r="AX1326" s="7"/>
      <c r="AY1326" s="7"/>
    </row>
    <row r="1327" spans="19:51">
      <c r="S1327" s="7"/>
      <c r="AX1327" s="7"/>
      <c r="AY1327" s="7"/>
    </row>
    <row r="1328" spans="19:51">
      <c r="S1328" s="7"/>
      <c r="AX1328" s="7"/>
      <c r="AY1328" s="7"/>
    </row>
    <row r="1329" spans="19:51">
      <c r="S1329" s="7"/>
      <c r="AX1329" s="7"/>
      <c r="AY1329" s="7"/>
    </row>
    <row r="1330" spans="19:51">
      <c r="S1330" s="7"/>
      <c r="AX1330" s="7"/>
      <c r="AY1330" s="7"/>
    </row>
    <row r="1331" spans="19:51">
      <c r="S1331" s="7"/>
      <c r="AX1331" s="7"/>
      <c r="AY1331" s="7"/>
    </row>
    <row r="1332" spans="19:51">
      <c r="S1332" s="7"/>
      <c r="AX1332" s="7"/>
      <c r="AY1332" s="7"/>
    </row>
    <row r="1333" spans="19:51">
      <c r="S1333" s="7"/>
      <c r="AX1333" s="7"/>
      <c r="AY1333" s="7"/>
    </row>
    <row r="1334" spans="19:51">
      <c r="S1334" s="7"/>
      <c r="AX1334" s="7"/>
      <c r="AY1334" s="7"/>
    </row>
    <row r="1335" spans="19:51">
      <c r="S1335" s="7"/>
      <c r="AX1335" s="7"/>
      <c r="AY1335" s="7"/>
    </row>
    <row r="1336" spans="19:51">
      <c r="S1336" s="7"/>
      <c r="AX1336" s="7"/>
      <c r="AY1336" s="7"/>
    </row>
    <row r="1337" spans="19:51">
      <c r="S1337" s="7"/>
      <c r="AX1337" s="7"/>
      <c r="AY1337" s="7"/>
    </row>
    <row r="1338" spans="19:51">
      <c r="S1338" s="7"/>
      <c r="AX1338" s="7"/>
      <c r="AY1338" s="7"/>
    </row>
    <row r="1339" spans="19:51">
      <c r="S1339" s="7"/>
      <c r="AX1339" s="7"/>
      <c r="AY1339" s="7"/>
    </row>
    <row r="1340" spans="19:51">
      <c r="S1340" s="7"/>
      <c r="AX1340" s="7"/>
      <c r="AY1340" s="7"/>
    </row>
    <row r="1341" spans="19:51">
      <c r="S1341" s="7"/>
      <c r="AX1341" s="7"/>
      <c r="AY1341" s="7"/>
    </row>
    <row r="1342" spans="19:51">
      <c r="S1342" s="7"/>
      <c r="AX1342" s="7"/>
      <c r="AY1342" s="7"/>
    </row>
    <row r="1343" spans="19:51">
      <c r="S1343" s="7"/>
      <c r="AX1343" s="7"/>
      <c r="AY1343" s="7"/>
    </row>
    <row r="1344" spans="19:51">
      <c r="S1344" s="7"/>
      <c r="AX1344" s="7"/>
      <c r="AY1344" s="7"/>
    </row>
    <row r="1345" spans="19:51">
      <c r="S1345" s="7"/>
      <c r="AX1345" s="7"/>
      <c r="AY1345" s="7"/>
    </row>
    <row r="1346" spans="19:51">
      <c r="S1346" s="7"/>
      <c r="AX1346" s="7"/>
      <c r="AY1346" s="7"/>
    </row>
    <row r="1347" spans="19:51">
      <c r="S1347" s="7"/>
      <c r="AX1347" s="7"/>
      <c r="AY1347" s="7"/>
    </row>
    <row r="1348" spans="19:51">
      <c r="S1348" s="7"/>
      <c r="AX1348" s="7"/>
      <c r="AY1348" s="7"/>
    </row>
    <row r="1349" spans="19:51">
      <c r="S1349" s="7"/>
      <c r="AX1349" s="7"/>
      <c r="AY1349" s="7"/>
    </row>
    <row r="1350" spans="19:51">
      <c r="S1350" s="7"/>
      <c r="AX1350" s="7"/>
      <c r="AY1350" s="7"/>
    </row>
    <row r="1351" spans="19:51">
      <c r="S1351" s="7"/>
      <c r="AX1351" s="7"/>
      <c r="AY1351" s="7"/>
    </row>
    <row r="1352" spans="19:51">
      <c r="S1352" s="7"/>
      <c r="AX1352" s="7"/>
      <c r="AY1352" s="7"/>
    </row>
    <row r="1353" spans="19:51">
      <c r="S1353" s="7"/>
      <c r="AX1353" s="7"/>
      <c r="AY1353" s="7"/>
    </row>
    <row r="1354" spans="19:51">
      <c r="S1354" s="7"/>
      <c r="AX1354" s="7"/>
      <c r="AY1354" s="7"/>
    </row>
    <row r="1355" spans="19:51">
      <c r="S1355" s="7"/>
      <c r="AX1355" s="7"/>
      <c r="AY1355" s="7"/>
    </row>
    <row r="1356" spans="19:51">
      <c r="S1356" s="7"/>
      <c r="AX1356" s="7"/>
      <c r="AY1356" s="7"/>
    </row>
    <row r="1357" spans="19:51">
      <c r="S1357" s="7"/>
      <c r="AX1357" s="7"/>
      <c r="AY1357" s="7"/>
    </row>
    <row r="1358" spans="19:51">
      <c r="S1358" s="7"/>
      <c r="AX1358" s="7"/>
      <c r="AY1358" s="7"/>
    </row>
    <row r="1359" spans="19:51">
      <c r="S1359" s="7"/>
      <c r="AX1359" s="7"/>
      <c r="AY1359" s="7"/>
    </row>
    <row r="1360" spans="19:51">
      <c r="S1360" s="7"/>
      <c r="AX1360" s="7"/>
      <c r="AY1360" s="7"/>
    </row>
    <row r="1361" spans="19:51">
      <c r="S1361" s="7"/>
      <c r="AX1361" s="7"/>
      <c r="AY1361" s="7"/>
    </row>
    <row r="1362" spans="19:51">
      <c r="S1362" s="7"/>
      <c r="AX1362" s="7"/>
      <c r="AY1362" s="7"/>
    </row>
    <row r="1363" spans="19:51">
      <c r="S1363" s="7"/>
      <c r="AX1363" s="7"/>
      <c r="AY1363" s="7"/>
    </row>
    <row r="1364" spans="19:51">
      <c r="S1364" s="7"/>
      <c r="AX1364" s="7"/>
      <c r="AY1364" s="7"/>
    </row>
    <row r="1365" spans="19:51">
      <c r="S1365" s="7"/>
      <c r="AX1365" s="7"/>
      <c r="AY1365" s="7"/>
    </row>
    <row r="1366" spans="19:51">
      <c r="S1366" s="7"/>
      <c r="AX1366" s="7"/>
      <c r="AY1366" s="7"/>
    </row>
    <row r="1367" spans="19:51">
      <c r="S1367" s="7"/>
      <c r="AX1367" s="7"/>
      <c r="AY1367" s="7"/>
    </row>
    <row r="1368" spans="19:51">
      <c r="S1368" s="7"/>
      <c r="AX1368" s="7"/>
      <c r="AY1368" s="7"/>
    </row>
    <row r="1369" spans="19:51">
      <c r="S1369" s="7"/>
      <c r="AX1369" s="7"/>
      <c r="AY1369" s="7"/>
    </row>
    <row r="1370" spans="19:51">
      <c r="S1370" s="7"/>
      <c r="AX1370" s="7"/>
      <c r="AY1370" s="7"/>
    </row>
    <row r="1371" spans="19:51">
      <c r="S1371" s="7"/>
      <c r="AX1371" s="7"/>
      <c r="AY1371" s="7"/>
    </row>
    <row r="1372" spans="19:51">
      <c r="S1372" s="7"/>
      <c r="AX1372" s="7"/>
      <c r="AY1372" s="7"/>
    </row>
    <row r="1373" spans="19:51">
      <c r="S1373" s="7"/>
      <c r="AX1373" s="7"/>
      <c r="AY1373" s="7"/>
    </row>
    <row r="1374" spans="19:51">
      <c r="S1374" s="7"/>
      <c r="AX1374" s="7"/>
      <c r="AY1374" s="7"/>
    </row>
    <row r="1375" spans="19:51">
      <c r="S1375" s="7"/>
      <c r="AX1375" s="7"/>
      <c r="AY1375" s="7"/>
    </row>
    <row r="1376" spans="19:51">
      <c r="S1376" s="7"/>
      <c r="AX1376" s="7"/>
      <c r="AY1376" s="7"/>
    </row>
    <row r="1377" spans="19:51">
      <c r="S1377" s="7"/>
      <c r="AX1377" s="7"/>
      <c r="AY1377" s="7"/>
    </row>
    <row r="1378" spans="19:51">
      <c r="S1378" s="7"/>
      <c r="AX1378" s="7"/>
      <c r="AY1378" s="7"/>
    </row>
    <row r="1379" spans="19:51">
      <c r="S1379" s="7"/>
      <c r="AX1379" s="7"/>
      <c r="AY1379" s="7"/>
    </row>
    <row r="1380" spans="19:51">
      <c r="S1380" s="7"/>
      <c r="AX1380" s="7"/>
      <c r="AY1380" s="7"/>
    </row>
    <row r="1381" spans="19:51">
      <c r="S1381" s="7"/>
      <c r="AX1381" s="7"/>
      <c r="AY1381" s="7"/>
    </row>
    <row r="1382" spans="19:51">
      <c r="S1382" s="7"/>
      <c r="AX1382" s="7"/>
      <c r="AY1382" s="7"/>
    </row>
    <row r="1383" spans="19:51">
      <c r="S1383" s="7"/>
      <c r="AX1383" s="7"/>
      <c r="AY1383" s="7"/>
    </row>
    <row r="1384" spans="19:51">
      <c r="S1384" s="7"/>
      <c r="AX1384" s="7"/>
      <c r="AY1384" s="7"/>
    </row>
    <row r="1385" spans="19:51">
      <c r="S1385" s="7"/>
      <c r="AX1385" s="7"/>
      <c r="AY1385" s="7"/>
    </row>
    <row r="1386" spans="19:51">
      <c r="S1386" s="7"/>
      <c r="AX1386" s="7"/>
      <c r="AY1386" s="7"/>
    </row>
    <row r="1387" spans="19:51">
      <c r="S1387" s="7"/>
      <c r="AX1387" s="7"/>
      <c r="AY1387" s="7"/>
    </row>
    <row r="1388" spans="19:51">
      <c r="S1388" s="7"/>
      <c r="AX1388" s="7"/>
      <c r="AY1388" s="7"/>
    </row>
    <row r="1389" spans="19:51">
      <c r="S1389" s="7"/>
      <c r="AX1389" s="7"/>
      <c r="AY1389" s="7"/>
    </row>
    <row r="1390" spans="19:51">
      <c r="S1390" s="7"/>
      <c r="AX1390" s="7"/>
      <c r="AY1390" s="7"/>
    </row>
    <row r="1391" spans="19:51">
      <c r="S1391" s="7"/>
      <c r="AX1391" s="7"/>
      <c r="AY1391" s="7"/>
    </row>
    <row r="1392" spans="19:51">
      <c r="S1392" s="7"/>
      <c r="AX1392" s="7"/>
      <c r="AY1392" s="7"/>
    </row>
    <row r="1393" spans="19:51">
      <c r="S1393" s="7"/>
      <c r="AX1393" s="7"/>
      <c r="AY1393" s="7"/>
    </row>
    <row r="1394" spans="19:51">
      <c r="S1394" s="7"/>
      <c r="AX1394" s="7"/>
      <c r="AY1394" s="7"/>
    </row>
    <row r="1395" spans="19:51">
      <c r="S1395" s="7"/>
      <c r="AX1395" s="7"/>
      <c r="AY1395" s="7"/>
    </row>
    <row r="1396" spans="19:51">
      <c r="S1396" s="7"/>
      <c r="AX1396" s="7"/>
      <c r="AY1396" s="7"/>
    </row>
    <row r="1397" spans="19:51">
      <c r="S1397" s="7"/>
      <c r="AX1397" s="7"/>
      <c r="AY1397" s="7"/>
    </row>
    <row r="1398" spans="19:51">
      <c r="S1398" s="7"/>
      <c r="AX1398" s="7"/>
      <c r="AY1398" s="7"/>
    </row>
    <row r="1399" spans="19:51">
      <c r="S1399" s="7"/>
      <c r="AX1399" s="7"/>
      <c r="AY1399" s="7"/>
    </row>
    <row r="1400" spans="19:51">
      <c r="S1400" s="7"/>
      <c r="AX1400" s="7"/>
      <c r="AY1400" s="7"/>
    </row>
    <row r="1401" spans="19:51">
      <c r="S1401" s="7"/>
      <c r="AX1401" s="7"/>
      <c r="AY1401" s="7"/>
    </row>
    <row r="1402" spans="19:51">
      <c r="S1402" s="7"/>
      <c r="AX1402" s="7"/>
      <c r="AY1402" s="7"/>
    </row>
    <row r="1403" spans="19:51">
      <c r="S1403" s="7"/>
      <c r="AX1403" s="7"/>
      <c r="AY1403" s="7"/>
    </row>
    <row r="1404" spans="19:51">
      <c r="S1404" s="7"/>
      <c r="AX1404" s="7"/>
      <c r="AY1404" s="7"/>
    </row>
    <row r="1405" spans="19:51">
      <c r="S1405" s="7"/>
      <c r="AX1405" s="7"/>
      <c r="AY1405" s="7"/>
    </row>
    <row r="1406" spans="19:51">
      <c r="S1406" s="7"/>
      <c r="AX1406" s="7"/>
      <c r="AY1406" s="7"/>
    </row>
    <row r="1407" spans="19:51">
      <c r="S1407" s="7"/>
      <c r="AX1407" s="7"/>
      <c r="AY1407" s="7"/>
    </row>
    <row r="1408" spans="19:51">
      <c r="S1408" s="7"/>
      <c r="AX1408" s="7"/>
      <c r="AY1408" s="7"/>
    </row>
    <row r="1409" spans="19:51">
      <c r="S1409" s="7"/>
      <c r="AX1409" s="7"/>
      <c r="AY1409" s="7"/>
    </row>
    <row r="1410" spans="19:51">
      <c r="S1410" s="7"/>
      <c r="AX1410" s="7"/>
      <c r="AY1410" s="7"/>
    </row>
    <row r="1411" spans="19:51">
      <c r="S1411" s="7"/>
      <c r="AX1411" s="7"/>
      <c r="AY1411" s="7"/>
    </row>
    <row r="1412" spans="19:51">
      <c r="S1412" s="7"/>
      <c r="AX1412" s="7"/>
      <c r="AY1412" s="7"/>
    </row>
    <row r="1413" spans="19:51">
      <c r="S1413" s="7"/>
      <c r="AX1413" s="7"/>
      <c r="AY1413" s="7"/>
    </row>
    <row r="1414" spans="19:51">
      <c r="S1414" s="7"/>
      <c r="AX1414" s="7"/>
      <c r="AY1414" s="7"/>
    </row>
    <row r="1415" spans="19:51">
      <c r="S1415" s="7"/>
      <c r="AX1415" s="7"/>
      <c r="AY1415" s="7"/>
    </row>
    <row r="1416" spans="19:51">
      <c r="S1416" s="7"/>
      <c r="AX1416" s="7"/>
      <c r="AY1416" s="7"/>
    </row>
    <row r="1417" spans="19:51">
      <c r="S1417" s="7"/>
      <c r="AX1417" s="7"/>
      <c r="AY1417" s="7"/>
    </row>
    <row r="1418" spans="19:51">
      <c r="S1418" s="7"/>
      <c r="AX1418" s="7"/>
      <c r="AY1418" s="7"/>
    </row>
    <row r="1419" spans="19:51">
      <c r="S1419" s="7"/>
      <c r="AX1419" s="7"/>
      <c r="AY1419" s="7"/>
    </row>
    <row r="1420" spans="19:51">
      <c r="S1420" s="7"/>
      <c r="AX1420" s="7"/>
      <c r="AY1420" s="7"/>
    </row>
    <row r="1421" spans="19:51">
      <c r="S1421" s="7"/>
      <c r="AX1421" s="7"/>
      <c r="AY1421" s="7"/>
    </row>
    <row r="1422" spans="19:51">
      <c r="S1422" s="7"/>
      <c r="AX1422" s="7"/>
      <c r="AY1422" s="7"/>
    </row>
    <row r="1423" spans="19:51">
      <c r="S1423" s="7"/>
      <c r="AX1423" s="7"/>
      <c r="AY1423" s="7"/>
    </row>
    <row r="1424" spans="19:51">
      <c r="S1424" s="7"/>
      <c r="AX1424" s="7"/>
      <c r="AY1424" s="7"/>
    </row>
    <row r="1425" spans="19:51">
      <c r="S1425" s="7"/>
      <c r="AX1425" s="7"/>
      <c r="AY1425" s="7"/>
    </row>
    <row r="1426" spans="19:51">
      <c r="S1426" s="7"/>
      <c r="AX1426" s="7"/>
      <c r="AY1426" s="7"/>
    </row>
    <row r="1427" spans="19:51">
      <c r="S1427" s="7"/>
      <c r="AX1427" s="7"/>
      <c r="AY1427" s="7"/>
    </row>
    <row r="1428" spans="19:51">
      <c r="S1428" s="7"/>
      <c r="AX1428" s="7"/>
      <c r="AY1428" s="7"/>
    </row>
    <row r="1429" spans="19:51">
      <c r="S1429" s="7"/>
      <c r="AX1429" s="7"/>
      <c r="AY1429" s="7"/>
    </row>
    <row r="1430" spans="19:51">
      <c r="S1430" s="7"/>
      <c r="AX1430" s="7"/>
      <c r="AY1430" s="7"/>
    </row>
    <row r="1431" spans="19:51">
      <c r="S1431" s="7"/>
      <c r="AX1431" s="7"/>
      <c r="AY1431" s="7"/>
    </row>
    <row r="1432" spans="19:51">
      <c r="S1432" s="7"/>
      <c r="AX1432" s="7"/>
      <c r="AY1432" s="7"/>
    </row>
    <row r="1433" spans="19:51">
      <c r="S1433" s="7"/>
      <c r="AX1433" s="7"/>
      <c r="AY1433" s="7"/>
    </row>
    <row r="1434" spans="19:51">
      <c r="S1434" s="7"/>
      <c r="AX1434" s="7"/>
      <c r="AY1434" s="7"/>
    </row>
    <row r="1435" spans="19:51">
      <c r="S1435" s="7"/>
      <c r="AX1435" s="7"/>
      <c r="AY1435" s="7"/>
    </row>
    <row r="1436" spans="19:51">
      <c r="S1436" s="7"/>
      <c r="AX1436" s="7"/>
      <c r="AY1436" s="7"/>
    </row>
    <row r="1437" spans="19:51">
      <c r="S1437" s="7"/>
      <c r="AX1437" s="7"/>
      <c r="AY1437" s="7"/>
    </row>
    <row r="1438" spans="19:51">
      <c r="S1438" s="7"/>
      <c r="AX1438" s="7"/>
      <c r="AY1438" s="7"/>
    </row>
    <row r="1439" spans="19:51">
      <c r="S1439" s="7"/>
      <c r="AX1439" s="7"/>
      <c r="AY1439" s="7"/>
    </row>
    <row r="1440" spans="19:51">
      <c r="S1440" s="7"/>
      <c r="AX1440" s="7"/>
      <c r="AY1440" s="7"/>
    </row>
    <row r="1441" spans="19:51">
      <c r="S1441" s="7"/>
      <c r="AX1441" s="7"/>
      <c r="AY1441" s="7"/>
    </row>
    <row r="1442" spans="19:51">
      <c r="S1442" s="7"/>
      <c r="AX1442" s="7"/>
      <c r="AY1442" s="7"/>
    </row>
    <row r="1443" spans="19:51">
      <c r="S1443" s="7"/>
      <c r="AX1443" s="7"/>
      <c r="AY1443" s="7"/>
    </row>
    <row r="1444" spans="19:51">
      <c r="S1444" s="7"/>
      <c r="AX1444" s="7"/>
      <c r="AY1444" s="7"/>
    </row>
    <row r="1445" spans="19:51">
      <c r="S1445" s="7"/>
      <c r="AX1445" s="7"/>
      <c r="AY1445" s="7"/>
    </row>
    <row r="1446" spans="19:51">
      <c r="S1446" s="7"/>
      <c r="AX1446" s="7"/>
      <c r="AY1446" s="7"/>
    </row>
    <row r="1447" spans="19:51">
      <c r="S1447" s="7"/>
      <c r="AX1447" s="7"/>
      <c r="AY1447" s="7"/>
    </row>
    <row r="1448" spans="19:51">
      <c r="S1448" s="7"/>
      <c r="AX1448" s="7"/>
      <c r="AY1448" s="7"/>
    </row>
    <row r="1449" spans="19:51">
      <c r="S1449" s="7"/>
      <c r="AX1449" s="7"/>
      <c r="AY1449" s="7"/>
    </row>
    <row r="1450" spans="19:51">
      <c r="S1450" s="7"/>
      <c r="AX1450" s="7"/>
      <c r="AY1450" s="7"/>
    </row>
    <row r="1451" spans="19:51">
      <c r="S1451" s="7"/>
      <c r="AX1451" s="7"/>
      <c r="AY1451" s="7"/>
    </row>
    <row r="1452" spans="19:51">
      <c r="S1452" s="7"/>
      <c r="AX1452" s="7"/>
      <c r="AY1452" s="7"/>
    </row>
    <row r="1453" spans="19:51">
      <c r="S1453" s="7"/>
      <c r="AX1453" s="7"/>
      <c r="AY1453" s="7"/>
    </row>
    <row r="1454" spans="19:51">
      <c r="S1454" s="7"/>
      <c r="AX1454" s="7"/>
      <c r="AY1454" s="7"/>
    </row>
    <row r="1455" spans="19:51">
      <c r="S1455" s="7"/>
      <c r="AX1455" s="7"/>
      <c r="AY1455" s="7"/>
    </row>
    <row r="1456" spans="19:51">
      <c r="S1456" s="7"/>
      <c r="AX1456" s="7"/>
      <c r="AY1456" s="7"/>
    </row>
    <row r="1457" spans="19:51">
      <c r="S1457" s="7"/>
      <c r="AX1457" s="7"/>
      <c r="AY1457" s="7"/>
    </row>
    <row r="1458" spans="19:51">
      <c r="S1458" s="7"/>
      <c r="AX1458" s="7"/>
      <c r="AY1458" s="7"/>
    </row>
    <row r="1459" spans="19:51">
      <c r="S1459" s="7"/>
      <c r="AX1459" s="7"/>
      <c r="AY1459" s="7"/>
    </row>
    <row r="1460" spans="19:51">
      <c r="S1460" s="7"/>
      <c r="AX1460" s="7"/>
      <c r="AY1460" s="7"/>
    </row>
    <row r="1461" spans="19:51">
      <c r="S1461" s="7"/>
      <c r="AX1461" s="7"/>
      <c r="AY1461" s="7"/>
    </row>
    <row r="1462" spans="19:51">
      <c r="S1462" s="7"/>
      <c r="AX1462" s="7"/>
      <c r="AY1462" s="7"/>
    </row>
    <row r="1463" spans="19:51">
      <c r="S1463" s="7"/>
      <c r="AX1463" s="7"/>
      <c r="AY1463" s="7"/>
    </row>
    <row r="1464" spans="19:51">
      <c r="S1464" s="7"/>
      <c r="AX1464" s="7"/>
      <c r="AY1464" s="7"/>
    </row>
    <row r="1465" spans="19:51">
      <c r="S1465" s="7"/>
      <c r="AX1465" s="7"/>
      <c r="AY1465" s="7"/>
    </row>
    <row r="1466" spans="19:51">
      <c r="S1466" s="7"/>
      <c r="AX1466" s="7"/>
      <c r="AY1466" s="7"/>
    </row>
    <row r="1467" spans="19:51">
      <c r="S1467" s="7"/>
      <c r="AX1467" s="7"/>
      <c r="AY1467" s="7"/>
    </row>
    <row r="1468" spans="19:51">
      <c r="S1468" s="7"/>
      <c r="AX1468" s="7"/>
      <c r="AY1468" s="7"/>
    </row>
    <row r="1469" spans="19:51">
      <c r="S1469" s="7"/>
      <c r="AX1469" s="7"/>
      <c r="AY1469" s="7"/>
    </row>
    <row r="1470" spans="19:51">
      <c r="S1470" s="7"/>
      <c r="AX1470" s="7"/>
      <c r="AY1470" s="7"/>
    </row>
    <row r="1471" spans="19:51">
      <c r="S1471" s="7"/>
      <c r="AX1471" s="7"/>
      <c r="AY1471" s="7"/>
    </row>
    <row r="1472" spans="19:51">
      <c r="S1472" s="7"/>
      <c r="AX1472" s="7"/>
      <c r="AY1472" s="7"/>
    </row>
    <row r="1473" spans="19:51">
      <c r="S1473" s="7"/>
      <c r="AX1473" s="7"/>
      <c r="AY1473" s="7"/>
    </row>
    <row r="1474" spans="19:51">
      <c r="S1474" s="7"/>
      <c r="AX1474" s="7"/>
      <c r="AY1474" s="7"/>
    </row>
    <row r="1475" spans="19:51">
      <c r="S1475" s="7"/>
      <c r="AX1475" s="7"/>
      <c r="AY1475" s="7"/>
    </row>
    <row r="1476" spans="19:51">
      <c r="S1476" s="7"/>
      <c r="AX1476" s="7"/>
      <c r="AY1476" s="7"/>
    </row>
    <row r="1477" spans="19:51">
      <c r="S1477" s="7"/>
      <c r="AX1477" s="7"/>
      <c r="AY1477" s="7"/>
    </row>
    <row r="1478" spans="19:51">
      <c r="S1478" s="7"/>
      <c r="AX1478" s="7"/>
      <c r="AY1478" s="7"/>
    </row>
    <row r="1479" spans="19:51">
      <c r="S1479" s="7"/>
      <c r="AX1479" s="7"/>
      <c r="AY1479" s="7"/>
    </row>
    <row r="1480" spans="19:51">
      <c r="S1480" s="7"/>
      <c r="AX1480" s="7"/>
      <c r="AY1480" s="7"/>
    </row>
    <row r="1481" spans="19:51">
      <c r="S1481" s="7"/>
      <c r="AX1481" s="7"/>
      <c r="AY1481" s="7"/>
    </row>
    <row r="1482" spans="19:51">
      <c r="S1482" s="7"/>
      <c r="AX1482" s="7"/>
      <c r="AY1482" s="7"/>
    </row>
    <row r="1483" spans="19:51">
      <c r="S1483" s="7"/>
      <c r="AX1483" s="7"/>
      <c r="AY1483" s="7"/>
    </row>
    <row r="1484" spans="19:51">
      <c r="S1484" s="7"/>
      <c r="AX1484" s="7"/>
      <c r="AY1484" s="7"/>
    </row>
    <row r="1485" spans="19:51">
      <c r="S1485" s="7"/>
      <c r="AX1485" s="7"/>
      <c r="AY1485" s="7"/>
    </row>
    <row r="1486" spans="19:51">
      <c r="S1486" s="7"/>
      <c r="AX1486" s="7"/>
      <c r="AY1486" s="7"/>
    </row>
    <row r="1487" spans="19:51">
      <c r="S1487" s="7"/>
      <c r="AX1487" s="7"/>
      <c r="AY1487" s="7"/>
    </row>
    <row r="1488" spans="19:51">
      <c r="S1488" s="7"/>
      <c r="AX1488" s="7"/>
      <c r="AY1488" s="7"/>
    </row>
    <row r="1489" spans="19:51">
      <c r="S1489" s="7"/>
      <c r="AX1489" s="7"/>
      <c r="AY1489" s="7"/>
    </row>
    <row r="1490" spans="19:51">
      <c r="S1490" s="7"/>
      <c r="AX1490" s="7"/>
      <c r="AY1490" s="7"/>
    </row>
    <row r="1491" spans="19:51">
      <c r="S1491" s="7"/>
      <c r="AX1491" s="7"/>
      <c r="AY1491" s="7"/>
    </row>
    <row r="1492" spans="19:51">
      <c r="S1492" s="7"/>
      <c r="AX1492" s="7"/>
      <c r="AY1492" s="7"/>
    </row>
    <row r="1493" spans="19:51">
      <c r="S1493" s="7"/>
      <c r="AX1493" s="7"/>
      <c r="AY1493" s="7"/>
    </row>
    <row r="1494" spans="19:51">
      <c r="S1494" s="7"/>
      <c r="AX1494" s="7"/>
      <c r="AY1494" s="7"/>
    </row>
    <row r="1495" spans="19:51">
      <c r="S1495" s="7"/>
      <c r="AX1495" s="7"/>
      <c r="AY1495" s="7"/>
    </row>
    <row r="1496" spans="19:51">
      <c r="S1496" s="7"/>
      <c r="AX1496" s="7"/>
      <c r="AY1496" s="7"/>
    </row>
    <row r="1497" spans="19:51">
      <c r="S1497" s="7"/>
      <c r="AX1497" s="7"/>
      <c r="AY1497" s="7"/>
    </row>
    <row r="1498" spans="19:51">
      <c r="S1498" s="7"/>
      <c r="AX1498" s="7"/>
      <c r="AY1498" s="7"/>
    </row>
    <row r="1499" spans="19:51">
      <c r="S1499" s="7"/>
      <c r="AX1499" s="7"/>
      <c r="AY1499" s="7"/>
    </row>
    <row r="1500" spans="19:51">
      <c r="S1500" s="7"/>
      <c r="AX1500" s="7"/>
      <c r="AY1500" s="7"/>
    </row>
    <row r="1501" spans="19:51">
      <c r="S1501" s="7"/>
      <c r="AX1501" s="7"/>
      <c r="AY1501" s="7"/>
    </row>
    <row r="1502" spans="19:51">
      <c r="S1502" s="7"/>
      <c r="AX1502" s="7"/>
      <c r="AY1502" s="7"/>
    </row>
    <row r="1503" spans="19:51">
      <c r="S1503" s="7"/>
      <c r="AX1503" s="7"/>
      <c r="AY1503" s="7"/>
    </row>
    <row r="1504" spans="19:51">
      <c r="S1504" s="7"/>
      <c r="AX1504" s="7"/>
      <c r="AY1504" s="7"/>
    </row>
    <row r="1505" spans="19:51">
      <c r="S1505" s="7"/>
      <c r="AX1505" s="7"/>
      <c r="AY1505" s="7"/>
    </row>
    <row r="1506" spans="19:51">
      <c r="S1506" s="7"/>
      <c r="AX1506" s="7"/>
      <c r="AY1506" s="7"/>
    </row>
    <row r="1507" spans="19:51">
      <c r="S1507" s="7"/>
      <c r="AX1507" s="7"/>
      <c r="AY1507" s="7"/>
    </row>
    <row r="1508" spans="19:51">
      <c r="S1508" s="7"/>
      <c r="AX1508" s="7"/>
      <c r="AY1508" s="7"/>
    </row>
    <row r="1509" spans="19:51">
      <c r="S1509" s="7"/>
      <c r="AX1509" s="7"/>
      <c r="AY1509" s="7"/>
    </row>
    <row r="1510" spans="19:51">
      <c r="S1510" s="7"/>
      <c r="AX1510" s="7"/>
      <c r="AY1510" s="7"/>
    </row>
    <row r="1511" spans="19:51">
      <c r="S1511" s="7"/>
      <c r="AX1511" s="7"/>
      <c r="AY1511" s="7"/>
    </row>
    <row r="1512" spans="19:51">
      <c r="S1512" s="7"/>
      <c r="AX1512" s="7"/>
      <c r="AY1512" s="7"/>
    </row>
    <row r="1513" spans="19:51">
      <c r="S1513" s="7"/>
      <c r="AX1513" s="7"/>
      <c r="AY1513" s="7"/>
    </row>
    <row r="1514" spans="19:51">
      <c r="S1514" s="7"/>
      <c r="AX1514" s="7"/>
      <c r="AY1514" s="7"/>
    </row>
    <row r="1515" spans="19:51">
      <c r="S1515" s="7"/>
      <c r="AX1515" s="7"/>
      <c r="AY1515" s="7"/>
    </row>
    <row r="1516" spans="19:51">
      <c r="S1516" s="7"/>
      <c r="AX1516" s="7"/>
      <c r="AY1516" s="7"/>
    </row>
    <row r="1517" spans="19:51">
      <c r="S1517" s="7"/>
      <c r="AX1517" s="7"/>
      <c r="AY1517" s="7"/>
    </row>
    <row r="1518" spans="19:51">
      <c r="S1518" s="7"/>
      <c r="AX1518" s="7"/>
      <c r="AY1518" s="7"/>
    </row>
    <row r="1519" spans="19:51">
      <c r="S1519" s="7"/>
      <c r="AX1519" s="7"/>
      <c r="AY1519" s="7"/>
    </row>
    <row r="1520" spans="19:51">
      <c r="S1520" s="7"/>
      <c r="AX1520" s="7"/>
      <c r="AY1520" s="7"/>
    </row>
    <row r="1521" spans="19:51">
      <c r="S1521" s="7"/>
      <c r="AX1521" s="7"/>
      <c r="AY1521" s="7"/>
    </row>
    <row r="1522" spans="19:51">
      <c r="S1522" s="7"/>
      <c r="AX1522" s="7"/>
      <c r="AY1522" s="7"/>
    </row>
    <row r="1523" spans="19:51">
      <c r="S1523" s="7"/>
      <c r="AX1523" s="7"/>
      <c r="AY1523" s="7"/>
    </row>
    <row r="1524" spans="19:51">
      <c r="S1524" s="7"/>
      <c r="AX1524" s="7"/>
      <c r="AY1524" s="7"/>
    </row>
    <row r="1525" spans="19:51">
      <c r="S1525" s="7"/>
      <c r="AX1525" s="7"/>
      <c r="AY1525" s="7"/>
    </row>
    <row r="1526" spans="19:51">
      <c r="S1526" s="7"/>
      <c r="AX1526" s="7"/>
      <c r="AY1526" s="7"/>
    </row>
    <row r="1527" spans="19:51">
      <c r="S1527" s="7"/>
      <c r="AX1527" s="7"/>
      <c r="AY1527" s="7"/>
    </row>
    <row r="1528" spans="19:51">
      <c r="S1528" s="7"/>
      <c r="AX1528" s="7"/>
      <c r="AY1528" s="7"/>
    </row>
    <row r="1529" spans="19:51">
      <c r="S1529" s="7"/>
      <c r="AX1529" s="7"/>
      <c r="AY1529" s="7"/>
    </row>
    <row r="1530" spans="19:51">
      <c r="S1530" s="7"/>
      <c r="AX1530" s="7"/>
      <c r="AY1530" s="7"/>
    </row>
    <row r="1531" spans="19:51">
      <c r="S1531" s="7"/>
      <c r="AX1531" s="7"/>
      <c r="AY1531" s="7"/>
    </row>
    <row r="1532" spans="19:51">
      <c r="S1532" s="7"/>
      <c r="AX1532" s="7"/>
      <c r="AY1532" s="7"/>
    </row>
    <row r="1533" spans="19:51">
      <c r="S1533" s="7"/>
      <c r="AX1533" s="7"/>
      <c r="AY1533" s="7"/>
    </row>
    <row r="1534" spans="19:51">
      <c r="S1534" s="7"/>
      <c r="AX1534" s="7"/>
      <c r="AY1534" s="7"/>
    </row>
    <row r="1535" spans="19:51">
      <c r="S1535" s="7"/>
      <c r="AX1535" s="7"/>
      <c r="AY1535" s="7"/>
    </row>
    <row r="1536" spans="19:51">
      <c r="S1536" s="7"/>
      <c r="AX1536" s="7"/>
      <c r="AY1536" s="7"/>
    </row>
    <row r="1537" spans="19:51">
      <c r="S1537" s="7"/>
      <c r="AX1537" s="7"/>
      <c r="AY1537" s="7"/>
    </row>
    <row r="1538" spans="19:51">
      <c r="S1538" s="7"/>
      <c r="AX1538" s="7"/>
      <c r="AY1538" s="7"/>
    </row>
    <row r="1539" spans="19:51">
      <c r="S1539" s="7"/>
      <c r="AX1539" s="7"/>
      <c r="AY1539" s="7"/>
    </row>
    <row r="1540" spans="19:51">
      <c r="S1540" s="7"/>
      <c r="AX1540" s="7"/>
      <c r="AY1540" s="7"/>
    </row>
    <row r="1541" spans="19:51">
      <c r="S1541" s="7"/>
      <c r="AX1541" s="7"/>
      <c r="AY1541" s="7"/>
    </row>
    <row r="1542" spans="19:51">
      <c r="S1542" s="7"/>
      <c r="AX1542" s="7"/>
      <c r="AY1542" s="7"/>
    </row>
    <row r="1543" spans="19:51">
      <c r="S1543" s="7"/>
      <c r="AX1543" s="7"/>
      <c r="AY1543" s="7"/>
    </row>
    <row r="1544" spans="19:51">
      <c r="S1544" s="7"/>
      <c r="AX1544" s="7"/>
      <c r="AY1544" s="7"/>
    </row>
    <row r="1545" spans="19:51">
      <c r="S1545" s="7"/>
      <c r="AX1545" s="7"/>
      <c r="AY1545" s="7"/>
    </row>
    <row r="1546" spans="19:51">
      <c r="S1546" s="7"/>
      <c r="AX1546" s="7"/>
      <c r="AY1546" s="7"/>
    </row>
    <row r="1547" spans="19:51">
      <c r="S1547" s="7"/>
      <c r="AX1547" s="7"/>
      <c r="AY1547" s="7"/>
    </row>
    <row r="1548" spans="19:51">
      <c r="S1548" s="7"/>
      <c r="AX1548" s="7"/>
      <c r="AY1548" s="7"/>
    </row>
    <row r="1549" spans="19:51">
      <c r="S1549" s="7"/>
      <c r="AX1549" s="7"/>
      <c r="AY1549" s="7"/>
    </row>
    <row r="1550" spans="19:51">
      <c r="S1550" s="7"/>
      <c r="AX1550" s="7"/>
      <c r="AY1550" s="7"/>
    </row>
    <row r="1551" spans="19:51">
      <c r="S1551" s="7"/>
      <c r="AX1551" s="7"/>
      <c r="AY1551" s="7"/>
    </row>
    <row r="1552" spans="19:51">
      <c r="S1552" s="7"/>
      <c r="AX1552" s="7"/>
      <c r="AY1552" s="7"/>
    </row>
    <row r="1553" spans="19:51">
      <c r="S1553" s="7"/>
      <c r="AX1553" s="7"/>
      <c r="AY1553" s="7"/>
    </row>
    <row r="1554" spans="19:51">
      <c r="S1554" s="7"/>
      <c r="AX1554" s="7"/>
      <c r="AY1554" s="7"/>
    </row>
    <row r="1555" spans="19:51">
      <c r="S1555" s="7"/>
      <c r="AX1555" s="7"/>
      <c r="AY1555" s="7"/>
    </row>
    <row r="1556" spans="19:51">
      <c r="S1556" s="7"/>
      <c r="AX1556" s="7"/>
      <c r="AY1556" s="7"/>
    </row>
    <row r="1557" spans="19:51">
      <c r="S1557" s="7"/>
      <c r="AX1557" s="7"/>
      <c r="AY1557" s="7"/>
    </row>
    <row r="1558" spans="19:51">
      <c r="S1558" s="7"/>
      <c r="AX1558" s="7"/>
      <c r="AY1558" s="7"/>
    </row>
    <row r="1559" spans="19:51">
      <c r="S1559" s="7"/>
      <c r="AX1559" s="7"/>
      <c r="AY1559" s="7"/>
    </row>
    <row r="1560" spans="19:51">
      <c r="S1560" s="7"/>
      <c r="AX1560" s="7"/>
      <c r="AY1560" s="7"/>
    </row>
    <row r="1561" spans="19:51">
      <c r="S1561" s="7"/>
      <c r="AX1561" s="7"/>
      <c r="AY1561" s="7"/>
    </row>
    <row r="1562" spans="19:51">
      <c r="S1562" s="7"/>
      <c r="AX1562" s="7"/>
      <c r="AY1562" s="7"/>
    </row>
    <row r="1563" spans="19:51">
      <c r="S1563" s="7"/>
      <c r="AX1563" s="7"/>
      <c r="AY1563" s="7"/>
    </row>
    <row r="1564" spans="19:51">
      <c r="S1564" s="7"/>
      <c r="AX1564" s="7"/>
      <c r="AY1564" s="7"/>
    </row>
    <row r="1565" spans="19:51">
      <c r="S1565" s="7"/>
      <c r="AX1565" s="7"/>
      <c r="AY1565" s="7"/>
    </row>
    <row r="1566" spans="19:51">
      <c r="S1566" s="7"/>
      <c r="AX1566" s="7"/>
      <c r="AY1566" s="7"/>
    </row>
    <row r="1567" spans="19:51">
      <c r="S1567" s="7"/>
      <c r="AX1567" s="7"/>
      <c r="AY1567" s="7"/>
    </row>
    <row r="1568" spans="19:51">
      <c r="S1568" s="7"/>
      <c r="AX1568" s="7"/>
      <c r="AY1568" s="7"/>
    </row>
    <row r="1569" spans="19:51">
      <c r="S1569" s="7"/>
      <c r="AX1569" s="7"/>
      <c r="AY1569" s="7"/>
    </row>
    <row r="1570" spans="19:51">
      <c r="S1570" s="7"/>
      <c r="AX1570" s="7"/>
      <c r="AY1570" s="7"/>
    </row>
    <row r="1571" spans="19:51">
      <c r="S1571" s="7"/>
      <c r="AX1571" s="7"/>
      <c r="AY1571" s="7"/>
    </row>
    <row r="1572" spans="19:51">
      <c r="S1572" s="7"/>
      <c r="AX1572" s="7"/>
      <c r="AY1572" s="7"/>
    </row>
    <row r="1573" spans="19:51">
      <c r="S1573" s="7"/>
      <c r="AX1573" s="7"/>
      <c r="AY1573" s="7"/>
    </row>
    <row r="1574" spans="19:51">
      <c r="S1574" s="7"/>
      <c r="AX1574" s="7"/>
      <c r="AY1574" s="7"/>
    </row>
    <row r="1575" spans="19:51">
      <c r="S1575" s="7"/>
      <c r="AX1575" s="7"/>
      <c r="AY1575" s="7"/>
    </row>
    <row r="1576" spans="19:51">
      <c r="S1576" s="7"/>
      <c r="AX1576" s="7"/>
      <c r="AY1576" s="7"/>
    </row>
    <row r="1577" spans="19:51">
      <c r="S1577" s="7"/>
      <c r="AX1577" s="7"/>
      <c r="AY1577" s="7"/>
    </row>
    <row r="1578" spans="19:51">
      <c r="S1578" s="7"/>
      <c r="AX1578" s="7"/>
      <c r="AY1578" s="7"/>
    </row>
    <row r="1579" spans="19:51">
      <c r="S1579" s="7"/>
      <c r="AX1579" s="7"/>
      <c r="AY1579" s="7"/>
    </row>
    <row r="1580" spans="19:51">
      <c r="S1580" s="7"/>
      <c r="AX1580" s="7"/>
      <c r="AY1580" s="7"/>
    </row>
    <row r="1581" spans="19:51">
      <c r="S1581" s="7"/>
      <c r="AX1581" s="7"/>
      <c r="AY1581" s="7"/>
    </row>
    <row r="1582" spans="19:51">
      <c r="S1582" s="7"/>
      <c r="AX1582" s="7"/>
      <c r="AY1582" s="7"/>
    </row>
    <row r="1583" spans="19:51">
      <c r="S1583" s="7"/>
      <c r="AX1583" s="7"/>
      <c r="AY1583" s="7"/>
    </row>
    <row r="1584" spans="19:51">
      <c r="S1584" s="7"/>
      <c r="AX1584" s="7"/>
      <c r="AY1584" s="7"/>
    </row>
    <row r="1585" spans="19:51">
      <c r="S1585" s="7"/>
      <c r="AX1585" s="7"/>
      <c r="AY1585" s="7"/>
    </row>
    <row r="1586" spans="19:51">
      <c r="S1586" s="7"/>
      <c r="AX1586" s="7"/>
      <c r="AY1586" s="7"/>
    </row>
    <row r="1587" spans="19:51">
      <c r="S1587" s="7"/>
      <c r="AX1587" s="7"/>
      <c r="AY1587" s="7"/>
    </row>
    <row r="1588" spans="19:51">
      <c r="S1588" s="7"/>
      <c r="AX1588" s="7"/>
      <c r="AY1588" s="7"/>
    </row>
    <row r="1589" spans="19:51">
      <c r="S1589" s="7"/>
      <c r="AX1589" s="7"/>
      <c r="AY1589" s="7"/>
    </row>
    <row r="1590" spans="19:51">
      <c r="S1590" s="7"/>
      <c r="AX1590" s="7"/>
      <c r="AY1590" s="7"/>
    </row>
    <row r="1591" spans="19:51">
      <c r="S1591" s="7"/>
      <c r="AX1591" s="7"/>
      <c r="AY1591" s="7"/>
    </row>
    <row r="1592" spans="19:51">
      <c r="S1592" s="7"/>
      <c r="AX1592" s="7"/>
      <c r="AY1592" s="7"/>
    </row>
    <row r="1593" spans="19:51">
      <c r="S1593" s="7"/>
      <c r="AX1593" s="7"/>
      <c r="AY1593" s="7"/>
    </row>
    <row r="1594" spans="19:51">
      <c r="S1594" s="7"/>
      <c r="AX1594" s="7"/>
      <c r="AY1594" s="7"/>
    </row>
    <row r="1595" spans="19:51">
      <c r="S1595" s="7"/>
      <c r="AX1595" s="7"/>
      <c r="AY1595" s="7"/>
    </row>
    <row r="1596" spans="19:51">
      <c r="S1596" s="7"/>
      <c r="AX1596" s="7"/>
      <c r="AY1596" s="7"/>
    </row>
    <row r="1597" spans="19:51">
      <c r="S1597" s="7"/>
      <c r="AX1597" s="7"/>
      <c r="AY1597" s="7"/>
    </row>
    <row r="1598" spans="19:51">
      <c r="S1598" s="7"/>
      <c r="AX1598" s="7"/>
      <c r="AY1598" s="7"/>
    </row>
    <row r="1599" spans="19:51">
      <c r="S1599" s="7"/>
      <c r="AX1599" s="7"/>
      <c r="AY1599" s="7"/>
    </row>
    <row r="1600" spans="19:51">
      <c r="S1600" s="7"/>
      <c r="AX1600" s="7"/>
      <c r="AY1600" s="7"/>
    </row>
    <row r="1601" spans="19:51">
      <c r="S1601" s="7"/>
      <c r="AX1601" s="7"/>
      <c r="AY1601" s="7"/>
    </row>
    <row r="1602" spans="19:51">
      <c r="S1602" s="7"/>
      <c r="AX1602" s="7"/>
      <c r="AY1602" s="7"/>
    </row>
    <row r="1603" spans="19:51">
      <c r="S1603" s="7"/>
      <c r="AX1603" s="7"/>
      <c r="AY1603" s="7"/>
    </row>
    <row r="1604" spans="19:51">
      <c r="S1604" s="7"/>
      <c r="AX1604" s="7"/>
      <c r="AY1604" s="7"/>
    </row>
    <row r="1605" spans="19:51">
      <c r="S1605" s="7"/>
      <c r="AX1605" s="7"/>
      <c r="AY1605" s="7"/>
    </row>
    <row r="1606" spans="19:51">
      <c r="S1606" s="7"/>
      <c r="AX1606" s="7"/>
      <c r="AY1606" s="7"/>
    </row>
    <row r="1607" spans="19:51">
      <c r="S1607" s="7"/>
      <c r="AX1607" s="7"/>
      <c r="AY1607" s="7"/>
    </row>
    <row r="1608" spans="19:51">
      <c r="S1608" s="7"/>
      <c r="AX1608" s="7"/>
      <c r="AY1608" s="7"/>
    </row>
    <row r="1609" spans="19:51">
      <c r="S1609" s="7"/>
      <c r="AX1609" s="7"/>
      <c r="AY1609" s="7"/>
    </row>
    <row r="1610" spans="19:51">
      <c r="S1610" s="7"/>
      <c r="AX1610" s="7"/>
      <c r="AY1610" s="7"/>
    </row>
    <row r="1611" spans="19:51">
      <c r="S1611" s="7"/>
      <c r="AX1611" s="7"/>
      <c r="AY1611" s="7"/>
    </row>
    <row r="1612" spans="19:51">
      <c r="S1612" s="7"/>
      <c r="AX1612" s="7"/>
      <c r="AY1612" s="7"/>
    </row>
    <row r="1613" spans="19:51">
      <c r="S1613" s="7"/>
      <c r="AX1613" s="7"/>
      <c r="AY1613" s="7"/>
    </row>
    <row r="1614" spans="19:51">
      <c r="S1614" s="7"/>
      <c r="AX1614" s="7"/>
      <c r="AY1614" s="7"/>
    </row>
    <row r="1615" spans="19:51">
      <c r="S1615" s="7"/>
      <c r="AX1615" s="7"/>
      <c r="AY1615" s="7"/>
    </row>
    <row r="1616" spans="19:51">
      <c r="S1616" s="7"/>
      <c r="AX1616" s="7"/>
      <c r="AY1616" s="7"/>
    </row>
    <row r="1617" spans="19:51">
      <c r="S1617" s="7"/>
      <c r="AX1617" s="7"/>
      <c r="AY1617" s="7"/>
    </row>
    <row r="1618" spans="19:51">
      <c r="S1618" s="7"/>
      <c r="AX1618" s="7"/>
      <c r="AY1618" s="7"/>
    </row>
    <row r="1619" spans="19:51">
      <c r="S1619" s="7"/>
      <c r="AX1619" s="7"/>
      <c r="AY1619" s="7"/>
    </row>
    <row r="1620" spans="19:51">
      <c r="S1620" s="7"/>
      <c r="AX1620" s="7"/>
      <c r="AY1620" s="7"/>
    </row>
    <row r="1621" spans="19:51">
      <c r="S1621" s="7"/>
      <c r="AX1621" s="7"/>
      <c r="AY1621" s="7"/>
    </row>
    <row r="1622" spans="19:51">
      <c r="S1622" s="7"/>
      <c r="AX1622" s="7"/>
      <c r="AY1622" s="7"/>
    </row>
    <row r="1623" spans="19:51">
      <c r="S1623" s="7"/>
      <c r="AX1623" s="7"/>
      <c r="AY1623" s="7"/>
    </row>
    <row r="1624" spans="19:51">
      <c r="S1624" s="7"/>
      <c r="AX1624" s="7"/>
      <c r="AY1624" s="7"/>
    </row>
    <row r="1625" spans="19:51">
      <c r="S1625" s="7"/>
      <c r="AX1625" s="7"/>
      <c r="AY1625" s="7"/>
    </row>
    <row r="1626" spans="19:51">
      <c r="S1626" s="7"/>
      <c r="AX1626" s="7"/>
      <c r="AY1626" s="7"/>
    </row>
    <row r="1627" spans="19:51">
      <c r="S1627" s="7"/>
      <c r="AX1627" s="7"/>
      <c r="AY1627" s="7"/>
    </row>
    <row r="1628" spans="19:51">
      <c r="S1628" s="7"/>
      <c r="AX1628" s="7"/>
      <c r="AY1628" s="7"/>
    </row>
    <row r="1629" spans="19:51">
      <c r="S1629" s="7"/>
      <c r="AX1629" s="7"/>
      <c r="AY1629" s="7"/>
    </row>
    <row r="1630" spans="19:51">
      <c r="S1630" s="7"/>
      <c r="AX1630" s="7"/>
      <c r="AY1630" s="7"/>
    </row>
    <row r="1631" spans="19:51">
      <c r="S1631" s="7"/>
      <c r="AX1631" s="7"/>
      <c r="AY1631" s="7"/>
    </row>
    <row r="1632" spans="19:51">
      <c r="S1632" s="7"/>
      <c r="AX1632" s="7"/>
      <c r="AY1632" s="7"/>
    </row>
    <row r="1633" spans="19:51">
      <c r="S1633" s="7"/>
      <c r="AX1633" s="7"/>
      <c r="AY1633" s="7"/>
    </row>
    <row r="1634" spans="19:51">
      <c r="S1634" s="7"/>
      <c r="AX1634" s="7"/>
      <c r="AY1634" s="7"/>
    </row>
    <row r="1635" spans="19:51">
      <c r="S1635" s="7"/>
      <c r="AX1635" s="7"/>
      <c r="AY1635" s="7"/>
    </row>
    <row r="1636" spans="19:51">
      <c r="S1636" s="7"/>
      <c r="AX1636" s="7"/>
      <c r="AY1636" s="7"/>
    </row>
    <row r="1637" spans="19:51">
      <c r="S1637" s="7"/>
      <c r="AX1637" s="7"/>
      <c r="AY1637" s="7"/>
    </row>
    <row r="1638" spans="19:51">
      <c r="S1638" s="7"/>
      <c r="AX1638" s="7"/>
      <c r="AY1638" s="7"/>
    </row>
    <row r="1639" spans="19:51">
      <c r="S1639" s="7"/>
      <c r="AX1639" s="7"/>
      <c r="AY1639" s="7"/>
    </row>
    <row r="1640" spans="19:51">
      <c r="S1640" s="7"/>
      <c r="AX1640" s="7"/>
      <c r="AY1640" s="7"/>
    </row>
    <row r="1641" spans="19:51">
      <c r="S1641" s="7"/>
      <c r="AX1641" s="7"/>
      <c r="AY1641" s="7"/>
    </row>
    <row r="1642" spans="19:51">
      <c r="S1642" s="7"/>
      <c r="AX1642" s="7"/>
      <c r="AY1642" s="7"/>
    </row>
    <row r="1643" spans="19:51">
      <c r="S1643" s="7"/>
      <c r="AX1643" s="7"/>
      <c r="AY1643" s="7"/>
    </row>
    <row r="1644" spans="19:51">
      <c r="S1644" s="7"/>
      <c r="AX1644" s="7"/>
      <c r="AY1644" s="7"/>
    </row>
    <row r="1645" spans="19:51">
      <c r="S1645" s="7"/>
      <c r="AX1645" s="7"/>
      <c r="AY1645" s="7"/>
    </row>
    <row r="1646" spans="19:51">
      <c r="S1646" s="7"/>
      <c r="AX1646" s="7"/>
      <c r="AY1646" s="7"/>
    </row>
    <row r="1647" spans="19:51">
      <c r="S1647" s="7"/>
      <c r="AX1647" s="7"/>
      <c r="AY1647" s="7"/>
    </row>
    <row r="1648" spans="19:51">
      <c r="S1648" s="7"/>
      <c r="AX1648" s="7"/>
      <c r="AY1648" s="7"/>
    </row>
    <row r="1649" spans="19:51">
      <c r="S1649" s="7"/>
      <c r="AX1649" s="7"/>
      <c r="AY1649" s="7"/>
    </row>
    <row r="1650" spans="19:51">
      <c r="S1650" s="7"/>
      <c r="AX1650" s="7"/>
      <c r="AY1650" s="7"/>
    </row>
    <row r="1651" spans="19:51">
      <c r="S1651" s="7"/>
      <c r="AX1651" s="7"/>
      <c r="AY1651" s="7"/>
    </row>
    <row r="1652" spans="19:51">
      <c r="S1652" s="7"/>
      <c r="AX1652" s="7"/>
      <c r="AY1652" s="7"/>
    </row>
    <row r="1653" spans="19:51">
      <c r="S1653" s="7"/>
      <c r="AX1653" s="7"/>
      <c r="AY1653" s="7"/>
    </row>
    <row r="1654" spans="19:51">
      <c r="S1654" s="7"/>
      <c r="AX1654" s="7"/>
      <c r="AY1654" s="7"/>
    </row>
    <row r="1655" spans="19:51">
      <c r="S1655" s="7"/>
      <c r="AX1655" s="7"/>
      <c r="AY1655" s="7"/>
    </row>
    <row r="1656" spans="19:51">
      <c r="S1656" s="7"/>
      <c r="AX1656" s="7"/>
      <c r="AY1656" s="7"/>
    </row>
    <row r="1657" spans="19:51">
      <c r="S1657" s="7"/>
      <c r="AX1657" s="7"/>
      <c r="AY1657" s="7"/>
    </row>
    <row r="1658" spans="19:51">
      <c r="S1658" s="7"/>
      <c r="AX1658" s="7"/>
      <c r="AY1658" s="7"/>
    </row>
    <row r="1659" spans="19:51">
      <c r="S1659" s="7"/>
      <c r="AX1659" s="7"/>
      <c r="AY1659" s="7"/>
    </row>
    <row r="1660" spans="19:51">
      <c r="S1660" s="7"/>
      <c r="AX1660" s="7"/>
      <c r="AY1660" s="7"/>
    </row>
    <row r="1661" spans="19:51">
      <c r="S1661" s="7"/>
      <c r="AX1661" s="7"/>
      <c r="AY1661" s="7"/>
    </row>
    <row r="1662" spans="19:51">
      <c r="S1662" s="7"/>
      <c r="AX1662" s="7"/>
      <c r="AY1662" s="7"/>
    </row>
    <row r="1663" spans="19:51">
      <c r="S1663" s="7"/>
      <c r="AX1663" s="7"/>
      <c r="AY1663" s="7"/>
    </row>
    <row r="1664" spans="19:51">
      <c r="S1664" s="7"/>
      <c r="AX1664" s="7"/>
      <c r="AY1664" s="7"/>
    </row>
    <row r="1665" spans="19:51">
      <c r="S1665" s="7"/>
      <c r="AX1665" s="7"/>
      <c r="AY1665" s="7"/>
    </row>
    <row r="1666" spans="19:51">
      <c r="S1666" s="7"/>
      <c r="AX1666" s="7"/>
      <c r="AY1666" s="7"/>
    </row>
    <row r="1667" spans="19:51">
      <c r="S1667" s="7"/>
      <c r="AX1667" s="7"/>
      <c r="AY1667" s="7"/>
    </row>
    <row r="1668" spans="19:51">
      <c r="S1668" s="7"/>
      <c r="AX1668" s="7"/>
      <c r="AY1668" s="7"/>
    </row>
    <row r="1669" spans="19:51">
      <c r="S1669" s="7"/>
      <c r="AX1669" s="7"/>
      <c r="AY1669" s="7"/>
    </row>
    <row r="1670" spans="19:51">
      <c r="S1670" s="7"/>
      <c r="AX1670" s="7"/>
      <c r="AY1670" s="7"/>
    </row>
    <row r="1671" spans="19:51">
      <c r="S1671" s="7"/>
      <c r="AX1671" s="7"/>
      <c r="AY1671" s="7"/>
    </row>
    <row r="1672" spans="19:51">
      <c r="S1672" s="7"/>
      <c r="AX1672" s="7"/>
      <c r="AY1672" s="7"/>
    </row>
    <row r="1673" spans="19:51">
      <c r="S1673" s="7"/>
      <c r="AX1673" s="7"/>
      <c r="AY1673" s="7"/>
    </row>
    <row r="1674" spans="19:51">
      <c r="S1674" s="7"/>
      <c r="AX1674" s="7"/>
      <c r="AY1674" s="7"/>
    </row>
    <row r="1675" spans="19:51">
      <c r="S1675" s="7"/>
      <c r="AX1675" s="7"/>
      <c r="AY1675" s="7"/>
    </row>
    <row r="1676" spans="19:51">
      <c r="S1676" s="7"/>
      <c r="AX1676" s="7"/>
      <c r="AY1676" s="7"/>
    </row>
    <row r="1677" spans="19:51">
      <c r="S1677" s="7"/>
      <c r="AX1677" s="7"/>
      <c r="AY1677" s="7"/>
    </row>
    <row r="1678" spans="19:51">
      <c r="S1678" s="7"/>
      <c r="AX1678" s="7"/>
      <c r="AY1678" s="7"/>
    </row>
    <row r="1679" spans="19:51">
      <c r="S1679" s="7"/>
      <c r="AX1679" s="7"/>
      <c r="AY1679" s="7"/>
    </row>
    <row r="1680" spans="19:51">
      <c r="S1680" s="7"/>
      <c r="AX1680" s="7"/>
      <c r="AY1680" s="7"/>
    </row>
    <row r="1681" spans="19:51">
      <c r="S1681" s="7"/>
      <c r="AX1681" s="7"/>
      <c r="AY1681" s="7"/>
    </row>
    <row r="1682" spans="19:51">
      <c r="S1682" s="7"/>
      <c r="AX1682" s="7"/>
      <c r="AY1682" s="7"/>
    </row>
    <row r="1683" spans="19:51">
      <c r="S1683" s="7"/>
      <c r="AX1683" s="7"/>
      <c r="AY1683" s="7"/>
    </row>
    <row r="1684" spans="19:51">
      <c r="S1684" s="7"/>
      <c r="AX1684" s="7"/>
      <c r="AY1684" s="7"/>
    </row>
    <row r="1685" spans="19:51">
      <c r="S1685" s="7"/>
      <c r="AX1685" s="7"/>
      <c r="AY1685" s="7"/>
    </row>
    <row r="1686" spans="19:51">
      <c r="S1686" s="7"/>
      <c r="AX1686" s="7"/>
      <c r="AY1686" s="7"/>
    </row>
    <row r="1687" spans="19:51">
      <c r="S1687" s="7"/>
      <c r="AX1687" s="7"/>
      <c r="AY1687" s="7"/>
    </row>
    <row r="1688" spans="19:51">
      <c r="S1688" s="7"/>
      <c r="AX1688" s="7"/>
      <c r="AY1688" s="7"/>
    </row>
    <row r="1689" spans="19:51">
      <c r="S1689" s="7"/>
      <c r="AX1689" s="7"/>
      <c r="AY1689" s="7"/>
    </row>
    <row r="1690" spans="19:51">
      <c r="S1690" s="7"/>
      <c r="AX1690" s="7"/>
      <c r="AY1690" s="7"/>
    </row>
    <row r="1691" spans="19:51">
      <c r="S1691" s="7"/>
      <c r="AX1691" s="7"/>
      <c r="AY1691" s="7"/>
    </row>
    <row r="1692" spans="19:51">
      <c r="S1692" s="7"/>
      <c r="AX1692" s="7"/>
      <c r="AY1692" s="7"/>
    </row>
    <row r="1693" spans="19:51">
      <c r="S1693" s="7"/>
      <c r="AX1693" s="7"/>
      <c r="AY1693" s="7"/>
    </row>
    <row r="1694" spans="19:51">
      <c r="S1694" s="7"/>
      <c r="AX1694" s="7"/>
      <c r="AY1694" s="7"/>
    </row>
    <row r="1695" spans="19:51">
      <c r="S1695" s="7"/>
      <c r="AX1695" s="7"/>
      <c r="AY1695" s="7"/>
    </row>
    <row r="1696" spans="19:51">
      <c r="S1696" s="7"/>
      <c r="AX1696" s="7"/>
      <c r="AY1696" s="7"/>
    </row>
    <row r="1697" spans="19:51">
      <c r="S1697" s="7"/>
      <c r="AX1697" s="7"/>
      <c r="AY1697" s="7"/>
    </row>
    <row r="1698" spans="19:51">
      <c r="S1698" s="7"/>
      <c r="AX1698" s="7"/>
      <c r="AY1698" s="7"/>
    </row>
    <row r="1699" spans="19:51">
      <c r="S1699" s="7"/>
      <c r="AX1699" s="7"/>
      <c r="AY1699" s="7"/>
    </row>
    <row r="1700" spans="19:51">
      <c r="S1700" s="7"/>
      <c r="AX1700" s="7"/>
      <c r="AY1700" s="7"/>
    </row>
    <row r="1701" spans="19:51">
      <c r="S1701" s="7"/>
      <c r="AX1701" s="7"/>
      <c r="AY1701" s="7"/>
    </row>
    <row r="1702" spans="19:51">
      <c r="S1702" s="7"/>
      <c r="AX1702" s="7"/>
      <c r="AY1702" s="7"/>
    </row>
    <row r="1703" spans="19:51">
      <c r="S1703" s="7"/>
      <c r="AX1703" s="7"/>
      <c r="AY1703" s="7"/>
    </row>
    <row r="1704" spans="19:51">
      <c r="S1704" s="7"/>
      <c r="AX1704" s="7"/>
      <c r="AY1704" s="7"/>
    </row>
    <row r="1705" spans="19:51">
      <c r="S1705" s="7"/>
      <c r="AX1705" s="7"/>
      <c r="AY1705" s="7"/>
    </row>
    <row r="1706" spans="19:51">
      <c r="S1706" s="7"/>
      <c r="AX1706" s="7"/>
      <c r="AY1706" s="7"/>
    </row>
    <row r="1707" spans="19:51">
      <c r="S1707" s="7"/>
      <c r="AX1707" s="7"/>
      <c r="AY1707" s="7"/>
    </row>
    <row r="1708" spans="19:51">
      <c r="S1708" s="7"/>
      <c r="AX1708" s="7"/>
      <c r="AY1708" s="7"/>
    </row>
    <row r="1709" spans="19:51">
      <c r="S1709" s="7"/>
      <c r="AX1709" s="7"/>
      <c r="AY1709" s="7"/>
    </row>
    <row r="1710" spans="19:51">
      <c r="S1710" s="7"/>
      <c r="AX1710" s="7"/>
      <c r="AY1710" s="7"/>
    </row>
    <row r="1711" spans="19:51">
      <c r="S1711" s="7"/>
      <c r="AX1711" s="7"/>
      <c r="AY1711" s="7"/>
    </row>
    <row r="1712" spans="19:51">
      <c r="S1712" s="7"/>
      <c r="AX1712" s="7"/>
      <c r="AY1712" s="7"/>
    </row>
    <row r="1713" spans="19:51">
      <c r="S1713" s="7"/>
      <c r="AX1713" s="7"/>
      <c r="AY1713" s="7"/>
    </row>
    <row r="1714" spans="19:51">
      <c r="S1714" s="7"/>
      <c r="AX1714" s="7"/>
      <c r="AY1714" s="7"/>
    </row>
    <row r="1715" spans="19:51">
      <c r="S1715" s="7"/>
      <c r="AX1715" s="7"/>
      <c r="AY1715" s="7"/>
    </row>
    <row r="1716" spans="19:51">
      <c r="S1716" s="7"/>
      <c r="AX1716" s="7"/>
      <c r="AY1716" s="7"/>
    </row>
    <row r="1717" spans="19:51">
      <c r="S1717" s="7"/>
      <c r="AX1717" s="7"/>
      <c r="AY1717" s="7"/>
    </row>
    <row r="1718" spans="19:51">
      <c r="S1718" s="7"/>
      <c r="AX1718" s="7"/>
      <c r="AY1718" s="7"/>
    </row>
    <row r="1719" spans="19:51">
      <c r="S1719" s="7"/>
      <c r="AX1719" s="7"/>
      <c r="AY1719" s="7"/>
    </row>
    <row r="1720" spans="19:51">
      <c r="S1720" s="7"/>
      <c r="AX1720" s="7"/>
      <c r="AY1720" s="7"/>
    </row>
    <row r="1721" spans="19:51">
      <c r="S1721" s="7"/>
      <c r="AX1721" s="7"/>
      <c r="AY1721" s="7"/>
    </row>
    <row r="1722" spans="19:51">
      <c r="S1722" s="7"/>
      <c r="AX1722" s="7"/>
      <c r="AY1722" s="7"/>
    </row>
    <row r="1723" spans="19:51">
      <c r="S1723" s="7"/>
      <c r="AX1723" s="7"/>
      <c r="AY1723" s="7"/>
    </row>
    <row r="1724" spans="19:51">
      <c r="S1724" s="7"/>
      <c r="AX1724" s="7"/>
      <c r="AY1724" s="7"/>
    </row>
    <row r="1725" spans="19:51">
      <c r="S1725" s="7"/>
      <c r="AX1725" s="7"/>
      <c r="AY1725" s="7"/>
    </row>
    <row r="1726" spans="19:51">
      <c r="S1726" s="7"/>
      <c r="AX1726" s="7"/>
      <c r="AY1726" s="7"/>
    </row>
    <row r="1727" spans="19:51">
      <c r="S1727" s="7"/>
      <c r="AX1727" s="7"/>
      <c r="AY1727" s="7"/>
    </row>
    <row r="1728" spans="19:51">
      <c r="S1728" s="7"/>
      <c r="AX1728" s="7"/>
      <c r="AY1728" s="7"/>
    </row>
    <row r="1729" spans="19:51">
      <c r="S1729" s="7"/>
      <c r="AX1729" s="7"/>
      <c r="AY1729" s="7"/>
    </row>
    <row r="1730" spans="19:51">
      <c r="S1730" s="7"/>
      <c r="AX1730" s="7"/>
      <c r="AY1730" s="7"/>
    </row>
    <row r="1731" spans="19:51">
      <c r="S1731" s="7"/>
      <c r="AX1731" s="7"/>
      <c r="AY1731" s="7"/>
    </row>
    <row r="1732" spans="19:51">
      <c r="S1732" s="7"/>
      <c r="AX1732" s="7"/>
      <c r="AY1732" s="7"/>
    </row>
    <row r="1733" spans="19:51">
      <c r="S1733" s="7"/>
      <c r="AX1733" s="7"/>
      <c r="AY1733" s="7"/>
    </row>
    <row r="1734" spans="19:51">
      <c r="S1734" s="7"/>
      <c r="AX1734" s="7"/>
      <c r="AY1734" s="7"/>
    </row>
    <row r="1735" spans="19:51">
      <c r="S1735" s="7"/>
      <c r="AX1735" s="7"/>
      <c r="AY1735" s="7"/>
    </row>
    <row r="1736" spans="19:51">
      <c r="S1736" s="7"/>
      <c r="AX1736" s="7"/>
      <c r="AY1736" s="7"/>
    </row>
    <row r="1737" spans="19:51">
      <c r="S1737" s="7"/>
      <c r="AX1737" s="7"/>
      <c r="AY1737" s="7"/>
    </row>
    <row r="1738" spans="19:51">
      <c r="S1738" s="7"/>
      <c r="AX1738" s="7"/>
      <c r="AY1738" s="7"/>
    </row>
    <row r="1739" spans="19:51">
      <c r="S1739" s="7"/>
      <c r="AX1739" s="7"/>
      <c r="AY1739" s="7"/>
    </row>
    <row r="1740" spans="19:51">
      <c r="S1740" s="7"/>
      <c r="AX1740" s="7"/>
      <c r="AY1740" s="7"/>
    </row>
    <row r="1741" spans="19:51">
      <c r="S1741" s="7"/>
      <c r="AX1741" s="7"/>
      <c r="AY1741" s="7"/>
    </row>
    <row r="1742" spans="19:51">
      <c r="S1742" s="7"/>
      <c r="AX1742" s="7"/>
      <c r="AY1742" s="7"/>
    </row>
    <row r="1743" spans="19:51">
      <c r="S1743" s="7"/>
      <c r="AX1743" s="7"/>
      <c r="AY1743" s="7"/>
    </row>
    <row r="1744" spans="19:51">
      <c r="S1744" s="7"/>
      <c r="AX1744" s="7"/>
      <c r="AY1744" s="7"/>
    </row>
    <row r="1745" spans="19:51">
      <c r="S1745" s="7"/>
      <c r="AX1745" s="7"/>
      <c r="AY1745" s="7"/>
    </row>
    <row r="1746" spans="19:51">
      <c r="S1746" s="7"/>
      <c r="AX1746" s="7"/>
      <c r="AY1746" s="7"/>
    </row>
    <row r="1747" spans="19:51">
      <c r="S1747" s="7"/>
      <c r="AX1747" s="7"/>
      <c r="AY1747" s="7"/>
    </row>
    <row r="1748" spans="19:51">
      <c r="S1748" s="7"/>
      <c r="AX1748" s="7"/>
      <c r="AY1748" s="7"/>
    </row>
    <row r="1749" spans="19:51">
      <c r="S1749" s="7"/>
      <c r="AX1749" s="7"/>
      <c r="AY1749" s="7"/>
    </row>
    <row r="1750" spans="19:51">
      <c r="S1750" s="7"/>
      <c r="AX1750" s="7"/>
      <c r="AY1750" s="7"/>
    </row>
    <row r="1751" spans="19:51">
      <c r="S1751" s="7"/>
      <c r="AX1751" s="7"/>
      <c r="AY1751" s="7"/>
    </row>
    <row r="1752" spans="19:51">
      <c r="S1752" s="7"/>
      <c r="AX1752" s="7"/>
      <c r="AY1752" s="7"/>
    </row>
    <row r="1753" spans="19:51">
      <c r="S1753" s="7"/>
      <c r="AX1753" s="7"/>
      <c r="AY1753" s="7"/>
    </row>
    <row r="1754" spans="19:51">
      <c r="S1754" s="7"/>
      <c r="AX1754" s="7"/>
      <c r="AY1754" s="7"/>
    </row>
    <row r="1755" spans="19:51">
      <c r="S1755" s="7"/>
      <c r="AX1755" s="7"/>
      <c r="AY1755" s="7"/>
    </row>
    <row r="1756" spans="19:51">
      <c r="S1756" s="7"/>
      <c r="AX1756" s="7"/>
      <c r="AY1756" s="7"/>
    </row>
    <row r="1757" spans="19:51">
      <c r="S1757" s="7"/>
      <c r="AX1757" s="7"/>
      <c r="AY1757" s="7"/>
    </row>
    <row r="1758" spans="19:51">
      <c r="S1758" s="7"/>
      <c r="AX1758" s="7"/>
      <c r="AY1758" s="7"/>
    </row>
    <row r="1759" spans="19:51">
      <c r="S1759" s="7"/>
      <c r="AX1759" s="7"/>
      <c r="AY1759" s="7"/>
    </row>
    <row r="1760" spans="19:51">
      <c r="S1760" s="7"/>
      <c r="AX1760" s="7"/>
      <c r="AY1760" s="7"/>
    </row>
    <row r="1761" spans="19:51">
      <c r="S1761" s="7"/>
      <c r="AX1761" s="7"/>
      <c r="AY1761" s="7"/>
    </row>
    <row r="1762" spans="19:51">
      <c r="S1762" s="7"/>
      <c r="AX1762" s="7"/>
      <c r="AY1762" s="7"/>
    </row>
    <row r="1763" spans="19:51">
      <c r="S1763" s="7"/>
      <c r="AX1763" s="7"/>
      <c r="AY1763" s="7"/>
    </row>
    <row r="1764" spans="19:51">
      <c r="S1764" s="7"/>
      <c r="AX1764" s="7"/>
      <c r="AY1764" s="7"/>
    </row>
    <row r="1765" spans="19:51">
      <c r="S1765" s="7"/>
      <c r="AX1765" s="7"/>
      <c r="AY1765" s="7"/>
    </row>
    <row r="1766" spans="19:51">
      <c r="S1766" s="7"/>
      <c r="AX1766" s="7"/>
      <c r="AY1766" s="7"/>
    </row>
    <row r="1767" spans="19:51">
      <c r="S1767" s="7"/>
      <c r="AX1767" s="7"/>
      <c r="AY1767" s="7"/>
    </row>
    <row r="1768" spans="19:51">
      <c r="S1768" s="7"/>
      <c r="AX1768" s="7"/>
      <c r="AY1768" s="7"/>
    </row>
    <row r="1769" spans="19:51">
      <c r="S1769" s="7"/>
      <c r="AX1769" s="7"/>
      <c r="AY1769" s="7"/>
    </row>
    <row r="1770" spans="19:51">
      <c r="S1770" s="7"/>
      <c r="AX1770" s="7"/>
      <c r="AY1770" s="7"/>
    </row>
    <row r="1771" spans="19:51">
      <c r="S1771" s="7"/>
      <c r="AX1771" s="7"/>
      <c r="AY1771" s="7"/>
    </row>
    <row r="1772" spans="19:51">
      <c r="S1772" s="7"/>
      <c r="AX1772" s="7"/>
      <c r="AY1772" s="7"/>
    </row>
    <row r="1773" spans="19:51">
      <c r="S1773" s="7"/>
      <c r="AX1773" s="7"/>
      <c r="AY1773" s="7"/>
    </row>
    <row r="1774" spans="19:51">
      <c r="S1774" s="7"/>
      <c r="AX1774" s="7"/>
      <c r="AY1774" s="7"/>
    </row>
    <row r="1775" spans="19:51">
      <c r="S1775" s="7"/>
      <c r="AX1775" s="7"/>
      <c r="AY1775" s="7"/>
    </row>
    <row r="1776" spans="19:51">
      <c r="S1776" s="7"/>
      <c r="AX1776" s="7"/>
      <c r="AY1776" s="7"/>
    </row>
    <row r="1777" spans="19:51">
      <c r="S1777" s="7"/>
      <c r="AX1777" s="7"/>
      <c r="AY1777" s="7"/>
    </row>
    <row r="1778" spans="19:51">
      <c r="S1778" s="7"/>
      <c r="AX1778" s="7"/>
      <c r="AY1778" s="7"/>
    </row>
    <row r="1779" spans="19:51">
      <c r="S1779" s="7"/>
      <c r="AX1779" s="7"/>
      <c r="AY1779" s="7"/>
    </row>
    <row r="1780" spans="19:51">
      <c r="S1780" s="7"/>
      <c r="AX1780" s="7"/>
      <c r="AY1780" s="7"/>
    </row>
    <row r="1781" spans="19:51">
      <c r="S1781" s="7"/>
      <c r="AX1781" s="7"/>
      <c r="AY1781" s="7"/>
    </row>
    <row r="1782" spans="19:51">
      <c r="S1782" s="7"/>
      <c r="AX1782" s="7"/>
      <c r="AY1782" s="7"/>
    </row>
    <row r="1783" spans="19:51">
      <c r="S1783" s="7"/>
      <c r="AX1783" s="7"/>
      <c r="AY1783" s="7"/>
    </row>
    <row r="1784" spans="19:51">
      <c r="S1784" s="7"/>
      <c r="AX1784" s="7"/>
      <c r="AY1784" s="7"/>
    </row>
    <row r="1785" spans="19:51">
      <c r="S1785" s="7"/>
      <c r="AX1785" s="7"/>
      <c r="AY1785" s="7"/>
    </row>
    <row r="1786" spans="19:51">
      <c r="S1786" s="7"/>
      <c r="AX1786" s="7"/>
      <c r="AY1786" s="7"/>
    </row>
    <row r="1787" spans="19:51">
      <c r="S1787" s="7"/>
      <c r="AX1787" s="7"/>
      <c r="AY1787" s="7"/>
    </row>
    <row r="1788" spans="19:51">
      <c r="S1788" s="7"/>
      <c r="AX1788" s="7"/>
      <c r="AY1788" s="7"/>
    </row>
    <row r="1789" spans="19:51">
      <c r="S1789" s="7"/>
      <c r="AX1789" s="7"/>
      <c r="AY1789" s="7"/>
    </row>
    <row r="1790" spans="19:51">
      <c r="S1790" s="7"/>
      <c r="AX1790" s="7"/>
      <c r="AY1790" s="7"/>
    </row>
    <row r="1791" spans="19:51">
      <c r="S1791" s="7"/>
      <c r="AX1791" s="7"/>
      <c r="AY1791" s="7"/>
    </row>
    <row r="1792" spans="19:51">
      <c r="S1792" s="7"/>
      <c r="AX1792" s="7"/>
      <c r="AY1792" s="7"/>
    </row>
    <row r="1793" spans="19:51">
      <c r="S1793" s="7"/>
      <c r="AX1793" s="7"/>
      <c r="AY1793" s="7"/>
    </row>
    <row r="1794" spans="19:51">
      <c r="S1794" s="7"/>
      <c r="AX1794" s="7"/>
      <c r="AY1794" s="7"/>
    </row>
    <row r="1795" spans="19:51">
      <c r="S1795" s="7"/>
      <c r="AX1795" s="7"/>
      <c r="AY1795" s="7"/>
    </row>
    <row r="1796" spans="19:51">
      <c r="S1796" s="7"/>
      <c r="AX1796" s="7"/>
      <c r="AY1796" s="7"/>
    </row>
    <row r="1797" spans="19:51">
      <c r="S1797" s="7"/>
      <c r="AX1797" s="7"/>
      <c r="AY1797" s="7"/>
    </row>
    <row r="1798" spans="19:51">
      <c r="S1798" s="7"/>
      <c r="AX1798" s="7"/>
      <c r="AY1798" s="7"/>
    </row>
    <row r="1799" spans="19:51">
      <c r="S1799" s="7"/>
      <c r="AX1799" s="7"/>
      <c r="AY1799" s="7"/>
    </row>
    <row r="1800" spans="19:51">
      <c r="S1800" s="7"/>
      <c r="AX1800" s="7"/>
      <c r="AY1800" s="7"/>
    </row>
    <row r="1801" spans="19:51">
      <c r="S1801" s="7"/>
      <c r="AX1801" s="7"/>
      <c r="AY1801" s="7"/>
    </row>
    <row r="1802" spans="19:51">
      <c r="S1802" s="7"/>
      <c r="AX1802" s="7"/>
      <c r="AY1802" s="7"/>
    </row>
    <row r="1803" spans="19:51">
      <c r="S1803" s="7"/>
      <c r="AX1803" s="7"/>
      <c r="AY1803" s="7"/>
    </row>
    <row r="1804" spans="19:51">
      <c r="S1804" s="7"/>
      <c r="AX1804" s="7"/>
      <c r="AY1804" s="7"/>
    </row>
    <row r="1805" spans="19:51">
      <c r="S1805" s="7"/>
      <c r="AX1805" s="7"/>
      <c r="AY1805" s="7"/>
    </row>
    <row r="1806" spans="19:51">
      <c r="S1806" s="7"/>
      <c r="AX1806" s="7"/>
      <c r="AY1806" s="7"/>
    </row>
    <row r="1807" spans="19:51">
      <c r="S1807" s="7"/>
      <c r="AX1807" s="7"/>
      <c r="AY1807" s="7"/>
    </row>
    <row r="1808" spans="19:51">
      <c r="S1808" s="7"/>
      <c r="AX1808" s="7"/>
      <c r="AY1808" s="7"/>
    </row>
    <row r="1809" spans="19:51">
      <c r="S1809" s="7"/>
      <c r="AX1809" s="7"/>
      <c r="AY1809" s="7"/>
    </row>
    <row r="1810" spans="19:51">
      <c r="S1810" s="7"/>
      <c r="AX1810" s="7"/>
      <c r="AY1810" s="7"/>
    </row>
    <row r="1811" spans="19:51">
      <c r="S1811" s="7"/>
      <c r="AX1811" s="7"/>
      <c r="AY1811" s="7"/>
    </row>
    <row r="1812" spans="19:51">
      <c r="S1812" s="7"/>
      <c r="AX1812" s="7"/>
      <c r="AY1812" s="7"/>
    </row>
    <row r="1813" spans="19:51">
      <c r="S1813" s="7"/>
      <c r="AX1813" s="7"/>
      <c r="AY1813" s="7"/>
    </row>
    <row r="1814" spans="19:51">
      <c r="S1814" s="7"/>
      <c r="AX1814" s="7"/>
      <c r="AY1814" s="7"/>
    </row>
    <row r="1815" spans="19:51">
      <c r="S1815" s="7"/>
      <c r="AX1815" s="7"/>
      <c r="AY1815" s="7"/>
    </row>
    <row r="1816" spans="19:51">
      <c r="S1816" s="7"/>
      <c r="AX1816" s="7"/>
      <c r="AY1816" s="7"/>
    </row>
    <row r="1817" spans="19:51">
      <c r="S1817" s="7"/>
      <c r="AX1817" s="7"/>
      <c r="AY1817" s="7"/>
    </row>
    <row r="1818" spans="19:51">
      <c r="S1818" s="7"/>
      <c r="AX1818" s="7"/>
      <c r="AY1818" s="7"/>
    </row>
    <row r="1819" spans="19:51">
      <c r="S1819" s="7"/>
      <c r="AX1819" s="7"/>
      <c r="AY1819" s="7"/>
    </row>
    <row r="1820" spans="19:51">
      <c r="S1820" s="7"/>
      <c r="AX1820" s="7"/>
      <c r="AY1820" s="7"/>
    </row>
    <row r="1821" spans="19:51">
      <c r="S1821" s="7"/>
      <c r="AX1821" s="7"/>
      <c r="AY1821" s="7"/>
    </row>
    <row r="1822" spans="19:51">
      <c r="S1822" s="7"/>
      <c r="AX1822" s="7"/>
      <c r="AY1822" s="7"/>
    </row>
    <row r="1823" spans="19:51">
      <c r="S1823" s="7"/>
      <c r="AX1823" s="7"/>
      <c r="AY1823" s="7"/>
    </row>
    <row r="1824" spans="19:51">
      <c r="S1824" s="7"/>
      <c r="AX1824" s="7"/>
      <c r="AY1824" s="7"/>
    </row>
    <row r="1825" spans="19:51">
      <c r="S1825" s="7"/>
      <c r="AX1825" s="7"/>
      <c r="AY1825" s="7"/>
    </row>
    <row r="1826" spans="19:51">
      <c r="S1826" s="7"/>
      <c r="AX1826" s="7"/>
      <c r="AY1826" s="7"/>
    </row>
    <row r="1827" spans="19:51">
      <c r="S1827" s="7"/>
      <c r="AX1827" s="7"/>
      <c r="AY1827" s="7"/>
    </row>
    <row r="1828" spans="19:51">
      <c r="S1828" s="7"/>
      <c r="AX1828" s="7"/>
      <c r="AY1828" s="7"/>
    </row>
    <row r="1829" spans="19:51">
      <c r="S1829" s="7"/>
      <c r="AX1829" s="7"/>
      <c r="AY1829" s="7"/>
    </row>
    <row r="1830" spans="19:51">
      <c r="S1830" s="7"/>
      <c r="AX1830" s="7"/>
      <c r="AY1830" s="7"/>
    </row>
    <row r="1831" spans="19:51">
      <c r="S1831" s="7"/>
      <c r="AX1831" s="7"/>
      <c r="AY1831" s="7"/>
    </row>
    <row r="1832" spans="19:51">
      <c r="S1832" s="7"/>
      <c r="AX1832" s="7"/>
      <c r="AY1832" s="7"/>
    </row>
    <row r="1833" spans="19:51">
      <c r="S1833" s="7"/>
      <c r="AX1833" s="7"/>
      <c r="AY1833" s="7"/>
    </row>
    <row r="1834" spans="19:51">
      <c r="S1834" s="7"/>
      <c r="AX1834" s="7"/>
      <c r="AY1834" s="7"/>
    </row>
    <row r="1835" spans="19:51">
      <c r="S1835" s="7"/>
      <c r="AX1835" s="7"/>
      <c r="AY1835" s="7"/>
    </row>
    <row r="1836" spans="19:51">
      <c r="S1836" s="7"/>
      <c r="AX1836" s="7"/>
      <c r="AY1836" s="7"/>
    </row>
    <row r="1837" spans="19:51">
      <c r="S1837" s="7"/>
      <c r="AX1837" s="7"/>
      <c r="AY1837" s="7"/>
    </row>
    <row r="1838" spans="19:51">
      <c r="S1838" s="7"/>
      <c r="AX1838" s="7"/>
      <c r="AY1838" s="7"/>
    </row>
    <row r="1839" spans="19:51">
      <c r="S1839" s="7"/>
      <c r="AX1839" s="7"/>
      <c r="AY1839" s="7"/>
    </row>
    <row r="1840" spans="19:51">
      <c r="S1840" s="7"/>
      <c r="AX1840" s="7"/>
      <c r="AY1840" s="7"/>
    </row>
    <row r="1841" spans="19:51">
      <c r="S1841" s="7"/>
      <c r="AX1841" s="7"/>
      <c r="AY1841" s="7"/>
    </row>
    <row r="1842" spans="19:51">
      <c r="S1842" s="7"/>
      <c r="AX1842" s="7"/>
      <c r="AY1842" s="7"/>
    </row>
    <row r="1843" spans="19:51">
      <c r="S1843" s="7"/>
      <c r="AX1843" s="7"/>
      <c r="AY1843" s="7"/>
    </row>
    <row r="1844" spans="19:51">
      <c r="S1844" s="7"/>
      <c r="AX1844" s="7"/>
      <c r="AY1844" s="7"/>
    </row>
    <row r="1845" spans="19:51">
      <c r="S1845" s="7"/>
      <c r="AX1845" s="7"/>
      <c r="AY1845" s="7"/>
    </row>
    <row r="1846" spans="19:51">
      <c r="S1846" s="7"/>
      <c r="AX1846" s="7"/>
      <c r="AY1846" s="7"/>
    </row>
    <row r="1847" spans="19:51">
      <c r="S1847" s="7"/>
      <c r="AX1847" s="7"/>
      <c r="AY1847" s="7"/>
    </row>
    <row r="1848" spans="19:51">
      <c r="S1848" s="7"/>
      <c r="AX1848" s="7"/>
      <c r="AY1848" s="7"/>
    </row>
    <row r="1849" spans="19:51">
      <c r="S1849" s="7"/>
      <c r="AX1849" s="7"/>
      <c r="AY1849" s="7"/>
    </row>
    <row r="1850" spans="19:51">
      <c r="S1850" s="7"/>
      <c r="AX1850" s="7"/>
      <c r="AY1850" s="7"/>
    </row>
    <row r="1851" spans="19:51">
      <c r="S1851" s="7"/>
      <c r="AX1851" s="7"/>
      <c r="AY1851" s="7"/>
    </row>
    <row r="1852" spans="19:51">
      <c r="S1852" s="7"/>
      <c r="AX1852" s="7"/>
      <c r="AY1852" s="7"/>
    </row>
    <row r="1853" spans="19:51">
      <c r="S1853" s="7"/>
      <c r="AX1853" s="7"/>
      <c r="AY1853" s="7"/>
    </row>
    <row r="1854" spans="19:51">
      <c r="S1854" s="7"/>
      <c r="AX1854" s="7"/>
      <c r="AY1854" s="7"/>
    </row>
    <row r="1855" spans="19:51">
      <c r="S1855" s="7"/>
      <c r="AX1855" s="7"/>
      <c r="AY1855" s="7"/>
    </row>
    <row r="1856" spans="19:51">
      <c r="S1856" s="7"/>
      <c r="AX1856" s="7"/>
      <c r="AY1856" s="7"/>
    </row>
    <row r="1857" spans="19:51">
      <c r="S1857" s="7"/>
      <c r="AX1857" s="7"/>
      <c r="AY1857" s="7"/>
    </row>
    <row r="1858" spans="19:51">
      <c r="S1858" s="7"/>
      <c r="AX1858" s="7"/>
      <c r="AY1858" s="7"/>
    </row>
    <row r="1859" spans="19:51">
      <c r="S1859" s="7"/>
      <c r="AX1859" s="7"/>
      <c r="AY1859" s="7"/>
    </row>
    <row r="1860" spans="19:51">
      <c r="S1860" s="7"/>
      <c r="AX1860" s="7"/>
      <c r="AY1860" s="7"/>
    </row>
    <row r="1861" spans="19:51">
      <c r="S1861" s="7"/>
      <c r="AX1861" s="7"/>
      <c r="AY1861" s="7"/>
    </row>
    <row r="1862" spans="19:51">
      <c r="S1862" s="7"/>
      <c r="AX1862" s="7"/>
      <c r="AY1862" s="7"/>
    </row>
    <row r="1863" spans="19:51">
      <c r="S1863" s="7"/>
      <c r="AX1863" s="7"/>
      <c r="AY1863" s="7"/>
    </row>
    <row r="1864" spans="19:51">
      <c r="S1864" s="7"/>
      <c r="AX1864" s="7"/>
      <c r="AY1864" s="7"/>
    </row>
    <row r="1865" spans="19:51">
      <c r="S1865" s="7"/>
      <c r="AX1865" s="7"/>
      <c r="AY1865" s="7"/>
    </row>
    <row r="1866" spans="19:51">
      <c r="S1866" s="7"/>
      <c r="AX1866" s="7"/>
      <c r="AY1866" s="7"/>
    </row>
    <row r="1867" spans="19:51">
      <c r="S1867" s="7"/>
      <c r="AX1867" s="7"/>
      <c r="AY1867" s="7"/>
    </row>
    <row r="1868" spans="19:51">
      <c r="S1868" s="7"/>
      <c r="AX1868" s="7"/>
      <c r="AY1868" s="7"/>
    </row>
    <row r="1869" spans="19:51">
      <c r="S1869" s="7"/>
      <c r="AX1869" s="7"/>
      <c r="AY1869" s="7"/>
    </row>
    <row r="1870" spans="19:51">
      <c r="S1870" s="7"/>
      <c r="AX1870" s="7"/>
      <c r="AY1870" s="7"/>
    </row>
    <row r="1871" spans="19:51">
      <c r="S1871" s="7"/>
      <c r="AX1871" s="7"/>
      <c r="AY1871" s="7"/>
    </row>
    <row r="1872" spans="19:51">
      <c r="S1872" s="7"/>
      <c r="AX1872" s="7"/>
      <c r="AY1872" s="7"/>
    </row>
    <row r="1873" spans="19:51">
      <c r="S1873" s="7"/>
      <c r="AX1873" s="7"/>
      <c r="AY1873" s="7"/>
    </row>
    <row r="1874" spans="19:51">
      <c r="S1874" s="7"/>
      <c r="AX1874" s="7"/>
      <c r="AY1874" s="7"/>
    </row>
    <row r="1875" spans="19:51">
      <c r="S1875" s="7"/>
      <c r="AX1875" s="7"/>
      <c r="AY1875" s="7"/>
    </row>
    <row r="1876" spans="19:51">
      <c r="S1876" s="7"/>
      <c r="AX1876" s="7"/>
      <c r="AY1876" s="7"/>
    </row>
    <row r="1877" spans="19:51">
      <c r="S1877" s="7"/>
      <c r="AX1877" s="7"/>
      <c r="AY1877" s="7"/>
    </row>
    <row r="1878" spans="19:51">
      <c r="S1878" s="7"/>
      <c r="AX1878" s="7"/>
      <c r="AY1878" s="7"/>
    </row>
    <row r="1879" spans="19:51">
      <c r="S1879" s="7"/>
      <c r="AX1879" s="7"/>
      <c r="AY1879" s="7"/>
    </row>
    <row r="1880" spans="19:51">
      <c r="S1880" s="7"/>
      <c r="AX1880" s="7"/>
      <c r="AY1880" s="7"/>
    </row>
    <row r="1881" spans="19:51">
      <c r="S1881" s="7"/>
      <c r="AX1881" s="7"/>
      <c r="AY1881" s="7"/>
    </row>
    <row r="1882" spans="19:51">
      <c r="S1882" s="7"/>
      <c r="AX1882" s="7"/>
      <c r="AY1882" s="7"/>
    </row>
    <row r="1883" spans="19:51">
      <c r="S1883" s="7"/>
      <c r="AX1883" s="7"/>
      <c r="AY1883" s="7"/>
    </row>
    <row r="1884" spans="19:51">
      <c r="S1884" s="7"/>
      <c r="AX1884" s="7"/>
      <c r="AY1884" s="7"/>
    </row>
    <row r="1885" spans="19:51">
      <c r="S1885" s="7"/>
      <c r="AX1885" s="7"/>
      <c r="AY1885" s="7"/>
    </row>
    <row r="1886" spans="19:51">
      <c r="S1886" s="7"/>
      <c r="AX1886" s="7"/>
      <c r="AY1886" s="7"/>
    </row>
    <row r="1887" spans="19:51">
      <c r="S1887" s="7"/>
      <c r="AX1887" s="7"/>
      <c r="AY1887" s="7"/>
    </row>
    <row r="1888" spans="19:51">
      <c r="S1888" s="7"/>
      <c r="AX1888" s="7"/>
      <c r="AY1888" s="7"/>
    </row>
    <row r="1889" spans="19:51">
      <c r="S1889" s="7"/>
      <c r="AX1889" s="7"/>
      <c r="AY1889" s="7"/>
    </row>
    <row r="1890" spans="19:51">
      <c r="S1890" s="7"/>
      <c r="AX1890" s="7"/>
      <c r="AY1890" s="7"/>
    </row>
    <row r="1891" spans="19:51">
      <c r="S1891" s="7"/>
      <c r="AX1891" s="7"/>
      <c r="AY1891" s="7"/>
    </row>
    <row r="1892" spans="19:51">
      <c r="S1892" s="7"/>
      <c r="AX1892" s="7"/>
      <c r="AY1892" s="7"/>
    </row>
    <row r="1893" spans="19:51">
      <c r="S1893" s="7"/>
      <c r="AX1893" s="7"/>
      <c r="AY1893" s="7"/>
    </row>
    <row r="1894" spans="19:51">
      <c r="S1894" s="7"/>
      <c r="AX1894" s="7"/>
      <c r="AY1894" s="7"/>
    </row>
    <row r="1895" spans="19:51">
      <c r="S1895" s="7"/>
      <c r="AX1895" s="7"/>
      <c r="AY1895" s="7"/>
    </row>
    <row r="1896" spans="19:51">
      <c r="S1896" s="7"/>
      <c r="AX1896" s="7"/>
      <c r="AY1896" s="7"/>
    </row>
    <row r="1897" spans="19:51">
      <c r="S1897" s="7"/>
      <c r="AX1897" s="7"/>
      <c r="AY1897" s="7"/>
    </row>
    <row r="1898" spans="19:51">
      <c r="S1898" s="7"/>
      <c r="AX1898" s="7"/>
      <c r="AY1898" s="7"/>
    </row>
    <row r="1899" spans="19:51">
      <c r="S1899" s="7"/>
      <c r="AX1899" s="7"/>
      <c r="AY1899" s="7"/>
    </row>
    <row r="1900" spans="19:51">
      <c r="S1900" s="7"/>
      <c r="AX1900" s="7"/>
      <c r="AY1900" s="7"/>
    </row>
    <row r="1901" spans="19:51">
      <c r="S1901" s="7"/>
      <c r="AX1901" s="7"/>
      <c r="AY1901" s="7"/>
    </row>
    <row r="1902" spans="19:51">
      <c r="S1902" s="7"/>
      <c r="AX1902" s="7"/>
      <c r="AY1902" s="7"/>
    </row>
    <row r="1903" spans="19:51">
      <c r="S1903" s="7"/>
      <c r="AX1903" s="7"/>
      <c r="AY1903" s="7"/>
    </row>
    <row r="1904" spans="19:51">
      <c r="S1904" s="7"/>
      <c r="AX1904" s="7"/>
      <c r="AY1904" s="7"/>
    </row>
    <row r="1905" spans="19:51">
      <c r="S1905" s="7"/>
      <c r="AX1905" s="7"/>
      <c r="AY1905" s="7"/>
    </row>
    <row r="1906" spans="19:51">
      <c r="S1906" s="7"/>
      <c r="AX1906" s="7"/>
      <c r="AY1906" s="7"/>
    </row>
    <row r="1907" spans="19:51">
      <c r="S1907" s="7"/>
      <c r="AX1907" s="7"/>
      <c r="AY1907" s="7"/>
    </row>
    <row r="1908" spans="19:51">
      <c r="S1908" s="7"/>
      <c r="AX1908" s="7"/>
      <c r="AY1908" s="7"/>
    </row>
    <row r="1909" spans="19:51">
      <c r="S1909" s="7"/>
      <c r="AX1909" s="7"/>
      <c r="AY1909" s="7"/>
    </row>
    <row r="1910" spans="19:51">
      <c r="S1910" s="7"/>
      <c r="AX1910" s="7"/>
      <c r="AY1910" s="7"/>
    </row>
    <row r="1911" spans="19:51">
      <c r="S1911" s="7"/>
      <c r="AX1911" s="7"/>
      <c r="AY1911" s="7"/>
    </row>
    <row r="1912" spans="19:51">
      <c r="S1912" s="7"/>
      <c r="AX1912" s="7"/>
      <c r="AY1912" s="7"/>
    </row>
    <row r="1913" spans="19:51">
      <c r="S1913" s="7"/>
      <c r="AX1913" s="7"/>
      <c r="AY1913" s="7"/>
    </row>
    <row r="1914" spans="19:51">
      <c r="S1914" s="7"/>
      <c r="AX1914" s="7"/>
      <c r="AY1914" s="7"/>
    </row>
    <row r="1915" spans="19:51">
      <c r="S1915" s="7"/>
      <c r="AX1915" s="7"/>
      <c r="AY1915" s="7"/>
    </row>
    <row r="1916" spans="19:51">
      <c r="S1916" s="7"/>
      <c r="AX1916" s="7"/>
      <c r="AY1916" s="7"/>
    </row>
    <row r="1917" spans="19:51">
      <c r="S1917" s="7"/>
      <c r="AX1917" s="7"/>
      <c r="AY1917" s="7"/>
    </row>
    <row r="1918" spans="19:51">
      <c r="S1918" s="7"/>
      <c r="AX1918" s="7"/>
      <c r="AY1918" s="7"/>
    </row>
    <row r="1919" spans="19:51">
      <c r="S1919" s="7"/>
      <c r="AX1919" s="7"/>
      <c r="AY1919" s="7"/>
    </row>
    <row r="1920" spans="19:51">
      <c r="S1920" s="7"/>
      <c r="AX1920" s="7"/>
      <c r="AY1920" s="7"/>
    </row>
    <row r="1921" spans="19:51">
      <c r="S1921" s="7"/>
      <c r="AX1921" s="7"/>
      <c r="AY1921" s="7"/>
    </row>
    <row r="1922" spans="19:51">
      <c r="S1922" s="7"/>
      <c r="AX1922" s="7"/>
      <c r="AY1922" s="7"/>
    </row>
    <row r="1923" spans="19:51">
      <c r="S1923" s="7"/>
      <c r="AX1923" s="7"/>
      <c r="AY1923" s="7"/>
    </row>
    <row r="1924" spans="19:51">
      <c r="S1924" s="7"/>
      <c r="AX1924" s="7"/>
      <c r="AY1924" s="7"/>
    </row>
    <row r="1925" spans="19:51">
      <c r="S1925" s="7"/>
      <c r="AX1925" s="7"/>
      <c r="AY1925" s="7"/>
    </row>
    <row r="1926" spans="19:51">
      <c r="S1926" s="7"/>
      <c r="AX1926" s="7"/>
      <c r="AY1926" s="7"/>
    </row>
    <row r="1927" spans="19:51">
      <c r="S1927" s="7"/>
      <c r="AX1927" s="7"/>
      <c r="AY1927" s="7"/>
    </row>
    <row r="1928" spans="19:51">
      <c r="S1928" s="7"/>
      <c r="AX1928" s="7"/>
      <c r="AY1928" s="7"/>
    </row>
    <row r="1929" spans="19:51">
      <c r="S1929" s="7"/>
      <c r="AX1929" s="7"/>
      <c r="AY1929" s="7"/>
    </row>
    <row r="1930" spans="19:51">
      <c r="S1930" s="7"/>
      <c r="AX1930" s="7"/>
      <c r="AY1930" s="7"/>
    </row>
    <row r="1931" spans="19:51">
      <c r="S1931" s="7"/>
      <c r="AX1931" s="7"/>
      <c r="AY1931" s="7"/>
    </row>
    <row r="1932" spans="19:51">
      <c r="S1932" s="7"/>
      <c r="AX1932" s="7"/>
      <c r="AY1932" s="7"/>
    </row>
    <row r="1933" spans="19:51">
      <c r="S1933" s="7"/>
      <c r="AX1933" s="7"/>
      <c r="AY1933" s="7"/>
    </row>
    <row r="1934" spans="19:51">
      <c r="S1934" s="7"/>
      <c r="AX1934" s="7"/>
      <c r="AY1934" s="7"/>
    </row>
    <row r="1935" spans="19:51">
      <c r="S1935" s="7"/>
      <c r="AX1935" s="7"/>
      <c r="AY1935" s="7"/>
    </row>
    <row r="1936" spans="19:51">
      <c r="S1936" s="7"/>
      <c r="AX1936" s="7"/>
      <c r="AY1936" s="7"/>
    </row>
    <row r="1937" spans="19:51">
      <c r="S1937" s="7"/>
      <c r="AX1937" s="7"/>
      <c r="AY1937" s="7"/>
    </row>
    <row r="1938" spans="19:51">
      <c r="S1938" s="7"/>
      <c r="AX1938" s="7"/>
      <c r="AY1938" s="7"/>
    </row>
    <row r="1939" spans="19:51">
      <c r="S1939" s="7"/>
      <c r="AX1939" s="7"/>
      <c r="AY1939" s="7"/>
    </row>
    <row r="1940" spans="19:51">
      <c r="S1940" s="7"/>
      <c r="AX1940" s="7"/>
      <c r="AY1940" s="7"/>
    </row>
    <row r="1941" spans="19:51">
      <c r="S1941" s="7"/>
      <c r="AX1941" s="7"/>
      <c r="AY1941" s="7"/>
    </row>
    <row r="1942" spans="19:51">
      <c r="S1942" s="7"/>
      <c r="AX1942" s="7"/>
      <c r="AY1942" s="7"/>
    </row>
    <row r="1943" spans="19:51">
      <c r="S1943" s="7"/>
      <c r="AX1943" s="7"/>
      <c r="AY1943" s="7"/>
    </row>
    <row r="1944" spans="19:51">
      <c r="S1944" s="7"/>
      <c r="AX1944" s="7"/>
      <c r="AY1944" s="7"/>
    </row>
    <row r="1945" spans="19:51">
      <c r="S1945" s="7"/>
      <c r="AX1945" s="7"/>
      <c r="AY1945" s="7"/>
    </row>
    <row r="1946" spans="19:51">
      <c r="S1946" s="7"/>
      <c r="AX1946" s="7"/>
      <c r="AY1946" s="7"/>
    </row>
    <row r="1947" spans="19:51">
      <c r="S1947" s="7"/>
      <c r="AX1947" s="7"/>
      <c r="AY1947" s="7"/>
    </row>
    <row r="1948" spans="19:51">
      <c r="S1948" s="7"/>
      <c r="AX1948" s="7"/>
      <c r="AY1948" s="7"/>
    </row>
    <row r="1949" spans="19:51">
      <c r="S1949" s="7"/>
      <c r="AX1949" s="7"/>
      <c r="AY1949" s="7"/>
    </row>
    <row r="1950" spans="19:51">
      <c r="S1950" s="7"/>
      <c r="AX1950" s="7"/>
      <c r="AY1950" s="7"/>
    </row>
    <row r="1951" spans="19:51">
      <c r="S1951" s="7"/>
      <c r="AX1951" s="7"/>
      <c r="AY1951" s="7"/>
    </row>
    <row r="1952" spans="19:51">
      <c r="S1952" s="7"/>
      <c r="AX1952" s="7"/>
      <c r="AY1952" s="7"/>
    </row>
    <row r="1953" spans="19:51">
      <c r="S1953" s="7"/>
      <c r="AX1953" s="7"/>
      <c r="AY1953" s="7"/>
    </row>
    <row r="1954" spans="19:51">
      <c r="S1954" s="7"/>
      <c r="AX1954" s="7"/>
      <c r="AY1954" s="7"/>
    </row>
    <row r="1955" spans="19:51">
      <c r="S1955" s="7"/>
      <c r="AX1955" s="7"/>
      <c r="AY1955" s="7"/>
    </row>
    <row r="1956" spans="19:51">
      <c r="S1956" s="7"/>
      <c r="AX1956" s="7"/>
      <c r="AY1956" s="7"/>
    </row>
    <row r="1957" spans="19:51">
      <c r="S1957" s="7"/>
      <c r="AX1957" s="7"/>
      <c r="AY1957" s="7"/>
    </row>
    <row r="1958" spans="19:51">
      <c r="S1958" s="7"/>
      <c r="AX1958" s="7"/>
      <c r="AY1958" s="7"/>
    </row>
    <row r="1959" spans="19:51">
      <c r="S1959" s="7"/>
      <c r="AX1959" s="7"/>
      <c r="AY1959" s="7"/>
    </row>
    <row r="1960" spans="19:51">
      <c r="S1960" s="7"/>
      <c r="AX1960" s="7"/>
      <c r="AY1960" s="7"/>
    </row>
    <row r="1961" spans="19:51">
      <c r="S1961" s="7"/>
      <c r="AX1961" s="7"/>
      <c r="AY1961" s="7"/>
    </row>
    <row r="1962" spans="19:51">
      <c r="S1962" s="7"/>
      <c r="AX1962" s="7"/>
      <c r="AY1962" s="7"/>
    </row>
    <row r="1963" spans="19:51">
      <c r="S1963" s="7"/>
      <c r="AX1963" s="7"/>
      <c r="AY1963" s="7"/>
    </row>
    <row r="1964" spans="19:51">
      <c r="S1964" s="7"/>
      <c r="AX1964" s="7"/>
      <c r="AY1964" s="7"/>
    </row>
    <row r="1965" spans="19:51">
      <c r="S1965" s="7"/>
      <c r="AX1965" s="7"/>
      <c r="AY1965" s="7"/>
    </row>
    <row r="1966" spans="19:51">
      <c r="S1966" s="7"/>
      <c r="AX1966" s="7"/>
      <c r="AY1966" s="7"/>
    </row>
    <row r="1967" spans="19:51">
      <c r="S1967" s="7"/>
      <c r="AX1967" s="7"/>
      <c r="AY1967" s="7"/>
    </row>
    <row r="1968" spans="19:51">
      <c r="S1968" s="7"/>
      <c r="AX1968" s="7"/>
      <c r="AY1968" s="7"/>
    </row>
    <row r="1969" spans="19:51">
      <c r="S1969" s="7"/>
      <c r="AX1969" s="7"/>
      <c r="AY1969" s="7"/>
    </row>
    <row r="1970" spans="19:51">
      <c r="S1970" s="7"/>
      <c r="AX1970" s="7"/>
      <c r="AY1970" s="7"/>
    </row>
    <row r="1971" spans="19:51">
      <c r="S1971" s="7"/>
      <c r="AX1971" s="7"/>
      <c r="AY1971" s="7"/>
    </row>
    <row r="1972" spans="19:51">
      <c r="S1972" s="7"/>
      <c r="AX1972" s="7"/>
      <c r="AY1972" s="7"/>
    </row>
    <row r="1973" spans="19:51">
      <c r="S1973" s="7"/>
      <c r="AX1973" s="7"/>
      <c r="AY1973" s="7"/>
    </row>
    <row r="1974" spans="19:51">
      <c r="S1974" s="7"/>
      <c r="AX1974" s="7"/>
      <c r="AY1974" s="7"/>
    </row>
    <row r="1975" spans="19:51">
      <c r="S1975" s="7"/>
      <c r="AX1975" s="7"/>
      <c r="AY1975" s="7"/>
    </row>
    <row r="1976" spans="19:51">
      <c r="S1976" s="7"/>
      <c r="AX1976" s="7"/>
      <c r="AY1976" s="7"/>
    </row>
    <row r="1977" spans="19:51">
      <c r="S1977" s="7"/>
      <c r="AX1977" s="7"/>
      <c r="AY1977" s="7"/>
    </row>
    <row r="1978" spans="19:51">
      <c r="S1978" s="7"/>
      <c r="AX1978" s="7"/>
      <c r="AY1978" s="7"/>
    </row>
    <row r="1979" spans="19:51">
      <c r="S1979" s="7"/>
      <c r="AX1979" s="7"/>
      <c r="AY1979" s="7"/>
    </row>
    <row r="1980" spans="19:51">
      <c r="S1980" s="7"/>
      <c r="AX1980" s="7"/>
      <c r="AY1980" s="7"/>
    </row>
    <row r="1981" spans="19:51">
      <c r="S1981" s="7"/>
      <c r="AX1981" s="7"/>
      <c r="AY1981" s="7"/>
    </row>
    <row r="1982" spans="19:51">
      <c r="S1982" s="7"/>
      <c r="AX1982" s="7"/>
      <c r="AY1982" s="7"/>
    </row>
    <row r="1983" spans="19:51">
      <c r="S1983" s="7"/>
      <c r="AX1983" s="7"/>
      <c r="AY1983" s="7"/>
    </row>
    <row r="1984" spans="19:51">
      <c r="S1984" s="7"/>
      <c r="AX1984" s="7"/>
      <c r="AY1984" s="7"/>
    </row>
    <row r="1985" spans="19:51">
      <c r="S1985" s="7"/>
      <c r="AX1985" s="7"/>
      <c r="AY1985" s="7"/>
    </row>
    <row r="1986" spans="19:51">
      <c r="S1986" s="7"/>
      <c r="AX1986" s="7"/>
      <c r="AY1986" s="7"/>
    </row>
    <row r="1987" spans="19:51">
      <c r="S1987" s="7"/>
      <c r="AX1987" s="7"/>
      <c r="AY1987" s="7"/>
    </row>
    <row r="1988" spans="19:51">
      <c r="S1988" s="7"/>
      <c r="AX1988" s="7"/>
      <c r="AY1988" s="7"/>
    </row>
    <row r="1989" spans="19:51">
      <c r="S1989" s="7"/>
      <c r="AX1989" s="7"/>
      <c r="AY1989" s="7"/>
    </row>
    <row r="1990" spans="19:51">
      <c r="S1990" s="7"/>
      <c r="AX1990" s="7"/>
      <c r="AY1990" s="7"/>
    </row>
    <row r="1991" spans="19:51">
      <c r="S1991" s="7"/>
      <c r="AX1991" s="7"/>
      <c r="AY1991" s="7"/>
    </row>
    <row r="1992" spans="19:51">
      <c r="S1992" s="7"/>
      <c r="AX1992" s="7"/>
      <c r="AY1992" s="7"/>
    </row>
    <row r="1993" spans="19:51">
      <c r="S1993" s="7"/>
      <c r="AX1993" s="7"/>
      <c r="AY1993" s="7"/>
    </row>
    <row r="1994" spans="19:51">
      <c r="S1994" s="7"/>
      <c r="AX1994" s="7"/>
      <c r="AY1994" s="7"/>
    </row>
    <row r="1995" spans="19:51">
      <c r="S1995" s="7"/>
      <c r="AX1995" s="7"/>
      <c r="AY1995" s="7"/>
    </row>
    <row r="1996" spans="19:51">
      <c r="S1996" s="7"/>
      <c r="AX1996" s="7"/>
      <c r="AY1996" s="7"/>
    </row>
    <row r="1997" spans="19:51">
      <c r="S1997" s="7"/>
      <c r="AX1997" s="7"/>
      <c r="AY1997" s="7"/>
    </row>
    <row r="1998" spans="19:51">
      <c r="S1998" s="7"/>
      <c r="AX1998" s="7"/>
      <c r="AY1998" s="7"/>
    </row>
    <row r="1999" spans="19:51">
      <c r="S1999" s="7"/>
      <c r="AX1999" s="7"/>
      <c r="AY1999" s="7"/>
    </row>
    <row r="2000" spans="19:51">
      <c r="S2000" s="7"/>
      <c r="AX2000" s="7"/>
      <c r="AY2000" s="7"/>
    </row>
    <row r="2001" spans="19:51">
      <c r="S2001" s="7"/>
      <c r="AX2001" s="7"/>
      <c r="AY2001" s="7"/>
    </row>
    <row r="2002" spans="19:51">
      <c r="S2002" s="7"/>
      <c r="AX2002" s="7"/>
      <c r="AY2002" s="7"/>
    </row>
    <row r="2003" spans="19:51">
      <c r="S2003" s="7"/>
      <c r="AX2003" s="7"/>
      <c r="AY2003" s="7"/>
    </row>
    <row r="2004" spans="19:51">
      <c r="S2004" s="7"/>
      <c r="AX2004" s="7"/>
      <c r="AY2004" s="7"/>
    </row>
    <row r="2005" spans="19:51">
      <c r="S2005" s="7"/>
      <c r="AX2005" s="7"/>
      <c r="AY2005" s="7"/>
    </row>
    <row r="2006" spans="19:51">
      <c r="S2006" s="7"/>
      <c r="AX2006" s="7"/>
      <c r="AY2006" s="7"/>
    </row>
    <row r="2007" spans="19:51">
      <c r="S2007" s="7"/>
      <c r="AX2007" s="7"/>
      <c r="AY2007" s="7"/>
    </row>
    <row r="2008" spans="19:51">
      <c r="S2008" s="7"/>
      <c r="AX2008" s="7"/>
      <c r="AY2008" s="7"/>
    </row>
    <row r="2009" spans="19:51">
      <c r="S2009" s="7"/>
      <c r="AX2009" s="7"/>
      <c r="AY2009" s="7"/>
    </row>
    <row r="2010" spans="19:51">
      <c r="S2010" s="7"/>
      <c r="AX2010" s="7"/>
      <c r="AY2010" s="7"/>
    </row>
    <row r="2011" spans="19:51">
      <c r="S2011" s="7"/>
      <c r="AX2011" s="7"/>
      <c r="AY2011" s="7"/>
    </row>
    <row r="2012" spans="19:51">
      <c r="S2012" s="7"/>
      <c r="AX2012" s="7"/>
      <c r="AY2012" s="7"/>
    </row>
    <row r="2013" spans="19:51">
      <c r="S2013" s="7"/>
      <c r="AX2013" s="7"/>
      <c r="AY2013" s="7"/>
    </row>
    <row r="2014" spans="19:51">
      <c r="S2014" s="7"/>
      <c r="AX2014" s="7"/>
      <c r="AY2014" s="7"/>
    </row>
    <row r="2015" spans="19:51">
      <c r="S2015" s="7"/>
      <c r="AX2015" s="7"/>
      <c r="AY2015" s="7"/>
    </row>
    <row r="2016" spans="19:51">
      <c r="S2016" s="7"/>
      <c r="AX2016" s="7"/>
      <c r="AY2016" s="7"/>
    </row>
    <row r="2017" spans="19:51">
      <c r="S2017" s="7"/>
      <c r="AX2017" s="7"/>
      <c r="AY2017" s="7"/>
    </row>
    <row r="2018" spans="19:51">
      <c r="S2018" s="7"/>
      <c r="AX2018" s="7"/>
      <c r="AY2018" s="7"/>
    </row>
    <row r="2019" spans="19:51">
      <c r="S2019" s="7"/>
      <c r="AX2019" s="7"/>
      <c r="AY2019" s="7"/>
    </row>
    <row r="2020" spans="19:51">
      <c r="S2020" s="7"/>
      <c r="AX2020" s="7"/>
      <c r="AY2020" s="7"/>
    </row>
    <row r="2021" spans="19:51">
      <c r="S2021" s="7"/>
      <c r="AX2021" s="7"/>
      <c r="AY2021" s="7"/>
    </row>
    <row r="2022" spans="19:51">
      <c r="S2022" s="7"/>
      <c r="AX2022" s="7"/>
      <c r="AY2022" s="7"/>
    </row>
    <row r="2023" spans="19:51">
      <c r="S2023" s="7"/>
      <c r="AX2023" s="7"/>
      <c r="AY2023" s="7"/>
    </row>
    <row r="2024" spans="19:51">
      <c r="S2024" s="7"/>
      <c r="AX2024" s="7"/>
      <c r="AY2024" s="7"/>
    </row>
    <row r="2025" spans="19:51">
      <c r="S2025" s="7"/>
      <c r="AX2025" s="7"/>
      <c r="AY2025" s="7"/>
    </row>
    <row r="2026" spans="19:51">
      <c r="S2026" s="7"/>
      <c r="AX2026" s="7"/>
      <c r="AY2026" s="7"/>
    </row>
    <row r="2027" spans="19:51">
      <c r="S2027" s="7"/>
      <c r="AX2027" s="7"/>
      <c r="AY2027" s="7"/>
    </row>
    <row r="2028" spans="19:51">
      <c r="S2028" s="7"/>
      <c r="AX2028" s="7"/>
      <c r="AY2028" s="7"/>
    </row>
    <row r="2029" spans="19:51">
      <c r="S2029" s="7"/>
      <c r="AX2029" s="7"/>
      <c r="AY2029" s="7"/>
    </row>
    <row r="2030" spans="19:51">
      <c r="S2030" s="7"/>
      <c r="AX2030" s="7"/>
      <c r="AY2030" s="7"/>
    </row>
    <row r="2031" spans="19:51">
      <c r="S2031" s="7"/>
      <c r="AX2031" s="7"/>
      <c r="AY2031" s="7"/>
    </row>
    <row r="2032" spans="19:51">
      <c r="S2032" s="7"/>
      <c r="AX2032" s="7"/>
      <c r="AY2032" s="7"/>
    </row>
    <row r="2033" spans="19:51">
      <c r="S2033" s="7"/>
      <c r="AX2033" s="7"/>
      <c r="AY2033" s="7"/>
    </row>
    <row r="2034" spans="19:51">
      <c r="S2034" s="7"/>
      <c r="AX2034" s="7"/>
      <c r="AY2034" s="7"/>
    </row>
    <row r="2035" spans="19:51">
      <c r="S2035" s="7"/>
      <c r="AX2035" s="7"/>
      <c r="AY2035" s="7"/>
    </row>
    <row r="2036" spans="19:51">
      <c r="S2036" s="7"/>
      <c r="AX2036" s="7"/>
      <c r="AY2036" s="7"/>
    </row>
    <row r="2037" spans="19:51">
      <c r="S2037" s="7"/>
      <c r="AX2037" s="7"/>
      <c r="AY2037" s="7"/>
    </row>
    <row r="2038" spans="19:51">
      <c r="S2038" s="7"/>
      <c r="AX2038" s="7"/>
      <c r="AY2038" s="7"/>
    </row>
    <row r="2039" spans="19:51">
      <c r="S2039" s="7"/>
      <c r="AX2039" s="7"/>
      <c r="AY2039" s="7"/>
    </row>
    <row r="2040" spans="19:51">
      <c r="S2040" s="7"/>
      <c r="AX2040" s="7"/>
      <c r="AY2040" s="7"/>
    </row>
    <row r="2041" spans="19:51">
      <c r="S2041" s="7"/>
      <c r="AX2041" s="7"/>
      <c r="AY2041" s="7"/>
    </row>
    <row r="2042" spans="19:51">
      <c r="S2042" s="7"/>
      <c r="AX2042" s="7"/>
      <c r="AY2042" s="7"/>
    </row>
    <row r="2043" spans="19:51">
      <c r="S2043" s="7"/>
      <c r="AX2043" s="7"/>
      <c r="AY2043" s="7"/>
    </row>
    <row r="2044" spans="19:51">
      <c r="S2044" s="7"/>
      <c r="AX2044" s="7"/>
      <c r="AY2044" s="7"/>
    </row>
    <row r="2045" spans="19:51">
      <c r="S2045" s="7"/>
      <c r="AX2045" s="7"/>
      <c r="AY2045" s="7"/>
    </row>
    <row r="2046" spans="19:51">
      <c r="S2046" s="7"/>
      <c r="AX2046" s="7"/>
      <c r="AY2046" s="7"/>
    </row>
    <row r="2047" spans="19:51">
      <c r="S2047" s="7"/>
      <c r="AX2047" s="7"/>
      <c r="AY2047" s="7"/>
    </row>
    <row r="2048" spans="19:51">
      <c r="S2048" s="7"/>
      <c r="AX2048" s="7"/>
      <c r="AY2048" s="7"/>
    </row>
    <row r="2049" spans="19:51">
      <c r="S2049" s="7"/>
      <c r="AX2049" s="7"/>
      <c r="AY2049" s="7"/>
    </row>
    <row r="2050" spans="19:51">
      <c r="S2050" s="7"/>
      <c r="AX2050" s="7"/>
      <c r="AY2050" s="7"/>
    </row>
    <row r="2051" spans="19:51">
      <c r="S2051" s="7"/>
      <c r="AX2051" s="7"/>
      <c r="AY2051" s="7"/>
    </row>
    <row r="2052" spans="19:51">
      <c r="S2052" s="7"/>
      <c r="AX2052" s="7"/>
      <c r="AY2052" s="7"/>
    </row>
    <row r="2053" spans="19:51">
      <c r="S2053" s="7"/>
      <c r="AX2053" s="7"/>
      <c r="AY2053" s="7"/>
    </row>
    <row r="2054" spans="19:51">
      <c r="S2054" s="7"/>
      <c r="AX2054" s="7"/>
      <c r="AY2054" s="7"/>
    </row>
    <row r="2055" spans="19:51">
      <c r="S2055" s="7"/>
      <c r="AX2055" s="7"/>
      <c r="AY2055" s="7"/>
    </row>
    <row r="2056" spans="19:51">
      <c r="S2056" s="7"/>
      <c r="AX2056" s="7"/>
      <c r="AY2056" s="7"/>
    </row>
    <row r="2057" spans="19:51">
      <c r="S2057" s="7"/>
      <c r="AX2057" s="7"/>
      <c r="AY2057" s="7"/>
    </row>
    <row r="2058" spans="19:51">
      <c r="S2058" s="7"/>
      <c r="AX2058" s="7"/>
      <c r="AY2058" s="7"/>
    </row>
    <row r="2059" spans="19:51">
      <c r="S2059" s="7"/>
      <c r="AX2059" s="7"/>
      <c r="AY2059" s="7"/>
    </row>
    <row r="2060" spans="19:51">
      <c r="S2060" s="7"/>
      <c r="AX2060" s="7"/>
      <c r="AY2060" s="7"/>
    </row>
    <row r="2061" spans="19:51">
      <c r="S2061" s="7"/>
      <c r="AX2061" s="7"/>
      <c r="AY2061" s="7"/>
    </row>
    <row r="2062" spans="19:51">
      <c r="S2062" s="7"/>
      <c r="AX2062" s="7"/>
      <c r="AY2062" s="7"/>
    </row>
    <row r="2063" spans="19:51">
      <c r="S2063" s="7"/>
      <c r="AX2063" s="7"/>
      <c r="AY2063" s="7"/>
    </row>
    <row r="2064" spans="19:51">
      <c r="S2064" s="7"/>
      <c r="AX2064" s="7"/>
      <c r="AY2064" s="7"/>
    </row>
    <row r="2065" spans="19:51">
      <c r="S2065" s="7"/>
      <c r="AX2065" s="7"/>
      <c r="AY2065" s="7"/>
    </row>
    <row r="2066" spans="19:51">
      <c r="S2066" s="7"/>
      <c r="AX2066" s="7"/>
      <c r="AY2066" s="7"/>
    </row>
    <row r="2067" spans="19:51">
      <c r="S2067" s="7"/>
      <c r="AX2067" s="7"/>
      <c r="AY2067" s="7"/>
    </row>
    <row r="2068" spans="19:51">
      <c r="S2068" s="7"/>
      <c r="AX2068" s="7"/>
      <c r="AY2068" s="7"/>
    </row>
    <row r="2069" spans="19:51">
      <c r="S2069" s="7"/>
      <c r="AX2069" s="7"/>
      <c r="AY2069" s="7"/>
    </row>
    <row r="2070" spans="19:51">
      <c r="S2070" s="7"/>
      <c r="AX2070" s="7"/>
      <c r="AY2070" s="7"/>
    </row>
    <row r="2071" spans="19:51">
      <c r="S2071" s="7"/>
      <c r="AX2071" s="7"/>
      <c r="AY2071" s="7"/>
    </row>
    <row r="2072" spans="19:51">
      <c r="S2072" s="7"/>
      <c r="AX2072" s="7"/>
      <c r="AY2072" s="7"/>
    </row>
    <row r="2073" spans="19:51">
      <c r="S2073" s="7"/>
      <c r="AX2073" s="7"/>
      <c r="AY2073" s="7"/>
    </row>
    <row r="2074" spans="19:51">
      <c r="S2074" s="7"/>
      <c r="AX2074" s="7"/>
      <c r="AY2074" s="7"/>
    </row>
    <row r="2075" spans="19:51">
      <c r="S2075" s="7"/>
      <c r="AX2075" s="7"/>
      <c r="AY2075" s="7"/>
    </row>
    <row r="2076" spans="19:51">
      <c r="S2076" s="7"/>
      <c r="AX2076" s="7"/>
      <c r="AY2076" s="7"/>
    </row>
    <row r="2077" spans="19:51">
      <c r="S2077" s="7"/>
      <c r="AX2077" s="7"/>
      <c r="AY2077" s="7"/>
    </row>
    <row r="2078" spans="19:51">
      <c r="S2078" s="7"/>
      <c r="AX2078" s="7"/>
      <c r="AY2078" s="7"/>
    </row>
    <row r="2079" spans="19:51">
      <c r="S2079" s="7"/>
      <c r="AX2079" s="7"/>
      <c r="AY2079" s="7"/>
    </row>
    <row r="2080" spans="19:51">
      <c r="S2080" s="7"/>
      <c r="AX2080" s="7"/>
      <c r="AY2080" s="7"/>
    </row>
    <row r="2081" spans="19:51">
      <c r="S2081" s="7"/>
      <c r="AX2081" s="7"/>
      <c r="AY2081" s="7"/>
    </row>
    <row r="2082" spans="19:51">
      <c r="S2082" s="7"/>
      <c r="AX2082" s="7"/>
      <c r="AY2082" s="7"/>
    </row>
    <row r="2083" spans="19:51">
      <c r="S2083" s="7"/>
      <c r="AX2083" s="7"/>
      <c r="AY2083" s="7"/>
    </row>
    <row r="2084" spans="19:51">
      <c r="S2084" s="7"/>
      <c r="AX2084" s="7"/>
      <c r="AY2084" s="7"/>
    </row>
    <row r="2085" spans="19:51">
      <c r="S2085" s="7"/>
      <c r="AX2085" s="7"/>
      <c r="AY2085" s="7"/>
    </row>
    <row r="2086" spans="19:51">
      <c r="S2086" s="7"/>
      <c r="AX2086" s="7"/>
      <c r="AY2086" s="7"/>
    </row>
    <row r="2087" spans="19:51">
      <c r="S2087" s="7"/>
      <c r="AX2087" s="7"/>
      <c r="AY2087" s="7"/>
    </row>
    <row r="2088" spans="19:51">
      <c r="S2088" s="7"/>
      <c r="AX2088" s="7"/>
      <c r="AY2088" s="7"/>
    </row>
    <row r="2089" spans="19:51">
      <c r="S2089" s="7"/>
      <c r="AX2089" s="7"/>
      <c r="AY2089" s="7"/>
    </row>
    <row r="2090" spans="19:51">
      <c r="S2090" s="7"/>
      <c r="AX2090" s="7"/>
      <c r="AY2090" s="7"/>
    </row>
    <row r="2091" spans="19:51">
      <c r="S2091" s="7"/>
      <c r="AX2091" s="7"/>
      <c r="AY2091" s="7"/>
    </row>
    <row r="2092" spans="19:51">
      <c r="S2092" s="7"/>
      <c r="AX2092" s="7"/>
      <c r="AY2092" s="7"/>
    </row>
    <row r="2093" spans="19:51">
      <c r="S2093" s="7"/>
      <c r="AX2093" s="7"/>
      <c r="AY2093" s="7"/>
    </row>
    <row r="2094" spans="19:51">
      <c r="S2094" s="7"/>
      <c r="AX2094" s="7"/>
      <c r="AY2094" s="7"/>
    </row>
    <row r="2095" spans="19:51">
      <c r="S2095" s="7"/>
      <c r="AX2095" s="7"/>
      <c r="AY2095" s="7"/>
    </row>
    <row r="2096" spans="19:51">
      <c r="S2096" s="7"/>
      <c r="AX2096" s="7"/>
      <c r="AY2096" s="7"/>
    </row>
    <row r="2097" spans="19:51">
      <c r="S2097" s="7"/>
      <c r="AX2097" s="7"/>
      <c r="AY2097" s="7"/>
    </row>
    <row r="2098" spans="19:51">
      <c r="S2098" s="7"/>
      <c r="AX2098" s="7"/>
      <c r="AY2098" s="7"/>
    </row>
    <row r="2099" spans="19:51">
      <c r="S2099" s="7"/>
      <c r="AX2099" s="7"/>
      <c r="AY2099" s="7"/>
    </row>
    <row r="2100" spans="19:51">
      <c r="S2100" s="7"/>
      <c r="AX2100" s="7"/>
      <c r="AY2100" s="7"/>
    </row>
    <row r="2101" spans="19:51">
      <c r="S2101" s="7"/>
      <c r="AX2101" s="7"/>
      <c r="AY2101" s="7"/>
    </row>
    <row r="2102" spans="19:51">
      <c r="S2102" s="7"/>
      <c r="AX2102" s="7"/>
      <c r="AY2102" s="7"/>
    </row>
    <row r="2103" spans="19:51">
      <c r="S2103" s="7"/>
      <c r="AX2103" s="7"/>
      <c r="AY2103" s="7"/>
    </row>
    <row r="2104" spans="19:51">
      <c r="S2104" s="7"/>
      <c r="AX2104" s="7"/>
      <c r="AY2104" s="7"/>
    </row>
    <row r="2105" spans="19:51">
      <c r="S2105" s="7"/>
      <c r="AX2105" s="7"/>
      <c r="AY2105" s="7"/>
    </row>
    <row r="2106" spans="19:51">
      <c r="S2106" s="7"/>
      <c r="AX2106" s="7"/>
      <c r="AY2106" s="7"/>
    </row>
    <row r="2107" spans="19:51">
      <c r="S2107" s="7"/>
      <c r="AX2107" s="7"/>
      <c r="AY2107" s="7"/>
    </row>
    <row r="2108" spans="19:51">
      <c r="S2108" s="7"/>
      <c r="AX2108" s="7"/>
      <c r="AY2108" s="7"/>
    </row>
    <row r="2109" spans="19:51">
      <c r="S2109" s="7"/>
      <c r="AX2109" s="7"/>
      <c r="AY2109" s="7"/>
    </row>
    <row r="2110" spans="19:51">
      <c r="S2110" s="7"/>
      <c r="AX2110" s="7"/>
      <c r="AY2110" s="7"/>
    </row>
    <row r="2111" spans="19:51">
      <c r="S2111" s="7"/>
      <c r="AX2111" s="7"/>
      <c r="AY2111" s="7"/>
    </row>
    <row r="2112" spans="19:51">
      <c r="S2112" s="7"/>
      <c r="AX2112" s="7"/>
      <c r="AY2112" s="7"/>
    </row>
    <row r="2113" spans="19:51">
      <c r="S2113" s="7"/>
      <c r="AX2113" s="7"/>
      <c r="AY2113" s="7"/>
    </row>
    <row r="2114" spans="19:51">
      <c r="S2114" s="7"/>
      <c r="AX2114" s="7"/>
      <c r="AY2114" s="7"/>
    </row>
    <row r="2115" spans="19:51">
      <c r="S2115" s="7"/>
      <c r="AX2115" s="7"/>
      <c r="AY2115" s="7"/>
    </row>
    <row r="2116" spans="19:51">
      <c r="S2116" s="7"/>
      <c r="AX2116" s="7"/>
      <c r="AY2116" s="7"/>
    </row>
    <row r="2117" spans="19:51">
      <c r="S2117" s="7"/>
      <c r="AX2117" s="7"/>
      <c r="AY2117" s="7"/>
    </row>
    <row r="2118" spans="19:51">
      <c r="S2118" s="7"/>
      <c r="AX2118" s="7"/>
      <c r="AY2118" s="7"/>
    </row>
    <row r="2119" spans="19:51">
      <c r="S2119" s="7"/>
      <c r="AX2119" s="7"/>
      <c r="AY2119" s="7"/>
    </row>
    <row r="2120" spans="19:51">
      <c r="S2120" s="7"/>
      <c r="AX2120" s="7"/>
      <c r="AY2120" s="7"/>
    </row>
    <row r="2121" spans="19:51">
      <c r="S2121" s="7"/>
      <c r="AX2121" s="7"/>
      <c r="AY2121" s="7"/>
    </row>
    <row r="2122" spans="19:51">
      <c r="S2122" s="7"/>
      <c r="AX2122" s="7"/>
      <c r="AY2122" s="7"/>
    </row>
    <row r="2123" spans="19:51">
      <c r="S2123" s="7"/>
      <c r="AX2123" s="7"/>
      <c r="AY2123" s="7"/>
    </row>
    <row r="2124" spans="19:51">
      <c r="S2124" s="7"/>
      <c r="AX2124" s="7"/>
      <c r="AY2124" s="7"/>
    </row>
    <row r="2125" spans="19:51">
      <c r="S2125" s="7"/>
      <c r="AX2125" s="7"/>
      <c r="AY2125" s="7"/>
    </row>
    <row r="2126" spans="19:51">
      <c r="S2126" s="7"/>
      <c r="AX2126" s="7"/>
      <c r="AY2126" s="7"/>
    </row>
    <row r="2127" spans="19:51">
      <c r="S2127" s="7"/>
      <c r="AX2127" s="7"/>
      <c r="AY2127" s="7"/>
    </row>
    <row r="2128" spans="19:51">
      <c r="S2128" s="7"/>
      <c r="AX2128" s="7"/>
      <c r="AY2128" s="7"/>
    </row>
    <row r="2129" spans="19:51">
      <c r="S2129" s="7"/>
      <c r="AX2129" s="7"/>
      <c r="AY2129" s="7"/>
    </row>
    <row r="2130" spans="19:51">
      <c r="S2130" s="7"/>
      <c r="AX2130" s="7"/>
      <c r="AY2130" s="7"/>
    </row>
    <row r="2131" spans="19:51">
      <c r="S2131" s="7"/>
      <c r="AX2131" s="7"/>
      <c r="AY2131" s="7"/>
    </row>
    <row r="2132" spans="19:51">
      <c r="S2132" s="7"/>
      <c r="AX2132" s="7"/>
      <c r="AY2132" s="7"/>
    </row>
    <row r="2133" spans="19:51">
      <c r="S2133" s="7"/>
      <c r="AX2133" s="7"/>
      <c r="AY2133" s="7"/>
    </row>
    <row r="2134" spans="19:51">
      <c r="S2134" s="7"/>
      <c r="AX2134" s="7"/>
      <c r="AY2134" s="7"/>
    </row>
    <row r="2135" spans="19:51">
      <c r="S2135" s="7"/>
      <c r="AX2135" s="7"/>
      <c r="AY2135" s="7"/>
    </row>
    <row r="2136" spans="19:51">
      <c r="S2136" s="7"/>
      <c r="AX2136" s="7"/>
      <c r="AY2136" s="7"/>
    </row>
    <row r="2137" spans="19:51">
      <c r="S2137" s="7"/>
      <c r="AX2137" s="7"/>
      <c r="AY2137" s="7"/>
    </row>
    <row r="2138" spans="19:51">
      <c r="S2138" s="7"/>
      <c r="AX2138" s="7"/>
      <c r="AY2138" s="7"/>
    </row>
    <row r="2139" spans="19:51">
      <c r="S2139" s="7"/>
      <c r="AX2139" s="7"/>
      <c r="AY2139" s="7"/>
    </row>
    <row r="2140" spans="19:51">
      <c r="S2140" s="7"/>
      <c r="AX2140" s="7"/>
      <c r="AY2140" s="7"/>
    </row>
    <row r="2141" spans="19:51">
      <c r="S2141" s="7"/>
      <c r="AX2141" s="7"/>
      <c r="AY2141" s="7"/>
    </row>
    <row r="2142" spans="19:51">
      <c r="S2142" s="7"/>
      <c r="AX2142" s="7"/>
      <c r="AY2142" s="7"/>
    </row>
    <row r="2143" spans="19:51">
      <c r="S2143" s="7"/>
      <c r="AX2143" s="7"/>
      <c r="AY2143" s="7"/>
    </row>
    <row r="2144" spans="19:51">
      <c r="S2144" s="7"/>
      <c r="AX2144" s="7"/>
      <c r="AY2144" s="7"/>
    </row>
    <row r="2145" spans="19:51">
      <c r="S2145" s="7"/>
      <c r="AX2145" s="7"/>
      <c r="AY2145" s="7"/>
    </row>
    <row r="2146" spans="19:51">
      <c r="S2146" s="7"/>
      <c r="AX2146" s="7"/>
      <c r="AY2146" s="7"/>
    </row>
    <row r="2147" spans="19:51">
      <c r="S2147" s="7"/>
      <c r="AX2147" s="7"/>
      <c r="AY2147" s="7"/>
    </row>
    <row r="2148" spans="19:51">
      <c r="S2148" s="7"/>
      <c r="AX2148" s="7"/>
      <c r="AY2148" s="7"/>
    </row>
    <row r="2149" spans="19:51">
      <c r="S2149" s="7"/>
      <c r="AX2149" s="7"/>
      <c r="AY2149" s="7"/>
    </row>
    <row r="2150" spans="19:51">
      <c r="S2150" s="7"/>
      <c r="AX2150" s="7"/>
      <c r="AY2150" s="7"/>
    </row>
    <row r="2151" spans="19:51">
      <c r="S2151" s="7"/>
      <c r="AX2151" s="7"/>
      <c r="AY2151" s="7"/>
    </row>
    <row r="2152" spans="19:51">
      <c r="S2152" s="7"/>
      <c r="AX2152" s="7"/>
      <c r="AY2152" s="7"/>
    </row>
    <row r="2153" spans="19:51">
      <c r="S2153" s="7"/>
      <c r="AX2153" s="7"/>
      <c r="AY2153" s="7"/>
    </row>
    <row r="2154" spans="19:51">
      <c r="S2154" s="7"/>
      <c r="AX2154" s="7"/>
      <c r="AY2154" s="7"/>
    </row>
    <row r="2155" spans="19:51">
      <c r="S2155" s="7"/>
      <c r="AX2155" s="7"/>
      <c r="AY2155" s="7"/>
    </row>
    <row r="2156" spans="19:51">
      <c r="S2156" s="7"/>
      <c r="AX2156" s="7"/>
      <c r="AY2156" s="7"/>
    </row>
    <row r="2157" spans="19:51">
      <c r="S2157" s="7"/>
      <c r="AX2157" s="7"/>
      <c r="AY2157" s="7"/>
    </row>
    <row r="2158" spans="19:51">
      <c r="S2158" s="7"/>
      <c r="AX2158" s="7"/>
      <c r="AY2158" s="7"/>
    </row>
    <row r="2159" spans="19:51">
      <c r="S2159" s="7"/>
      <c r="AX2159" s="7"/>
      <c r="AY2159" s="7"/>
    </row>
    <row r="2160" spans="19:51">
      <c r="S2160" s="7"/>
      <c r="AX2160" s="7"/>
      <c r="AY2160" s="7"/>
    </row>
    <row r="2161" spans="19:51">
      <c r="S2161" s="7"/>
      <c r="AX2161" s="7"/>
      <c r="AY2161" s="7"/>
    </row>
    <row r="2162" spans="19:51">
      <c r="S2162" s="7"/>
      <c r="AX2162" s="7"/>
      <c r="AY2162" s="7"/>
    </row>
    <row r="2163" spans="19:51">
      <c r="S2163" s="7"/>
      <c r="AX2163" s="7"/>
      <c r="AY2163" s="7"/>
    </row>
    <row r="2164" spans="19:51">
      <c r="S2164" s="7"/>
      <c r="AX2164" s="7"/>
      <c r="AY2164" s="7"/>
    </row>
    <row r="2165" spans="19:51">
      <c r="S2165" s="7"/>
      <c r="AX2165" s="7"/>
      <c r="AY2165" s="7"/>
    </row>
    <row r="2166" spans="19:51">
      <c r="S2166" s="7"/>
      <c r="AX2166" s="7"/>
      <c r="AY2166" s="7"/>
    </row>
    <row r="2167" spans="19:51">
      <c r="S2167" s="7"/>
      <c r="AX2167" s="7"/>
      <c r="AY2167" s="7"/>
    </row>
    <row r="2168" spans="19:51">
      <c r="S2168" s="7"/>
      <c r="AX2168" s="7"/>
      <c r="AY2168" s="7"/>
    </row>
    <row r="2169" spans="19:51">
      <c r="S2169" s="7"/>
      <c r="AX2169" s="7"/>
      <c r="AY2169" s="7"/>
    </row>
    <row r="2170" spans="19:51">
      <c r="S2170" s="7"/>
      <c r="AX2170" s="7"/>
      <c r="AY2170" s="7"/>
    </row>
    <row r="2171" spans="19:51">
      <c r="S2171" s="7"/>
      <c r="AX2171" s="7"/>
      <c r="AY2171" s="7"/>
    </row>
    <row r="2172" spans="19:51">
      <c r="S2172" s="7"/>
      <c r="AX2172" s="7"/>
      <c r="AY2172" s="7"/>
    </row>
    <row r="2173" spans="19:51">
      <c r="S2173" s="7"/>
      <c r="AX2173" s="7"/>
      <c r="AY2173" s="7"/>
    </row>
    <row r="2174" spans="19:51">
      <c r="S2174" s="7"/>
      <c r="AX2174" s="7"/>
      <c r="AY2174" s="7"/>
    </row>
    <row r="2175" spans="19:51">
      <c r="S2175" s="7"/>
      <c r="AX2175" s="7"/>
      <c r="AY2175" s="7"/>
    </row>
    <row r="2176" spans="19:51">
      <c r="S2176" s="7"/>
      <c r="AX2176" s="7"/>
      <c r="AY2176" s="7"/>
    </row>
    <row r="2177" spans="19:51">
      <c r="S2177" s="7"/>
      <c r="AX2177" s="7"/>
      <c r="AY2177" s="7"/>
    </row>
    <row r="2178" spans="19:51">
      <c r="S2178" s="7"/>
      <c r="AX2178" s="7"/>
      <c r="AY2178" s="7"/>
    </row>
    <row r="2179" spans="19:51">
      <c r="S2179" s="7"/>
      <c r="AX2179" s="7"/>
      <c r="AY2179" s="7"/>
    </row>
    <row r="2180" spans="19:51">
      <c r="S2180" s="7"/>
      <c r="AX2180" s="7"/>
      <c r="AY2180" s="7"/>
    </row>
    <row r="2181" spans="19:51">
      <c r="S2181" s="7"/>
      <c r="AX2181" s="7"/>
      <c r="AY2181" s="7"/>
    </row>
    <row r="2182" spans="19:51">
      <c r="S2182" s="7"/>
      <c r="AX2182" s="7"/>
      <c r="AY2182" s="7"/>
    </row>
    <row r="2183" spans="19:51">
      <c r="S2183" s="7"/>
      <c r="AX2183" s="7"/>
      <c r="AY2183" s="7"/>
    </row>
    <row r="2184" spans="19:51">
      <c r="S2184" s="7"/>
      <c r="AX2184" s="7"/>
      <c r="AY2184" s="7"/>
    </row>
    <row r="2185" spans="19:51">
      <c r="S2185" s="7"/>
      <c r="AX2185" s="7"/>
      <c r="AY2185" s="7"/>
    </row>
    <row r="2186" spans="19:51">
      <c r="S2186" s="7"/>
      <c r="AX2186" s="7"/>
      <c r="AY2186" s="7"/>
    </row>
    <row r="2187" spans="19:51">
      <c r="S2187" s="7"/>
      <c r="AX2187" s="7"/>
      <c r="AY2187" s="7"/>
    </row>
    <row r="2188" spans="19:51">
      <c r="S2188" s="7"/>
      <c r="AX2188" s="7"/>
      <c r="AY2188" s="7"/>
    </row>
    <row r="2189" spans="19:51">
      <c r="S2189" s="7"/>
      <c r="AX2189" s="7"/>
      <c r="AY2189" s="7"/>
    </row>
    <row r="2190" spans="19:51">
      <c r="S2190" s="7"/>
      <c r="AX2190" s="7"/>
      <c r="AY2190" s="7"/>
    </row>
    <row r="2191" spans="19:51">
      <c r="S2191" s="7"/>
      <c r="AX2191" s="7"/>
      <c r="AY2191" s="7"/>
    </row>
    <row r="2192" spans="19:51">
      <c r="S2192" s="7"/>
      <c r="AX2192" s="7"/>
      <c r="AY2192" s="7"/>
    </row>
    <row r="2193" spans="19:51">
      <c r="S2193" s="7"/>
      <c r="AX2193" s="7"/>
      <c r="AY2193" s="7"/>
    </row>
    <row r="2194" spans="19:51">
      <c r="S2194" s="7"/>
      <c r="AX2194" s="7"/>
      <c r="AY2194" s="7"/>
    </row>
    <row r="2195" spans="19:51">
      <c r="S2195" s="7"/>
      <c r="AX2195" s="7"/>
      <c r="AY2195" s="7"/>
    </row>
    <row r="2196" spans="19:51">
      <c r="S2196" s="7"/>
      <c r="AX2196" s="7"/>
      <c r="AY2196" s="7"/>
    </row>
    <row r="2197" spans="19:51">
      <c r="S2197" s="7"/>
      <c r="AX2197" s="7"/>
      <c r="AY2197" s="7"/>
    </row>
    <row r="2198" spans="19:51">
      <c r="S2198" s="7"/>
      <c r="AX2198" s="7"/>
      <c r="AY2198" s="7"/>
    </row>
    <row r="2199" spans="19:51">
      <c r="S2199" s="7"/>
      <c r="AX2199" s="7"/>
      <c r="AY2199" s="7"/>
    </row>
    <row r="2200" spans="19:51">
      <c r="S2200" s="7"/>
      <c r="AX2200" s="7"/>
      <c r="AY2200" s="7"/>
    </row>
    <row r="2201" spans="19:51">
      <c r="S2201" s="7"/>
      <c r="AX2201" s="7"/>
      <c r="AY2201" s="7"/>
    </row>
    <row r="2202" spans="19:51">
      <c r="S2202" s="7"/>
      <c r="AX2202" s="7"/>
      <c r="AY2202" s="7"/>
    </row>
    <row r="2203" spans="19:51">
      <c r="S2203" s="7"/>
      <c r="AX2203" s="7"/>
      <c r="AY2203" s="7"/>
    </row>
    <row r="2204" spans="19:51">
      <c r="S2204" s="7"/>
      <c r="AX2204" s="7"/>
      <c r="AY2204" s="7"/>
    </row>
    <row r="2205" spans="19:51">
      <c r="S2205" s="7"/>
      <c r="AX2205" s="7"/>
      <c r="AY2205" s="7"/>
    </row>
    <row r="2206" spans="19:51">
      <c r="S2206" s="7"/>
      <c r="AX2206" s="7"/>
      <c r="AY2206" s="7"/>
    </row>
    <row r="2207" spans="19:51">
      <c r="S2207" s="7"/>
      <c r="AX2207" s="7"/>
      <c r="AY2207" s="7"/>
    </row>
    <row r="2208" spans="19:51">
      <c r="S2208" s="7"/>
      <c r="AX2208" s="7"/>
      <c r="AY2208" s="7"/>
    </row>
    <row r="2209" spans="19:51">
      <c r="S2209" s="7"/>
      <c r="AX2209" s="7"/>
      <c r="AY2209" s="7"/>
    </row>
    <row r="2210" spans="19:51">
      <c r="S2210" s="7"/>
      <c r="AX2210" s="7"/>
      <c r="AY2210" s="7"/>
    </row>
    <row r="2211" spans="19:51">
      <c r="S2211" s="7"/>
      <c r="AX2211" s="7"/>
      <c r="AY2211" s="7"/>
    </row>
    <row r="2212" spans="19:51">
      <c r="S2212" s="7"/>
      <c r="AX2212" s="7"/>
      <c r="AY2212" s="7"/>
    </row>
    <row r="2213" spans="19:51">
      <c r="S2213" s="7"/>
      <c r="AX2213" s="7"/>
      <c r="AY2213" s="7"/>
    </row>
    <row r="2214" spans="19:51">
      <c r="S2214" s="7"/>
      <c r="AX2214" s="7"/>
      <c r="AY2214" s="7"/>
    </row>
    <row r="2215" spans="19:51">
      <c r="S2215" s="7"/>
      <c r="AX2215" s="7"/>
      <c r="AY2215" s="7"/>
    </row>
    <row r="2216" spans="19:51">
      <c r="S2216" s="7"/>
      <c r="AX2216" s="7"/>
      <c r="AY2216" s="7"/>
    </row>
    <row r="2217" spans="19:51">
      <c r="S2217" s="7"/>
      <c r="AX2217" s="7"/>
      <c r="AY2217" s="7"/>
    </row>
    <row r="2218" spans="19:51">
      <c r="S2218" s="7"/>
      <c r="AX2218" s="7"/>
      <c r="AY2218" s="7"/>
    </row>
    <row r="2219" spans="19:51">
      <c r="S2219" s="7"/>
      <c r="AX2219" s="7"/>
      <c r="AY2219" s="7"/>
    </row>
    <row r="2220" spans="19:51">
      <c r="S2220" s="7"/>
      <c r="AX2220" s="7"/>
      <c r="AY2220" s="7"/>
    </row>
    <row r="2221" spans="19:51">
      <c r="S2221" s="7"/>
      <c r="AX2221" s="7"/>
      <c r="AY2221" s="7"/>
    </row>
    <row r="2222" spans="19:51">
      <c r="S2222" s="7"/>
      <c r="AX2222" s="7"/>
      <c r="AY2222" s="7"/>
    </row>
    <row r="2223" spans="19:51">
      <c r="S2223" s="7"/>
      <c r="AX2223" s="7"/>
      <c r="AY2223" s="7"/>
    </row>
    <row r="2224" spans="19:51">
      <c r="S2224" s="7"/>
      <c r="AX2224" s="7"/>
      <c r="AY2224" s="7"/>
    </row>
    <row r="2225" spans="19:51">
      <c r="S2225" s="7"/>
      <c r="AX2225" s="7"/>
      <c r="AY2225" s="7"/>
    </row>
    <row r="2226" spans="19:51">
      <c r="S2226" s="7"/>
      <c r="AX2226" s="7"/>
      <c r="AY2226" s="7"/>
    </row>
    <row r="2227" spans="19:51">
      <c r="S2227" s="7"/>
      <c r="AX2227" s="7"/>
      <c r="AY2227" s="7"/>
    </row>
    <row r="2228" spans="19:51">
      <c r="S2228" s="7"/>
      <c r="AX2228" s="7"/>
      <c r="AY2228" s="7"/>
    </row>
    <row r="2229" spans="19:51">
      <c r="S2229" s="7"/>
      <c r="AX2229" s="7"/>
      <c r="AY2229" s="7"/>
    </row>
    <row r="2230" spans="19:51">
      <c r="S2230" s="7"/>
      <c r="AX2230" s="7"/>
      <c r="AY2230" s="7"/>
    </row>
    <row r="2231" spans="19:51">
      <c r="S2231" s="7"/>
      <c r="AX2231" s="7"/>
      <c r="AY2231" s="7"/>
    </row>
    <row r="2232" spans="19:51">
      <c r="S2232" s="7"/>
      <c r="AX2232" s="7"/>
      <c r="AY2232" s="7"/>
    </row>
    <row r="2233" spans="19:51">
      <c r="S2233" s="7"/>
      <c r="AX2233" s="7"/>
      <c r="AY2233" s="7"/>
    </row>
    <row r="2234" spans="19:51">
      <c r="S2234" s="7"/>
      <c r="AX2234" s="7"/>
      <c r="AY2234" s="7"/>
    </row>
    <row r="2235" spans="19:51">
      <c r="S2235" s="7"/>
      <c r="AX2235" s="7"/>
      <c r="AY2235" s="7"/>
    </row>
    <row r="2236" spans="19:51">
      <c r="S2236" s="7"/>
      <c r="AX2236" s="7"/>
      <c r="AY2236" s="7"/>
    </row>
    <row r="2237" spans="19:51">
      <c r="S2237" s="7"/>
      <c r="AX2237" s="7"/>
      <c r="AY2237" s="7"/>
    </row>
    <row r="2238" spans="19:51">
      <c r="S2238" s="7"/>
      <c r="AX2238" s="7"/>
      <c r="AY2238" s="7"/>
    </row>
    <row r="2239" spans="19:51">
      <c r="S2239" s="7"/>
      <c r="AX2239" s="7"/>
      <c r="AY2239" s="7"/>
    </row>
    <row r="2240" spans="19:51">
      <c r="S2240" s="7"/>
      <c r="AX2240" s="7"/>
      <c r="AY2240" s="7"/>
    </row>
    <row r="2241" spans="19:51">
      <c r="S2241" s="7"/>
      <c r="AX2241" s="7"/>
      <c r="AY2241" s="7"/>
    </row>
    <row r="2242" spans="19:51">
      <c r="S2242" s="7"/>
      <c r="AX2242" s="7"/>
      <c r="AY2242" s="7"/>
    </row>
    <row r="2243" spans="19:51">
      <c r="S2243" s="7"/>
      <c r="AX2243" s="7"/>
      <c r="AY2243" s="7"/>
    </row>
    <row r="2244" spans="19:51">
      <c r="S2244" s="7"/>
      <c r="AX2244" s="7"/>
      <c r="AY2244" s="7"/>
    </row>
    <row r="2245" spans="19:51">
      <c r="S2245" s="7"/>
      <c r="AX2245" s="7"/>
      <c r="AY2245" s="7"/>
    </row>
    <row r="2246" spans="19:51">
      <c r="S2246" s="7"/>
      <c r="AX2246" s="7"/>
      <c r="AY2246" s="7"/>
    </row>
    <row r="2247" spans="19:51">
      <c r="S2247" s="7"/>
      <c r="AX2247" s="7"/>
      <c r="AY2247" s="7"/>
    </row>
    <row r="2248" spans="19:51">
      <c r="S2248" s="7"/>
      <c r="AX2248" s="7"/>
      <c r="AY2248" s="7"/>
    </row>
    <row r="2249" spans="19:51">
      <c r="S2249" s="7"/>
      <c r="AX2249" s="7"/>
      <c r="AY2249" s="7"/>
    </row>
    <row r="2250" spans="19:51">
      <c r="S2250" s="7"/>
      <c r="AX2250" s="7"/>
      <c r="AY2250" s="7"/>
    </row>
    <row r="2251" spans="19:51">
      <c r="S2251" s="7"/>
      <c r="AX2251" s="7"/>
      <c r="AY2251" s="7"/>
    </row>
    <row r="2252" spans="19:51">
      <c r="S2252" s="7"/>
      <c r="AX2252" s="7"/>
      <c r="AY2252" s="7"/>
    </row>
    <row r="2253" spans="19:51">
      <c r="S2253" s="7"/>
      <c r="AX2253" s="7"/>
      <c r="AY2253" s="7"/>
    </row>
    <row r="2254" spans="19:51">
      <c r="S2254" s="7"/>
      <c r="AX2254" s="7"/>
      <c r="AY2254" s="7"/>
    </row>
    <row r="2255" spans="19:51">
      <c r="S2255" s="7"/>
      <c r="AX2255" s="7"/>
      <c r="AY2255" s="7"/>
    </row>
    <row r="2256" spans="19:51">
      <c r="S2256" s="7"/>
      <c r="AX2256" s="7"/>
      <c r="AY2256" s="7"/>
    </row>
    <row r="2257" spans="19:51">
      <c r="S2257" s="7"/>
      <c r="AX2257" s="7"/>
      <c r="AY2257" s="7"/>
    </row>
    <row r="2258" spans="19:51">
      <c r="S2258" s="7"/>
      <c r="AX2258" s="7"/>
      <c r="AY2258" s="7"/>
    </row>
    <row r="2259" spans="19:51">
      <c r="S2259" s="7"/>
      <c r="AX2259" s="7"/>
      <c r="AY2259" s="7"/>
    </row>
    <row r="2260" spans="19:51">
      <c r="S2260" s="7"/>
      <c r="AX2260" s="7"/>
      <c r="AY2260" s="7"/>
    </row>
    <row r="2261" spans="19:51">
      <c r="S2261" s="7"/>
      <c r="AX2261" s="7"/>
      <c r="AY2261" s="7"/>
    </row>
    <row r="2262" spans="19:51">
      <c r="S2262" s="7"/>
      <c r="AX2262" s="7"/>
      <c r="AY2262" s="7"/>
    </row>
    <row r="2263" spans="19:51">
      <c r="S2263" s="7"/>
      <c r="AX2263" s="7"/>
      <c r="AY2263" s="7"/>
    </row>
    <row r="2264" spans="19:51">
      <c r="S2264" s="7"/>
      <c r="AX2264" s="7"/>
      <c r="AY2264" s="7"/>
    </row>
    <row r="2265" spans="19:51">
      <c r="S2265" s="7"/>
      <c r="AX2265" s="7"/>
      <c r="AY2265" s="7"/>
    </row>
    <row r="2266" spans="19:51">
      <c r="S2266" s="7"/>
      <c r="AX2266" s="7"/>
      <c r="AY2266" s="7"/>
    </row>
    <row r="2267" spans="19:51">
      <c r="S2267" s="7"/>
      <c r="AX2267" s="7"/>
      <c r="AY2267" s="7"/>
    </row>
    <row r="2268" spans="19:51">
      <c r="S2268" s="7"/>
      <c r="AX2268" s="7"/>
      <c r="AY2268" s="7"/>
    </row>
    <row r="2269" spans="19:51">
      <c r="S2269" s="7"/>
      <c r="AX2269" s="7"/>
      <c r="AY2269" s="7"/>
    </row>
    <row r="2270" spans="19:51">
      <c r="S2270" s="7"/>
      <c r="AX2270" s="7"/>
      <c r="AY2270" s="7"/>
    </row>
    <row r="2271" spans="19:51">
      <c r="S2271" s="7"/>
      <c r="AX2271" s="7"/>
      <c r="AY2271" s="7"/>
    </row>
    <row r="2272" spans="19:51">
      <c r="S2272" s="7"/>
      <c r="AX2272" s="7"/>
      <c r="AY2272" s="7"/>
    </row>
    <row r="2273" spans="19:51">
      <c r="S2273" s="7"/>
      <c r="AX2273" s="7"/>
      <c r="AY2273" s="7"/>
    </row>
    <row r="2274" spans="19:51">
      <c r="S2274" s="7"/>
      <c r="AX2274" s="7"/>
      <c r="AY2274" s="7"/>
    </row>
    <row r="2275" spans="19:51">
      <c r="S2275" s="7"/>
      <c r="AX2275" s="7"/>
      <c r="AY2275" s="7"/>
    </row>
    <row r="2276" spans="19:51">
      <c r="S2276" s="7"/>
      <c r="AX2276" s="7"/>
      <c r="AY2276" s="7"/>
    </row>
    <row r="2277" spans="19:51">
      <c r="S2277" s="7"/>
      <c r="AX2277" s="7"/>
      <c r="AY2277" s="7"/>
    </row>
    <row r="2278" spans="19:51">
      <c r="S2278" s="7"/>
      <c r="AX2278" s="7"/>
      <c r="AY2278" s="7"/>
    </row>
    <row r="2279" spans="19:51">
      <c r="S2279" s="7"/>
      <c r="AX2279" s="7"/>
      <c r="AY2279" s="7"/>
    </row>
    <row r="2280" spans="19:51">
      <c r="S2280" s="7"/>
      <c r="AX2280" s="7"/>
      <c r="AY2280" s="7"/>
    </row>
    <row r="2281" spans="19:51">
      <c r="S2281" s="7"/>
      <c r="AX2281" s="7"/>
      <c r="AY2281" s="7"/>
    </row>
    <row r="2282" spans="19:51">
      <c r="S2282" s="7"/>
      <c r="AX2282" s="7"/>
      <c r="AY2282" s="7"/>
    </row>
    <row r="2283" spans="19:51">
      <c r="S2283" s="7"/>
      <c r="AX2283" s="7"/>
      <c r="AY2283" s="7"/>
    </row>
    <row r="2284" spans="19:51">
      <c r="S2284" s="7"/>
      <c r="AX2284" s="7"/>
      <c r="AY2284" s="7"/>
    </row>
    <row r="2285" spans="19:51">
      <c r="S2285" s="7"/>
      <c r="AX2285" s="7"/>
      <c r="AY2285" s="7"/>
    </row>
    <row r="2286" spans="19:51">
      <c r="S2286" s="7"/>
      <c r="AX2286" s="7"/>
      <c r="AY2286" s="7"/>
    </row>
    <row r="2287" spans="19:51">
      <c r="S2287" s="7"/>
      <c r="AX2287" s="7"/>
      <c r="AY2287" s="7"/>
    </row>
    <row r="2288" spans="19:51">
      <c r="S2288" s="7"/>
      <c r="AX2288" s="7"/>
      <c r="AY2288" s="7"/>
    </row>
    <row r="2289" spans="19:51">
      <c r="S2289" s="7"/>
      <c r="AX2289" s="7"/>
      <c r="AY2289" s="7"/>
    </row>
    <row r="2290" spans="19:51">
      <c r="S2290" s="7"/>
      <c r="AX2290" s="7"/>
      <c r="AY2290" s="7"/>
    </row>
    <row r="2291" spans="19:51">
      <c r="S2291" s="7"/>
      <c r="AX2291" s="7"/>
      <c r="AY2291" s="7"/>
    </row>
    <row r="2292" spans="19:51">
      <c r="S2292" s="7"/>
      <c r="AX2292" s="7"/>
      <c r="AY2292" s="7"/>
    </row>
    <row r="2293" spans="19:51">
      <c r="S2293" s="7"/>
      <c r="AX2293" s="7"/>
      <c r="AY2293" s="7"/>
    </row>
    <row r="2294" spans="19:51">
      <c r="S2294" s="7"/>
      <c r="AX2294" s="7"/>
      <c r="AY2294" s="7"/>
    </row>
    <row r="2295" spans="19:51">
      <c r="S2295" s="7"/>
      <c r="AX2295" s="7"/>
      <c r="AY2295" s="7"/>
    </row>
    <row r="2296" spans="19:51">
      <c r="S2296" s="7"/>
      <c r="AX2296" s="7"/>
      <c r="AY2296" s="7"/>
    </row>
    <row r="2297" spans="19:51">
      <c r="S2297" s="7"/>
      <c r="AX2297" s="7"/>
      <c r="AY2297" s="7"/>
    </row>
    <row r="2298" spans="19:51">
      <c r="S2298" s="7"/>
      <c r="AX2298" s="7"/>
      <c r="AY2298" s="7"/>
    </row>
    <row r="2299" spans="19:51">
      <c r="S2299" s="7"/>
      <c r="AX2299" s="7"/>
      <c r="AY2299" s="7"/>
    </row>
    <row r="2300" spans="19:51">
      <c r="S2300" s="7"/>
      <c r="AX2300" s="7"/>
      <c r="AY2300" s="7"/>
    </row>
    <row r="2301" spans="19:51">
      <c r="S2301" s="7"/>
      <c r="AX2301" s="7"/>
      <c r="AY2301" s="7"/>
    </row>
    <row r="2302" spans="19:51">
      <c r="S2302" s="7"/>
      <c r="AX2302" s="7"/>
      <c r="AY2302" s="7"/>
    </row>
    <row r="2303" spans="19:51">
      <c r="S2303" s="7"/>
      <c r="AX2303" s="7"/>
      <c r="AY2303" s="7"/>
    </row>
    <row r="2304" spans="19:51">
      <c r="S2304" s="7"/>
      <c r="AX2304" s="7"/>
      <c r="AY2304" s="7"/>
    </row>
    <row r="2305" spans="19:51">
      <c r="S2305" s="7"/>
      <c r="AX2305" s="7"/>
      <c r="AY2305" s="7"/>
    </row>
    <row r="2306" spans="19:51">
      <c r="S2306" s="7"/>
      <c r="AX2306" s="7"/>
      <c r="AY2306" s="7"/>
    </row>
    <row r="2307" spans="19:51">
      <c r="S2307" s="7"/>
      <c r="AX2307" s="7"/>
      <c r="AY2307" s="7"/>
    </row>
    <row r="2308" spans="19:51">
      <c r="S2308" s="7"/>
      <c r="AX2308" s="7"/>
      <c r="AY2308" s="7"/>
    </row>
    <row r="2309" spans="19:51">
      <c r="S2309" s="7"/>
      <c r="AX2309" s="7"/>
      <c r="AY2309" s="7"/>
    </row>
    <row r="2310" spans="19:51">
      <c r="S2310" s="7"/>
      <c r="AX2310" s="7"/>
      <c r="AY2310" s="7"/>
    </row>
    <row r="2311" spans="19:51">
      <c r="S2311" s="7"/>
      <c r="AX2311" s="7"/>
      <c r="AY2311" s="7"/>
    </row>
    <row r="2312" spans="19:51">
      <c r="S2312" s="7"/>
      <c r="AX2312" s="7"/>
      <c r="AY2312" s="7"/>
    </row>
    <row r="2313" spans="19:51">
      <c r="S2313" s="7"/>
      <c r="AX2313" s="7"/>
      <c r="AY2313" s="7"/>
    </row>
    <row r="2314" spans="19:51">
      <c r="S2314" s="7"/>
      <c r="AX2314" s="7"/>
      <c r="AY2314" s="7"/>
    </row>
    <row r="2315" spans="19:51">
      <c r="S2315" s="7"/>
      <c r="AX2315" s="7"/>
      <c r="AY2315" s="7"/>
    </row>
    <row r="2316" spans="19:51">
      <c r="S2316" s="7"/>
      <c r="AX2316" s="7"/>
      <c r="AY2316" s="7"/>
    </row>
    <row r="2317" spans="19:51">
      <c r="S2317" s="7"/>
      <c r="AX2317" s="7"/>
      <c r="AY2317" s="7"/>
    </row>
    <row r="2318" spans="19:51">
      <c r="S2318" s="7"/>
      <c r="AX2318" s="7"/>
      <c r="AY2318" s="7"/>
    </row>
    <row r="2319" spans="19:51">
      <c r="S2319" s="7"/>
      <c r="AX2319" s="7"/>
      <c r="AY2319" s="7"/>
    </row>
    <row r="2320" spans="19:51">
      <c r="S2320" s="7"/>
      <c r="AX2320" s="7"/>
      <c r="AY2320" s="7"/>
    </row>
    <row r="2321" spans="19:51">
      <c r="S2321" s="7"/>
      <c r="AX2321" s="7"/>
      <c r="AY2321" s="7"/>
    </row>
    <row r="2322" spans="19:51">
      <c r="S2322" s="7"/>
      <c r="AX2322" s="7"/>
      <c r="AY2322" s="7"/>
    </row>
    <row r="2323" spans="19:51">
      <c r="S2323" s="7"/>
      <c r="AX2323" s="7"/>
      <c r="AY2323" s="7"/>
    </row>
    <row r="2324" spans="19:51">
      <c r="S2324" s="7"/>
      <c r="AX2324" s="7"/>
      <c r="AY2324" s="7"/>
    </row>
    <row r="2325" spans="19:51">
      <c r="S2325" s="7"/>
      <c r="AX2325" s="7"/>
      <c r="AY2325" s="7"/>
    </row>
    <row r="2326" spans="19:51">
      <c r="S2326" s="7"/>
      <c r="AX2326" s="7"/>
      <c r="AY2326" s="7"/>
    </row>
    <row r="2327" spans="19:51">
      <c r="S2327" s="7"/>
      <c r="AX2327" s="7"/>
      <c r="AY2327" s="7"/>
    </row>
    <row r="2328" spans="19:51">
      <c r="S2328" s="7"/>
      <c r="AX2328" s="7"/>
      <c r="AY2328" s="7"/>
    </row>
    <row r="2329" spans="19:51">
      <c r="S2329" s="7"/>
      <c r="AX2329" s="7"/>
      <c r="AY2329" s="7"/>
    </row>
    <row r="2330" spans="19:51">
      <c r="S2330" s="7"/>
      <c r="AX2330" s="7"/>
      <c r="AY2330" s="7"/>
    </row>
    <row r="2331" spans="19:51">
      <c r="S2331" s="7"/>
      <c r="AX2331" s="7"/>
      <c r="AY2331" s="7"/>
    </row>
    <row r="2332" spans="19:51">
      <c r="S2332" s="7"/>
      <c r="AX2332" s="7"/>
      <c r="AY2332" s="7"/>
    </row>
    <row r="2333" spans="19:51">
      <c r="S2333" s="7"/>
      <c r="AX2333" s="7"/>
      <c r="AY2333" s="7"/>
    </row>
    <row r="2334" spans="19:51">
      <c r="S2334" s="7"/>
      <c r="AX2334" s="7"/>
      <c r="AY2334" s="7"/>
    </row>
    <row r="2335" spans="19:51">
      <c r="S2335" s="7"/>
      <c r="AX2335" s="7"/>
      <c r="AY2335" s="7"/>
    </row>
    <row r="2336" spans="19:51">
      <c r="S2336" s="7"/>
      <c r="AX2336" s="7"/>
      <c r="AY2336" s="7"/>
    </row>
    <row r="2337" spans="19:51">
      <c r="S2337" s="7"/>
      <c r="AX2337" s="7"/>
      <c r="AY2337" s="7"/>
    </row>
    <row r="2338" spans="19:51">
      <c r="S2338" s="7"/>
      <c r="AX2338" s="7"/>
      <c r="AY2338" s="7"/>
    </row>
    <row r="2339" spans="19:51">
      <c r="S2339" s="7"/>
      <c r="AX2339" s="7"/>
      <c r="AY2339" s="7"/>
    </row>
    <row r="2340" spans="19:51">
      <c r="S2340" s="7"/>
      <c r="AX2340" s="7"/>
      <c r="AY2340" s="7"/>
    </row>
    <row r="2341" spans="19:51">
      <c r="S2341" s="7"/>
      <c r="AX2341" s="7"/>
      <c r="AY2341" s="7"/>
    </row>
    <row r="2342" spans="19:51">
      <c r="S2342" s="7"/>
      <c r="AX2342" s="7"/>
      <c r="AY2342" s="7"/>
    </row>
    <row r="2343" spans="19:51">
      <c r="S2343" s="7"/>
      <c r="AX2343" s="7"/>
      <c r="AY2343" s="7"/>
    </row>
    <row r="2344" spans="19:51">
      <c r="S2344" s="7"/>
      <c r="AX2344" s="7"/>
      <c r="AY2344" s="7"/>
    </row>
    <row r="2345" spans="19:51">
      <c r="S2345" s="7"/>
      <c r="AX2345" s="7"/>
      <c r="AY2345" s="7"/>
    </row>
    <row r="2346" spans="19:51">
      <c r="S2346" s="7"/>
      <c r="AX2346" s="7"/>
      <c r="AY2346" s="7"/>
    </row>
    <row r="2347" spans="19:51">
      <c r="S2347" s="7"/>
      <c r="AX2347" s="7"/>
      <c r="AY2347" s="7"/>
    </row>
    <row r="2348" spans="19:51">
      <c r="S2348" s="7"/>
      <c r="AX2348" s="7"/>
      <c r="AY2348" s="7"/>
    </row>
    <row r="2349" spans="19:51">
      <c r="S2349" s="7"/>
      <c r="AX2349" s="7"/>
      <c r="AY2349" s="7"/>
    </row>
    <row r="2350" spans="19:51">
      <c r="S2350" s="7"/>
      <c r="AX2350" s="7"/>
      <c r="AY2350" s="7"/>
    </row>
    <row r="2351" spans="19:51">
      <c r="S2351" s="7"/>
      <c r="AX2351" s="7"/>
      <c r="AY2351" s="7"/>
    </row>
    <row r="2352" spans="19:51">
      <c r="S2352" s="7"/>
      <c r="AX2352" s="7"/>
      <c r="AY2352" s="7"/>
    </row>
    <row r="2353" spans="19:51">
      <c r="S2353" s="7"/>
      <c r="AX2353" s="7"/>
      <c r="AY2353" s="7"/>
    </row>
    <row r="2354" spans="19:51">
      <c r="S2354" s="7"/>
      <c r="AX2354" s="7"/>
      <c r="AY2354" s="7"/>
    </row>
    <row r="2355" spans="19:51">
      <c r="S2355" s="7"/>
      <c r="AX2355" s="7"/>
      <c r="AY2355" s="7"/>
    </row>
    <row r="2356" spans="19:51">
      <c r="S2356" s="7"/>
      <c r="AX2356" s="7"/>
      <c r="AY2356" s="7"/>
    </row>
    <row r="2357" spans="19:51">
      <c r="S2357" s="7"/>
      <c r="AX2357" s="7"/>
      <c r="AY2357" s="7"/>
    </row>
    <row r="2358" spans="19:51">
      <c r="S2358" s="7"/>
      <c r="AX2358" s="7"/>
      <c r="AY2358" s="7"/>
    </row>
    <row r="2359" spans="19:51">
      <c r="S2359" s="7"/>
      <c r="AX2359" s="7"/>
      <c r="AY2359" s="7"/>
    </row>
    <row r="2360" spans="19:51">
      <c r="S2360" s="7"/>
      <c r="AX2360" s="7"/>
      <c r="AY2360" s="7"/>
    </row>
    <row r="2361" spans="19:51">
      <c r="S2361" s="7"/>
      <c r="AX2361" s="7"/>
      <c r="AY2361" s="7"/>
    </row>
    <row r="2362" spans="19:51">
      <c r="S2362" s="7"/>
      <c r="AX2362" s="7"/>
      <c r="AY2362" s="7"/>
    </row>
    <row r="2363" spans="19:51">
      <c r="S2363" s="7"/>
      <c r="AX2363" s="7"/>
      <c r="AY2363" s="7"/>
    </row>
    <row r="2364" spans="19:51">
      <c r="S2364" s="7"/>
      <c r="AX2364" s="7"/>
      <c r="AY2364" s="7"/>
    </row>
    <row r="2365" spans="19:51">
      <c r="S2365" s="7"/>
      <c r="AX2365" s="7"/>
      <c r="AY2365" s="7"/>
    </row>
    <row r="2366" spans="19:51">
      <c r="S2366" s="7"/>
      <c r="AX2366" s="7"/>
      <c r="AY2366" s="7"/>
    </row>
    <row r="2367" spans="19:51">
      <c r="S2367" s="7"/>
      <c r="AX2367" s="7"/>
      <c r="AY2367" s="7"/>
    </row>
    <row r="2368" spans="19:51">
      <c r="S2368" s="7"/>
      <c r="AX2368" s="7"/>
      <c r="AY2368" s="7"/>
    </row>
    <row r="2369" spans="19:51">
      <c r="S2369" s="7"/>
      <c r="AX2369" s="7"/>
      <c r="AY2369" s="7"/>
    </row>
    <row r="2370" spans="19:51">
      <c r="S2370" s="7"/>
      <c r="AX2370" s="7"/>
      <c r="AY2370" s="7"/>
    </row>
    <row r="2371" spans="19:51">
      <c r="S2371" s="7"/>
      <c r="AX2371" s="7"/>
      <c r="AY2371" s="7"/>
    </row>
    <row r="2372" spans="19:51">
      <c r="S2372" s="7"/>
      <c r="AX2372" s="7"/>
      <c r="AY2372" s="7"/>
    </row>
    <row r="2373" spans="19:51">
      <c r="S2373" s="7"/>
      <c r="AX2373" s="7"/>
      <c r="AY2373" s="7"/>
    </row>
    <row r="2374" spans="19:51">
      <c r="S2374" s="7"/>
      <c r="AX2374" s="7"/>
      <c r="AY2374" s="7"/>
    </row>
    <row r="2375" spans="19:51">
      <c r="S2375" s="7"/>
      <c r="AX2375" s="7"/>
      <c r="AY2375" s="7"/>
    </row>
    <row r="2376" spans="19:51">
      <c r="S2376" s="7"/>
      <c r="AX2376" s="7"/>
      <c r="AY2376" s="7"/>
    </row>
    <row r="2377" spans="19:51">
      <c r="S2377" s="7"/>
      <c r="AX2377" s="7"/>
      <c r="AY2377" s="7"/>
    </row>
    <row r="2378" spans="19:51">
      <c r="S2378" s="7"/>
      <c r="AX2378" s="7"/>
      <c r="AY2378" s="7"/>
    </row>
    <row r="2379" spans="19:51">
      <c r="S2379" s="7"/>
      <c r="AX2379" s="7"/>
      <c r="AY2379" s="7"/>
    </row>
    <row r="2380" spans="19:51">
      <c r="S2380" s="7"/>
      <c r="AX2380" s="7"/>
      <c r="AY2380" s="7"/>
    </row>
    <row r="2381" spans="19:51">
      <c r="S2381" s="7"/>
      <c r="AX2381" s="7"/>
      <c r="AY2381" s="7"/>
    </row>
    <row r="2382" spans="19:51">
      <c r="S2382" s="7"/>
      <c r="AX2382" s="7"/>
      <c r="AY2382" s="7"/>
    </row>
    <row r="2383" spans="19:51">
      <c r="S2383" s="7"/>
      <c r="AX2383" s="7"/>
      <c r="AY2383" s="7"/>
    </row>
    <row r="2384" spans="19:51">
      <c r="S2384" s="7"/>
      <c r="AX2384" s="7"/>
      <c r="AY2384" s="7"/>
    </row>
    <row r="2385" spans="19:51">
      <c r="S2385" s="7"/>
      <c r="AX2385" s="7"/>
      <c r="AY2385" s="7"/>
    </row>
    <row r="2386" spans="19:51">
      <c r="S2386" s="7"/>
      <c r="AX2386" s="7"/>
      <c r="AY2386" s="7"/>
    </row>
    <row r="2387" spans="19:51">
      <c r="S2387" s="7"/>
      <c r="AX2387" s="7"/>
      <c r="AY2387" s="7"/>
    </row>
    <row r="2388" spans="19:51">
      <c r="S2388" s="7"/>
      <c r="AX2388" s="7"/>
      <c r="AY2388" s="7"/>
    </row>
    <row r="2389" spans="19:51">
      <c r="S2389" s="7"/>
      <c r="AX2389" s="7"/>
      <c r="AY2389" s="7"/>
    </row>
    <row r="2390" spans="19:51">
      <c r="S2390" s="7"/>
      <c r="AX2390" s="7"/>
      <c r="AY2390" s="7"/>
    </row>
    <row r="2391" spans="19:51">
      <c r="S2391" s="7"/>
      <c r="AX2391" s="7"/>
      <c r="AY2391" s="7"/>
    </row>
    <row r="2392" spans="19:51">
      <c r="S2392" s="7"/>
      <c r="AX2392" s="7"/>
      <c r="AY2392" s="7"/>
    </row>
    <row r="2393" spans="19:51">
      <c r="S2393" s="7"/>
      <c r="AX2393" s="7"/>
      <c r="AY2393" s="7"/>
    </row>
    <row r="2394" spans="19:51">
      <c r="S2394" s="7"/>
      <c r="AX2394" s="7"/>
      <c r="AY2394" s="7"/>
    </row>
    <row r="2395" spans="19:51">
      <c r="S2395" s="7"/>
      <c r="AX2395" s="7"/>
      <c r="AY2395" s="7"/>
    </row>
    <row r="2396" spans="19:51">
      <c r="S2396" s="7"/>
      <c r="AX2396" s="7"/>
      <c r="AY2396" s="7"/>
    </row>
    <row r="2397" spans="19:51">
      <c r="S2397" s="7"/>
      <c r="AX2397" s="7"/>
      <c r="AY2397" s="7"/>
    </row>
    <row r="2398" spans="19:51">
      <c r="S2398" s="7"/>
      <c r="AX2398" s="7"/>
      <c r="AY2398" s="7"/>
    </row>
    <row r="2399" spans="19:51">
      <c r="S2399" s="7"/>
      <c r="AX2399" s="7"/>
      <c r="AY2399" s="7"/>
    </row>
    <row r="2400" spans="19:51">
      <c r="S2400" s="7"/>
      <c r="AX2400" s="7"/>
      <c r="AY2400" s="7"/>
    </row>
    <row r="2401" spans="19:51">
      <c r="S2401" s="7"/>
      <c r="AX2401" s="7"/>
      <c r="AY2401" s="7"/>
    </row>
    <row r="2402" spans="19:51">
      <c r="S2402" s="7"/>
      <c r="AX2402" s="7"/>
      <c r="AY2402" s="7"/>
    </row>
    <row r="2403" spans="19:51">
      <c r="S2403" s="7"/>
      <c r="AX2403" s="7"/>
      <c r="AY2403" s="7"/>
    </row>
    <row r="2404" spans="19:51">
      <c r="S2404" s="7"/>
      <c r="AX2404" s="7"/>
      <c r="AY2404" s="7"/>
    </row>
    <row r="2405" spans="19:51">
      <c r="S2405" s="7"/>
      <c r="AX2405" s="7"/>
      <c r="AY2405" s="7"/>
    </row>
    <row r="2406" spans="19:51">
      <c r="S2406" s="7"/>
      <c r="AX2406" s="7"/>
      <c r="AY2406" s="7"/>
    </row>
    <row r="2407" spans="19:51">
      <c r="S2407" s="7"/>
      <c r="AX2407" s="7"/>
      <c r="AY2407" s="7"/>
    </row>
    <row r="2408" spans="19:51">
      <c r="S2408" s="7"/>
      <c r="AX2408" s="7"/>
      <c r="AY2408" s="7"/>
    </row>
    <row r="2409" spans="19:51">
      <c r="S2409" s="7"/>
      <c r="AX2409" s="7"/>
      <c r="AY2409" s="7"/>
    </row>
    <row r="2410" spans="19:51">
      <c r="S2410" s="7"/>
      <c r="AX2410" s="7"/>
      <c r="AY2410" s="7"/>
    </row>
    <row r="2411" spans="19:51">
      <c r="S2411" s="7"/>
      <c r="AX2411" s="7"/>
      <c r="AY2411" s="7"/>
    </row>
    <row r="2412" spans="19:51">
      <c r="S2412" s="7"/>
      <c r="AX2412" s="7"/>
      <c r="AY2412" s="7"/>
    </row>
    <row r="2413" spans="19:51">
      <c r="S2413" s="7"/>
      <c r="AX2413" s="7"/>
      <c r="AY2413" s="7"/>
    </row>
    <row r="2414" spans="19:51">
      <c r="S2414" s="7"/>
      <c r="AX2414" s="7"/>
      <c r="AY2414" s="7"/>
    </row>
    <row r="2415" spans="19:51">
      <c r="S2415" s="7"/>
      <c r="AX2415" s="7"/>
      <c r="AY2415" s="7"/>
    </row>
    <row r="2416" spans="19:51">
      <c r="S2416" s="7"/>
      <c r="AX2416" s="7"/>
      <c r="AY2416" s="7"/>
    </row>
    <row r="2417" spans="19:51">
      <c r="S2417" s="7"/>
      <c r="AX2417" s="7"/>
      <c r="AY2417" s="7"/>
    </row>
    <row r="2418" spans="19:51">
      <c r="S2418" s="7"/>
      <c r="AX2418" s="7"/>
      <c r="AY2418" s="7"/>
    </row>
    <row r="2419" spans="19:51">
      <c r="S2419" s="7"/>
      <c r="AX2419" s="7"/>
      <c r="AY2419" s="7"/>
    </row>
    <row r="2420" spans="19:51">
      <c r="S2420" s="7"/>
      <c r="AX2420" s="7"/>
      <c r="AY2420" s="7"/>
    </row>
    <row r="2421" spans="19:51">
      <c r="S2421" s="7"/>
      <c r="AX2421" s="7"/>
      <c r="AY2421" s="7"/>
    </row>
    <row r="2422" spans="19:51">
      <c r="S2422" s="7"/>
      <c r="AX2422" s="7"/>
      <c r="AY2422" s="7"/>
    </row>
    <row r="2423" spans="19:51">
      <c r="S2423" s="7"/>
      <c r="AX2423" s="7"/>
      <c r="AY2423" s="7"/>
    </row>
    <row r="2424" spans="19:51">
      <c r="S2424" s="7"/>
      <c r="AX2424" s="7"/>
      <c r="AY2424" s="7"/>
    </row>
    <row r="2425" spans="19:51">
      <c r="S2425" s="7"/>
      <c r="AX2425" s="7"/>
      <c r="AY2425" s="7"/>
    </row>
    <row r="2426" spans="19:51">
      <c r="S2426" s="7"/>
      <c r="AX2426" s="7"/>
      <c r="AY2426" s="7"/>
    </row>
    <row r="2427" spans="19:51">
      <c r="S2427" s="7"/>
      <c r="AX2427" s="7"/>
      <c r="AY2427" s="7"/>
    </row>
    <row r="2428" spans="19:51">
      <c r="S2428" s="7"/>
      <c r="AX2428" s="7"/>
      <c r="AY2428" s="7"/>
    </row>
    <row r="2429" spans="19:51">
      <c r="S2429" s="7"/>
      <c r="AX2429" s="7"/>
      <c r="AY2429" s="7"/>
    </row>
    <row r="2430" spans="19:51">
      <c r="S2430" s="7"/>
      <c r="AX2430" s="7"/>
      <c r="AY2430" s="7"/>
    </row>
    <row r="2431" spans="19:51">
      <c r="S2431" s="7"/>
      <c r="AX2431" s="7"/>
      <c r="AY2431" s="7"/>
    </row>
    <row r="2432" spans="19:51">
      <c r="S2432" s="7"/>
      <c r="AX2432" s="7"/>
      <c r="AY2432" s="7"/>
    </row>
    <row r="2433" spans="19:51">
      <c r="S2433" s="7"/>
      <c r="AX2433" s="7"/>
      <c r="AY2433" s="7"/>
    </row>
    <row r="2434" spans="19:51">
      <c r="S2434" s="7"/>
      <c r="AX2434" s="7"/>
      <c r="AY2434" s="7"/>
    </row>
    <row r="2435" spans="19:51">
      <c r="S2435" s="7"/>
      <c r="AX2435" s="7"/>
      <c r="AY2435" s="7"/>
    </row>
    <row r="2436" spans="19:51">
      <c r="S2436" s="7"/>
      <c r="AX2436" s="7"/>
      <c r="AY2436" s="7"/>
    </row>
    <row r="2437" spans="19:51">
      <c r="S2437" s="7"/>
      <c r="AX2437" s="7"/>
      <c r="AY2437" s="7"/>
    </row>
    <row r="2438" spans="19:51">
      <c r="S2438" s="7"/>
      <c r="AX2438" s="7"/>
      <c r="AY2438" s="7"/>
    </row>
    <row r="2439" spans="19:51">
      <c r="S2439" s="7"/>
      <c r="AX2439" s="7"/>
      <c r="AY2439" s="7"/>
    </row>
    <row r="2440" spans="19:51">
      <c r="S2440" s="7"/>
      <c r="AX2440" s="7"/>
      <c r="AY2440" s="7"/>
    </row>
    <row r="2441" spans="19:51">
      <c r="S2441" s="7"/>
      <c r="AX2441" s="7"/>
      <c r="AY2441" s="7"/>
    </row>
    <row r="2442" spans="19:51">
      <c r="S2442" s="7"/>
      <c r="AX2442" s="7"/>
      <c r="AY2442" s="7"/>
    </row>
    <row r="2443" spans="19:51">
      <c r="S2443" s="7"/>
      <c r="AX2443" s="7"/>
      <c r="AY2443" s="7"/>
    </row>
    <row r="2444" spans="19:51">
      <c r="S2444" s="7"/>
      <c r="AX2444" s="7"/>
      <c r="AY2444" s="7"/>
    </row>
    <row r="2445" spans="19:51">
      <c r="S2445" s="7"/>
      <c r="AX2445" s="7"/>
      <c r="AY2445" s="7"/>
    </row>
    <row r="2446" spans="19:51">
      <c r="S2446" s="7"/>
      <c r="AX2446" s="7"/>
      <c r="AY2446" s="7"/>
    </row>
    <row r="2447" spans="19:51">
      <c r="S2447" s="7"/>
      <c r="AX2447" s="7"/>
      <c r="AY2447" s="7"/>
    </row>
    <row r="2448" spans="19:51">
      <c r="S2448" s="7"/>
      <c r="AX2448" s="7"/>
      <c r="AY2448" s="7"/>
    </row>
    <row r="2449" spans="19:51">
      <c r="S2449" s="7"/>
      <c r="AX2449" s="7"/>
      <c r="AY2449" s="7"/>
    </row>
    <row r="2450" spans="19:51">
      <c r="S2450" s="7"/>
      <c r="AX2450" s="7"/>
      <c r="AY2450" s="7"/>
    </row>
    <row r="2451" spans="19:51">
      <c r="S2451" s="7"/>
      <c r="AX2451" s="7"/>
      <c r="AY2451" s="7"/>
    </row>
    <row r="2452" spans="19:51">
      <c r="S2452" s="7"/>
      <c r="AX2452" s="7"/>
      <c r="AY2452" s="7"/>
    </row>
    <row r="2453" spans="19:51">
      <c r="S2453" s="7"/>
      <c r="AX2453" s="7"/>
      <c r="AY2453" s="7"/>
    </row>
    <row r="2454" spans="19:51">
      <c r="S2454" s="7"/>
      <c r="AX2454" s="7"/>
      <c r="AY2454" s="7"/>
    </row>
    <row r="2455" spans="19:51">
      <c r="S2455" s="7"/>
      <c r="AX2455" s="7"/>
      <c r="AY2455" s="7"/>
    </row>
    <row r="2456" spans="19:51">
      <c r="S2456" s="7"/>
      <c r="AX2456" s="7"/>
      <c r="AY2456" s="7"/>
    </row>
    <row r="2457" spans="19:51">
      <c r="S2457" s="7"/>
      <c r="AX2457" s="7"/>
      <c r="AY2457" s="7"/>
    </row>
    <row r="2458" spans="19:51">
      <c r="S2458" s="7"/>
      <c r="AX2458" s="7"/>
      <c r="AY2458" s="7"/>
    </row>
    <row r="2459" spans="19:51">
      <c r="S2459" s="7"/>
      <c r="AX2459" s="7"/>
      <c r="AY2459" s="7"/>
    </row>
    <row r="2460" spans="19:51">
      <c r="S2460" s="7"/>
      <c r="AX2460" s="7"/>
      <c r="AY2460" s="7"/>
    </row>
    <row r="2461" spans="19:51">
      <c r="S2461" s="7"/>
      <c r="AX2461" s="7"/>
      <c r="AY2461" s="7"/>
    </row>
    <row r="2462" spans="19:51">
      <c r="S2462" s="7"/>
      <c r="AX2462" s="7"/>
      <c r="AY2462" s="7"/>
    </row>
    <row r="2463" spans="19:51">
      <c r="S2463" s="7"/>
      <c r="AX2463" s="7"/>
      <c r="AY2463" s="7"/>
    </row>
    <row r="2464" spans="19:51">
      <c r="S2464" s="7"/>
      <c r="AX2464" s="7"/>
      <c r="AY2464" s="7"/>
    </row>
    <row r="2465" spans="19:51">
      <c r="S2465" s="7"/>
      <c r="AX2465" s="7"/>
      <c r="AY2465" s="7"/>
    </row>
    <row r="2466" spans="19:51">
      <c r="S2466" s="7"/>
      <c r="AX2466" s="7"/>
      <c r="AY2466" s="7"/>
    </row>
    <row r="2467" spans="19:51">
      <c r="S2467" s="7"/>
      <c r="AX2467" s="7"/>
      <c r="AY2467" s="7"/>
    </row>
    <row r="2468" spans="19:51">
      <c r="S2468" s="7"/>
      <c r="AX2468" s="7"/>
      <c r="AY2468" s="7"/>
    </row>
    <row r="2469" spans="19:51">
      <c r="S2469" s="7"/>
      <c r="AX2469" s="7"/>
      <c r="AY2469" s="7"/>
    </row>
    <row r="2470" spans="19:51">
      <c r="S2470" s="7"/>
      <c r="AX2470" s="7"/>
      <c r="AY2470" s="7"/>
    </row>
    <row r="2471" spans="19:51">
      <c r="S2471" s="7"/>
      <c r="AX2471" s="7"/>
      <c r="AY2471" s="7"/>
    </row>
    <row r="2472" spans="19:51">
      <c r="S2472" s="7"/>
      <c r="AX2472" s="7"/>
      <c r="AY2472" s="7"/>
    </row>
    <row r="2473" spans="19:51">
      <c r="S2473" s="7"/>
      <c r="AX2473" s="7"/>
      <c r="AY2473" s="7"/>
    </row>
    <row r="2474" spans="19:51">
      <c r="S2474" s="7"/>
      <c r="AX2474" s="7"/>
      <c r="AY2474" s="7"/>
    </row>
    <row r="2475" spans="19:51">
      <c r="S2475" s="7"/>
      <c r="AX2475" s="7"/>
      <c r="AY2475" s="7"/>
    </row>
    <row r="2476" spans="19:51">
      <c r="S2476" s="7"/>
      <c r="AX2476" s="7"/>
      <c r="AY2476" s="7"/>
    </row>
    <row r="2477" spans="19:51">
      <c r="S2477" s="7"/>
      <c r="AX2477" s="7"/>
      <c r="AY2477" s="7"/>
    </row>
    <row r="2478" spans="19:51">
      <c r="S2478" s="7"/>
      <c r="AX2478" s="7"/>
      <c r="AY2478" s="7"/>
    </row>
    <row r="2479" spans="19:51">
      <c r="S2479" s="7"/>
      <c r="AX2479" s="7"/>
      <c r="AY2479" s="7"/>
    </row>
    <row r="2480" spans="19:51">
      <c r="S2480" s="7"/>
      <c r="AX2480" s="7"/>
      <c r="AY2480" s="7"/>
    </row>
    <row r="2481" spans="19:51">
      <c r="S2481" s="7"/>
      <c r="AX2481" s="7"/>
      <c r="AY2481" s="7"/>
    </row>
    <row r="2482" spans="19:51">
      <c r="S2482" s="7"/>
      <c r="AX2482" s="7"/>
      <c r="AY2482" s="7"/>
    </row>
    <row r="2483" spans="19:51">
      <c r="S2483" s="7"/>
      <c r="AX2483" s="7"/>
      <c r="AY2483" s="7"/>
    </row>
    <row r="2484" spans="19:51">
      <c r="S2484" s="7"/>
      <c r="AX2484" s="7"/>
      <c r="AY2484" s="7"/>
    </row>
    <row r="2485" spans="19:51">
      <c r="S2485" s="7"/>
      <c r="AX2485" s="7"/>
      <c r="AY2485" s="7"/>
    </row>
    <row r="2486" spans="19:51">
      <c r="S2486" s="7"/>
      <c r="AX2486" s="7"/>
      <c r="AY2486" s="7"/>
    </row>
    <row r="2487" spans="19:51">
      <c r="S2487" s="7"/>
      <c r="AX2487" s="7"/>
      <c r="AY2487" s="7"/>
    </row>
    <row r="2488" spans="19:51">
      <c r="S2488" s="7"/>
      <c r="AX2488" s="7"/>
      <c r="AY2488" s="7"/>
    </row>
    <row r="2489" spans="19:51">
      <c r="S2489" s="7"/>
      <c r="AX2489" s="7"/>
      <c r="AY2489" s="7"/>
    </row>
    <row r="2490" spans="19:51">
      <c r="S2490" s="7"/>
      <c r="AX2490" s="7"/>
      <c r="AY2490" s="7"/>
    </row>
    <row r="2491" spans="19:51">
      <c r="S2491" s="7"/>
      <c r="AX2491" s="7"/>
      <c r="AY2491" s="7"/>
    </row>
    <row r="2492" spans="19:51">
      <c r="S2492" s="7"/>
      <c r="AX2492" s="7"/>
      <c r="AY2492" s="7"/>
    </row>
    <row r="2493" spans="19:51">
      <c r="S2493" s="7"/>
      <c r="AX2493" s="7"/>
      <c r="AY2493" s="7"/>
    </row>
    <row r="2494" spans="19:51">
      <c r="S2494" s="7"/>
      <c r="AX2494" s="7"/>
      <c r="AY2494" s="7"/>
    </row>
    <row r="2495" spans="19:51">
      <c r="S2495" s="7"/>
      <c r="AX2495" s="7"/>
      <c r="AY2495" s="7"/>
    </row>
    <row r="2496" spans="19:51">
      <c r="S2496" s="7"/>
      <c r="AX2496" s="7"/>
      <c r="AY2496" s="7"/>
    </row>
    <row r="2497" spans="19:51">
      <c r="S2497" s="7"/>
      <c r="AX2497" s="7"/>
      <c r="AY2497" s="7"/>
    </row>
    <row r="2498" spans="19:51">
      <c r="S2498" s="7"/>
      <c r="AX2498" s="7"/>
      <c r="AY2498" s="7"/>
    </row>
    <row r="2499" spans="19:51">
      <c r="S2499" s="7"/>
      <c r="AX2499" s="7"/>
      <c r="AY2499" s="7"/>
    </row>
    <row r="2500" spans="19:51">
      <c r="S2500" s="7"/>
      <c r="AX2500" s="7"/>
      <c r="AY2500" s="7"/>
    </row>
    <row r="2501" spans="19:51">
      <c r="S2501" s="7"/>
      <c r="AX2501" s="7"/>
      <c r="AY2501" s="7"/>
    </row>
    <row r="2502" spans="19:51">
      <c r="S2502" s="7"/>
      <c r="AX2502" s="7"/>
      <c r="AY2502" s="7"/>
    </row>
    <row r="2503" spans="19:51">
      <c r="S2503" s="7"/>
      <c r="AX2503" s="7"/>
      <c r="AY2503" s="7"/>
    </row>
    <row r="2504" spans="19:51">
      <c r="S2504" s="7"/>
      <c r="AX2504" s="7"/>
      <c r="AY2504" s="7"/>
    </row>
    <row r="2505" spans="19:51">
      <c r="S2505" s="7"/>
      <c r="AX2505" s="7"/>
      <c r="AY2505" s="7"/>
    </row>
    <row r="2506" spans="19:51">
      <c r="S2506" s="7"/>
      <c r="AX2506" s="7"/>
      <c r="AY2506" s="7"/>
    </row>
    <row r="2507" spans="19:51">
      <c r="S2507" s="7"/>
      <c r="AX2507" s="7"/>
      <c r="AY2507" s="7"/>
    </row>
    <row r="2508" spans="19:51">
      <c r="S2508" s="7"/>
      <c r="AX2508" s="7"/>
      <c r="AY2508" s="7"/>
    </row>
    <row r="2509" spans="19:51">
      <c r="S2509" s="7"/>
      <c r="AX2509" s="7"/>
      <c r="AY2509" s="7"/>
    </row>
    <row r="2510" spans="19:51">
      <c r="S2510" s="7"/>
      <c r="AX2510" s="7"/>
      <c r="AY2510" s="7"/>
    </row>
    <row r="2511" spans="19:51">
      <c r="S2511" s="7"/>
      <c r="AX2511" s="7"/>
      <c r="AY2511" s="7"/>
    </row>
    <row r="2512" spans="19:51">
      <c r="S2512" s="7"/>
      <c r="AX2512" s="7"/>
      <c r="AY2512" s="7"/>
    </row>
    <row r="2513" spans="19:51">
      <c r="S2513" s="7"/>
      <c r="AX2513" s="7"/>
      <c r="AY2513" s="7"/>
    </row>
    <row r="2514" spans="19:51">
      <c r="S2514" s="7"/>
      <c r="AX2514" s="7"/>
      <c r="AY2514" s="7"/>
    </row>
    <row r="2515" spans="19:51">
      <c r="S2515" s="7"/>
      <c r="AX2515" s="7"/>
      <c r="AY2515" s="7"/>
    </row>
    <row r="2516" spans="19:51">
      <c r="S2516" s="7"/>
      <c r="AX2516" s="7"/>
      <c r="AY2516" s="7"/>
    </row>
    <row r="2517" spans="19:51">
      <c r="S2517" s="7"/>
      <c r="AX2517" s="7"/>
      <c r="AY2517" s="7"/>
    </row>
    <row r="2518" spans="19:51">
      <c r="S2518" s="7"/>
      <c r="AX2518" s="7"/>
      <c r="AY2518" s="7"/>
    </row>
    <row r="2519" spans="19:51">
      <c r="S2519" s="7"/>
      <c r="AX2519" s="7"/>
      <c r="AY2519" s="7"/>
    </row>
    <row r="2520" spans="19:51">
      <c r="S2520" s="7"/>
      <c r="AX2520" s="7"/>
      <c r="AY2520" s="7"/>
    </row>
    <row r="2521" spans="19:51">
      <c r="S2521" s="7"/>
      <c r="AX2521" s="7"/>
      <c r="AY2521" s="7"/>
    </row>
    <row r="2522" spans="19:51">
      <c r="S2522" s="7"/>
      <c r="AX2522" s="7"/>
      <c r="AY2522" s="7"/>
    </row>
    <row r="2523" spans="19:51">
      <c r="S2523" s="7"/>
      <c r="AX2523" s="7"/>
      <c r="AY2523" s="7"/>
    </row>
    <row r="2524" spans="19:51">
      <c r="S2524" s="7"/>
      <c r="AX2524" s="7"/>
      <c r="AY2524" s="7"/>
    </row>
    <row r="2525" spans="19:51">
      <c r="S2525" s="7"/>
      <c r="AX2525" s="7"/>
      <c r="AY2525" s="7"/>
    </row>
    <row r="2526" spans="19:51">
      <c r="S2526" s="7"/>
      <c r="AX2526" s="7"/>
      <c r="AY2526" s="7"/>
    </row>
    <row r="2527" spans="19:51">
      <c r="S2527" s="7"/>
      <c r="AX2527" s="7"/>
      <c r="AY2527" s="7"/>
    </row>
    <row r="2528" spans="19:51">
      <c r="S2528" s="7"/>
      <c r="AX2528" s="7"/>
      <c r="AY2528" s="7"/>
    </row>
    <row r="2529" spans="19:51">
      <c r="S2529" s="7"/>
      <c r="AX2529" s="7"/>
      <c r="AY2529" s="7"/>
    </row>
    <row r="2530" spans="19:51">
      <c r="S2530" s="7"/>
      <c r="AX2530" s="7"/>
      <c r="AY2530" s="7"/>
    </row>
    <row r="2531" spans="19:51">
      <c r="S2531" s="7"/>
      <c r="AX2531" s="7"/>
      <c r="AY2531" s="7"/>
    </row>
    <row r="2532" spans="19:51">
      <c r="S2532" s="7"/>
      <c r="AX2532" s="7"/>
      <c r="AY2532" s="7"/>
    </row>
    <row r="2533" spans="19:51">
      <c r="S2533" s="7"/>
      <c r="AX2533" s="7"/>
      <c r="AY2533" s="7"/>
    </row>
    <row r="2534" spans="19:51">
      <c r="S2534" s="7"/>
      <c r="AX2534" s="7"/>
      <c r="AY2534" s="7"/>
    </row>
    <row r="2535" spans="19:51">
      <c r="S2535" s="7"/>
      <c r="AX2535" s="7"/>
      <c r="AY2535" s="7"/>
    </row>
    <row r="2536" spans="19:51">
      <c r="S2536" s="7"/>
      <c r="AX2536" s="7"/>
      <c r="AY2536" s="7"/>
    </row>
    <row r="2537" spans="19:51">
      <c r="S2537" s="7"/>
      <c r="AX2537" s="7"/>
      <c r="AY2537" s="7"/>
    </row>
    <row r="2538" spans="19:51">
      <c r="S2538" s="7"/>
      <c r="AX2538" s="7"/>
      <c r="AY2538" s="7"/>
    </row>
    <row r="2539" spans="19:51">
      <c r="S2539" s="7"/>
      <c r="AX2539" s="7"/>
      <c r="AY2539" s="7"/>
    </row>
    <row r="2540" spans="19:51">
      <c r="S2540" s="7"/>
      <c r="AX2540" s="7"/>
      <c r="AY2540" s="7"/>
    </row>
    <row r="2541" spans="19:51">
      <c r="S2541" s="7"/>
      <c r="AX2541" s="7"/>
      <c r="AY2541" s="7"/>
    </row>
    <row r="2542" spans="19:51">
      <c r="S2542" s="7"/>
      <c r="AX2542" s="7"/>
      <c r="AY2542" s="7"/>
    </row>
    <row r="2543" spans="19:51">
      <c r="S2543" s="7"/>
      <c r="AX2543" s="7"/>
      <c r="AY2543" s="7"/>
    </row>
    <row r="2544" spans="19:51">
      <c r="S2544" s="7"/>
      <c r="AX2544" s="7"/>
      <c r="AY2544" s="7"/>
    </row>
    <row r="2545" spans="19:51">
      <c r="S2545" s="7"/>
      <c r="AX2545" s="7"/>
      <c r="AY2545" s="7"/>
    </row>
    <row r="2546" spans="19:51">
      <c r="S2546" s="7"/>
      <c r="AX2546" s="7"/>
      <c r="AY2546" s="7"/>
    </row>
    <row r="2547" spans="19:51">
      <c r="S2547" s="7"/>
      <c r="AX2547" s="7"/>
      <c r="AY2547" s="7"/>
    </row>
    <row r="2548" spans="19:51">
      <c r="S2548" s="7"/>
      <c r="AX2548" s="7"/>
      <c r="AY2548" s="7"/>
    </row>
    <row r="2549" spans="19:51">
      <c r="S2549" s="7"/>
      <c r="AX2549" s="7"/>
      <c r="AY2549" s="7"/>
    </row>
    <row r="2550" spans="19:51">
      <c r="S2550" s="7"/>
      <c r="AX2550" s="7"/>
      <c r="AY2550" s="7"/>
    </row>
    <row r="2551" spans="19:51">
      <c r="S2551" s="7"/>
      <c r="AX2551" s="7"/>
      <c r="AY2551" s="7"/>
    </row>
    <row r="2552" spans="19:51">
      <c r="S2552" s="7"/>
      <c r="AX2552" s="7"/>
      <c r="AY2552" s="7"/>
    </row>
    <row r="2553" spans="19:51">
      <c r="S2553" s="7"/>
      <c r="AX2553" s="7"/>
      <c r="AY2553" s="7"/>
    </row>
    <row r="2554" spans="19:51">
      <c r="S2554" s="7"/>
      <c r="AX2554" s="7"/>
      <c r="AY2554" s="7"/>
    </row>
    <row r="2555" spans="19:51">
      <c r="S2555" s="7"/>
      <c r="AX2555" s="7"/>
      <c r="AY2555" s="7"/>
    </row>
    <row r="2556" spans="19:51">
      <c r="S2556" s="7"/>
      <c r="AX2556" s="7"/>
      <c r="AY2556" s="7"/>
    </row>
    <row r="2557" spans="19:51">
      <c r="S2557" s="7"/>
      <c r="AX2557" s="7"/>
      <c r="AY2557" s="7"/>
    </row>
    <row r="2558" spans="19:51">
      <c r="S2558" s="7"/>
      <c r="AX2558" s="7"/>
      <c r="AY2558" s="7"/>
    </row>
    <row r="2559" spans="19:51">
      <c r="S2559" s="7"/>
      <c r="AX2559" s="7"/>
      <c r="AY2559" s="7"/>
    </row>
    <row r="2560" spans="19:51">
      <c r="S2560" s="7"/>
      <c r="AX2560" s="7"/>
      <c r="AY2560" s="7"/>
    </row>
    <row r="2561" spans="19:51">
      <c r="S2561" s="7"/>
      <c r="AX2561" s="7"/>
      <c r="AY2561" s="7"/>
    </row>
    <row r="2562" spans="19:51">
      <c r="S2562" s="7"/>
      <c r="AX2562" s="7"/>
      <c r="AY2562" s="7"/>
    </row>
    <row r="2563" spans="19:51">
      <c r="S2563" s="7"/>
      <c r="AX2563" s="7"/>
      <c r="AY2563" s="7"/>
    </row>
    <row r="2564" spans="19:51">
      <c r="S2564" s="7"/>
      <c r="AX2564" s="7"/>
      <c r="AY2564" s="7"/>
    </row>
    <row r="2565" spans="19:51">
      <c r="S2565" s="7"/>
      <c r="AX2565" s="7"/>
      <c r="AY2565" s="7"/>
    </row>
    <row r="2566" spans="19:51">
      <c r="S2566" s="7"/>
      <c r="AX2566" s="7"/>
      <c r="AY2566" s="7"/>
    </row>
    <row r="2567" spans="19:51">
      <c r="S2567" s="7"/>
      <c r="AX2567" s="7"/>
      <c r="AY2567" s="7"/>
    </row>
    <row r="2568" spans="19:51">
      <c r="S2568" s="7"/>
      <c r="AX2568" s="7"/>
      <c r="AY2568" s="7"/>
    </row>
    <row r="2569" spans="19:51">
      <c r="S2569" s="7"/>
      <c r="AX2569" s="7"/>
      <c r="AY2569" s="7"/>
    </row>
    <row r="2570" spans="19:51">
      <c r="S2570" s="7"/>
      <c r="AX2570" s="7"/>
      <c r="AY2570" s="7"/>
    </row>
    <row r="2571" spans="19:51">
      <c r="S2571" s="7"/>
      <c r="AX2571" s="7"/>
      <c r="AY2571" s="7"/>
    </row>
    <row r="2572" spans="19:51">
      <c r="S2572" s="7"/>
      <c r="AX2572" s="7"/>
      <c r="AY2572" s="7"/>
    </row>
    <row r="2573" spans="19:51">
      <c r="S2573" s="7"/>
      <c r="AX2573" s="7"/>
      <c r="AY2573" s="7"/>
    </row>
    <row r="2574" spans="19:51">
      <c r="S2574" s="7"/>
      <c r="AX2574" s="7"/>
      <c r="AY2574" s="7"/>
    </row>
    <row r="2575" spans="19:51">
      <c r="S2575" s="7"/>
      <c r="AX2575" s="7"/>
      <c r="AY2575" s="7"/>
    </row>
    <row r="2576" spans="19:51">
      <c r="S2576" s="7"/>
      <c r="AX2576" s="7"/>
      <c r="AY2576" s="7"/>
    </row>
    <row r="2577" spans="19:51">
      <c r="S2577" s="7"/>
      <c r="AX2577" s="7"/>
      <c r="AY2577" s="7"/>
    </row>
    <row r="2578" spans="19:51">
      <c r="S2578" s="7"/>
      <c r="AX2578" s="7"/>
      <c r="AY2578" s="7"/>
    </row>
    <row r="2579" spans="19:51">
      <c r="S2579" s="7"/>
      <c r="AX2579" s="7"/>
      <c r="AY2579" s="7"/>
    </row>
    <row r="2580" spans="19:51">
      <c r="S2580" s="7"/>
      <c r="AX2580" s="7"/>
      <c r="AY2580" s="7"/>
    </row>
    <row r="2581" spans="19:51">
      <c r="S2581" s="7"/>
      <c r="AX2581" s="7"/>
      <c r="AY2581" s="7"/>
    </row>
    <row r="2582" spans="19:51">
      <c r="S2582" s="7"/>
      <c r="AX2582" s="7"/>
      <c r="AY2582" s="7"/>
    </row>
    <row r="2583" spans="19:51">
      <c r="S2583" s="7"/>
      <c r="AX2583" s="7"/>
      <c r="AY2583" s="7"/>
    </row>
    <row r="2584" spans="19:51">
      <c r="S2584" s="7"/>
      <c r="AX2584" s="7"/>
      <c r="AY2584" s="7"/>
    </row>
    <row r="2585" spans="19:51">
      <c r="S2585" s="7"/>
      <c r="AX2585" s="7"/>
      <c r="AY2585" s="7"/>
    </row>
    <row r="2586" spans="19:51">
      <c r="S2586" s="7"/>
      <c r="AX2586" s="7"/>
      <c r="AY2586" s="7"/>
    </row>
    <row r="2587" spans="19:51">
      <c r="S2587" s="7"/>
      <c r="AX2587" s="7"/>
      <c r="AY2587" s="7"/>
    </row>
    <row r="2588" spans="19:51">
      <c r="S2588" s="7"/>
      <c r="AX2588" s="7"/>
      <c r="AY2588" s="7"/>
    </row>
    <row r="2589" spans="19:51">
      <c r="S2589" s="7"/>
      <c r="AX2589" s="7"/>
      <c r="AY2589" s="7"/>
    </row>
    <row r="2590" spans="19:51">
      <c r="S2590" s="7"/>
      <c r="AX2590" s="7"/>
      <c r="AY2590" s="7"/>
    </row>
    <row r="2591" spans="19:51">
      <c r="S2591" s="7"/>
      <c r="AX2591" s="7"/>
      <c r="AY2591" s="7"/>
    </row>
    <row r="2592" spans="19:51">
      <c r="S2592" s="7"/>
      <c r="AX2592" s="7"/>
      <c r="AY2592" s="7"/>
    </row>
    <row r="2593" spans="19:51">
      <c r="S2593" s="7"/>
      <c r="AX2593" s="7"/>
      <c r="AY2593" s="7"/>
    </row>
    <row r="2594" spans="19:51">
      <c r="S2594" s="7"/>
      <c r="AX2594" s="7"/>
      <c r="AY2594" s="7"/>
    </row>
    <row r="2595" spans="19:51">
      <c r="S2595" s="7"/>
      <c r="AX2595" s="7"/>
      <c r="AY2595" s="7"/>
    </row>
    <row r="2596" spans="19:51">
      <c r="S2596" s="7"/>
      <c r="AX2596" s="7"/>
      <c r="AY2596" s="7"/>
    </row>
    <row r="2597" spans="19:51">
      <c r="S2597" s="7"/>
      <c r="AX2597" s="7"/>
      <c r="AY2597" s="7"/>
    </row>
    <row r="2598" spans="19:51">
      <c r="S2598" s="7"/>
      <c r="AX2598" s="7"/>
      <c r="AY2598" s="7"/>
    </row>
    <row r="2599" spans="19:51">
      <c r="S2599" s="7"/>
      <c r="AX2599" s="7"/>
      <c r="AY2599" s="7"/>
    </row>
    <row r="2600" spans="19:51">
      <c r="S2600" s="7"/>
      <c r="AX2600" s="7"/>
      <c r="AY2600" s="7"/>
    </row>
    <row r="2601" spans="19:51">
      <c r="S2601" s="7"/>
      <c r="AX2601" s="7"/>
      <c r="AY2601" s="7"/>
    </row>
    <row r="2602" spans="19:51">
      <c r="S2602" s="7"/>
      <c r="AX2602" s="7"/>
      <c r="AY2602" s="7"/>
    </row>
    <row r="2603" spans="19:51">
      <c r="S2603" s="7"/>
      <c r="AX2603" s="7"/>
      <c r="AY2603" s="7"/>
    </row>
    <row r="2604" spans="19:51">
      <c r="S2604" s="7"/>
      <c r="AX2604" s="7"/>
      <c r="AY2604" s="7"/>
    </row>
    <row r="2605" spans="19:51">
      <c r="S2605" s="7"/>
      <c r="AX2605" s="7"/>
      <c r="AY2605" s="7"/>
    </row>
    <row r="2606" spans="19:51">
      <c r="S2606" s="7"/>
      <c r="AX2606" s="7"/>
      <c r="AY2606" s="7"/>
    </row>
    <row r="2607" spans="19:51">
      <c r="S2607" s="7"/>
      <c r="AX2607" s="7"/>
      <c r="AY2607" s="7"/>
    </row>
    <row r="2608" spans="19:51">
      <c r="S2608" s="7"/>
      <c r="AX2608" s="7"/>
      <c r="AY2608" s="7"/>
    </row>
    <row r="2609" spans="19:51">
      <c r="S2609" s="7"/>
      <c r="AX2609" s="7"/>
      <c r="AY2609" s="7"/>
    </row>
    <row r="2610" spans="19:51">
      <c r="S2610" s="7"/>
      <c r="AX2610" s="7"/>
      <c r="AY2610" s="7"/>
    </row>
    <row r="2611" spans="19:51">
      <c r="S2611" s="7"/>
      <c r="AX2611" s="7"/>
      <c r="AY2611" s="7"/>
    </row>
    <row r="2612" spans="19:51">
      <c r="S2612" s="7"/>
      <c r="AX2612" s="7"/>
      <c r="AY2612" s="7"/>
    </row>
    <row r="2613" spans="19:51">
      <c r="S2613" s="7"/>
      <c r="AX2613" s="7"/>
      <c r="AY2613" s="7"/>
    </row>
    <row r="2614" spans="19:51">
      <c r="S2614" s="7"/>
      <c r="AX2614" s="7"/>
      <c r="AY2614" s="7"/>
    </row>
    <row r="2615" spans="19:51">
      <c r="S2615" s="7"/>
      <c r="AX2615" s="7"/>
      <c r="AY2615" s="7"/>
    </row>
    <row r="2616" spans="19:51">
      <c r="S2616" s="7"/>
      <c r="AX2616" s="7"/>
      <c r="AY2616" s="7"/>
    </row>
    <row r="2617" spans="19:51">
      <c r="S2617" s="7"/>
      <c r="AX2617" s="7"/>
      <c r="AY2617" s="7"/>
    </row>
    <row r="2618" spans="19:51">
      <c r="S2618" s="7"/>
      <c r="AX2618" s="7"/>
      <c r="AY2618" s="7"/>
    </row>
    <row r="2619" spans="19:51">
      <c r="S2619" s="7"/>
      <c r="AX2619" s="7"/>
      <c r="AY2619" s="7"/>
    </row>
    <row r="2620" spans="19:51">
      <c r="S2620" s="7"/>
      <c r="AX2620" s="7"/>
      <c r="AY2620" s="7"/>
    </row>
    <row r="2621" spans="19:51">
      <c r="S2621" s="7"/>
      <c r="AX2621" s="7"/>
      <c r="AY2621" s="7"/>
    </row>
    <row r="2622" spans="19:51">
      <c r="S2622" s="7"/>
      <c r="AX2622" s="7"/>
      <c r="AY2622" s="7"/>
    </row>
    <row r="2623" spans="19:51">
      <c r="S2623" s="7"/>
      <c r="AX2623" s="7"/>
      <c r="AY2623" s="7"/>
    </row>
    <row r="2624" spans="19:51">
      <c r="S2624" s="7"/>
      <c r="AX2624" s="7"/>
      <c r="AY2624" s="7"/>
    </row>
    <row r="2625" spans="19:51">
      <c r="S2625" s="7"/>
      <c r="AX2625" s="7"/>
      <c r="AY2625" s="7"/>
    </row>
    <row r="2626" spans="19:51">
      <c r="S2626" s="7"/>
      <c r="AX2626" s="7"/>
      <c r="AY2626" s="7"/>
    </row>
    <row r="2627" spans="19:51">
      <c r="S2627" s="7"/>
      <c r="AX2627" s="7"/>
      <c r="AY2627" s="7"/>
    </row>
    <row r="2628" spans="19:51">
      <c r="S2628" s="7"/>
      <c r="AX2628" s="7"/>
      <c r="AY2628" s="7"/>
    </row>
    <row r="2629" spans="19:51">
      <c r="S2629" s="7"/>
      <c r="AX2629" s="7"/>
      <c r="AY2629" s="7"/>
    </row>
    <row r="2630" spans="19:51">
      <c r="S2630" s="7"/>
      <c r="AX2630" s="7"/>
      <c r="AY2630" s="7"/>
    </row>
    <row r="2631" spans="19:51">
      <c r="S2631" s="7"/>
      <c r="AX2631" s="7"/>
      <c r="AY2631" s="7"/>
    </row>
    <row r="2632" spans="19:51">
      <c r="S2632" s="7"/>
      <c r="AX2632" s="7"/>
      <c r="AY2632" s="7"/>
    </row>
    <row r="2633" spans="19:51">
      <c r="S2633" s="7"/>
      <c r="AX2633" s="7"/>
      <c r="AY2633" s="7"/>
    </row>
    <row r="2634" spans="19:51">
      <c r="S2634" s="7"/>
      <c r="AX2634" s="7"/>
      <c r="AY2634" s="7"/>
    </row>
    <row r="2635" spans="19:51">
      <c r="S2635" s="7"/>
      <c r="AX2635" s="7"/>
      <c r="AY2635" s="7"/>
    </row>
    <row r="2636" spans="19:51">
      <c r="S2636" s="7"/>
      <c r="AX2636" s="7"/>
      <c r="AY2636" s="7"/>
    </row>
    <row r="2637" spans="19:51">
      <c r="S2637" s="7"/>
      <c r="AX2637" s="7"/>
      <c r="AY2637" s="7"/>
    </row>
    <row r="2638" spans="19:51">
      <c r="S2638" s="7"/>
      <c r="AX2638" s="7"/>
      <c r="AY2638" s="7"/>
    </row>
    <row r="2639" spans="19:51">
      <c r="S2639" s="7"/>
      <c r="AX2639" s="7"/>
      <c r="AY2639" s="7"/>
    </row>
    <row r="2640" spans="19:51">
      <c r="S2640" s="7"/>
      <c r="AX2640" s="7"/>
      <c r="AY2640" s="7"/>
    </row>
    <row r="2641" spans="19:51">
      <c r="S2641" s="7"/>
      <c r="AX2641" s="7"/>
      <c r="AY2641" s="7"/>
    </row>
    <row r="2642" spans="19:51">
      <c r="S2642" s="7"/>
      <c r="AX2642" s="7"/>
      <c r="AY2642" s="7"/>
    </row>
    <row r="2643" spans="19:51">
      <c r="S2643" s="7"/>
      <c r="AX2643" s="7"/>
      <c r="AY2643" s="7"/>
    </row>
    <row r="2644" spans="19:51">
      <c r="S2644" s="7"/>
      <c r="AX2644" s="7"/>
      <c r="AY2644" s="7"/>
    </row>
    <row r="2645" spans="19:51">
      <c r="S2645" s="7"/>
      <c r="AX2645" s="7"/>
      <c r="AY2645" s="7"/>
    </row>
    <row r="2646" spans="19:51">
      <c r="S2646" s="7"/>
      <c r="AX2646" s="7"/>
      <c r="AY2646" s="7"/>
    </row>
    <row r="2647" spans="19:51">
      <c r="S2647" s="7"/>
      <c r="AX2647" s="7"/>
      <c r="AY2647" s="7"/>
    </row>
    <row r="2648" spans="19:51">
      <c r="S2648" s="7"/>
      <c r="AX2648" s="7"/>
      <c r="AY2648" s="7"/>
    </row>
    <row r="2649" spans="19:51">
      <c r="S2649" s="7"/>
      <c r="AX2649" s="7"/>
      <c r="AY2649" s="7"/>
    </row>
    <row r="2650" spans="19:51">
      <c r="S2650" s="7"/>
      <c r="AX2650" s="7"/>
      <c r="AY2650" s="7"/>
    </row>
    <row r="2651" spans="19:51">
      <c r="S2651" s="7"/>
      <c r="AX2651" s="7"/>
      <c r="AY2651" s="7"/>
    </row>
    <row r="2652" spans="19:51">
      <c r="S2652" s="7"/>
      <c r="AX2652" s="7"/>
      <c r="AY2652" s="7"/>
    </row>
    <row r="2653" spans="19:51">
      <c r="S2653" s="7"/>
      <c r="AX2653" s="7"/>
      <c r="AY2653" s="7"/>
    </row>
    <row r="2654" spans="19:51">
      <c r="S2654" s="7"/>
      <c r="AX2654" s="7"/>
      <c r="AY2654" s="7"/>
    </row>
    <row r="2655" spans="19:51">
      <c r="S2655" s="7"/>
      <c r="AX2655" s="7"/>
      <c r="AY2655" s="7"/>
    </row>
    <row r="2656" spans="19:51">
      <c r="S2656" s="7"/>
      <c r="AX2656" s="7"/>
      <c r="AY2656" s="7"/>
    </row>
    <row r="2657" spans="19:51">
      <c r="S2657" s="7"/>
      <c r="AX2657" s="7"/>
      <c r="AY2657" s="7"/>
    </row>
    <row r="2658" spans="19:51">
      <c r="S2658" s="7"/>
      <c r="AX2658" s="7"/>
      <c r="AY2658" s="7"/>
    </row>
    <row r="2659" spans="19:51">
      <c r="S2659" s="7"/>
      <c r="AX2659" s="7"/>
      <c r="AY2659" s="7"/>
    </row>
    <row r="2660" spans="19:51">
      <c r="S2660" s="7"/>
      <c r="AX2660" s="7"/>
      <c r="AY2660" s="7"/>
    </row>
    <row r="2661" spans="19:51">
      <c r="S2661" s="7"/>
      <c r="AX2661" s="7"/>
      <c r="AY2661" s="7"/>
    </row>
    <row r="2662" spans="19:51">
      <c r="S2662" s="7"/>
      <c r="AX2662" s="7"/>
      <c r="AY2662" s="7"/>
    </row>
    <row r="2663" spans="19:51">
      <c r="S2663" s="7"/>
      <c r="AX2663" s="7"/>
      <c r="AY2663" s="7"/>
    </row>
    <row r="2664" spans="19:51">
      <c r="S2664" s="7"/>
      <c r="AX2664" s="7"/>
      <c r="AY2664" s="7"/>
    </row>
    <row r="2665" spans="19:51">
      <c r="S2665" s="7"/>
      <c r="AX2665" s="7"/>
      <c r="AY2665" s="7"/>
    </row>
    <row r="2666" spans="19:51">
      <c r="S2666" s="7"/>
      <c r="AX2666" s="7"/>
      <c r="AY2666" s="7"/>
    </row>
    <row r="2667" spans="19:51">
      <c r="S2667" s="7"/>
      <c r="AX2667" s="7"/>
      <c r="AY2667" s="7"/>
    </row>
    <row r="2668" spans="19:51">
      <c r="S2668" s="7"/>
      <c r="AX2668" s="7"/>
      <c r="AY2668" s="7"/>
    </row>
    <row r="2669" spans="19:51">
      <c r="S2669" s="7"/>
      <c r="AX2669" s="7"/>
      <c r="AY2669" s="7"/>
    </row>
    <row r="2670" spans="19:51">
      <c r="S2670" s="7"/>
      <c r="AX2670" s="7"/>
      <c r="AY2670" s="7"/>
    </row>
    <row r="2671" spans="19:51">
      <c r="S2671" s="7"/>
      <c r="AX2671" s="7"/>
      <c r="AY2671" s="7"/>
    </row>
    <row r="2672" spans="19:51">
      <c r="S2672" s="7"/>
      <c r="AX2672" s="7"/>
      <c r="AY2672" s="7"/>
    </row>
    <row r="2673" spans="19:51">
      <c r="S2673" s="7"/>
      <c r="AX2673" s="7"/>
      <c r="AY2673" s="7"/>
    </row>
    <row r="2674" spans="19:51">
      <c r="S2674" s="7"/>
      <c r="AX2674" s="7"/>
      <c r="AY2674" s="7"/>
    </row>
    <row r="2675" spans="19:51">
      <c r="S2675" s="7"/>
      <c r="AX2675" s="7"/>
      <c r="AY2675" s="7"/>
    </row>
    <row r="2676" spans="19:51">
      <c r="S2676" s="7"/>
      <c r="AX2676" s="7"/>
      <c r="AY2676" s="7"/>
    </row>
    <row r="2677" spans="19:51">
      <c r="S2677" s="7"/>
      <c r="AX2677" s="7"/>
      <c r="AY2677" s="7"/>
    </row>
    <row r="2678" spans="19:51">
      <c r="S2678" s="7"/>
      <c r="AX2678" s="7"/>
      <c r="AY2678" s="7"/>
    </row>
    <row r="2679" spans="19:51">
      <c r="S2679" s="7"/>
      <c r="AX2679" s="7"/>
      <c r="AY2679" s="7"/>
    </row>
    <row r="2680" spans="19:51">
      <c r="S2680" s="7"/>
      <c r="AX2680" s="7"/>
      <c r="AY2680" s="7"/>
    </row>
    <row r="2681" spans="19:51">
      <c r="S2681" s="7"/>
      <c r="AX2681" s="7"/>
      <c r="AY2681" s="7"/>
    </row>
    <row r="2682" spans="19:51">
      <c r="S2682" s="7"/>
      <c r="AX2682" s="7"/>
      <c r="AY2682" s="7"/>
    </row>
    <row r="2683" spans="19:51">
      <c r="S2683" s="7"/>
      <c r="AX2683" s="7"/>
      <c r="AY2683" s="7"/>
    </row>
    <row r="2684" spans="19:51">
      <c r="S2684" s="7"/>
      <c r="AX2684" s="7"/>
      <c r="AY2684" s="7"/>
    </row>
    <row r="2685" spans="19:51">
      <c r="S2685" s="7"/>
      <c r="AX2685" s="7"/>
      <c r="AY2685" s="7"/>
    </row>
    <row r="2686" spans="19:51">
      <c r="S2686" s="7"/>
      <c r="AX2686" s="7"/>
      <c r="AY2686" s="7"/>
    </row>
    <row r="2687" spans="19:51">
      <c r="S2687" s="7"/>
      <c r="AX2687" s="7"/>
      <c r="AY2687" s="7"/>
    </row>
    <row r="2688" spans="19:51">
      <c r="S2688" s="7"/>
      <c r="AX2688" s="7"/>
      <c r="AY2688" s="7"/>
    </row>
    <row r="2689" spans="19:51">
      <c r="S2689" s="7"/>
      <c r="AX2689" s="7"/>
      <c r="AY2689" s="7"/>
    </row>
    <row r="2690" spans="19:51">
      <c r="S2690" s="7"/>
      <c r="AX2690" s="7"/>
      <c r="AY2690" s="7"/>
    </row>
    <row r="2691" spans="19:51">
      <c r="S2691" s="7"/>
      <c r="AX2691" s="7"/>
      <c r="AY2691" s="7"/>
    </row>
    <row r="2692" spans="19:51">
      <c r="S2692" s="7"/>
      <c r="AX2692" s="7"/>
      <c r="AY2692" s="7"/>
    </row>
    <row r="2693" spans="19:51">
      <c r="S2693" s="7"/>
      <c r="AX2693" s="7"/>
      <c r="AY2693" s="7"/>
    </row>
    <row r="2694" spans="19:51">
      <c r="S2694" s="7"/>
      <c r="AX2694" s="7"/>
      <c r="AY2694" s="7"/>
    </row>
    <row r="2695" spans="19:51">
      <c r="S2695" s="7"/>
      <c r="AX2695" s="7"/>
      <c r="AY2695" s="7"/>
    </row>
    <row r="2696" spans="19:51">
      <c r="S2696" s="7"/>
      <c r="AX2696" s="7"/>
      <c r="AY2696" s="7"/>
    </row>
    <row r="2697" spans="19:51">
      <c r="S2697" s="7"/>
      <c r="AX2697" s="7"/>
      <c r="AY2697" s="7"/>
    </row>
    <row r="2698" spans="19:51">
      <c r="S2698" s="7"/>
      <c r="AX2698" s="7"/>
      <c r="AY2698" s="7"/>
    </row>
    <row r="2699" spans="19:51">
      <c r="S2699" s="7"/>
      <c r="AX2699" s="7"/>
      <c r="AY2699" s="7"/>
    </row>
    <row r="2700" spans="19:51">
      <c r="S2700" s="7"/>
      <c r="AX2700" s="7"/>
      <c r="AY2700" s="7"/>
    </row>
    <row r="2701" spans="19:51">
      <c r="S2701" s="7"/>
      <c r="AX2701" s="7"/>
      <c r="AY2701" s="7"/>
    </row>
    <row r="2702" spans="19:51">
      <c r="S2702" s="7"/>
      <c r="AX2702" s="7"/>
      <c r="AY2702" s="7"/>
    </row>
    <row r="2703" spans="19:51">
      <c r="S2703" s="7"/>
      <c r="AX2703" s="7"/>
      <c r="AY2703" s="7"/>
    </row>
    <row r="2704" spans="19:51">
      <c r="S2704" s="7"/>
      <c r="AX2704" s="7"/>
      <c r="AY2704" s="7"/>
    </row>
    <row r="2705" spans="19:51">
      <c r="S2705" s="7"/>
      <c r="AX2705" s="7"/>
      <c r="AY2705" s="7"/>
    </row>
    <row r="2706" spans="19:51">
      <c r="S2706" s="7"/>
      <c r="AX2706" s="7"/>
      <c r="AY2706" s="7"/>
    </row>
    <row r="2707" spans="19:51">
      <c r="S2707" s="7"/>
      <c r="AX2707" s="7"/>
      <c r="AY2707" s="7"/>
    </row>
    <row r="2708" spans="19:51">
      <c r="S2708" s="7"/>
      <c r="AX2708" s="7"/>
      <c r="AY2708" s="7"/>
    </row>
    <row r="2709" spans="19:51">
      <c r="S2709" s="7"/>
      <c r="AX2709" s="7"/>
      <c r="AY2709" s="7"/>
    </row>
    <row r="2710" spans="19:51">
      <c r="S2710" s="7"/>
      <c r="AX2710" s="7"/>
      <c r="AY2710" s="7"/>
    </row>
    <row r="2711" spans="19:51">
      <c r="S2711" s="7"/>
      <c r="AX2711" s="7"/>
      <c r="AY2711" s="7"/>
    </row>
    <row r="2712" spans="19:51">
      <c r="S2712" s="7"/>
      <c r="AX2712" s="7"/>
      <c r="AY2712" s="7"/>
    </row>
    <row r="2713" spans="19:51">
      <c r="S2713" s="7"/>
      <c r="AX2713" s="7"/>
      <c r="AY2713" s="7"/>
    </row>
    <row r="2714" spans="19:51">
      <c r="S2714" s="7"/>
      <c r="AX2714" s="7"/>
      <c r="AY2714" s="7"/>
    </row>
    <row r="2715" spans="19:51">
      <c r="S2715" s="7"/>
      <c r="AX2715" s="7"/>
      <c r="AY2715" s="7"/>
    </row>
    <row r="2716" spans="19:51">
      <c r="S2716" s="7"/>
      <c r="AX2716" s="7"/>
      <c r="AY2716" s="7"/>
    </row>
    <row r="2717" spans="19:51">
      <c r="S2717" s="7"/>
      <c r="AX2717" s="7"/>
      <c r="AY2717" s="7"/>
    </row>
    <row r="2718" spans="19:51">
      <c r="S2718" s="7"/>
      <c r="AX2718" s="7"/>
      <c r="AY2718" s="7"/>
    </row>
    <row r="2719" spans="19:51">
      <c r="S2719" s="7"/>
      <c r="AX2719" s="7"/>
      <c r="AY2719" s="7"/>
    </row>
    <row r="2720" spans="19:51">
      <c r="S2720" s="7"/>
      <c r="AX2720" s="7"/>
      <c r="AY2720" s="7"/>
    </row>
    <row r="2721" spans="19:51">
      <c r="S2721" s="7"/>
      <c r="AX2721" s="7"/>
      <c r="AY2721" s="7"/>
    </row>
    <row r="2722" spans="19:51">
      <c r="S2722" s="7"/>
      <c r="AX2722" s="7"/>
      <c r="AY2722" s="7"/>
    </row>
    <row r="2723" spans="19:51">
      <c r="S2723" s="7"/>
      <c r="AX2723" s="7"/>
      <c r="AY2723" s="7"/>
    </row>
    <row r="2724" spans="19:51">
      <c r="S2724" s="7"/>
      <c r="AX2724" s="7"/>
      <c r="AY2724" s="7"/>
    </row>
    <row r="2725" spans="19:51">
      <c r="S2725" s="7"/>
      <c r="AX2725" s="7"/>
      <c r="AY2725" s="7"/>
    </row>
    <row r="2726" spans="19:51">
      <c r="S2726" s="7"/>
      <c r="AX2726" s="7"/>
      <c r="AY2726" s="7"/>
    </row>
    <row r="2727" spans="19:51">
      <c r="S2727" s="7"/>
      <c r="AX2727" s="7"/>
      <c r="AY2727" s="7"/>
    </row>
    <row r="2728" spans="19:51">
      <c r="S2728" s="7"/>
      <c r="AX2728" s="7"/>
      <c r="AY2728" s="7"/>
    </row>
    <row r="2729" spans="19:51">
      <c r="S2729" s="7"/>
      <c r="AX2729" s="7"/>
      <c r="AY2729" s="7"/>
    </row>
    <row r="2730" spans="19:51">
      <c r="S2730" s="7"/>
      <c r="AX2730" s="7"/>
      <c r="AY2730" s="7"/>
    </row>
    <row r="2731" spans="19:51">
      <c r="S2731" s="7"/>
      <c r="AX2731" s="7"/>
      <c r="AY2731" s="7"/>
    </row>
    <row r="2732" spans="19:51">
      <c r="S2732" s="7"/>
      <c r="AX2732" s="7"/>
      <c r="AY2732" s="7"/>
    </row>
    <row r="2733" spans="19:51">
      <c r="S2733" s="7"/>
      <c r="AX2733" s="7"/>
      <c r="AY2733" s="7"/>
    </row>
    <row r="2734" spans="19:51">
      <c r="S2734" s="7"/>
      <c r="AX2734" s="7"/>
      <c r="AY2734" s="7"/>
    </row>
    <row r="2735" spans="19:51">
      <c r="S2735" s="7"/>
      <c r="AX2735" s="7"/>
      <c r="AY2735" s="7"/>
    </row>
    <row r="2736" spans="19:51">
      <c r="S2736" s="7"/>
      <c r="AX2736" s="7"/>
      <c r="AY2736" s="7"/>
    </row>
    <row r="2737" spans="19:51">
      <c r="S2737" s="7"/>
      <c r="AX2737" s="7"/>
      <c r="AY2737" s="7"/>
    </row>
    <row r="2738" spans="19:51">
      <c r="S2738" s="7"/>
      <c r="AX2738" s="7"/>
      <c r="AY2738" s="7"/>
    </row>
    <row r="2739" spans="19:51">
      <c r="S2739" s="7"/>
      <c r="AX2739" s="7"/>
      <c r="AY2739" s="7"/>
    </row>
    <row r="2740" spans="19:51">
      <c r="S2740" s="7"/>
      <c r="AX2740" s="7"/>
      <c r="AY2740" s="7"/>
    </row>
    <row r="2741" spans="19:51">
      <c r="S2741" s="7"/>
      <c r="AX2741" s="7"/>
      <c r="AY2741" s="7"/>
    </row>
    <row r="2742" spans="19:51">
      <c r="S2742" s="7"/>
      <c r="AX2742" s="7"/>
      <c r="AY2742" s="7"/>
    </row>
    <row r="2743" spans="19:51">
      <c r="S2743" s="7"/>
      <c r="AX2743" s="7"/>
      <c r="AY2743" s="7"/>
    </row>
    <row r="2744" spans="19:51">
      <c r="S2744" s="7"/>
      <c r="AX2744" s="7"/>
      <c r="AY2744" s="7"/>
    </row>
    <row r="2745" spans="19:51">
      <c r="S2745" s="7"/>
      <c r="AX2745" s="7"/>
      <c r="AY2745" s="7"/>
    </row>
    <row r="2746" spans="19:51">
      <c r="S2746" s="7"/>
      <c r="AX2746" s="7"/>
      <c r="AY2746" s="7"/>
    </row>
    <row r="2747" spans="19:51">
      <c r="S2747" s="7"/>
      <c r="AX2747" s="7"/>
      <c r="AY2747" s="7"/>
    </row>
    <row r="2748" spans="19:51">
      <c r="S2748" s="7"/>
      <c r="AX2748" s="7"/>
      <c r="AY2748" s="7"/>
    </row>
    <row r="2749" spans="19:51">
      <c r="S2749" s="7"/>
      <c r="AX2749" s="7"/>
      <c r="AY2749" s="7"/>
    </row>
    <row r="2750" spans="19:51">
      <c r="S2750" s="7"/>
      <c r="AX2750" s="7"/>
      <c r="AY2750" s="7"/>
    </row>
    <row r="2751" spans="19:51">
      <c r="S2751" s="7"/>
      <c r="AX2751" s="7"/>
      <c r="AY2751" s="7"/>
    </row>
    <row r="2752" spans="19:51">
      <c r="S2752" s="7"/>
      <c r="AX2752" s="7"/>
      <c r="AY2752" s="7"/>
    </row>
    <row r="2753" spans="19:51">
      <c r="S2753" s="7"/>
      <c r="AX2753" s="7"/>
      <c r="AY2753" s="7"/>
    </row>
    <row r="2754" spans="19:51">
      <c r="S2754" s="7"/>
      <c r="AX2754" s="7"/>
      <c r="AY2754" s="7"/>
    </row>
    <row r="2755" spans="19:51">
      <c r="S2755" s="7"/>
      <c r="AX2755" s="7"/>
      <c r="AY2755" s="7"/>
    </row>
    <row r="2756" spans="19:51">
      <c r="S2756" s="7"/>
      <c r="AX2756" s="7"/>
      <c r="AY2756" s="7"/>
    </row>
    <row r="2757" spans="19:51">
      <c r="S2757" s="7"/>
      <c r="AX2757" s="7"/>
      <c r="AY2757" s="7"/>
    </row>
    <row r="2758" spans="19:51">
      <c r="S2758" s="7"/>
      <c r="AX2758" s="7"/>
      <c r="AY2758" s="7"/>
    </row>
    <row r="2759" spans="19:51">
      <c r="S2759" s="7"/>
      <c r="AX2759" s="7"/>
      <c r="AY2759" s="7"/>
    </row>
    <row r="2760" spans="19:51">
      <c r="S2760" s="7"/>
      <c r="AX2760" s="7"/>
      <c r="AY2760" s="7"/>
    </row>
    <row r="2761" spans="19:51">
      <c r="S2761" s="7"/>
      <c r="AX2761" s="7"/>
      <c r="AY2761" s="7"/>
    </row>
    <row r="2762" spans="19:51">
      <c r="S2762" s="7"/>
      <c r="AX2762" s="7"/>
      <c r="AY2762" s="7"/>
    </row>
    <row r="2763" spans="19:51">
      <c r="S2763" s="7"/>
      <c r="AX2763" s="7"/>
      <c r="AY2763" s="7"/>
    </row>
    <row r="2764" spans="19:51">
      <c r="S2764" s="7"/>
      <c r="AX2764" s="7"/>
      <c r="AY2764" s="7"/>
    </row>
    <row r="2765" spans="19:51">
      <c r="S2765" s="7"/>
      <c r="AX2765" s="7"/>
      <c r="AY2765" s="7"/>
    </row>
    <row r="2766" spans="19:51">
      <c r="S2766" s="7"/>
      <c r="AX2766" s="7"/>
      <c r="AY2766" s="7"/>
    </row>
    <row r="2767" spans="19:51">
      <c r="S2767" s="7"/>
      <c r="AX2767" s="7"/>
      <c r="AY2767" s="7"/>
    </row>
    <row r="2768" spans="19:51">
      <c r="S2768" s="7"/>
      <c r="AX2768" s="7"/>
      <c r="AY2768" s="7"/>
    </row>
    <row r="2769" spans="19:51">
      <c r="S2769" s="7"/>
      <c r="AX2769" s="7"/>
      <c r="AY2769" s="7"/>
    </row>
    <row r="2770" spans="19:51">
      <c r="S2770" s="7"/>
      <c r="AX2770" s="7"/>
      <c r="AY2770" s="7"/>
    </row>
    <row r="2771" spans="19:51">
      <c r="S2771" s="7"/>
      <c r="AX2771" s="7"/>
      <c r="AY2771" s="7"/>
    </row>
    <row r="2772" spans="19:51">
      <c r="S2772" s="7"/>
      <c r="AX2772" s="7"/>
      <c r="AY2772" s="7"/>
    </row>
    <row r="2773" spans="19:51">
      <c r="S2773" s="7"/>
      <c r="AX2773" s="7"/>
      <c r="AY2773" s="7"/>
    </row>
    <row r="2774" spans="19:51">
      <c r="S2774" s="7"/>
      <c r="AX2774" s="7"/>
      <c r="AY2774" s="7"/>
    </row>
    <row r="2775" spans="19:51">
      <c r="S2775" s="7"/>
      <c r="AX2775" s="7"/>
      <c r="AY2775" s="7"/>
    </row>
    <row r="2776" spans="19:51">
      <c r="S2776" s="7"/>
      <c r="AX2776" s="7"/>
      <c r="AY2776" s="7"/>
    </row>
    <row r="2777" spans="19:51">
      <c r="S2777" s="7"/>
      <c r="AX2777" s="7"/>
      <c r="AY2777" s="7"/>
    </row>
    <row r="2778" spans="19:51">
      <c r="S2778" s="7"/>
      <c r="AX2778" s="7"/>
      <c r="AY2778" s="7"/>
    </row>
    <row r="2779" spans="19:51">
      <c r="S2779" s="7"/>
      <c r="AX2779" s="7"/>
      <c r="AY2779" s="7"/>
    </row>
    <row r="2780" spans="19:51">
      <c r="S2780" s="7"/>
      <c r="AX2780" s="7"/>
      <c r="AY2780" s="7"/>
    </row>
    <row r="2781" spans="19:51">
      <c r="S2781" s="7"/>
      <c r="AX2781" s="7"/>
      <c r="AY2781" s="7"/>
    </row>
    <row r="2782" spans="19:51">
      <c r="S2782" s="7"/>
      <c r="AX2782" s="7"/>
      <c r="AY2782" s="7"/>
    </row>
    <row r="2783" spans="19:51">
      <c r="S2783" s="7"/>
      <c r="AX2783" s="7"/>
      <c r="AY2783" s="7"/>
    </row>
    <row r="2784" spans="19:51">
      <c r="S2784" s="7"/>
      <c r="AX2784" s="7"/>
      <c r="AY2784" s="7"/>
    </row>
    <row r="2785" spans="19:51">
      <c r="S2785" s="7"/>
      <c r="AX2785" s="7"/>
      <c r="AY2785" s="7"/>
    </row>
    <row r="2786" spans="19:51">
      <c r="S2786" s="7"/>
      <c r="AX2786" s="7"/>
      <c r="AY2786" s="7"/>
    </row>
    <row r="2787" spans="19:51">
      <c r="S2787" s="7"/>
      <c r="AX2787" s="7"/>
      <c r="AY2787" s="7"/>
    </row>
    <row r="2788" spans="19:51">
      <c r="S2788" s="7"/>
      <c r="AX2788" s="7"/>
      <c r="AY2788" s="7"/>
    </row>
    <row r="2789" spans="19:51">
      <c r="S2789" s="7"/>
      <c r="AX2789" s="7"/>
      <c r="AY2789" s="7"/>
    </row>
    <row r="2790" spans="19:51">
      <c r="S2790" s="7"/>
      <c r="AX2790" s="7"/>
      <c r="AY2790" s="7"/>
    </row>
    <row r="2791" spans="19:51">
      <c r="S2791" s="7"/>
      <c r="AX2791" s="7"/>
      <c r="AY2791" s="7"/>
    </row>
    <row r="2792" spans="19:51">
      <c r="S2792" s="7"/>
      <c r="AX2792" s="7"/>
      <c r="AY2792" s="7"/>
    </row>
    <row r="2793" spans="19:51">
      <c r="S2793" s="7"/>
      <c r="AX2793" s="7"/>
      <c r="AY2793" s="7"/>
    </row>
    <row r="2794" spans="19:51">
      <c r="S2794" s="7"/>
      <c r="AX2794" s="7"/>
      <c r="AY2794" s="7"/>
    </row>
    <row r="2795" spans="19:51">
      <c r="S2795" s="7"/>
      <c r="AX2795" s="7"/>
      <c r="AY2795" s="7"/>
    </row>
    <row r="2796" spans="19:51">
      <c r="S2796" s="7"/>
      <c r="AX2796" s="7"/>
      <c r="AY2796" s="7"/>
    </row>
    <row r="2797" spans="19:51">
      <c r="S2797" s="7"/>
      <c r="AX2797" s="7"/>
      <c r="AY2797" s="7"/>
    </row>
    <row r="2798" spans="19:51">
      <c r="S2798" s="7"/>
      <c r="AX2798" s="7"/>
      <c r="AY2798" s="7"/>
    </row>
    <row r="2799" spans="19:51">
      <c r="S2799" s="7"/>
      <c r="AX2799" s="7"/>
      <c r="AY2799" s="7"/>
    </row>
    <row r="2800" spans="19:51">
      <c r="S2800" s="7"/>
      <c r="AX2800" s="7"/>
      <c r="AY2800" s="7"/>
    </row>
    <row r="2801" spans="19:51">
      <c r="S2801" s="7"/>
      <c r="AX2801" s="7"/>
      <c r="AY2801" s="7"/>
    </row>
    <row r="2802" spans="19:51">
      <c r="S2802" s="7"/>
      <c r="AX2802" s="7"/>
      <c r="AY2802" s="7"/>
    </row>
    <row r="2803" spans="19:51">
      <c r="S2803" s="7"/>
      <c r="AX2803" s="7"/>
      <c r="AY2803" s="7"/>
    </row>
    <row r="2804" spans="19:51">
      <c r="S2804" s="7"/>
      <c r="AX2804" s="7"/>
      <c r="AY2804" s="7"/>
    </row>
    <row r="2805" spans="19:51">
      <c r="S2805" s="7"/>
      <c r="AX2805" s="7"/>
      <c r="AY2805" s="7"/>
    </row>
    <row r="2806" spans="19:51">
      <c r="S2806" s="7"/>
      <c r="AX2806" s="7"/>
      <c r="AY2806" s="7"/>
    </row>
    <row r="2807" spans="19:51">
      <c r="S2807" s="7"/>
      <c r="AX2807" s="7"/>
      <c r="AY2807" s="7"/>
    </row>
    <row r="2808" spans="19:51">
      <c r="S2808" s="7"/>
      <c r="AX2808" s="7"/>
      <c r="AY2808" s="7"/>
    </row>
    <row r="2809" spans="19:51">
      <c r="S2809" s="7"/>
      <c r="AX2809" s="7"/>
      <c r="AY2809" s="7"/>
    </row>
    <row r="2810" spans="19:51">
      <c r="S2810" s="7"/>
      <c r="AX2810" s="7"/>
      <c r="AY2810" s="7"/>
    </row>
    <row r="2811" spans="19:51">
      <c r="S2811" s="7"/>
      <c r="AX2811" s="7"/>
      <c r="AY2811" s="7"/>
    </row>
    <row r="2812" spans="19:51">
      <c r="S2812" s="7"/>
      <c r="AX2812" s="7"/>
      <c r="AY2812" s="7"/>
    </row>
    <row r="2813" spans="19:51">
      <c r="S2813" s="7"/>
      <c r="AX2813" s="7"/>
      <c r="AY2813" s="7"/>
    </row>
    <row r="2814" spans="19:51">
      <c r="S2814" s="7"/>
      <c r="AX2814" s="7"/>
      <c r="AY2814" s="7"/>
    </row>
    <row r="2815" spans="19:51">
      <c r="S2815" s="7"/>
      <c r="AX2815" s="7"/>
      <c r="AY2815" s="7"/>
    </row>
    <row r="2816" spans="19:51">
      <c r="S2816" s="7"/>
      <c r="AX2816" s="7"/>
      <c r="AY2816" s="7"/>
    </row>
    <row r="2817" spans="19:51">
      <c r="S2817" s="7"/>
      <c r="AX2817" s="7"/>
      <c r="AY2817" s="7"/>
    </row>
    <row r="2818" spans="19:51">
      <c r="S2818" s="7"/>
      <c r="AX2818" s="7"/>
      <c r="AY2818" s="7"/>
    </row>
    <row r="2819" spans="19:51">
      <c r="S2819" s="7"/>
      <c r="AX2819" s="7"/>
      <c r="AY2819" s="7"/>
    </row>
    <row r="2820" spans="19:51">
      <c r="S2820" s="7"/>
      <c r="AX2820" s="7"/>
      <c r="AY2820" s="7"/>
    </row>
    <row r="2821" spans="19:51">
      <c r="S2821" s="7"/>
      <c r="AX2821" s="7"/>
      <c r="AY2821" s="7"/>
    </row>
    <row r="2822" spans="19:51">
      <c r="S2822" s="7"/>
      <c r="AX2822" s="7"/>
      <c r="AY2822" s="7"/>
    </row>
    <row r="2823" spans="19:51">
      <c r="S2823" s="7"/>
      <c r="AX2823" s="7"/>
      <c r="AY2823" s="7"/>
    </row>
    <row r="2824" spans="19:51">
      <c r="S2824" s="7"/>
      <c r="AX2824" s="7"/>
      <c r="AY2824" s="7"/>
    </row>
    <row r="2825" spans="19:51">
      <c r="S2825" s="7"/>
      <c r="AX2825" s="7"/>
      <c r="AY2825" s="7"/>
    </row>
    <row r="2826" spans="19:51">
      <c r="S2826" s="7"/>
      <c r="AX2826" s="7"/>
      <c r="AY2826" s="7"/>
    </row>
    <row r="2827" spans="19:51">
      <c r="S2827" s="7"/>
      <c r="AX2827" s="7"/>
      <c r="AY2827" s="7"/>
    </row>
    <row r="2828" spans="19:51">
      <c r="S2828" s="7"/>
      <c r="AX2828" s="7"/>
      <c r="AY2828" s="7"/>
    </row>
    <row r="2829" spans="19:51">
      <c r="S2829" s="7"/>
      <c r="AX2829" s="7"/>
      <c r="AY2829" s="7"/>
    </row>
    <row r="2830" spans="19:51">
      <c r="S2830" s="7"/>
      <c r="AX2830" s="7"/>
      <c r="AY2830" s="7"/>
    </row>
    <row r="2831" spans="19:51">
      <c r="S2831" s="7"/>
      <c r="AX2831" s="7"/>
      <c r="AY2831" s="7"/>
    </row>
    <row r="2832" spans="19:51">
      <c r="S2832" s="7"/>
      <c r="AX2832" s="7"/>
      <c r="AY2832" s="7"/>
    </row>
    <row r="2833" spans="19:51">
      <c r="S2833" s="7"/>
      <c r="AX2833" s="7"/>
      <c r="AY2833" s="7"/>
    </row>
    <row r="2834" spans="19:51">
      <c r="S2834" s="7"/>
      <c r="AX2834" s="7"/>
      <c r="AY2834" s="7"/>
    </row>
    <row r="2835" spans="19:51">
      <c r="S2835" s="7"/>
      <c r="AX2835" s="7"/>
      <c r="AY2835" s="7"/>
    </row>
    <row r="2836" spans="19:51">
      <c r="S2836" s="7"/>
      <c r="AX2836" s="7"/>
      <c r="AY2836" s="7"/>
    </row>
    <row r="2837" spans="19:51">
      <c r="S2837" s="7"/>
      <c r="AX2837" s="7"/>
      <c r="AY2837" s="7"/>
    </row>
    <row r="2838" spans="19:51">
      <c r="S2838" s="7"/>
      <c r="AX2838" s="7"/>
      <c r="AY2838" s="7"/>
    </row>
    <row r="2839" spans="19:51">
      <c r="S2839" s="7"/>
      <c r="AX2839" s="7"/>
      <c r="AY2839" s="7"/>
    </row>
    <row r="2840" spans="19:51">
      <c r="S2840" s="7"/>
      <c r="AX2840" s="7"/>
      <c r="AY2840" s="7"/>
    </row>
    <row r="2841" spans="19:51">
      <c r="S2841" s="7"/>
      <c r="AX2841" s="7"/>
      <c r="AY2841" s="7"/>
    </row>
    <row r="2842" spans="19:51">
      <c r="S2842" s="7"/>
      <c r="AX2842" s="7"/>
      <c r="AY2842" s="7"/>
    </row>
    <row r="2843" spans="19:51">
      <c r="S2843" s="7"/>
      <c r="AX2843" s="7"/>
      <c r="AY2843" s="7"/>
    </row>
    <row r="2844" spans="19:51">
      <c r="S2844" s="7"/>
      <c r="AX2844" s="7"/>
      <c r="AY2844" s="7"/>
    </row>
    <row r="2845" spans="19:51">
      <c r="S2845" s="7"/>
      <c r="AX2845" s="7"/>
      <c r="AY2845" s="7"/>
    </row>
    <row r="2846" spans="19:51">
      <c r="S2846" s="7"/>
      <c r="AX2846" s="7"/>
      <c r="AY2846" s="7"/>
    </row>
    <row r="2847" spans="19:51">
      <c r="S2847" s="7"/>
      <c r="AX2847" s="7"/>
      <c r="AY2847" s="7"/>
    </row>
    <row r="2848" spans="19:51">
      <c r="S2848" s="7"/>
      <c r="AX2848" s="7"/>
      <c r="AY2848" s="7"/>
    </row>
    <row r="2849" spans="19:51">
      <c r="S2849" s="7"/>
      <c r="AX2849" s="7"/>
      <c r="AY2849" s="7"/>
    </row>
    <row r="2850" spans="19:51">
      <c r="S2850" s="7"/>
      <c r="AX2850" s="7"/>
      <c r="AY2850" s="7"/>
    </row>
    <row r="2851" spans="19:51">
      <c r="S2851" s="7"/>
      <c r="AX2851" s="7"/>
      <c r="AY2851" s="7"/>
    </row>
    <row r="2852" spans="19:51">
      <c r="S2852" s="7"/>
      <c r="AX2852" s="7"/>
      <c r="AY2852" s="7"/>
    </row>
    <row r="2853" spans="19:51">
      <c r="S2853" s="7"/>
      <c r="AX2853" s="7"/>
      <c r="AY2853" s="7"/>
    </row>
    <row r="2854" spans="19:51">
      <c r="S2854" s="7"/>
      <c r="AX2854" s="7"/>
      <c r="AY2854" s="7"/>
    </row>
    <row r="2855" spans="19:51">
      <c r="S2855" s="7"/>
      <c r="AX2855" s="7"/>
      <c r="AY2855" s="7"/>
    </row>
    <row r="2856" spans="19:51">
      <c r="S2856" s="7"/>
      <c r="AX2856" s="7"/>
      <c r="AY2856" s="7"/>
    </row>
    <row r="2857" spans="19:51">
      <c r="S2857" s="7"/>
      <c r="AX2857" s="7"/>
      <c r="AY2857" s="7"/>
    </row>
    <row r="2858" spans="19:51">
      <c r="S2858" s="7"/>
      <c r="AX2858" s="7"/>
      <c r="AY2858" s="7"/>
    </row>
    <row r="2859" spans="19:51">
      <c r="S2859" s="7"/>
      <c r="AX2859" s="7"/>
      <c r="AY2859" s="7"/>
    </row>
    <row r="2860" spans="19:51">
      <c r="S2860" s="7"/>
      <c r="AX2860" s="7"/>
      <c r="AY2860" s="7"/>
    </row>
    <row r="2861" spans="19:51">
      <c r="S2861" s="7"/>
      <c r="AX2861" s="7"/>
      <c r="AY2861" s="7"/>
    </row>
    <row r="2862" spans="19:51">
      <c r="S2862" s="7"/>
      <c r="AX2862" s="7"/>
      <c r="AY2862" s="7"/>
    </row>
    <row r="2863" spans="19:51">
      <c r="S2863" s="7"/>
      <c r="AX2863" s="7"/>
      <c r="AY2863" s="7"/>
    </row>
    <row r="2864" spans="19:51">
      <c r="S2864" s="7"/>
      <c r="AX2864" s="7"/>
      <c r="AY2864" s="7"/>
    </row>
    <row r="2865" spans="19:51">
      <c r="S2865" s="7"/>
      <c r="AX2865" s="7"/>
      <c r="AY2865" s="7"/>
    </row>
    <row r="2866" spans="19:51">
      <c r="S2866" s="7"/>
      <c r="AX2866" s="7"/>
      <c r="AY2866" s="7"/>
    </row>
    <row r="2867" spans="19:51">
      <c r="S2867" s="7"/>
      <c r="AX2867" s="7"/>
      <c r="AY2867" s="7"/>
    </row>
    <row r="2868" spans="19:51">
      <c r="S2868" s="7"/>
      <c r="AX2868" s="7"/>
      <c r="AY2868" s="7"/>
    </row>
    <row r="2869" spans="19:51">
      <c r="S2869" s="7"/>
      <c r="AX2869" s="7"/>
      <c r="AY2869" s="7"/>
    </row>
    <row r="2870" spans="19:51">
      <c r="S2870" s="7"/>
      <c r="AX2870" s="7"/>
      <c r="AY2870" s="7"/>
    </row>
    <row r="2871" spans="19:51">
      <c r="S2871" s="7"/>
      <c r="AX2871" s="7"/>
      <c r="AY2871" s="7"/>
    </row>
    <row r="2872" spans="19:51">
      <c r="S2872" s="7"/>
      <c r="AX2872" s="7"/>
      <c r="AY2872" s="7"/>
    </row>
    <row r="2873" spans="19:51">
      <c r="S2873" s="7"/>
      <c r="AX2873" s="7"/>
      <c r="AY2873" s="7"/>
    </row>
    <row r="2874" spans="19:51">
      <c r="S2874" s="7"/>
      <c r="AX2874" s="7"/>
      <c r="AY2874" s="7"/>
    </row>
    <row r="2875" spans="19:51">
      <c r="S2875" s="7"/>
      <c r="AX2875" s="7"/>
      <c r="AY2875" s="7"/>
    </row>
    <row r="2876" spans="19:51">
      <c r="S2876" s="7"/>
      <c r="AX2876" s="7"/>
      <c r="AY2876" s="7"/>
    </row>
    <row r="2877" spans="19:51">
      <c r="S2877" s="7"/>
      <c r="AX2877" s="7"/>
      <c r="AY2877" s="7"/>
    </row>
    <row r="2878" spans="19:51">
      <c r="S2878" s="7"/>
      <c r="AX2878" s="7"/>
      <c r="AY2878" s="7"/>
    </row>
    <row r="2879" spans="19:51">
      <c r="S2879" s="7"/>
      <c r="AX2879" s="7"/>
      <c r="AY2879" s="7"/>
    </row>
    <row r="2880" spans="19:51">
      <c r="S2880" s="7"/>
      <c r="AX2880" s="7"/>
      <c r="AY2880" s="7"/>
    </row>
    <row r="2881" spans="19:51">
      <c r="S2881" s="7"/>
      <c r="AX2881" s="7"/>
      <c r="AY2881" s="7"/>
    </row>
    <row r="2882" spans="19:51">
      <c r="S2882" s="7"/>
      <c r="AX2882" s="7"/>
      <c r="AY2882" s="7"/>
    </row>
    <row r="2883" spans="19:51">
      <c r="S2883" s="7"/>
      <c r="AX2883" s="7"/>
      <c r="AY2883" s="7"/>
    </row>
    <row r="2884" spans="19:51">
      <c r="S2884" s="7"/>
      <c r="AX2884" s="7"/>
      <c r="AY2884" s="7"/>
    </row>
    <row r="2885" spans="19:51">
      <c r="S2885" s="7"/>
      <c r="AX2885" s="7"/>
      <c r="AY2885" s="7"/>
    </row>
    <row r="2886" spans="19:51">
      <c r="S2886" s="7"/>
      <c r="AX2886" s="7"/>
      <c r="AY2886" s="7"/>
    </row>
    <row r="2887" spans="19:51">
      <c r="S2887" s="7"/>
      <c r="AX2887" s="7"/>
      <c r="AY2887" s="7"/>
    </row>
    <row r="2888" spans="19:51">
      <c r="S2888" s="7"/>
      <c r="AX2888" s="7"/>
      <c r="AY2888" s="7"/>
    </row>
    <row r="2889" spans="19:51">
      <c r="S2889" s="7"/>
      <c r="AX2889" s="7"/>
      <c r="AY2889" s="7"/>
    </row>
    <row r="2890" spans="19:51">
      <c r="S2890" s="7"/>
      <c r="AX2890" s="7"/>
      <c r="AY2890" s="7"/>
    </row>
    <row r="2891" spans="19:51">
      <c r="S2891" s="7"/>
      <c r="AX2891" s="7"/>
      <c r="AY2891" s="7"/>
    </row>
    <row r="2892" spans="19:51">
      <c r="S2892" s="7"/>
      <c r="AX2892" s="7"/>
      <c r="AY2892" s="7"/>
    </row>
    <row r="2893" spans="19:51">
      <c r="S2893" s="7"/>
      <c r="AX2893" s="7"/>
      <c r="AY2893" s="7"/>
    </row>
    <row r="2894" spans="19:51">
      <c r="S2894" s="7"/>
      <c r="AX2894" s="7"/>
      <c r="AY2894" s="7"/>
    </row>
    <row r="2895" spans="19:51">
      <c r="S2895" s="7"/>
      <c r="AX2895" s="7"/>
      <c r="AY2895" s="7"/>
    </row>
    <row r="2896" spans="19:51">
      <c r="S2896" s="7"/>
      <c r="AX2896" s="7"/>
      <c r="AY2896" s="7"/>
    </row>
    <row r="2897" spans="19:51">
      <c r="S2897" s="7"/>
      <c r="AX2897" s="7"/>
      <c r="AY2897" s="7"/>
    </row>
    <row r="2898" spans="19:51">
      <c r="S2898" s="7"/>
      <c r="AX2898" s="7"/>
      <c r="AY2898" s="7"/>
    </row>
    <row r="2899" spans="19:51">
      <c r="S2899" s="7"/>
      <c r="AX2899" s="7"/>
      <c r="AY2899" s="7"/>
    </row>
    <row r="2900" spans="19:51">
      <c r="S2900" s="7"/>
      <c r="AX2900" s="7"/>
      <c r="AY2900" s="7"/>
    </row>
    <row r="2901" spans="19:51">
      <c r="S2901" s="7"/>
      <c r="AX2901" s="7"/>
      <c r="AY2901" s="7"/>
    </row>
    <row r="2902" spans="19:51">
      <c r="S2902" s="7"/>
      <c r="AX2902" s="7"/>
      <c r="AY2902" s="7"/>
    </row>
    <row r="2903" spans="19:51">
      <c r="S2903" s="7"/>
      <c r="AX2903" s="7"/>
      <c r="AY2903" s="7"/>
    </row>
    <row r="2904" spans="19:51">
      <c r="S2904" s="7"/>
      <c r="AX2904" s="7"/>
      <c r="AY2904" s="7"/>
    </row>
    <row r="2905" spans="19:51">
      <c r="S2905" s="7"/>
      <c r="AX2905" s="7"/>
      <c r="AY2905" s="7"/>
    </row>
    <row r="2906" spans="19:51">
      <c r="S2906" s="7"/>
      <c r="AX2906" s="7"/>
      <c r="AY2906" s="7"/>
    </row>
    <row r="2907" spans="19:51">
      <c r="S2907" s="7"/>
      <c r="AX2907" s="7"/>
      <c r="AY2907" s="7"/>
    </row>
    <row r="2908" spans="19:51">
      <c r="S2908" s="7"/>
      <c r="AX2908" s="7"/>
      <c r="AY2908" s="7"/>
    </row>
    <row r="2909" spans="19:51">
      <c r="S2909" s="7"/>
      <c r="AX2909" s="7"/>
      <c r="AY2909" s="7"/>
    </row>
    <row r="2910" spans="19:51">
      <c r="S2910" s="7"/>
      <c r="AX2910" s="7"/>
      <c r="AY2910" s="7"/>
    </row>
    <row r="2911" spans="19:51">
      <c r="S2911" s="7"/>
      <c r="AX2911" s="7"/>
      <c r="AY2911" s="7"/>
    </row>
    <row r="2912" spans="19:51">
      <c r="S2912" s="7"/>
      <c r="AX2912" s="7"/>
      <c r="AY2912" s="7"/>
    </row>
    <row r="2913" spans="19:51">
      <c r="S2913" s="7"/>
      <c r="AX2913" s="7"/>
      <c r="AY2913" s="7"/>
    </row>
    <row r="2914" spans="19:51">
      <c r="S2914" s="7"/>
      <c r="AX2914" s="7"/>
      <c r="AY2914" s="7"/>
    </row>
    <row r="2915" spans="19:51">
      <c r="S2915" s="7"/>
      <c r="AX2915" s="7"/>
      <c r="AY2915" s="7"/>
    </row>
    <row r="2916" spans="19:51">
      <c r="S2916" s="7"/>
      <c r="AX2916" s="7"/>
      <c r="AY2916" s="7"/>
    </row>
    <row r="2917" spans="19:51">
      <c r="S2917" s="7"/>
      <c r="AX2917" s="7"/>
      <c r="AY2917" s="7"/>
    </row>
    <row r="2918" spans="19:51">
      <c r="S2918" s="7"/>
      <c r="AX2918" s="7"/>
      <c r="AY2918" s="7"/>
    </row>
    <row r="2919" spans="19:51">
      <c r="S2919" s="7"/>
      <c r="AX2919" s="7"/>
      <c r="AY2919" s="7"/>
    </row>
    <row r="2920" spans="19:51">
      <c r="S2920" s="7"/>
      <c r="AX2920" s="7"/>
      <c r="AY2920" s="7"/>
    </row>
    <row r="2921" spans="19:51">
      <c r="S2921" s="7"/>
      <c r="AX2921" s="7"/>
      <c r="AY2921" s="7"/>
    </row>
    <row r="2922" spans="19:51">
      <c r="S2922" s="7"/>
      <c r="AX2922" s="7"/>
      <c r="AY2922" s="7"/>
    </row>
    <row r="2923" spans="19:51">
      <c r="S2923" s="7"/>
      <c r="AX2923" s="7"/>
      <c r="AY2923" s="7"/>
    </row>
    <row r="2924" spans="19:51">
      <c r="S2924" s="7"/>
      <c r="AX2924" s="7"/>
      <c r="AY2924" s="7"/>
    </row>
    <row r="2925" spans="19:51">
      <c r="S2925" s="7"/>
      <c r="AX2925" s="7"/>
      <c r="AY2925" s="7"/>
    </row>
    <row r="2926" spans="19:51">
      <c r="S2926" s="7"/>
      <c r="AX2926" s="7"/>
      <c r="AY2926" s="7"/>
    </row>
    <row r="2927" spans="19:51">
      <c r="S2927" s="7"/>
      <c r="AX2927" s="7"/>
      <c r="AY2927" s="7"/>
    </row>
    <row r="2928" spans="19:51">
      <c r="S2928" s="7"/>
      <c r="AX2928" s="7"/>
      <c r="AY2928" s="7"/>
    </row>
    <row r="2929" spans="19:51">
      <c r="S2929" s="7"/>
      <c r="AX2929" s="7"/>
      <c r="AY2929" s="7"/>
    </row>
    <row r="2930" spans="19:51">
      <c r="S2930" s="7"/>
      <c r="AX2930" s="7"/>
      <c r="AY2930" s="7"/>
    </row>
    <row r="2931" spans="19:51">
      <c r="S2931" s="7"/>
      <c r="AX2931" s="7"/>
      <c r="AY2931" s="7"/>
    </row>
    <row r="2932" spans="19:51">
      <c r="S2932" s="7"/>
      <c r="AX2932" s="7"/>
      <c r="AY2932" s="7"/>
    </row>
    <row r="2933" spans="19:51">
      <c r="S2933" s="7"/>
      <c r="AX2933" s="7"/>
      <c r="AY2933" s="7"/>
    </row>
    <row r="2934" spans="19:51">
      <c r="S2934" s="7"/>
      <c r="AX2934" s="7"/>
      <c r="AY2934" s="7"/>
    </row>
    <row r="2935" spans="19:51">
      <c r="S2935" s="7"/>
      <c r="AX2935" s="7"/>
      <c r="AY2935" s="7"/>
    </row>
    <row r="2936" spans="19:51">
      <c r="S2936" s="7"/>
      <c r="AX2936" s="7"/>
      <c r="AY2936" s="7"/>
    </row>
    <row r="2937" spans="19:51">
      <c r="S2937" s="7"/>
      <c r="AX2937" s="7"/>
      <c r="AY2937" s="7"/>
    </row>
    <row r="2938" spans="19:51">
      <c r="S2938" s="7"/>
      <c r="AX2938" s="7"/>
      <c r="AY2938" s="7"/>
    </row>
    <row r="2939" spans="19:51">
      <c r="S2939" s="7"/>
      <c r="AX2939" s="7"/>
      <c r="AY2939" s="7"/>
    </row>
    <row r="2940" spans="19:51">
      <c r="S2940" s="7"/>
      <c r="AX2940" s="7"/>
      <c r="AY2940" s="7"/>
    </row>
    <row r="2941" spans="19:51">
      <c r="S2941" s="7"/>
      <c r="AX2941" s="7"/>
      <c r="AY2941" s="7"/>
    </row>
    <row r="2942" spans="19:51">
      <c r="S2942" s="7"/>
      <c r="AX2942" s="7"/>
      <c r="AY2942" s="7"/>
    </row>
    <row r="2943" spans="19:51">
      <c r="S2943" s="7"/>
      <c r="AX2943" s="7"/>
      <c r="AY2943" s="7"/>
    </row>
    <row r="2944" spans="19:51">
      <c r="S2944" s="7"/>
      <c r="AX2944" s="7"/>
      <c r="AY2944" s="7"/>
    </row>
    <row r="2945" spans="19:51">
      <c r="S2945" s="7"/>
      <c r="AX2945" s="7"/>
      <c r="AY2945" s="7"/>
    </row>
    <row r="2946" spans="19:51">
      <c r="S2946" s="7"/>
      <c r="AX2946" s="7"/>
      <c r="AY2946" s="7"/>
    </row>
    <row r="2947" spans="19:51">
      <c r="S2947" s="7"/>
      <c r="AX2947" s="7"/>
      <c r="AY2947" s="7"/>
    </row>
    <row r="2948" spans="19:51">
      <c r="S2948" s="7"/>
      <c r="AX2948" s="7"/>
      <c r="AY2948" s="7"/>
    </row>
    <row r="2949" spans="19:51">
      <c r="S2949" s="7"/>
      <c r="AX2949" s="7"/>
      <c r="AY2949" s="7"/>
    </row>
    <row r="2950" spans="19:51">
      <c r="S2950" s="7"/>
      <c r="AX2950" s="7"/>
      <c r="AY2950" s="7"/>
    </row>
    <row r="2951" spans="19:51">
      <c r="S2951" s="7"/>
      <c r="AX2951" s="7"/>
      <c r="AY2951" s="7"/>
    </row>
    <row r="2952" spans="19:51">
      <c r="S2952" s="7"/>
      <c r="AX2952" s="7"/>
      <c r="AY2952" s="7"/>
    </row>
    <row r="2953" spans="19:51">
      <c r="S2953" s="7"/>
      <c r="AX2953" s="7"/>
      <c r="AY2953" s="7"/>
    </row>
    <row r="2954" spans="19:51">
      <c r="S2954" s="7"/>
      <c r="AX2954" s="7"/>
      <c r="AY2954" s="7"/>
    </row>
    <row r="2955" spans="19:51">
      <c r="S2955" s="7"/>
      <c r="AX2955" s="7"/>
      <c r="AY2955" s="7"/>
    </row>
    <row r="2956" spans="19:51">
      <c r="S2956" s="7"/>
      <c r="AX2956" s="7"/>
      <c r="AY2956" s="7"/>
    </row>
    <row r="2957" spans="19:51">
      <c r="S2957" s="7"/>
      <c r="AX2957" s="7"/>
      <c r="AY2957" s="7"/>
    </row>
    <row r="2958" spans="19:51">
      <c r="S2958" s="7"/>
      <c r="AX2958" s="7"/>
      <c r="AY2958" s="7"/>
    </row>
    <row r="2959" spans="19:51">
      <c r="S2959" s="7"/>
      <c r="AX2959" s="7"/>
      <c r="AY2959" s="7"/>
    </row>
    <row r="2960" spans="19:51">
      <c r="S2960" s="7"/>
      <c r="AX2960" s="7"/>
      <c r="AY2960" s="7"/>
    </row>
    <row r="2961" spans="19:51">
      <c r="S2961" s="7"/>
      <c r="AX2961" s="7"/>
      <c r="AY2961" s="7"/>
    </row>
    <row r="2962" spans="19:51">
      <c r="S2962" s="7"/>
      <c r="AX2962" s="7"/>
      <c r="AY2962" s="7"/>
    </row>
    <row r="2963" spans="19:51">
      <c r="S2963" s="7"/>
      <c r="AX2963" s="7"/>
      <c r="AY2963" s="7"/>
    </row>
    <row r="2964" spans="19:51">
      <c r="S2964" s="7"/>
      <c r="AX2964" s="7"/>
      <c r="AY2964" s="7"/>
    </row>
    <row r="2965" spans="19:51">
      <c r="S2965" s="7"/>
      <c r="AX2965" s="7"/>
      <c r="AY2965" s="7"/>
    </row>
    <row r="2966" spans="19:51">
      <c r="S2966" s="7"/>
      <c r="AX2966" s="7"/>
      <c r="AY2966" s="7"/>
    </row>
    <row r="2967" spans="19:51">
      <c r="S2967" s="7"/>
      <c r="AX2967" s="7"/>
      <c r="AY2967" s="7"/>
    </row>
    <row r="2968" spans="19:51">
      <c r="S2968" s="7"/>
      <c r="AX2968" s="7"/>
      <c r="AY2968" s="7"/>
    </row>
    <row r="2969" spans="19:51">
      <c r="S2969" s="7"/>
      <c r="AX2969" s="7"/>
      <c r="AY2969" s="7"/>
    </row>
    <row r="2970" spans="19:51">
      <c r="S2970" s="7"/>
      <c r="AX2970" s="7"/>
      <c r="AY2970" s="7"/>
    </row>
    <row r="2971" spans="19:51">
      <c r="S2971" s="7"/>
      <c r="AX2971" s="7"/>
      <c r="AY2971" s="7"/>
    </row>
    <row r="2972" spans="19:51">
      <c r="S2972" s="7"/>
      <c r="AX2972" s="7"/>
      <c r="AY2972" s="7"/>
    </row>
    <row r="2973" spans="19:51">
      <c r="S2973" s="7"/>
      <c r="AX2973" s="7"/>
      <c r="AY2973" s="7"/>
    </row>
    <row r="2974" spans="19:51">
      <c r="S2974" s="7"/>
      <c r="AX2974" s="7"/>
      <c r="AY2974" s="7"/>
    </row>
    <row r="2975" spans="19:51">
      <c r="S2975" s="7"/>
      <c r="AX2975" s="7"/>
      <c r="AY2975" s="7"/>
    </row>
    <row r="2976" spans="19:51">
      <c r="S2976" s="7"/>
      <c r="AX2976" s="7"/>
      <c r="AY2976" s="7"/>
    </row>
    <row r="2977" spans="19:51">
      <c r="S2977" s="7"/>
      <c r="AX2977" s="7"/>
      <c r="AY2977" s="7"/>
    </row>
    <row r="2978" spans="19:51">
      <c r="S2978" s="7"/>
      <c r="AX2978" s="7"/>
      <c r="AY2978" s="7"/>
    </row>
    <row r="2979" spans="19:51">
      <c r="S2979" s="7"/>
      <c r="AX2979" s="7"/>
      <c r="AY2979" s="7"/>
    </row>
    <row r="2980" spans="19:51">
      <c r="S2980" s="7"/>
      <c r="AX2980" s="7"/>
      <c r="AY2980" s="7"/>
    </row>
    <row r="2981" spans="19:51">
      <c r="S2981" s="7"/>
      <c r="AX2981" s="7"/>
      <c r="AY2981" s="7"/>
    </row>
    <row r="2982" spans="19:51">
      <c r="S2982" s="7"/>
      <c r="AX2982" s="7"/>
      <c r="AY2982" s="7"/>
    </row>
    <row r="2983" spans="19:51">
      <c r="S2983" s="7"/>
      <c r="AX2983" s="7"/>
      <c r="AY2983" s="7"/>
    </row>
    <row r="2984" spans="19:51">
      <c r="S2984" s="7"/>
      <c r="AX2984" s="7"/>
      <c r="AY2984" s="7"/>
    </row>
    <row r="2985" spans="19:51">
      <c r="S2985" s="7"/>
      <c r="AX2985" s="7"/>
      <c r="AY2985" s="7"/>
    </row>
    <row r="2986" spans="19:51">
      <c r="S2986" s="7"/>
      <c r="AX2986" s="7"/>
      <c r="AY2986" s="7"/>
    </row>
    <row r="2987" spans="19:51">
      <c r="S2987" s="7"/>
      <c r="AX2987" s="7"/>
      <c r="AY2987" s="7"/>
    </row>
    <row r="2988" spans="19:51">
      <c r="S2988" s="7"/>
      <c r="AX2988" s="7"/>
      <c r="AY2988" s="7"/>
    </row>
    <row r="2989" spans="19:51">
      <c r="S2989" s="7"/>
      <c r="AX2989" s="7"/>
      <c r="AY2989" s="7"/>
    </row>
    <row r="2990" spans="19:51">
      <c r="S2990" s="7"/>
      <c r="AX2990" s="7"/>
      <c r="AY2990" s="7"/>
    </row>
    <row r="2991" spans="19:51">
      <c r="S2991" s="7"/>
      <c r="AX2991" s="7"/>
      <c r="AY2991" s="7"/>
    </row>
    <row r="2992" spans="19:51">
      <c r="S2992" s="7"/>
      <c r="AX2992" s="7"/>
      <c r="AY2992" s="7"/>
    </row>
    <row r="2993" spans="19:51">
      <c r="S2993" s="7"/>
      <c r="AX2993" s="7"/>
      <c r="AY2993" s="7"/>
    </row>
    <row r="2994" spans="19:51">
      <c r="S2994" s="7"/>
      <c r="AX2994" s="7"/>
      <c r="AY2994" s="7"/>
    </row>
    <row r="2995" spans="19:51">
      <c r="S2995" s="7"/>
      <c r="AX2995" s="7"/>
      <c r="AY2995" s="7"/>
    </row>
    <row r="2996" spans="19:51">
      <c r="S2996" s="7"/>
      <c r="AX2996" s="7"/>
      <c r="AY2996" s="7"/>
    </row>
    <row r="2997" spans="19:51">
      <c r="S2997" s="7"/>
      <c r="AX2997" s="7"/>
      <c r="AY2997" s="7"/>
    </row>
    <row r="2998" spans="19:51">
      <c r="S2998" s="7"/>
      <c r="AX2998" s="7"/>
      <c r="AY2998" s="7"/>
    </row>
    <row r="2999" spans="19:51">
      <c r="S2999" s="7"/>
      <c r="AX2999" s="7"/>
      <c r="AY2999" s="7"/>
    </row>
    <row r="3000" spans="19:51">
      <c r="S3000" s="7"/>
      <c r="AX3000" s="7"/>
      <c r="AY3000" s="7"/>
    </row>
    <row r="3001" spans="19:51">
      <c r="S3001" s="7"/>
      <c r="AX3001" s="7"/>
      <c r="AY3001" s="7"/>
    </row>
    <row r="3002" spans="19:51">
      <c r="S3002" s="7"/>
      <c r="AX3002" s="7"/>
      <c r="AY3002" s="7"/>
    </row>
    <row r="3003" spans="19:51">
      <c r="S3003" s="7"/>
      <c r="AX3003" s="7"/>
      <c r="AY3003" s="7"/>
    </row>
    <row r="3004" spans="19:51">
      <c r="S3004" s="7"/>
      <c r="AX3004" s="7"/>
      <c r="AY3004" s="7"/>
    </row>
    <row r="3005" spans="19:51">
      <c r="S3005" s="7"/>
      <c r="AX3005" s="7"/>
      <c r="AY3005" s="7"/>
    </row>
    <row r="3006" spans="19:51">
      <c r="S3006" s="7"/>
      <c r="AX3006" s="7"/>
      <c r="AY3006" s="7"/>
    </row>
    <row r="3007" spans="19:51">
      <c r="S3007" s="7"/>
      <c r="AX3007" s="7"/>
      <c r="AY3007" s="7"/>
    </row>
    <row r="3008" spans="19:51">
      <c r="S3008" s="7"/>
      <c r="AX3008" s="7"/>
      <c r="AY3008" s="7"/>
    </row>
    <row r="3009" spans="19:51">
      <c r="S3009" s="7"/>
      <c r="AX3009" s="7"/>
      <c r="AY3009" s="7"/>
    </row>
    <row r="3010" spans="19:51">
      <c r="S3010" s="7"/>
      <c r="AX3010" s="7"/>
      <c r="AY3010" s="7"/>
    </row>
    <row r="3011" spans="19:51">
      <c r="S3011" s="7"/>
      <c r="AX3011" s="7"/>
      <c r="AY3011" s="7"/>
    </row>
    <row r="3012" spans="19:51">
      <c r="S3012" s="7"/>
      <c r="AX3012" s="7"/>
      <c r="AY3012" s="7"/>
    </row>
    <row r="3013" spans="19:51">
      <c r="S3013" s="7"/>
      <c r="AX3013" s="7"/>
      <c r="AY3013" s="7"/>
    </row>
    <row r="3014" spans="19:51">
      <c r="S3014" s="7"/>
      <c r="AX3014" s="7"/>
      <c r="AY3014" s="7"/>
    </row>
    <row r="3015" spans="19:51">
      <c r="S3015" s="7"/>
      <c r="AX3015" s="7"/>
      <c r="AY3015" s="7"/>
    </row>
    <row r="3016" spans="19:51">
      <c r="S3016" s="7"/>
      <c r="AX3016" s="7"/>
      <c r="AY3016" s="7"/>
    </row>
    <row r="3017" spans="19:51">
      <c r="S3017" s="7"/>
      <c r="AX3017" s="7"/>
      <c r="AY3017" s="7"/>
    </row>
    <row r="3018" spans="19:51">
      <c r="S3018" s="7"/>
      <c r="AX3018" s="7"/>
      <c r="AY3018" s="7"/>
    </row>
    <row r="3019" spans="19:51">
      <c r="S3019" s="7"/>
      <c r="AX3019" s="7"/>
      <c r="AY3019" s="7"/>
    </row>
    <row r="3020" spans="19:51">
      <c r="S3020" s="7"/>
      <c r="AX3020" s="7"/>
      <c r="AY3020" s="7"/>
    </row>
    <row r="3021" spans="19:51">
      <c r="S3021" s="7"/>
      <c r="AX3021" s="7"/>
      <c r="AY3021" s="7"/>
    </row>
    <row r="3022" spans="19:51">
      <c r="S3022" s="7"/>
      <c r="AX3022" s="7"/>
      <c r="AY3022" s="7"/>
    </row>
    <row r="3023" spans="19:51">
      <c r="S3023" s="7"/>
      <c r="AX3023" s="7"/>
      <c r="AY3023" s="7"/>
    </row>
    <row r="3024" spans="19:51">
      <c r="S3024" s="7"/>
      <c r="AX3024" s="7"/>
      <c r="AY3024" s="7"/>
    </row>
    <row r="3025" spans="19:51">
      <c r="S3025" s="7"/>
      <c r="AX3025" s="7"/>
      <c r="AY3025" s="7"/>
    </row>
    <row r="3026" spans="19:51">
      <c r="S3026" s="7"/>
      <c r="AX3026" s="7"/>
      <c r="AY3026" s="7"/>
    </row>
    <row r="3027" spans="19:51">
      <c r="S3027" s="7"/>
      <c r="AX3027" s="7"/>
      <c r="AY3027" s="7"/>
    </row>
    <row r="3028" spans="19:51">
      <c r="S3028" s="7"/>
      <c r="AX3028" s="7"/>
      <c r="AY3028" s="7"/>
    </row>
    <row r="3029" spans="19:51">
      <c r="S3029" s="7"/>
      <c r="AX3029" s="7"/>
      <c r="AY3029" s="7"/>
    </row>
    <row r="3030" spans="19:51">
      <c r="S3030" s="7"/>
      <c r="AX3030" s="7"/>
      <c r="AY3030" s="7"/>
    </row>
    <row r="3031" spans="19:51">
      <c r="S3031" s="7"/>
      <c r="AX3031" s="7"/>
      <c r="AY3031" s="7"/>
    </row>
    <row r="3032" spans="19:51">
      <c r="S3032" s="7"/>
      <c r="AX3032" s="7"/>
      <c r="AY3032" s="7"/>
    </row>
    <row r="3033" spans="19:51">
      <c r="S3033" s="7"/>
      <c r="AX3033" s="7"/>
      <c r="AY3033" s="7"/>
    </row>
    <row r="3034" spans="19:51">
      <c r="S3034" s="7"/>
      <c r="AX3034" s="7"/>
      <c r="AY3034" s="7"/>
    </row>
    <row r="3035" spans="19:51">
      <c r="S3035" s="7"/>
      <c r="AX3035" s="7"/>
      <c r="AY3035" s="7"/>
    </row>
    <row r="3036" spans="19:51">
      <c r="S3036" s="7"/>
      <c r="AX3036" s="7"/>
      <c r="AY3036" s="7"/>
    </row>
    <row r="3037" spans="19:51">
      <c r="S3037" s="7"/>
      <c r="AX3037" s="7"/>
      <c r="AY3037" s="7"/>
    </row>
    <row r="3038" spans="19:51">
      <c r="S3038" s="7"/>
      <c r="AX3038" s="7"/>
      <c r="AY3038" s="7"/>
    </row>
    <row r="3039" spans="19:51">
      <c r="S3039" s="7"/>
      <c r="AX3039" s="7"/>
      <c r="AY3039" s="7"/>
    </row>
    <row r="3040" spans="19:51">
      <c r="S3040" s="7"/>
      <c r="AX3040" s="7"/>
      <c r="AY3040" s="7"/>
    </row>
    <row r="3041" spans="19:51">
      <c r="S3041" s="7"/>
      <c r="AX3041" s="7"/>
      <c r="AY3041" s="7"/>
    </row>
    <row r="3042" spans="19:51">
      <c r="S3042" s="7"/>
      <c r="AX3042" s="7"/>
      <c r="AY3042" s="7"/>
    </row>
    <row r="3043" spans="19:51">
      <c r="S3043" s="7"/>
      <c r="AX3043" s="7"/>
      <c r="AY3043" s="7"/>
    </row>
    <row r="3044" spans="19:51">
      <c r="S3044" s="7"/>
      <c r="AX3044" s="7"/>
      <c r="AY3044" s="7"/>
    </row>
    <row r="3045" spans="19:51">
      <c r="S3045" s="7"/>
      <c r="AX3045" s="7"/>
      <c r="AY3045" s="7"/>
    </row>
    <row r="3046" spans="19:51">
      <c r="S3046" s="7"/>
      <c r="AX3046" s="7"/>
      <c r="AY3046" s="7"/>
    </row>
    <row r="3047" spans="19:51">
      <c r="S3047" s="7"/>
      <c r="AX3047" s="7"/>
      <c r="AY3047" s="7"/>
    </row>
    <row r="3048" spans="19:51">
      <c r="S3048" s="7"/>
      <c r="AX3048" s="7"/>
      <c r="AY3048" s="7"/>
    </row>
    <row r="3049" spans="19:51">
      <c r="S3049" s="7"/>
      <c r="AX3049" s="7"/>
      <c r="AY3049" s="7"/>
    </row>
    <row r="3050" spans="19:51">
      <c r="S3050" s="7"/>
      <c r="AX3050" s="7"/>
      <c r="AY3050" s="7"/>
    </row>
    <row r="3051" spans="19:51">
      <c r="S3051" s="7"/>
      <c r="AX3051" s="7"/>
      <c r="AY3051" s="7"/>
    </row>
    <row r="3052" spans="19:51">
      <c r="S3052" s="7"/>
      <c r="AX3052" s="7"/>
      <c r="AY3052" s="7"/>
    </row>
    <row r="3053" spans="19:51">
      <c r="S3053" s="7"/>
      <c r="AX3053" s="7"/>
      <c r="AY3053" s="7"/>
    </row>
    <row r="3054" spans="19:51">
      <c r="S3054" s="7"/>
      <c r="AX3054" s="7"/>
      <c r="AY3054" s="7"/>
    </row>
    <row r="3055" spans="19:51">
      <c r="S3055" s="7"/>
      <c r="AX3055" s="7"/>
      <c r="AY3055" s="7"/>
    </row>
    <row r="3056" spans="19:51">
      <c r="S3056" s="7"/>
      <c r="AX3056" s="7"/>
      <c r="AY3056" s="7"/>
    </row>
    <row r="3057" spans="19:51">
      <c r="S3057" s="7"/>
      <c r="AX3057" s="7"/>
      <c r="AY3057" s="7"/>
    </row>
    <row r="3058" spans="19:51">
      <c r="S3058" s="7"/>
      <c r="AX3058" s="7"/>
      <c r="AY3058" s="7"/>
    </row>
    <row r="3059" spans="19:51">
      <c r="S3059" s="7"/>
      <c r="AX3059" s="7"/>
      <c r="AY3059" s="7"/>
    </row>
    <row r="3060" spans="19:51">
      <c r="S3060" s="7"/>
      <c r="AX3060" s="7"/>
      <c r="AY3060" s="7"/>
    </row>
    <row r="3061" spans="19:51">
      <c r="S3061" s="7"/>
      <c r="AX3061" s="7"/>
      <c r="AY3061" s="7"/>
    </row>
    <row r="3062" spans="19:51">
      <c r="S3062" s="7"/>
      <c r="AX3062" s="7"/>
      <c r="AY3062" s="7"/>
    </row>
    <row r="3063" spans="19:51">
      <c r="S3063" s="7"/>
      <c r="AX3063" s="7"/>
      <c r="AY3063" s="7"/>
    </row>
    <row r="3064" spans="19:51">
      <c r="S3064" s="7"/>
      <c r="AX3064" s="7"/>
      <c r="AY3064" s="7"/>
    </row>
    <row r="3065" spans="19:51">
      <c r="S3065" s="7"/>
      <c r="AX3065" s="7"/>
      <c r="AY3065" s="7"/>
    </row>
    <row r="3066" spans="19:51">
      <c r="S3066" s="7"/>
      <c r="AX3066" s="7"/>
      <c r="AY3066" s="7"/>
    </row>
    <row r="3067" spans="19:51">
      <c r="S3067" s="7"/>
      <c r="AX3067" s="7"/>
      <c r="AY3067" s="7"/>
    </row>
    <row r="3068" spans="19:51">
      <c r="S3068" s="7"/>
      <c r="AX3068" s="7"/>
      <c r="AY3068" s="7"/>
    </row>
    <row r="3069" spans="19:51">
      <c r="S3069" s="7"/>
      <c r="AX3069" s="7"/>
      <c r="AY3069" s="7"/>
    </row>
    <row r="3070" spans="19:51">
      <c r="S3070" s="7"/>
      <c r="AX3070" s="7"/>
      <c r="AY3070" s="7"/>
    </row>
    <row r="3071" spans="19:51">
      <c r="S3071" s="7"/>
      <c r="AX3071" s="7"/>
      <c r="AY3071" s="7"/>
    </row>
    <row r="3072" spans="19:51">
      <c r="S3072" s="7"/>
      <c r="AX3072" s="7"/>
      <c r="AY3072" s="7"/>
    </row>
    <row r="3073" spans="19:51">
      <c r="S3073" s="7"/>
      <c r="AX3073" s="7"/>
      <c r="AY3073" s="7"/>
    </row>
    <row r="3074" spans="19:51">
      <c r="S3074" s="7"/>
      <c r="AX3074" s="7"/>
      <c r="AY3074" s="7"/>
    </row>
    <row r="3075" spans="19:51">
      <c r="S3075" s="7"/>
      <c r="AX3075" s="7"/>
      <c r="AY3075" s="7"/>
    </row>
    <row r="3076" spans="19:51">
      <c r="S3076" s="7"/>
      <c r="AX3076" s="7"/>
      <c r="AY3076" s="7"/>
    </row>
    <row r="3077" spans="19:51">
      <c r="S3077" s="7"/>
      <c r="AX3077" s="7"/>
      <c r="AY3077" s="7"/>
    </row>
    <row r="3078" spans="19:51">
      <c r="S3078" s="7"/>
      <c r="AX3078" s="7"/>
      <c r="AY3078" s="7"/>
    </row>
    <row r="3079" spans="19:51">
      <c r="S3079" s="7"/>
      <c r="AX3079" s="7"/>
      <c r="AY3079" s="7"/>
    </row>
    <row r="3080" spans="19:51">
      <c r="S3080" s="7"/>
      <c r="AX3080" s="7"/>
      <c r="AY3080" s="7"/>
    </row>
    <row r="3081" spans="19:51">
      <c r="S3081" s="7"/>
      <c r="AX3081" s="7"/>
      <c r="AY3081" s="7"/>
    </row>
    <row r="3082" spans="19:51">
      <c r="S3082" s="7"/>
      <c r="AX3082" s="7"/>
      <c r="AY3082" s="7"/>
    </row>
    <row r="3083" spans="19:51">
      <c r="S3083" s="7"/>
      <c r="AX3083" s="7"/>
      <c r="AY3083" s="7"/>
    </row>
    <row r="3084" spans="19:51">
      <c r="S3084" s="7"/>
      <c r="AX3084" s="7"/>
      <c r="AY3084" s="7"/>
    </row>
    <row r="3085" spans="19:51">
      <c r="S3085" s="7"/>
      <c r="AX3085" s="7"/>
      <c r="AY3085" s="7"/>
    </row>
    <row r="3086" spans="19:51">
      <c r="S3086" s="7"/>
      <c r="AX3086" s="7"/>
      <c r="AY3086" s="7"/>
    </row>
    <row r="3087" spans="19:51">
      <c r="S3087" s="7"/>
      <c r="AX3087" s="7"/>
      <c r="AY3087" s="7"/>
    </row>
    <row r="3088" spans="19:51">
      <c r="S3088" s="7"/>
      <c r="AX3088" s="7"/>
      <c r="AY3088" s="7"/>
    </row>
    <row r="3089" spans="19:51">
      <c r="S3089" s="7"/>
      <c r="AX3089" s="7"/>
      <c r="AY3089" s="7"/>
    </row>
    <row r="3090" spans="19:51">
      <c r="S3090" s="7"/>
      <c r="AX3090" s="7"/>
      <c r="AY3090" s="7"/>
    </row>
    <row r="3091" spans="19:51">
      <c r="S3091" s="7"/>
      <c r="AX3091" s="7"/>
      <c r="AY3091" s="7"/>
    </row>
    <row r="3092" spans="19:51">
      <c r="S3092" s="7"/>
      <c r="AX3092" s="7"/>
      <c r="AY3092" s="7"/>
    </row>
    <row r="3093" spans="19:51">
      <c r="S3093" s="7"/>
      <c r="AX3093" s="7"/>
      <c r="AY3093" s="7"/>
    </row>
    <row r="3094" spans="19:51">
      <c r="S3094" s="7"/>
      <c r="AX3094" s="7"/>
      <c r="AY3094" s="7"/>
    </row>
    <row r="3095" spans="19:51">
      <c r="S3095" s="7"/>
      <c r="AX3095" s="7"/>
      <c r="AY3095" s="7"/>
    </row>
    <row r="3096" spans="19:51">
      <c r="S3096" s="7"/>
      <c r="AX3096" s="7"/>
      <c r="AY3096" s="7"/>
    </row>
    <row r="3097" spans="19:51">
      <c r="S3097" s="7"/>
      <c r="AX3097" s="7"/>
      <c r="AY3097" s="7"/>
    </row>
    <row r="3098" spans="19:51">
      <c r="S3098" s="7"/>
      <c r="AX3098" s="7"/>
      <c r="AY3098" s="7"/>
    </row>
    <row r="3099" spans="19:51">
      <c r="S3099" s="7"/>
      <c r="AX3099" s="7"/>
      <c r="AY3099" s="7"/>
    </row>
    <row r="3100" spans="19:51">
      <c r="S3100" s="7"/>
      <c r="AX3100" s="7"/>
      <c r="AY3100" s="7"/>
    </row>
    <row r="3101" spans="19:51">
      <c r="S3101" s="7"/>
      <c r="AX3101" s="7"/>
      <c r="AY3101" s="7"/>
    </row>
    <row r="3102" spans="19:51">
      <c r="S3102" s="7"/>
      <c r="AX3102" s="7"/>
      <c r="AY3102" s="7"/>
    </row>
    <row r="3103" spans="19:51">
      <c r="S3103" s="7"/>
      <c r="AX3103" s="7"/>
      <c r="AY3103" s="7"/>
    </row>
    <row r="3104" spans="19:51">
      <c r="S3104" s="7"/>
      <c r="AX3104" s="7"/>
      <c r="AY3104" s="7"/>
    </row>
    <row r="3105" spans="19:51">
      <c r="S3105" s="7"/>
      <c r="AX3105" s="7"/>
      <c r="AY3105" s="7"/>
    </row>
    <row r="3106" spans="19:51">
      <c r="S3106" s="7"/>
      <c r="AX3106" s="7"/>
      <c r="AY3106" s="7"/>
    </row>
    <row r="3107" spans="19:51">
      <c r="S3107" s="7"/>
      <c r="AX3107" s="7"/>
      <c r="AY3107" s="7"/>
    </row>
    <row r="3108" spans="19:51">
      <c r="S3108" s="7"/>
      <c r="AX3108" s="7"/>
      <c r="AY3108" s="7"/>
    </row>
    <row r="3109" spans="19:51">
      <c r="S3109" s="7"/>
      <c r="AX3109" s="7"/>
      <c r="AY3109" s="7"/>
    </row>
    <row r="3110" spans="19:51">
      <c r="S3110" s="7"/>
      <c r="AX3110" s="7"/>
      <c r="AY3110" s="7"/>
    </row>
    <row r="3111" spans="19:51">
      <c r="S3111" s="7"/>
      <c r="AX3111" s="7"/>
      <c r="AY3111" s="7"/>
    </row>
    <row r="3112" spans="19:51">
      <c r="S3112" s="7"/>
      <c r="AX3112" s="7"/>
      <c r="AY3112" s="7"/>
    </row>
    <row r="3113" spans="19:51">
      <c r="S3113" s="7"/>
      <c r="AX3113" s="7"/>
      <c r="AY3113" s="7"/>
    </row>
    <row r="3114" spans="19:51">
      <c r="S3114" s="7"/>
      <c r="AX3114" s="7"/>
      <c r="AY3114" s="7"/>
    </row>
    <row r="3115" spans="19:51">
      <c r="S3115" s="7"/>
      <c r="AX3115" s="7"/>
      <c r="AY3115" s="7"/>
    </row>
    <row r="3116" spans="19:51">
      <c r="S3116" s="7"/>
      <c r="AX3116" s="7"/>
      <c r="AY3116" s="7"/>
    </row>
    <row r="3117" spans="19:51">
      <c r="S3117" s="7"/>
      <c r="AX3117" s="7"/>
      <c r="AY3117" s="7"/>
    </row>
    <row r="3118" spans="19:51">
      <c r="S3118" s="7"/>
      <c r="AX3118" s="7"/>
      <c r="AY3118" s="7"/>
    </row>
    <row r="3119" spans="19:51">
      <c r="S3119" s="7"/>
      <c r="AX3119" s="7"/>
      <c r="AY3119" s="7"/>
    </row>
    <row r="3120" spans="19:51">
      <c r="S3120" s="7"/>
      <c r="AX3120" s="7"/>
      <c r="AY3120" s="7"/>
    </row>
    <row r="3121" spans="19:51">
      <c r="S3121" s="7"/>
      <c r="AX3121" s="7"/>
      <c r="AY3121" s="7"/>
    </row>
    <row r="3122" spans="19:51">
      <c r="S3122" s="7"/>
      <c r="AX3122" s="7"/>
      <c r="AY3122" s="7"/>
    </row>
    <row r="3123" spans="19:51">
      <c r="S3123" s="7"/>
      <c r="AX3123" s="7"/>
      <c r="AY3123" s="7"/>
    </row>
    <row r="3124" spans="19:51">
      <c r="S3124" s="7"/>
      <c r="AX3124" s="7"/>
      <c r="AY3124" s="7"/>
    </row>
    <row r="3125" spans="19:51">
      <c r="S3125" s="7"/>
      <c r="AX3125" s="7"/>
      <c r="AY3125" s="7"/>
    </row>
    <row r="3126" spans="19:51">
      <c r="S3126" s="7"/>
      <c r="AX3126" s="7"/>
      <c r="AY3126" s="7"/>
    </row>
    <row r="3127" spans="19:51">
      <c r="S3127" s="7"/>
      <c r="AX3127" s="7"/>
      <c r="AY3127" s="7"/>
    </row>
    <row r="3128" spans="19:51">
      <c r="S3128" s="7"/>
      <c r="AX3128" s="7"/>
      <c r="AY3128" s="7"/>
    </row>
    <row r="3129" spans="19:51">
      <c r="S3129" s="7"/>
      <c r="AX3129" s="7"/>
      <c r="AY3129" s="7"/>
    </row>
    <row r="3130" spans="19:51">
      <c r="S3130" s="7"/>
      <c r="AX3130" s="7"/>
      <c r="AY3130" s="7"/>
    </row>
    <row r="3131" spans="19:51">
      <c r="S3131" s="7"/>
      <c r="AX3131" s="7"/>
      <c r="AY3131" s="7"/>
    </row>
    <row r="3132" spans="19:51">
      <c r="S3132" s="7"/>
      <c r="AX3132" s="7"/>
      <c r="AY3132" s="7"/>
    </row>
    <row r="3133" spans="19:51">
      <c r="S3133" s="7"/>
      <c r="AX3133" s="7"/>
      <c r="AY3133" s="7"/>
    </row>
    <row r="3134" spans="19:51">
      <c r="S3134" s="7"/>
      <c r="AX3134" s="7"/>
      <c r="AY3134" s="7"/>
    </row>
    <row r="3135" spans="19:51">
      <c r="S3135" s="7"/>
      <c r="AX3135" s="7"/>
      <c r="AY3135" s="7"/>
    </row>
    <row r="3136" spans="19:51">
      <c r="S3136" s="7"/>
      <c r="AX3136" s="7"/>
      <c r="AY3136" s="7"/>
    </row>
    <row r="3137" spans="19:51">
      <c r="S3137" s="7"/>
      <c r="AX3137" s="7"/>
      <c r="AY3137" s="7"/>
    </row>
    <row r="3138" spans="19:51">
      <c r="S3138" s="7"/>
      <c r="AX3138" s="7"/>
      <c r="AY3138" s="7"/>
    </row>
    <row r="3139" spans="19:51">
      <c r="S3139" s="7"/>
      <c r="AX3139" s="7"/>
      <c r="AY3139" s="7"/>
    </row>
    <row r="3140" spans="19:51">
      <c r="S3140" s="7"/>
      <c r="AX3140" s="7"/>
      <c r="AY3140" s="7"/>
    </row>
    <row r="3141" spans="19:51">
      <c r="S3141" s="7"/>
      <c r="AX3141" s="7"/>
      <c r="AY3141" s="7"/>
    </row>
    <row r="3142" spans="19:51">
      <c r="S3142" s="7"/>
      <c r="AX3142" s="7"/>
      <c r="AY3142" s="7"/>
    </row>
    <row r="3143" spans="19:51">
      <c r="S3143" s="7"/>
      <c r="AX3143" s="7"/>
      <c r="AY3143" s="7"/>
    </row>
    <row r="3144" spans="19:51">
      <c r="S3144" s="7"/>
      <c r="AX3144" s="7"/>
      <c r="AY3144" s="7"/>
    </row>
    <row r="3145" spans="19:51">
      <c r="S3145" s="7"/>
      <c r="AX3145" s="7"/>
      <c r="AY3145" s="7"/>
    </row>
    <row r="3146" spans="19:51">
      <c r="S3146" s="7"/>
      <c r="AX3146" s="7"/>
      <c r="AY3146" s="7"/>
    </row>
    <row r="3147" spans="19:51">
      <c r="S3147" s="7"/>
      <c r="AX3147" s="7"/>
      <c r="AY3147" s="7"/>
    </row>
    <row r="3148" spans="19:51">
      <c r="S3148" s="7"/>
      <c r="AX3148" s="7"/>
      <c r="AY3148" s="7"/>
    </row>
    <row r="3149" spans="19:51">
      <c r="S3149" s="7"/>
      <c r="AX3149" s="7"/>
      <c r="AY3149" s="7"/>
    </row>
    <row r="3150" spans="19:51">
      <c r="S3150" s="7"/>
      <c r="AX3150" s="7"/>
      <c r="AY3150" s="7"/>
    </row>
    <row r="3151" spans="19:51">
      <c r="S3151" s="7"/>
      <c r="AX3151" s="7"/>
      <c r="AY3151" s="7"/>
    </row>
    <row r="3152" spans="19:51">
      <c r="S3152" s="7"/>
      <c r="AX3152" s="7"/>
      <c r="AY3152" s="7"/>
    </row>
    <row r="3153" spans="19:51">
      <c r="S3153" s="7"/>
      <c r="AX3153" s="7"/>
      <c r="AY3153" s="7"/>
    </row>
    <row r="3154" spans="19:51">
      <c r="S3154" s="7"/>
      <c r="AX3154" s="7"/>
      <c r="AY3154" s="7"/>
    </row>
    <row r="3155" spans="19:51">
      <c r="S3155" s="7"/>
      <c r="AX3155" s="7"/>
      <c r="AY3155" s="7"/>
    </row>
    <row r="3156" spans="19:51">
      <c r="S3156" s="7"/>
      <c r="AX3156" s="7"/>
      <c r="AY3156" s="7"/>
    </row>
    <row r="3157" spans="19:51">
      <c r="S3157" s="7"/>
      <c r="AX3157" s="7"/>
      <c r="AY3157" s="7"/>
    </row>
    <row r="3158" spans="19:51">
      <c r="S3158" s="7"/>
      <c r="AX3158" s="7"/>
      <c r="AY3158" s="7"/>
    </row>
    <row r="3159" spans="19:51">
      <c r="S3159" s="7"/>
      <c r="AX3159" s="7"/>
      <c r="AY3159" s="7"/>
    </row>
    <row r="3160" spans="19:51">
      <c r="S3160" s="7"/>
      <c r="AX3160" s="7"/>
      <c r="AY3160" s="7"/>
    </row>
    <row r="3161" spans="19:51">
      <c r="S3161" s="7"/>
      <c r="AX3161" s="7"/>
      <c r="AY3161" s="7"/>
    </row>
    <row r="3162" spans="19:51">
      <c r="S3162" s="7"/>
      <c r="AX3162" s="7"/>
      <c r="AY3162" s="7"/>
    </row>
    <row r="3163" spans="19:51">
      <c r="S3163" s="7"/>
      <c r="AX3163" s="7"/>
      <c r="AY3163" s="7"/>
    </row>
    <row r="3164" spans="19:51">
      <c r="S3164" s="7"/>
      <c r="AX3164" s="7"/>
      <c r="AY3164" s="7"/>
    </row>
    <row r="3165" spans="19:51">
      <c r="S3165" s="7"/>
      <c r="AX3165" s="7"/>
      <c r="AY3165" s="7"/>
    </row>
    <row r="3166" spans="19:51">
      <c r="S3166" s="7"/>
      <c r="AX3166" s="7"/>
      <c r="AY3166" s="7"/>
    </row>
    <row r="3167" spans="19:51">
      <c r="S3167" s="7"/>
      <c r="AX3167" s="7"/>
      <c r="AY3167" s="7"/>
    </row>
    <row r="3168" spans="19:51">
      <c r="S3168" s="7"/>
      <c r="AX3168" s="7"/>
      <c r="AY3168" s="7"/>
    </row>
    <row r="3169" spans="19:51">
      <c r="S3169" s="7"/>
      <c r="AX3169" s="7"/>
      <c r="AY3169" s="7"/>
    </row>
    <row r="3170" spans="19:51">
      <c r="S3170" s="7"/>
      <c r="AX3170" s="7"/>
      <c r="AY3170" s="7"/>
    </row>
    <row r="3171" spans="19:51">
      <c r="S3171" s="7"/>
      <c r="AX3171" s="7"/>
      <c r="AY3171" s="7"/>
    </row>
    <row r="3172" spans="19:51">
      <c r="S3172" s="7"/>
      <c r="AX3172" s="7"/>
      <c r="AY3172" s="7"/>
    </row>
    <row r="3173" spans="19:51">
      <c r="S3173" s="7"/>
      <c r="AX3173" s="7"/>
      <c r="AY3173" s="7"/>
    </row>
    <row r="3174" spans="19:51">
      <c r="S3174" s="7"/>
      <c r="AX3174" s="7"/>
      <c r="AY3174" s="7"/>
    </row>
    <row r="3175" spans="19:51">
      <c r="S3175" s="7"/>
      <c r="AX3175" s="7"/>
      <c r="AY3175" s="7"/>
    </row>
    <row r="3176" spans="19:51">
      <c r="S3176" s="7"/>
      <c r="AX3176" s="7"/>
      <c r="AY3176" s="7"/>
    </row>
    <row r="3177" spans="19:51">
      <c r="S3177" s="7"/>
      <c r="AX3177" s="7"/>
      <c r="AY3177" s="7"/>
    </row>
    <row r="3178" spans="19:51">
      <c r="S3178" s="7"/>
      <c r="AX3178" s="7"/>
      <c r="AY3178" s="7"/>
    </row>
    <row r="3179" spans="19:51">
      <c r="S3179" s="7"/>
      <c r="AX3179" s="7"/>
      <c r="AY3179" s="7"/>
    </row>
    <row r="3180" spans="19:51">
      <c r="S3180" s="7"/>
      <c r="AX3180" s="7"/>
      <c r="AY3180" s="7"/>
    </row>
    <row r="3181" spans="19:51">
      <c r="S3181" s="7"/>
      <c r="AX3181" s="7"/>
      <c r="AY3181" s="7"/>
    </row>
    <row r="3182" spans="19:51">
      <c r="S3182" s="7"/>
      <c r="AX3182" s="7"/>
      <c r="AY3182" s="7"/>
    </row>
    <row r="3183" spans="19:51">
      <c r="S3183" s="7"/>
      <c r="AX3183" s="7"/>
      <c r="AY3183" s="7"/>
    </row>
    <row r="3184" spans="19:51">
      <c r="S3184" s="7"/>
      <c r="AX3184" s="7"/>
      <c r="AY3184" s="7"/>
    </row>
    <row r="3185" spans="19:51">
      <c r="S3185" s="7"/>
      <c r="AX3185" s="7"/>
      <c r="AY3185" s="7"/>
    </row>
    <row r="3186" spans="19:51">
      <c r="S3186" s="7"/>
      <c r="AX3186" s="7"/>
      <c r="AY3186" s="7"/>
    </row>
    <row r="3187" spans="19:51">
      <c r="S3187" s="7"/>
      <c r="AX3187" s="7"/>
      <c r="AY3187" s="7"/>
    </row>
    <row r="3188" spans="19:51">
      <c r="S3188" s="7"/>
      <c r="AX3188" s="7"/>
      <c r="AY3188" s="7"/>
    </row>
    <row r="3189" spans="19:51">
      <c r="S3189" s="7"/>
      <c r="AX3189" s="7"/>
      <c r="AY3189" s="7"/>
    </row>
    <row r="3190" spans="19:51">
      <c r="S3190" s="7"/>
      <c r="AX3190" s="7"/>
      <c r="AY3190" s="7"/>
    </row>
    <row r="3191" spans="19:51">
      <c r="S3191" s="7"/>
      <c r="AX3191" s="7"/>
      <c r="AY3191" s="7"/>
    </row>
    <row r="3192" spans="19:51">
      <c r="S3192" s="7"/>
      <c r="AX3192" s="7"/>
      <c r="AY3192" s="7"/>
    </row>
    <row r="3193" spans="19:51">
      <c r="S3193" s="7"/>
      <c r="AX3193" s="7"/>
      <c r="AY3193" s="7"/>
    </row>
    <row r="3194" spans="19:51">
      <c r="S3194" s="7"/>
      <c r="AX3194" s="7"/>
      <c r="AY3194" s="7"/>
    </row>
    <row r="3195" spans="19:51">
      <c r="S3195" s="7"/>
      <c r="AX3195" s="7"/>
      <c r="AY3195" s="7"/>
    </row>
    <row r="3196" spans="19:51">
      <c r="S3196" s="7"/>
      <c r="AX3196" s="7"/>
      <c r="AY3196" s="7"/>
    </row>
    <row r="3197" spans="19:51">
      <c r="S3197" s="7"/>
      <c r="AX3197" s="7"/>
      <c r="AY3197" s="7"/>
    </row>
    <row r="3198" spans="19:51">
      <c r="S3198" s="7"/>
      <c r="AX3198" s="7"/>
      <c r="AY3198" s="7"/>
    </row>
    <row r="3199" spans="19:51">
      <c r="S3199" s="7"/>
      <c r="AX3199" s="7"/>
      <c r="AY3199" s="7"/>
    </row>
    <row r="3200" spans="19:51">
      <c r="S3200" s="7"/>
      <c r="AX3200" s="7"/>
      <c r="AY3200" s="7"/>
    </row>
    <row r="3201" spans="19:51">
      <c r="S3201" s="7"/>
      <c r="AX3201" s="7"/>
      <c r="AY3201" s="7"/>
    </row>
    <row r="3202" spans="19:51">
      <c r="S3202" s="7"/>
      <c r="AX3202" s="7"/>
      <c r="AY3202" s="7"/>
    </row>
    <row r="3203" spans="19:51">
      <c r="S3203" s="7"/>
      <c r="AX3203" s="7"/>
      <c r="AY3203" s="7"/>
    </row>
    <row r="3204" spans="19:51">
      <c r="S3204" s="7"/>
      <c r="AX3204" s="7"/>
      <c r="AY3204" s="7"/>
    </row>
    <row r="3205" spans="19:51">
      <c r="S3205" s="7"/>
      <c r="AX3205" s="7"/>
      <c r="AY3205" s="7"/>
    </row>
    <row r="3206" spans="19:51">
      <c r="S3206" s="7"/>
      <c r="AX3206" s="7"/>
      <c r="AY3206" s="7"/>
    </row>
    <row r="3207" spans="19:51">
      <c r="S3207" s="7"/>
      <c r="AX3207" s="7"/>
      <c r="AY3207" s="7"/>
    </row>
    <row r="3208" spans="19:51">
      <c r="S3208" s="7"/>
      <c r="AX3208" s="7"/>
      <c r="AY3208" s="7"/>
    </row>
    <row r="3209" spans="19:51">
      <c r="S3209" s="7"/>
      <c r="AX3209" s="7"/>
      <c r="AY3209" s="7"/>
    </row>
    <row r="3210" spans="19:51">
      <c r="S3210" s="7"/>
      <c r="AX3210" s="7"/>
      <c r="AY3210" s="7"/>
    </row>
    <row r="3211" spans="19:51">
      <c r="S3211" s="7"/>
      <c r="AX3211" s="7"/>
      <c r="AY3211" s="7"/>
    </row>
    <row r="3212" spans="19:51">
      <c r="S3212" s="7"/>
      <c r="AX3212" s="7"/>
      <c r="AY3212" s="7"/>
    </row>
    <row r="3213" spans="19:51">
      <c r="S3213" s="7"/>
      <c r="AX3213" s="7"/>
      <c r="AY3213" s="7"/>
    </row>
    <row r="3214" spans="19:51">
      <c r="S3214" s="7"/>
      <c r="AX3214" s="7"/>
      <c r="AY3214" s="7"/>
    </row>
    <row r="3215" spans="19:51">
      <c r="S3215" s="7"/>
      <c r="AX3215" s="7"/>
      <c r="AY3215" s="7"/>
    </row>
    <row r="3216" spans="19:51">
      <c r="S3216" s="7"/>
      <c r="AX3216" s="7"/>
      <c r="AY3216" s="7"/>
    </row>
    <row r="3217" spans="19:51">
      <c r="S3217" s="7"/>
      <c r="AX3217" s="7"/>
      <c r="AY3217" s="7"/>
    </row>
    <row r="3218" spans="19:51">
      <c r="S3218" s="7"/>
      <c r="AX3218" s="7"/>
      <c r="AY3218" s="7"/>
    </row>
    <row r="3219" spans="19:51">
      <c r="S3219" s="7"/>
      <c r="AX3219" s="7"/>
      <c r="AY3219" s="7"/>
    </row>
    <row r="3220" spans="19:51">
      <c r="S3220" s="7"/>
      <c r="AX3220" s="7"/>
      <c r="AY3220" s="7"/>
    </row>
    <row r="3221" spans="19:51">
      <c r="S3221" s="7"/>
      <c r="AX3221" s="7"/>
      <c r="AY3221" s="7"/>
    </row>
    <row r="3222" spans="19:51">
      <c r="S3222" s="7"/>
      <c r="AX3222" s="7"/>
      <c r="AY3222" s="7"/>
    </row>
    <row r="3223" spans="19:51">
      <c r="S3223" s="7"/>
      <c r="AX3223" s="7"/>
      <c r="AY3223" s="7"/>
    </row>
    <row r="3224" spans="19:51">
      <c r="S3224" s="7"/>
      <c r="AX3224" s="7"/>
      <c r="AY3224" s="7"/>
    </row>
    <row r="3225" spans="19:51">
      <c r="S3225" s="7"/>
      <c r="AX3225" s="7"/>
      <c r="AY3225" s="7"/>
    </row>
    <row r="3226" spans="19:51">
      <c r="S3226" s="7"/>
      <c r="AX3226" s="7"/>
      <c r="AY3226" s="7"/>
    </row>
    <row r="3227" spans="19:51">
      <c r="S3227" s="7"/>
      <c r="AX3227" s="7"/>
      <c r="AY3227" s="7"/>
    </row>
    <row r="3228" spans="19:51">
      <c r="S3228" s="7"/>
      <c r="AX3228" s="7"/>
      <c r="AY3228" s="7"/>
    </row>
    <row r="3229" spans="19:51">
      <c r="S3229" s="7"/>
      <c r="AX3229" s="7"/>
      <c r="AY3229" s="7"/>
    </row>
    <row r="3230" spans="19:51">
      <c r="S3230" s="7"/>
      <c r="AX3230" s="7"/>
      <c r="AY3230" s="7"/>
    </row>
    <row r="3231" spans="19:51">
      <c r="S3231" s="7"/>
      <c r="AX3231" s="7"/>
      <c r="AY3231" s="7"/>
    </row>
    <row r="3232" spans="19:51">
      <c r="S3232" s="7"/>
      <c r="AX3232" s="7"/>
      <c r="AY3232" s="7"/>
    </row>
    <row r="3233" spans="19:51">
      <c r="S3233" s="7"/>
      <c r="AX3233" s="7"/>
      <c r="AY3233" s="7"/>
    </row>
    <row r="3234" spans="19:51">
      <c r="S3234" s="7"/>
      <c r="AX3234" s="7"/>
      <c r="AY3234" s="7"/>
    </row>
    <row r="3235" spans="19:51">
      <c r="S3235" s="7"/>
      <c r="AX3235" s="7"/>
      <c r="AY3235" s="7"/>
    </row>
    <row r="3236" spans="19:51">
      <c r="S3236" s="7"/>
      <c r="AX3236" s="7"/>
      <c r="AY3236" s="7"/>
    </row>
    <row r="3237" spans="19:51">
      <c r="S3237" s="7"/>
      <c r="AX3237" s="7"/>
      <c r="AY3237" s="7"/>
    </row>
    <row r="3238" spans="19:51">
      <c r="S3238" s="7"/>
      <c r="AX3238" s="7"/>
      <c r="AY3238" s="7"/>
    </row>
    <row r="3239" spans="19:51">
      <c r="S3239" s="7"/>
      <c r="AX3239" s="7"/>
      <c r="AY3239" s="7"/>
    </row>
    <row r="3240" spans="19:51">
      <c r="S3240" s="7"/>
      <c r="AX3240" s="7"/>
      <c r="AY3240" s="7"/>
    </row>
    <row r="3241" spans="19:51">
      <c r="S3241" s="7"/>
      <c r="AX3241" s="7"/>
      <c r="AY3241" s="7"/>
    </row>
    <row r="3242" spans="19:51">
      <c r="S3242" s="7"/>
      <c r="AX3242" s="7"/>
      <c r="AY3242" s="7"/>
    </row>
    <row r="3243" spans="19:51">
      <c r="S3243" s="7"/>
      <c r="AX3243" s="7"/>
      <c r="AY3243" s="7"/>
    </row>
    <row r="3244" spans="19:51">
      <c r="S3244" s="7"/>
      <c r="AX3244" s="7"/>
      <c r="AY3244" s="7"/>
    </row>
    <row r="3245" spans="19:51">
      <c r="S3245" s="7"/>
      <c r="AX3245" s="7"/>
      <c r="AY3245" s="7"/>
    </row>
    <row r="3246" spans="19:51">
      <c r="S3246" s="7"/>
      <c r="AX3246" s="7"/>
      <c r="AY3246" s="7"/>
    </row>
    <row r="3247" spans="19:51">
      <c r="S3247" s="7"/>
      <c r="AX3247" s="7"/>
      <c r="AY3247" s="7"/>
    </row>
    <row r="3248" spans="19:51">
      <c r="S3248" s="7"/>
      <c r="AX3248" s="7"/>
      <c r="AY3248" s="7"/>
    </row>
    <row r="3249" spans="19:51">
      <c r="S3249" s="7"/>
      <c r="AX3249" s="7"/>
      <c r="AY3249" s="7"/>
    </row>
    <row r="3250" spans="19:51">
      <c r="S3250" s="7"/>
      <c r="AX3250" s="7"/>
      <c r="AY3250" s="7"/>
    </row>
    <row r="3251" spans="19:51">
      <c r="S3251" s="7"/>
      <c r="AX3251" s="7"/>
      <c r="AY3251" s="7"/>
    </row>
    <row r="3252" spans="19:51">
      <c r="S3252" s="7"/>
      <c r="AX3252" s="7"/>
      <c r="AY3252" s="7"/>
    </row>
    <row r="3253" spans="19:51">
      <c r="S3253" s="7"/>
      <c r="AX3253" s="7"/>
      <c r="AY3253" s="7"/>
    </row>
    <row r="3254" spans="19:51">
      <c r="S3254" s="7"/>
      <c r="AX3254" s="7"/>
      <c r="AY3254" s="7"/>
    </row>
    <row r="3255" spans="19:51">
      <c r="S3255" s="7"/>
      <c r="AX3255" s="7"/>
      <c r="AY3255" s="7"/>
    </row>
    <row r="3256" spans="19:51">
      <c r="S3256" s="7"/>
      <c r="AX3256" s="7"/>
      <c r="AY3256" s="7"/>
    </row>
    <row r="3257" spans="19:51">
      <c r="S3257" s="7"/>
      <c r="AX3257" s="7"/>
      <c r="AY3257" s="7"/>
    </row>
    <row r="3258" spans="19:51">
      <c r="S3258" s="7"/>
      <c r="AX3258" s="7"/>
      <c r="AY3258" s="7"/>
    </row>
    <row r="3259" spans="19:51">
      <c r="S3259" s="7"/>
      <c r="AX3259" s="7"/>
      <c r="AY3259" s="7"/>
    </row>
    <row r="3260" spans="19:51">
      <c r="S3260" s="7"/>
      <c r="AX3260" s="7"/>
      <c r="AY3260" s="7"/>
    </row>
    <row r="3261" spans="19:51">
      <c r="S3261" s="7"/>
      <c r="AX3261" s="7"/>
      <c r="AY3261" s="7"/>
    </row>
    <row r="3262" spans="19:51">
      <c r="S3262" s="7"/>
      <c r="AX3262" s="7"/>
      <c r="AY3262" s="7"/>
    </row>
    <row r="3263" spans="19:51">
      <c r="S3263" s="7"/>
      <c r="AX3263" s="7"/>
      <c r="AY3263" s="7"/>
    </row>
    <row r="3264" spans="19:51">
      <c r="S3264" s="7"/>
      <c r="AX3264" s="7"/>
      <c r="AY3264" s="7"/>
    </row>
    <row r="3265" spans="19:51">
      <c r="S3265" s="7"/>
      <c r="AX3265" s="7"/>
      <c r="AY3265" s="7"/>
    </row>
    <row r="3266" spans="19:51">
      <c r="S3266" s="7"/>
      <c r="AX3266" s="7"/>
      <c r="AY3266" s="7"/>
    </row>
    <row r="3267" spans="19:51">
      <c r="S3267" s="7"/>
      <c r="AX3267" s="7"/>
      <c r="AY3267" s="7"/>
    </row>
    <row r="3268" spans="19:51">
      <c r="S3268" s="7"/>
      <c r="AX3268" s="7"/>
      <c r="AY3268" s="7"/>
    </row>
    <row r="3269" spans="19:51">
      <c r="S3269" s="7"/>
      <c r="AX3269" s="7"/>
      <c r="AY3269" s="7"/>
    </row>
    <row r="3270" spans="19:51">
      <c r="S3270" s="7"/>
      <c r="AX3270" s="7"/>
      <c r="AY3270" s="7"/>
    </row>
    <row r="3271" spans="19:51">
      <c r="S3271" s="7"/>
      <c r="AX3271" s="7"/>
      <c r="AY3271" s="7"/>
    </row>
    <row r="3272" spans="19:51">
      <c r="S3272" s="7"/>
      <c r="AX3272" s="7"/>
      <c r="AY3272" s="7"/>
    </row>
    <row r="3273" spans="19:51">
      <c r="S3273" s="7"/>
      <c r="AX3273" s="7"/>
      <c r="AY3273" s="7"/>
    </row>
    <row r="3274" spans="19:51">
      <c r="S3274" s="7"/>
      <c r="AX3274" s="7"/>
      <c r="AY3274" s="7"/>
    </row>
    <row r="3275" spans="19:51">
      <c r="S3275" s="7"/>
      <c r="AX3275" s="7"/>
      <c r="AY3275" s="7"/>
    </row>
    <row r="3276" spans="19:51">
      <c r="S3276" s="7"/>
      <c r="AX3276" s="7"/>
      <c r="AY3276" s="7"/>
    </row>
    <row r="3277" spans="19:51">
      <c r="S3277" s="7"/>
      <c r="AX3277" s="7"/>
      <c r="AY3277" s="7"/>
    </row>
    <row r="3278" spans="19:51">
      <c r="S3278" s="7"/>
      <c r="AX3278" s="7"/>
      <c r="AY3278" s="7"/>
    </row>
    <row r="3279" spans="19:51">
      <c r="S3279" s="7"/>
      <c r="AX3279" s="7"/>
      <c r="AY3279" s="7"/>
    </row>
    <row r="3280" spans="19:51">
      <c r="S3280" s="7"/>
      <c r="AX3280" s="7"/>
      <c r="AY3280" s="7"/>
    </row>
    <row r="3281" spans="19:51">
      <c r="S3281" s="7"/>
      <c r="AX3281" s="7"/>
      <c r="AY3281" s="7"/>
    </row>
    <row r="3282" spans="19:51">
      <c r="S3282" s="7"/>
      <c r="AX3282" s="7"/>
      <c r="AY3282" s="7"/>
    </row>
    <row r="3283" spans="19:51">
      <c r="S3283" s="7"/>
      <c r="AX3283" s="7"/>
      <c r="AY3283" s="7"/>
    </row>
    <row r="3284" spans="19:51">
      <c r="S3284" s="7"/>
      <c r="AX3284" s="7"/>
      <c r="AY3284" s="7"/>
    </row>
    <row r="3285" spans="19:51">
      <c r="S3285" s="7"/>
      <c r="AX3285" s="7"/>
      <c r="AY3285" s="7"/>
    </row>
    <row r="3286" spans="19:51">
      <c r="S3286" s="7"/>
      <c r="AX3286" s="7"/>
      <c r="AY3286" s="7"/>
    </row>
    <row r="3287" spans="19:51">
      <c r="S3287" s="7"/>
      <c r="AX3287" s="7"/>
      <c r="AY3287" s="7"/>
    </row>
    <row r="3288" spans="19:51">
      <c r="S3288" s="7"/>
      <c r="AX3288" s="7"/>
      <c r="AY3288" s="7"/>
    </row>
    <row r="3289" spans="19:51">
      <c r="S3289" s="7"/>
      <c r="AX3289" s="7"/>
      <c r="AY3289" s="7"/>
    </row>
    <row r="3290" spans="19:51">
      <c r="S3290" s="7"/>
      <c r="AX3290" s="7"/>
      <c r="AY3290" s="7"/>
    </row>
    <row r="3291" spans="19:51">
      <c r="S3291" s="7"/>
      <c r="AX3291" s="7"/>
      <c r="AY3291" s="7"/>
    </row>
    <row r="3292" spans="19:51">
      <c r="S3292" s="7"/>
      <c r="AX3292" s="7"/>
      <c r="AY3292" s="7"/>
    </row>
    <row r="3293" spans="19:51">
      <c r="S3293" s="7"/>
      <c r="AX3293" s="7"/>
      <c r="AY3293" s="7"/>
    </row>
    <row r="3294" spans="19:51">
      <c r="S3294" s="7"/>
      <c r="AX3294" s="7"/>
      <c r="AY3294" s="7"/>
    </row>
    <row r="3295" spans="19:51">
      <c r="S3295" s="7"/>
      <c r="AX3295" s="7"/>
      <c r="AY3295" s="7"/>
    </row>
    <row r="3296" spans="19:51">
      <c r="S3296" s="7"/>
      <c r="AX3296" s="7"/>
      <c r="AY3296" s="7"/>
    </row>
    <row r="3297" spans="19:51">
      <c r="S3297" s="7"/>
      <c r="AX3297" s="7"/>
      <c r="AY3297" s="7"/>
    </row>
    <row r="3298" spans="19:51">
      <c r="S3298" s="7"/>
      <c r="AX3298" s="7"/>
      <c r="AY3298" s="7"/>
    </row>
    <row r="3299" spans="19:51">
      <c r="S3299" s="7"/>
      <c r="AX3299" s="7"/>
      <c r="AY3299" s="7"/>
    </row>
    <row r="3300" spans="19:51">
      <c r="S3300" s="7"/>
      <c r="AX3300" s="7"/>
      <c r="AY3300" s="7"/>
    </row>
    <row r="3301" spans="19:51">
      <c r="S3301" s="7"/>
      <c r="AX3301" s="7"/>
      <c r="AY3301" s="7"/>
    </row>
    <row r="3302" spans="19:51">
      <c r="S3302" s="7"/>
      <c r="AX3302" s="7"/>
      <c r="AY3302" s="7"/>
    </row>
    <row r="3303" spans="19:51">
      <c r="S3303" s="7"/>
      <c r="AX3303" s="7"/>
      <c r="AY3303" s="7"/>
    </row>
    <row r="3304" spans="19:51">
      <c r="S3304" s="7"/>
      <c r="AX3304" s="7"/>
      <c r="AY3304" s="7"/>
    </row>
    <row r="3305" spans="19:51">
      <c r="S3305" s="7"/>
      <c r="AX3305" s="7"/>
      <c r="AY3305" s="7"/>
    </row>
    <row r="3306" spans="19:51">
      <c r="S3306" s="7"/>
      <c r="AX3306" s="7"/>
      <c r="AY3306" s="7"/>
    </row>
    <row r="3307" spans="19:51">
      <c r="S3307" s="7"/>
      <c r="AX3307" s="7"/>
      <c r="AY3307" s="7"/>
    </row>
    <row r="3308" spans="19:51">
      <c r="S3308" s="7"/>
      <c r="AX3308" s="7"/>
      <c r="AY3308" s="7"/>
    </row>
    <row r="3309" spans="19:51">
      <c r="S3309" s="7"/>
      <c r="AX3309" s="7"/>
      <c r="AY3309" s="7"/>
    </row>
    <row r="3310" spans="19:51">
      <c r="S3310" s="7"/>
      <c r="AX3310" s="7"/>
      <c r="AY3310" s="7"/>
    </row>
    <row r="3311" spans="19:51">
      <c r="S3311" s="7"/>
      <c r="AX3311" s="7"/>
      <c r="AY3311" s="7"/>
    </row>
    <row r="3312" spans="19:51">
      <c r="S3312" s="7"/>
      <c r="AX3312" s="7"/>
      <c r="AY3312" s="7"/>
    </row>
    <row r="3313" spans="19:51">
      <c r="S3313" s="7"/>
      <c r="AX3313" s="7"/>
      <c r="AY3313" s="7"/>
    </row>
    <row r="3314" spans="19:51">
      <c r="S3314" s="7"/>
      <c r="AX3314" s="7"/>
      <c r="AY3314" s="7"/>
    </row>
    <row r="3315" spans="19:51">
      <c r="S3315" s="7"/>
      <c r="AX3315" s="7"/>
      <c r="AY3315" s="7"/>
    </row>
    <row r="3316" spans="19:51">
      <c r="S3316" s="7"/>
      <c r="AX3316" s="7"/>
      <c r="AY3316" s="7"/>
    </row>
    <row r="3317" spans="19:51">
      <c r="S3317" s="7"/>
      <c r="AX3317" s="7"/>
      <c r="AY3317" s="7"/>
    </row>
    <row r="3318" spans="19:51">
      <c r="S3318" s="7"/>
      <c r="AX3318" s="7"/>
      <c r="AY3318" s="7"/>
    </row>
    <row r="3319" spans="19:51">
      <c r="S3319" s="7"/>
      <c r="AX3319" s="7"/>
      <c r="AY3319" s="7"/>
    </row>
    <row r="3320" spans="19:51">
      <c r="S3320" s="7"/>
      <c r="AX3320" s="7"/>
      <c r="AY3320" s="7"/>
    </row>
    <row r="3321" spans="19:51">
      <c r="S3321" s="7"/>
      <c r="AX3321" s="7"/>
      <c r="AY3321" s="7"/>
    </row>
    <row r="3322" spans="19:51">
      <c r="S3322" s="7"/>
      <c r="AX3322" s="7"/>
      <c r="AY3322" s="7"/>
    </row>
    <row r="3323" spans="19:51">
      <c r="S3323" s="7"/>
      <c r="AX3323" s="7"/>
      <c r="AY3323" s="7"/>
    </row>
    <row r="3324" spans="19:51">
      <c r="S3324" s="7"/>
      <c r="AX3324" s="7"/>
      <c r="AY3324" s="7"/>
    </row>
    <row r="3325" spans="19:51">
      <c r="S3325" s="7"/>
      <c r="AX3325" s="7"/>
      <c r="AY3325" s="7"/>
    </row>
    <row r="3326" spans="19:51">
      <c r="S3326" s="7"/>
      <c r="AX3326" s="7"/>
      <c r="AY3326" s="7"/>
    </row>
    <row r="3327" spans="19:51">
      <c r="S3327" s="7"/>
      <c r="AX3327" s="7"/>
      <c r="AY3327" s="7"/>
    </row>
    <row r="3328" spans="19:51">
      <c r="S3328" s="7"/>
      <c r="AX3328" s="7"/>
      <c r="AY3328" s="7"/>
    </row>
    <row r="3329" spans="19:51">
      <c r="S3329" s="7"/>
      <c r="AX3329" s="7"/>
      <c r="AY3329" s="7"/>
    </row>
    <row r="3330" spans="19:51">
      <c r="S3330" s="7"/>
      <c r="AX3330" s="7"/>
      <c r="AY3330" s="7"/>
    </row>
    <row r="3331" spans="19:51">
      <c r="S3331" s="7"/>
      <c r="AX3331" s="7"/>
      <c r="AY3331" s="7"/>
    </row>
    <row r="3332" spans="19:51">
      <c r="S3332" s="7"/>
      <c r="AX3332" s="7"/>
      <c r="AY3332" s="7"/>
    </row>
    <row r="3333" spans="19:51">
      <c r="S3333" s="7"/>
      <c r="AX3333" s="7"/>
      <c r="AY3333" s="7"/>
    </row>
    <row r="3334" spans="19:51">
      <c r="S3334" s="7"/>
      <c r="AX3334" s="7"/>
      <c r="AY3334" s="7"/>
    </row>
    <row r="3335" spans="19:51">
      <c r="S3335" s="7"/>
      <c r="AX3335" s="7"/>
      <c r="AY3335" s="7"/>
    </row>
    <row r="3336" spans="19:51">
      <c r="S3336" s="7"/>
      <c r="AX3336" s="7"/>
      <c r="AY3336" s="7"/>
    </row>
    <row r="3337" spans="19:51">
      <c r="S3337" s="7"/>
      <c r="AX3337" s="7"/>
      <c r="AY3337" s="7"/>
    </row>
    <row r="3338" spans="19:51">
      <c r="S3338" s="7"/>
      <c r="AX3338" s="7"/>
      <c r="AY3338" s="7"/>
    </row>
    <row r="3339" spans="19:51">
      <c r="S3339" s="7"/>
      <c r="AX3339" s="7"/>
      <c r="AY3339" s="7"/>
    </row>
    <row r="3340" spans="19:51">
      <c r="S3340" s="7"/>
      <c r="AX3340" s="7"/>
      <c r="AY3340" s="7"/>
    </row>
    <row r="3341" spans="19:51">
      <c r="S3341" s="7"/>
      <c r="AX3341" s="7"/>
      <c r="AY3341" s="7"/>
    </row>
    <row r="3342" spans="19:51">
      <c r="S3342" s="7"/>
      <c r="AX3342" s="7"/>
      <c r="AY3342" s="7"/>
    </row>
    <row r="3343" spans="19:51">
      <c r="S3343" s="7"/>
      <c r="AX3343" s="7"/>
      <c r="AY3343" s="7"/>
    </row>
    <row r="3344" spans="19:51">
      <c r="S3344" s="7"/>
      <c r="AX3344" s="7"/>
      <c r="AY3344" s="7"/>
    </row>
    <row r="3345" spans="19:51">
      <c r="S3345" s="7"/>
      <c r="AX3345" s="7"/>
      <c r="AY3345" s="7"/>
    </row>
    <row r="3346" spans="19:51">
      <c r="S3346" s="7"/>
      <c r="AX3346" s="7"/>
      <c r="AY3346" s="7"/>
    </row>
    <row r="3347" spans="19:51">
      <c r="S3347" s="7"/>
      <c r="AX3347" s="7"/>
      <c r="AY3347" s="7"/>
    </row>
    <row r="3348" spans="19:51">
      <c r="S3348" s="7"/>
      <c r="AX3348" s="7"/>
      <c r="AY3348" s="7"/>
    </row>
    <row r="3349" spans="19:51">
      <c r="S3349" s="7"/>
      <c r="AX3349" s="7"/>
      <c r="AY3349" s="7"/>
    </row>
    <row r="3350" spans="19:51">
      <c r="S3350" s="7"/>
      <c r="AX3350" s="7"/>
      <c r="AY3350" s="7"/>
    </row>
    <row r="3351" spans="19:51">
      <c r="S3351" s="7"/>
      <c r="AX3351" s="7"/>
      <c r="AY3351" s="7"/>
    </row>
    <row r="3352" spans="19:51">
      <c r="S3352" s="7"/>
      <c r="AX3352" s="7"/>
      <c r="AY3352" s="7"/>
    </row>
    <row r="3353" spans="19:51">
      <c r="S3353" s="7"/>
      <c r="AX3353" s="7"/>
      <c r="AY3353" s="7"/>
    </row>
    <row r="3354" spans="19:51">
      <c r="S3354" s="7"/>
      <c r="AX3354" s="7"/>
      <c r="AY3354" s="7"/>
    </row>
    <row r="3355" spans="19:51">
      <c r="S3355" s="7"/>
      <c r="AX3355" s="7"/>
      <c r="AY3355" s="7"/>
    </row>
    <row r="3356" spans="19:51">
      <c r="S3356" s="7"/>
      <c r="AX3356" s="7"/>
      <c r="AY3356" s="7"/>
    </row>
    <row r="3357" spans="19:51">
      <c r="S3357" s="7"/>
      <c r="AX3357" s="7"/>
      <c r="AY3357" s="7"/>
    </row>
    <row r="3358" spans="19:51">
      <c r="S3358" s="7"/>
      <c r="AX3358" s="7"/>
      <c r="AY3358" s="7"/>
    </row>
    <row r="3359" spans="19:51">
      <c r="S3359" s="7"/>
      <c r="AX3359" s="7"/>
      <c r="AY3359" s="7"/>
    </row>
    <row r="3360" spans="19:51">
      <c r="S3360" s="7"/>
      <c r="AX3360" s="7"/>
      <c r="AY3360" s="7"/>
    </row>
    <row r="3361" spans="19:51">
      <c r="S3361" s="7"/>
      <c r="AX3361" s="7"/>
      <c r="AY3361" s="7"/>
    </row>
    <row r="3362" spans="19:51">
      <c r="S3362" s="7"/>
      <c r="AX3362" s="7"/>
      <c r="AY3362" s="7"/>
    </row>
    <row r="3363" spans="19:51">
      <c r="S3363" s="7"/>
      <c r="AX3363" s="7"/>
      <c r="AY3363" s="7"/>
    </row>
    <row r="3364" spans="19:51">
      <c r="S3364" s="7"/>
      <c r="AX3364" s="7"/>
      <c r="AY3364" s="7"/>
    </row>
    <row r="3365" spans="19:51">
      <c r="S3365" s="7"/>
      <c r="AX3365" s="7"/>
      <c r="AY3365" s="7"/>
    </row>
    <row r="3366" spans="19:51">
      <c r="S3366" s="7"/>
      <c r="AX3366" s="7"/>
      <c r="AY3366" s="7"/>
    </row>
    <row r="3367" spans="19:51">
      <c r="S3367" s="7"/>
      <c r="AX3367" s="7"/>
      <c r="AY3367" s="7"/>
    </row>
    <row r="3368" spans="19:51">
      <c r="S3368" s="7"/>
      <c r="AX3368" s="7"/>
      <c r="AY3368" s="7"/>
    </row>
    <row r="3369" spans="19:51">
      <c r="S3369" s="7"/>
      <c r="AX3369" s="7"/>
      <c r="AY3369" s="7"/>
    </row>
    <row r="3370" spans="19:51">
      <c r="S3370" s="7"/>
      <c r="AX3370" s="7"/>
      <c r="AY3370" s="7"/>
    </row>
    <row r="3371" spans="19:51">
      <c r="S3371" s="7"/>
      <c r="AX3371" s="7"/>
      <c r="AY3371" s="7"/>
    </row>
    <row r="3372" spans="19:51">
      <c r="S3372" s="7"/>
      <c r="AX3372" s="7"/>
      <c r="AY3372" s="7"/>
    </row>
    <row r="3373" spans="19:51">
      <c r="S3373" s="7"/>
      <c r="AX3373" s="7"/>
      <c r="AY3373" s="7"/>
    </row>
    <row r="3374" spans="19:51">
      <c r="S3374" s="7"/>
      <c r="AX3374" s="7"/>
      <c r="AY3374" s="7"/>
    </row>
    <row r="3375" spans="19:51">
      <c r="S3375" s="7"/>
      <c r="AX3375" s="7"/>
      <c r="AY3375" s="7"/>
    </row>
    <row r="3376" spans="19:51">
      <c r="S3376" s="7"/>
      <c r="AX3376" s="7"/>
      <c r="AY3376" s="7"/>
    </row>
    <row r="3377" spans="19:51">
      <c r="S3377" s="7"/>
      <c r="AX3377" s="7"/>
      <c r="AY3377" s="7"/>
    </row>
    <row r="3378" spans="19:51">
      <c r="S3378" s="7"/>
      <c r="AX3378" s="7"/>
      <c r="AY3378" s="7"/>
    </row>
    <row r="3379" spans="19:51">
      <c r="S3379" s="7"/>
      <c r="AX3379" s="7"/>
      <c r="AY3379" s="7"/>
    </row>
    <row r="3380" spans="19:51">
      <c r="S3380" s="7"/>
      <c r="AX3380" s="7"/>
      <c r="AY3380" s="7"/>
    </row>
    <row r="3381" spans="19:51">
      <c r="S3381" s="7"/>
      <c r="AX3381" s="7"/>
      <c r="AY3381" s="7"/>
    </row>
    <row r="3382" spans="19:51">
      <c r="S3382" s="7"/>
      <c r="AX3382" s="7"/>
      <c r="AY3382" s="7"/>
    </row>
    <row r="3383" spans="19:51">
      <c r="S3383" s="7"/>
      <c r="AX3383" s="7"/>
      <c r="AY3383" s="7"/>
    </row>
    <row r="3384" spans="19:51">
      <c r="S3384" s="7"/>
      <c r="AX3384" s="7"/>
      <c r="AY3384" s="7"/>
    </row>
    <row r="3385" spans="19:51">
      <c r="S3385" s="7"/>
      <c r="AX3385" s="7"/>
      <c r="AY3385" s="7"/>
    </row>
    <row r="3386" spans="19:51">
      <c r="S3386" s="7"/>
      <c r="AX3386" s="7"/>
      <c r="AY3386" s="7"/>
    </row>
    <row r="3387" spans="19:51">
      <c r="S3387" s="7"/>
      <c r="AX3387" s="7"/>
      <c r="AY3387" s="7"/>
    </row>
    <row r="3388" spans="19:51">
      <c r="S3388" s="7"/>
      <c r="AX3388" s="7"/>
      <c r="AY3388" s="7"/>
    </row>
    <row r="3389" spans="19:51">
      <c r="S3389" s="7"/>
      <c r="AX3389" s="7"/>
      <c r="AY3389" s="7"/>
    </row>
    <row r="3390" spans="19:51">
      <c r="S3390" s="7"/>
      <c r="AX3390" s="7"/>
      <c r="AY3390" s="7"/>
    </row>
    <row r="3391" spans="19:51">
      <c r="S3391" s="7"/>
      <c r="AX3391" s="7"/>
      <c r="AY3391" s="7"/>
    </row>
    <row r="3392" spans="19:51">
      <c r="S3392" s="7"/>
      <c r="AX3392" s="7"/>
      <c r="AY3392" s="7"/>
    </row>
    <row r="3393" spans="19:51">
      <c r="S3393" s="7"/>
      <c r="AX3393" s="7"/>
      <c r="AY3393" s="7"/>
    </row>
    <row r="3394" spans="19:51">
      <c r="S3394" s="7"/>
      <c r="AX3394" s="7"/>
      <c r="AY3394" s="7"/>
    </row>
    <row r="3395" spans="19:51">
      <c r="S3395" s="7"/>
      <c r="AX3395" s="7"/>
      <c r="AY3395" s="7"/>
    </row>
    <row r="3396" spans="19:51">
      <c r="S3396" s="7"/>
      <c r="AX3396" s="7"/>
      <c r="AY3396" s="7"/>
    </row>
    <row r="3397" spans="19:51">
      <c r="S3397" s="7"/>
      <c r="AX3397" s="7"/>
      <c r="AY3397" s="7"/>
    </row>
    <row r="3398" spans="19:51">
      <c r="S3398" s="7"/>
      <c r="AX3398" s="7"/>
      <c r="AY3398" s="7"/>
    </row>
    <row r="3399" spans="19:51">
      <c r="S3399" s="7"/>
      <c r="AX3399" s="7"/>
      <c r="AY3399" s="7"/>
    </row>
    <row r="3400" spans="19:51">
      <c r="S3400" s="7"/>
      <c r="AX3400" s="7"/>
      <c r="AY3400" s="7"/>
    </row>
    <row r="3401" spans="19:51">
      <c r="S3401" s="7"/>
      <c r="AX3401" s="7"/>
      <c r="AY3401" s="7"/>
    </row>
    <row r="3402" spans="19:51">
      <c r="S3402" s="7"/>
      <c r="AX3402" s="7"/>
      <c r="AY3402" s="7"/>
    </row>
    <row r="3403" spans="19:51">
      <c r="S3403" s="7"/>
      <c r="AX3403" s="7"/>
      <c r="AY3403" s="7"/>
    </row>
    <row r="3404" spans="19:51">
      <c r="S3404" s="7"/>
      <c r="AX3404" s="7"/>
      <c r="AY3404" s="7"/>
    </row>
    <row r="3405" spans="19:51">
      <c r="S3405" s="7"/>
      <c r="AX3405" s="7"/>
      <c r="AY3405" s="7"/>
    </row>
    <row r="3406" spans="19:51">
      <c r="S3406" s="7"/>
      <c r="AX3406" s="7"/>
      <c r="AY3406" s="7"/>
    </row>
    <row r="3407" spans="19:51">
      <c r="S3407" s="7"/>
      <c r="AX3407" s="7"/>
      <c r="AY3407" s="7"/>
    </row>
    <row r="3408" spans="19:51">
      <c r="S3408" s="7"/>
      <c r="AX3408" s="7"/>
      <c r="AY3408" s="7"/>
    </row>
    <row r="3409" spans="19:51">
      <c r="S3409" s="7"/>
      <c r="AX3409" s="7"/>
      <c r="AY3409" s="7"/>
    </row>
    <row r="3410" spans="19:51">
      <c r="S3410" s="7"/>
      <c r="AX3410" s="7"/>
      <c r="AY3410" s="7"/>
    </row>
    <row r="3411" spans="19:51">
      <c r="S3411" s="7"/>
      <c r="AX3411" s="7"/>
      <c r="AY3411" s="7"/>
    </row>
    <row r="3412" spans="19:51">
      <c r="S3412" s="7"/>
      <c r="AX3412" s="7"/>
      <c r="AY3412" s="7"/>
    </row>
    <row r="3413" spans="19:51">
      <c r="S3413" s="7"/>
      <c r="AX3413" s="7"/>
      <c r="AY3413" s="7"/>
    </row>
    <row r="3414" spans="19:51">
      <c r="S3414" s="7"/>
      <c r="AX3414" s="7"/>
      <c r="AY3414" s="7"/>
    </row>
    <row r="3415" spans="19:51">
      <c r="S3415" s="7"/>
      <c r="AX3415" s="7"/>
      <c r="AY3415" s="7"/>
    </row>
    <row r="3416" spans="19:51">
      <c r="S3416" s="7"/>
      <c r="AX3416" s="7"/>
      <c r="AY3416" s="7"/>
    </row>
    <row r="3417" spans="19:51">
      <c r="S3417" s="7"/>
      <c r="AX3417" s="7"/>
      <c r="AY3417" s="7"/>
    </row>
    <row r="3418" spans="19:51">
      <c r="S3418" s="7"/>
      <c r="AX3418" s="7"/>
      <c r="AY3418" s="7"/>
    </row>
    <row r="3419" spans="19:51">
      <c r="S3419" s="7"/>
      <c r="AX3419" s="7"/>
      <c r="AY3419" s="7"/>
    </row>
    <row r="3420" spans="19:51">
      <c r="S3420" s="7"/>
      <c r="AX3420" s="7"/>
      <c r="AY3420" s="7"/>
    </row>
    <row r="3421" spans="19:51">
      <c r="S3421" s="7"/>
      <c r="AX3421" s="7"/>
      <c r="AY3421" s="7"/>
    </row>
    <row r="3422" spans="19:51">
      <c r="S3422" s="7"/>
      <c r="AX3422" s="7"/>
      <c r="AY3422" s="7"/>
    </row>
    <row r="3423" spans="19:51">
      <c r="S3423" s="7"/>
      <c r="AX3423" s="7"/>
      <c r="AY3423" s="7"/>
    </row>
    <row r="3424" spans="19:51">
      <c r="S3424" s="7"/>
      <c r="AX3424" s="7"/>
      <c r="AY3424" s="7"/>
    </row>
    <row r="3425" spans="19:51">
      <c r="S3425" s="7"/>
      <c r="AX3425" s="7"/>
      <c r="AY3425" s="7"/>
    </row>
    <row r="3426" spans="19:51">
      <c r="S3426" s="7"/>
      <c r="AX3426" s="7"/>
      <c r="AY3426" s="7"/>
    </row>
    <row r="3427" spans="19:51">
      <c r="S3427" s="7"/>
      <c r="AX3427" s="7"/>
      <c r="AY3427" s="7"/>
    </row>
    <row r="3428" spans="19:51">
      <c r="S3428" s="7"/>
      <c r="AX3428" s="7"/>
      <c r="AY3428" s="7"/>
    </row>
    <row r="3429" spans="19:51">
      <c r="S3429" s="7"/>
      <c r="AX3429" s="7"/>
      <c r="AY3429" s="7"/>
    </row>
    <row r="3430" spans="19:51">
      <c r="S3430" s="7"/>
      <c r="AX3430" s="7"/>
      <c r="AY3430" s="7"/>
    </row>
    <row r="3431" spans="19:51">
      <c r="S3431" s="7"/>
      <c r="AX3431" s="7"/>
      <c r="AY3431" s="7"/>
    </row>
    <row r="3432" spans="19:51">
      <c r="S3432" s="7"/>
      <c r="AX3432" s="7"/>
      <c r="AY3432" s="7"/>
    </row>
    <row r="3433" spans="19:51">
      <c r="S3433" s="7"/>
      <c r="AX3433" s="7"/>
      <c r="AY3433" s="7"/>
    </row>
    <row r="3434" spans="19:51">
      <c r="S3434" s="7"/>
      <c r="AX3434" s="7"/>
      <c r="AY3434" s="7"/>
    </row>
    <row r="3435" spans="19:51">
      <c r="S3435" s="7"/>
      <c r="AX3435" s="7"/>
      <c r="AY3435" s="7"/>
    </row>
    <row r="3436" spans="19:51">
      <c r="S3436" s="7"/>
      <c r="AX3436" s="7"/>
      <c r="AY3436" s="7"/>
    </row>
    <row r="3437" spans="19:51">
      <c r="S3437" s="7"/>
      <c r="AX3437" s="7"/>
      <c r="AY3437" s="7"/>
    </row>
    <row r="3438" spans="19:51">
      <c r="S3438" s="7"/>
      <c r="AX3438" s="7"/>
      <c r="AY3438" s="7"/>
    </row>
    <row r="3439" spans="19:51">
      <c r="S3439" s="7"/>
      <c r="AX3439" s="7"/>
      <c r="AY3439" s="7"/>
    </row>
    <row r="3440" spans="19:51">
      <c r="S3440" s="7"/>
      <c r="AX3440" s="7"/>
      <c r="AY3440" s="7"/>
    </row>
    <row r="3441" spans="19:51">
      <c r="S3441" s="7"/>
      <c r="AX3441" s="7"/>
      <c r="AY3441" s="7"/>
    </row>
    <row r="3442" spans="19:51">
      <c r="S3442" s="7"/>
      <c r="AX3442" s="7"/>
      <c r="AY3442" s="7"/>
    </row>
    <row r="3443" spans="19:51">
      <c r="S3443" s="7"/>
      <c r="AX3443" s="7"/>
      <c r="AY3443" s="7"/>
    </row>
    <row r="3444" spans="19:51">
      <c r="S3444" s="7"/>
      <c r="AX3444" s="7"/>
      <c r="AY3444" s="7"/>
    </row>
    <row r="3445" spans="19:51">
      <c r="S3445" s="7"/>
      <c r="AX3445" s="7"/>
      <c r="AY3445" s="7"/>
    </row>
    <row r="3446" spans="19:51">
      <c r="S3446" s="7"/>
      <c r="AX3446" s="7"/>
      <c r="AY3446" s="7"/>
    </row>
    <row r="3447" spans="19:51">
      <c r="S3447" s="7"/>
      <c r="AX3447" s="7"/>
      <c r="AY3447" s="7"/>
    </row>
    <row r="3448" spans="19:51">
      <c r="S3448" s="7"/>
      <c r="AX3448" s="7"/>
      <c r="AY3448" s="7"/>
    </row>
    <row r="3449" spans="19:51">
      <c r="S3449" s="7"/>
      <c r="AX3449" s="7"/>
      <c r="AY3449" s="7"/>
    </row>
    <row r="3450" spans="19:51">
      <c r="S3450" s="7"/>
      <c r="AX3450" s="7"/>
      <c r="AY3450" s="7"/>
    </row>
    <row r="3451" spans="19:51">
      <c r="S3451" s="7"/>
      <c r="AX3451" s="7"/>
      <c r="AY3451" s="7"/>
    </row>
    <row r="3452" spans="19:51">
      <c r="S3452" s="7"/>
      <c r="AX3452" s="7"/>
      <c r="AY3452" s="7"/>
    </row>
    <row r="3453" spans="19:51">
      <c r="S3453" s="7"/>
      <c r="AX3453" s="7"/>
      <c r="AY3453" s="7"/>
    </row>
    <row r="3454" spans="19:51">
      <c r="S3454" s="7"/>
      <c r="AX3454" s="7"/>
      <c r="AY3454" s="7"/>
    </row>
    <row r="3455" spans="19:51">
      <c r="S3455" s="7"/>
      <c r="AX3455" s="7"/>
      <c r="AY3455" s="7"/>
    </row>
    <row r="3456" spans="19:51">
      <c r="S3456" s="7"/>
      <c r="AX3456" s="7"/>
      <c r="AY3456" s="7"/>
    </row>
    <row r="3457" spans="19:51">
      <c r="S3457" s="7"/>
      <c r="AX3457" s="7"/>
      <c r="AY3457" s="7"/>
    </row>
    <row r="3458" spans="19:51">
      <c r="S3458" s="7"/>
      <c r="AX3458" s="7"/>
      <c r="AY3458" s="7"/>
    </row>
    <row r="3459" spans="19:51">
      <c r="S3459" s="7"/>
      <c r="AX3459" s="7"/>
      <c r="AY3459" s="7"/>
    </row>
    <row r="3460" spans="19:51">
      <c r="S3460" s="7"/>
      <c r="AX3460" s="7"/>
      <c r="AY3460" s="7"/>
    </row>
    <row r="3461" spans="19:51">
      <c r="S3461" s="7"/>
      <c r="AX3461" s="7"/>
      <c r="AY3461" s="7"/>
    </row>
    <row r="3462" spans="19:51">
      <c r="S3462" s="7"/>
      <c r="AX3462" s="7"/>
      <c r="AY3462" s="7"/>
    </row>
    <row r="3463" spans="19:51">
      <c r="S3463" s="7"/>
      <c r="AX3463" s="7"/>
      <c r="AY3463" s="7"/>
    </row>
    <row r="3464" spans="19:51">
      <c r="S3464" s="7"/>
      <c r="AX3464" s="7"/>
      <c r="AY3464" s="7"/>
    </row>
    <row r="3465" spans="19:51">
      <c r="S3465" s="7"/>
      <c r="AX3465" s="7"/>
      <c r="AY3465" s="7"/>
    </row>
    <row r="3466" spans="19:51">
      <c r="S3466" s="7"/>
      <c r="AX3466" s="7"/>
      <c r="AY3466" s="7"/>
    </row>
    <row r="3467" spans="19:51">
      <c r="S3467" s="7"/>
      <c r="AX3467" s="7"/>
      <c r="AY3467" s="7"/>
    </row>
    <row r="3468" spans="19:51">
      <c r="S3468" s="7"/>
      <c r="AX3468" s="7"/>
      <c r="AY3468" s="7"/>
    </row>
    <row r="3469" spans="19:51">
      <c r="S3469" s="7"/>
      <c r="AX3469" s="7"/>
      <c r="AY3469" s="7"/>
    </row>
    <row r="3470" spans="19:51">
      <c r="S3470" s="7"/>
      <c r="AX3470" s="7"/>
      <c r="AY3470" s="7"/>
    </row>
    <row r="3471" spans="19:51">
      <c r="S3471" s="7"/>
      <c r="AX3471" s="7"/>
      <c r="AY3471" s="7"/>
    </row>
    <row r="3472" spans="19:51">
      <c r="S3472" s="7"/>
      <c r="AX3472" s="7"/>
      <c r="AY3472" s="7"/>
    </row>
    <row r="3473" spans="19:51">
      <c r="S3473" s="7"/>
      <c r="AX3473" s="7"/>
      <c r="AY3473" s="7"/>
    </row>
    <row r="3474" spans="19:51">
      <c r="S3474" s="7"/>
      <c r="AX3474" s="7"/>
      <c r="AY3474" s="7"/>
    </row>
    <row r="3475" spans="19:51">
      <c r="S3475" s="7"/>
      <c r="AX3475" s="7"/>
      <c r="AY3475" s="7"/>
    </row>
    <row r="3476" spans="19:51">
      <c r="S3476" s="7"/>
      <c r="AX3476" s="7"/>
      <c r="AY3476" s="7"/>
    </row>
    <row r="3477" spans="19:51">
      <c r="S3477" s="7"/>
      <c r="AX3477" s="7"/>
      <c r="AY3477" s="7"/>
    </row>
    <row r="3478" spans="19:51">
      <c r="S3478" s="7"/>
      <c r="AX3478" s="7"/>
      <c r="AY3478" s="7"/>
    </row>
    <row r="3479" spans="19:51">
      <c r="S3479" s="7"/>
      <c r="AX3479" s="7"/>
      <c r="AY3479" s="7"/>
    </row>
    <row r="3480" spans="19:51">
      <c r="S3480" s="7"/>
      <c r="AX3480" s="7"/>
      <c r="AY3480" s="7"/>
    </row>
    <row r="3481" spans="19:51">
      <c r="S3481" s="7"/>
      <c r="AX3481" s="7"/>
      <c r="AY3481" s="7"/>
    </row>
    <row r="3482" spans="19:51">
      <c r="S3482" s="7"/>
      <c r="AX3482" s="7"/>
      <c r="AY3482" s="7"/>
    </row>
    <row r="3483" spans="19:51">
      <c r="S3483" s="7"/>
      <c r="AX3483" s="7"/>
      <c r="AY3483" s="7"/>
    </row>
    <row r="3484" spans="19:51">
      <c r="S3484" s="7"/>
      <c r="AX3484" s="7"/>
      <c r="AY3484" s="7"/>
    </row>
    <row r="3485" spans="19:51">
      <c r="S3485" s="7"/>
      <c r="AX3485" s="7"/>
      <c r="AY3485" s="7"/>
    </row>
    <row r="3486" spans="19:51">
      <c r="S3486" s="7"/>
      <c r="AX3486" s="7"/>
      <c r="AY3486" s="7"/>
    </row>
    <row r="3487" spans="19:51">
      <c r="S3487" s="7"/>
      <c r="AX3487" s="7"/>
      <c r="AY3487" s="7"/>
    </row>
    <row r="3488" spans="19:51">
      <c r="S3488" s="7"/>
      <c r="AX3488" s="7"/>
      <c r="AY3488" s="7"/>
    </row>
    <row r="3489" spans="19:51">
      <c r="S3489" s="7"/>
      <c r="AX3489" s="7"/>
      <c r="AY3489" s="7"/>
    </row>
    <row r="3490" spans="19:51">
      <c r="S3490" s="7"/>
      <c r="AX3490" s="7"/>
      <c r="AY3490" s="7"/>
    </row>
    <row r="3491" spans="19:51">
      <c r="S3491" s="7"/>
      <c r="AX3491" s="7"/>
      <c r="AY3491" s="7"/>
    </row>
    <row r="3492" spans="19:51">
      <c r="S3492" s="7"/>
      <c r="AX3492" s="7"/>
      <c r="AY3492" s="7"/>
    </row>
    <row r="3493" spans="19:51">
      <c r="S3493" s="7"/>
      <c r="AX3493" s="7"/>
      <c r="AY3493" s="7"/>
    </row>
    <row r="3494" spans="19:51">
      <c r="S3494" s="7"/>
      <c r="AX3494" s="7"/>
      <c r="AY3494" s="7"/>
    </row>
    <row r="3495" spans="19:51">
      <c r="S3495" s="7"/>
      <c r="AX3495" s="7"/>
      <c r="AY3495" s="7"/>
    </row>
    <row r="3496" spans="19:51">
      <c r="S3496" s="7"/>
      <c r="AX3496" s="7"/>
      <c r="AY3496" s="7"/>
    </row>
    <row r="3497" spans="19:51">
      <c r="S3497" s="7"/>
      <c r="AX3497" s="7"/>
      <c r="AY3497" s="7"/>
    </row>
    <row r="3498" spans="19:51">
      <c r="S3498" s="7"/>
      <c r="AX3498" s="7"/>
      <c r="AY3498" s="7"/>
    </row>
    <row r="3499" spans="19:51">
      <c r="S3499" s="7"/>
      <c r="AX3499" s="7"/>
      <c r="AY3499" s="7"/>
    </row>
    <row r="3500" spans="19:51">
      <c r="S3500" s="7"/>
      <c r="AX3500" s="7"/>
      <c r="AY3500" s="7"/>
    </row>
    <row r="3501" spans="19:51">
      <c r="S3501" s="7"/>
      <c r="AX3501" s="7"/>
      <c r="AY3501" s="7"/>
    </row>
    <row r="3502" spans="19:51">
      <c r="S3502" s="7"/>
      <c r="AX3502" s="7"/>
      <c r="AY3502" s="7"/>
    </row>
    <row r="3503" spans="19:51">
      <c r="S3503" s="7"/>
      <c r="AX3503" s="7"/>
      <c r="AY3503" s="7"/>
    </row>
    <row r="3504" spans="19:51">
      <c r="S3504" s="7"/>
      <c r="AX3504" s="7"/>
      <c r="AY3504" s="7"/>
    </row>
    <row r="3505" spans="19:51">
      <c r="S3505" s="7"/>
      <c r="AX3505" s="7"/>
      <c r="AY3505" s="7"/>
    </row>
    <row r="3506" spans="19:51">
      <c r="S3506" s="7"/>
      <c r="AX3506" s="7"/>
      <c r="AY3506" s="7"/>
    </row>
    <row r="3507" spans="19:51">
      <c r="S3507" s="7"/>
      <c r="AX3507" s="7"/>
      <c r="AY3507" s="7"/>
    </row>
    <row r="3508" spans="19:51">
      <c r="S3508" s="7"/>
      <c r="AX3508" s="7"/>
      <c r="AY3508" s="7"/>
    </row>
    <row r="3509" spans="19:51">
      <c r="S3509" s="7"/>
      <c r="AX3509" s="7"/>
      <c r="AY3509" s="7"/>
    </row>
    <row r="3510" spans="19:51">
      <c r="S3510" s="7"/>
      <c r="AX3510" s="7"/>
      <c r="AY3510" s="7"/>
    </row>
    <row r="3511" spans="19:51">
      <c r="S3511" s="7"/>
      <c r="AX3511" s="7"/>
      <c r="AY3511" s="7"/>
    </row>
    <row r="3512" spans="19:51">
      <c r="S3512" s="7"/>
      <c r="AX3512" s="7"/>
      <c r="AY3512" s="7"/>
    </row>
    <row r="3513" spans="19:51">
      <c r="S3513" s="7"/>
      <c r="AX3513" s="7"/>
      <c r="AY3513" s="7"/>
    </row>
    <row r="3514" spans="19:51">
      <c r="S3514" s="7"/>
      <c r="AX3514" s="7"/>
      <c r="AY3514" s="7"/>
    </row>
    <row r="3515" spans="19:51">
      <c r="S3515" s="7"/>
      <c r="AX3515" s="7"/>
      <c r="AY3515" s="7"/>
    </row>
    <row r="3516" spans="19:51">
      <c r="S3516" s="7"/>
      <c r="AX3516" s="7"/>
      <c r="AY3516" s="7"/>
    </row>
    <row r="3517" spans="19:51">
      <c r="S3517" s="7"/>
      <c r="AX3517" s="7"/>
      <c r="AY3517" s="7"/>
    </row>
    <row r="3518" spans="19:51">
      <c r="S3518" s="7"/>
      <c r="AX3518" s="7"/>
      <c r="AY3518" s="7"/>
    </row>
    <row r="3519" spans="19:51">
      <c r="S3519" s="7"/>
      <c r="AX3519" s="7"/>
      <c r="AY3519" s="7"/>
    </row>
    <row r="3520" spans="19:51">
      <c r="S3520" s="7"/>
      <c r="AX3520" s="7"/>
      <c r="AY3520" s="7"/>
    </row>
    <row r="3521" spans="19:51">
      <c r="S3521" s="7"/>
      <c r="AX3521" s="7"/>
      <c r="AY3521" s="7"/>
    </row>
    <row r="3522" spans="19:51">
      <c r="S3522" s="7"/>
      <c r="AX3522" s="7"/>
      <c r="AY3522" s="7"/>
    </row>
    <row r="3523" spans="19:51">
      <c r="S3523" s="7"/>
      <c r="AX3523" s="7"/>
      <c r="AY3523" s="7"/>
    </row>
    <row r="3524" spans="19:51">
      <c r="S3524" s="7"/>
      <c r="AX3524" s="7"/>
      <c r="AY3524" s="7"/>
    </row>
    <row r="3525" spans="19:51">
      <c r="S3525" s="7"/>
      <c r="AX3525" s="7"/>
      <c r="AY3525" s="7"/>
    </row>
    <row r="3526" spans="19:51">
      <c r="S3526" s="7"/>
      <c r="AX3526" s="7"/>
      <c r="AY3526" s="7"/>
    </row>
    <row r="3527" spans="19:51">
      <c r="S3527" s="7"/>
      <c r="AX3527" s="7"/>
      <c r="AY3527" s="7"/>
    </row>
    <row r="3528" spans="19:51">
      <c r="S3528" s="7"/>
      <c r="AX3528" s="7"/>
      <c r="AY3528" s="7"/>
    </row>
    <row r="3529" spans="19:51">
      <c r="S3529" s="7"/>
      <c r="AX3529" s="7"/>
      <c r="AY3529" s="7"/>
    </row>
    <row r="3530" spans="19:51">
      <c r="S3530" s="7"/>
      <c r="AX3530" s="7"/>
      <c r="AY3530" s="7"/>
    </row>
    <row r="3531" spans="19:51">
      <c r="S3531" s="7"/>
      <c r="AX3531" s="7"/>
      <c r="AY3531" s="7"/>
    </row>
    <row r="3532" spans="19:51">
      <c r="S3532" s="7"/>
      <c r="AX3532" s="7"/>
      <c r="AY3532" s="7"/>
    </row>
    <row r="3533" spans="19:51">
      <c r="S3533" s="7"/>
      <c r="AX3533" s="7"/>
      <c r="AY3533" s="7"/>
    </row>
    <row r="3534" spans="19:51">
      <c r="S3534" s="7"/>
      <c r="AX3534" s="7"/>
      <c r="AY3534" s="7"/>
    </row>
    <row r="3535" spans="19:51">
      <c r="S3535" s="7"/>
      <c r="AX3535" s="7"/>
      <c r="AY3535" s="7"/>
    </row>
    <row r="3536" spans="19:51">
      <c r="S3536" s="7"/>
      <c r="AX3536" s="7"/>
      <c r="AY3536" s="7"/>
    </row>
    <row r="3537" spans="19:51">
      <c r="S3537" s="7"/>
      <c r="AX3537" s="7"/>
      <c r="AY3537" s="7"/>
    </row>
    <row r="3538" spans="19:51">
      <c r="S3538" s="7"/>
      <c r="AX3538" s="7"/>
      <c r="AY3538" s="7"/>
    </row>
    <row r="3539" spans="19:51">
      <c r="S3539" s="7"/>
      <c r="AX3539" s="7"/>
      <c r="AY3539" s="7"/>
    </row>
    <row r="3540" spans="19:51">
      <c r="S3540" s="7"/>
      <c r="AX3540" s="7"/>
      <c r="AY3540" s="7"/>
    </row>
    <row r="3541" spans="19:51">
      <c r="S3541" s="7"/>
      <c r="AX3541" s="7"/>
      <c r="AY3541" s="7"/>
    </row>
    <row r="3542" spans="19:51">
      <c r="S3542" s="7"/>
      <c r="AX3542" s="7"/>
      <c r="AY3542" s="7"/>
    </row>
    <row r="3543" spans="19:51">
      <c r="S3543" s="7"/>
      <c r="AX3543" s="7"/>
      <c r="AY3543" s="7"/>
    </row>
    <row r="3544" spans="19:51">
      <c r="S3544" s="7"/>
      <c r="AX3544" s="7"/>
      <c r="AY3544" s="7"/>
    </row>
    <row r="3545" spans="19:51">
      <c r="S3545" s="7"/>
      <c r="AX3545" s="7"/>
      <c r="AY3545" s="7"/>
    </row>
    <row r="3546" spans="19:51">
      <c r="S3546" s="7"/>
      <c r="AX3546" s="7"/>
      <c r="AY3546" s="7"/>
    </row>
    <row r="3547" spans="19:51">
      <c r="S3547" s="7"/>
      <c r="AX3547" s="7"/>
      <c r="AY3547" s="7"/>
    </row>
    <row r="3548" spans="19:51">
      <c r="S3548" s="7"/>
      <c r="AX3548" s="7"/>
      <c r="AY3548" s="7"/>
    </row>
    <row r="3549" spans="19:51">
      <c r="S3549" s="7"/>
      <c r="AX3549" s="7"/>
      <c r="AY3549" s="7"/>
    </row>
    <row r="3550" spans="19:51">
      <c r="S3550" s="7"/>
      <c r="AX3550" s="7"/>
      <c r="AY3550" s="7"/>
    </row>
    <row r="3551" spans="19:51">
      <c r="S3551" s="7"/>
      <c r="AX3551" s="7"/>
      <c r="AY3551" s="7"/>
    </row>
    <row r="3552" spans="19:51">
      <c r="S3552" s="7"/>
      <c r="AX3552" s="7"/>
      <c r="AY3552" s="7"/>
    </row>
    <row r="3553" spans="19:51">
      <c r="S3553" s="7"/>
      <c r="AX3553" s="7"/>
      <c r="AY3553" s="7"/>
    </row>
    <row r="3554" spans="19:51">
      <c r="S3554" s="7"/>
      <c r="AX3554" s="7"/>
      <c r="AY3554" s="7"/>
    </row>
    <row r="3555" spans="19:51">
      <c r="S3555" s="7"/>
      <c r="AX3555" s="7"/>
      <c r="AY3555" s="7"/>
    </row>
    <row r="3556" spans="19:51">
      <c r="S3556" s="7"/>
      <c r="AX3556" s="7"/>
      <c r="AY3556" s="7"/>
    </row>
    <row r="3557" spans="19:51">
      <c r="S3557" s="7"/>
      <c r="AX3557" s="7"/>
      <c r="AY3557" s="7"/>
    </row>
    <row r="3558" spans="19:51">
      <c r="S3558" s="7"/>
      <c r="AX3558" s="7"/>
      <c r="AY3558" s="7"/>
    </row>
    <row r="3559" spans="19:51">
      <c r="S3559" s="7"/>
      <c r="AX3559" s="7"/>
      <c r="AY3559" s="7"/>
    </row>
    <row r="3560" spans="19:51">
      <c r="S3560" s="7"/>
      <c r="AX3560" s="7"/>
      <c r="AY3560" s="7"/>
    </row>
    <row r="3561" spans="19:51">
      <c r="S3561" s="7"/>
      <c r="AX3561" s="7"/>
      <c r="AY3561" s="7"/>
    </row>
    <row r="3562" spans="19:51">
      <c r="S3562" s="7"/>
      <c r="AX3562" s="7"/>
      <c r="AY3562" s="7"/>
    </row>
    <row r="3563" spans="19:51">
      <c r="S3563" s="7"/>
      <c r="AX3563" s="7"/>
      <c r="AY3563" s="7"/>
    </row>
    <row r="3564" spans="19:51">
      <c r="S3564" s="7"/>
      <c r="AX3564" s="7"/>
      <c r="AY3564" s="7"/>
    </row>
    <row r="3565" spans="19:51">
      <c r="S3565" s="7"/>
      <c r="AX3565" s="7"/>
      <c r="AY3565" s="7"/>
    </row>
    <row r="3566" spans="19:51">
      <c r="S3566" s="7"/>
      <c r="AX3566" s="7"/>
      <c r="AY3566" s="7"/>
    </row>
    <row r="3567" spans="19:51">
      <c r="S3567" s="7"/>
      <c r="AX3567" s="7"/>
      <c r="AY3567" s="7"/>
    </row>
    <row r="3568" spans="19:51">
      <c r="S3568" s="7"/>
      <c r="AX3568" s="7"/>
      <c r="AY3568" s="7"/>
    </row>
    <row r="3569" spans="19:51">
      <c r="S3569" s="7"/>
      <c r="AX3569" s="7"/>
      <c r="AY3569" s="7"/>
    </row>
    <row r="3570" spans="19:51">
      <c r="S3570" s="7"/>
      <c r="AX3570" s="7"/>
      <c r="AY3570" s="7"/>
    </row>
    <row r="3571" spans="19:51">
      <c r="S3571" s="7"/>
      <c r="AX3571" s="7"/>
      <c r="AY3571" s="7"/>
    </row>
    <row r="3572" spans="19:51">
      <c r="S3572" s="7"/>
      <c r="AX3572" s="7"/>
      <c r="AY3572" s="7"/>
    </row>
    <row r="3573" spans="19:51">
      <c r="S3573" s="7"/>
      <c r="AX3573" s="7"/>
      <c r="AY3573" s="7"/>
    </row>
    <row r="3574" spans="19:51">
      <c r="S3574" s="7"/>
      <c r="AX3574" s="7"/>
      <c r="AY3574" s="7"/>
    </row>
    <row r="3575" spans="19:51">
      <c r="S3575" s="7"/>
      <c r="AX3575" s="7"/>
      <c r="AY3575" s="7"/>
    </row>
    <row r="3576" spans="19:51">
      <c r="S3576" s="7"/>
      <c r="AX3576" s="7"/>
      <c r="AY3576" s="7"/>
    </row>
    <row r="3577" spans="19:51">
      <c r="S3577" s="7"/>
      <c r="AX3577" s="7"/>
      <c r="AY3577" s="7"/>
    </row>
    <row r="3578" spans="19:51">
      <c r="S3578" s="7"/>
      <c r="AX3578" s="7"/>
      <c r="AY3578" s="7"/>
    </row>
    <row r="3579" spans="19:51">
      <c r="S3579" s="7"/>
      <c r="AX3579" s="7"/>
      <c r="AY3579" s="7"/>
    </row>
    <row r="3580" spans="19:51">
      <c r="S3580" s="7"/>
      <c r="AX3580" s="7"/>
      <c r="AY3580" s="7"/>
    </row>
    <row r="3581" spans="19:51">
      <c r="S3581" s="7"/>
      <c r="AX3581" s="7"/>
      <c r="AY3581" s="7"/>
    </row>
    <row r="3582" spans="19:51">
      <c r="S3582" s="7"/>
      <c r="AX3582" s="7"/>
      <c r="AY3582" s="7"/>
    </row>
    <row r="3583" spans="19:51">
      <c r="S3583" s="7"/>
      <c r="AX3583" s="7"/>
      <c r="AY3583" s="7"/>
    </row>
    <row r="3584" spans="19:51">
      <c r="S3584" s="7"/>
      <c r="AX3584" s="7"/>
      <c r="AY3584" s="7"/>
    </row>
    <row r="3585" spans="19:51">
      <c r="S3585" s="7"/>
      <c r="AX3585" s="7"/>
      <c r="AY3585" s="7"/>
    </row>
    <row r="3586" spans="19:51">
      <c r="S3586" s="7"/>
      <c r="AX3586" s="7"/>
      <c r="AY3586" s="7"/>
    </row>
    <row r="3587" spans="19:51">
      <c r="S3587" s="7"/>
      <c r="AX3587" s="7"/>
      <c r="AY3587" s="7"/>
    </row>
    <row r="3588" spans="19:51">
      <c r="S3588" s="7"/>
      <c r="AX3588" s="7"/>
      <c r="AY3588" s="7"/>
    </row>
    <row r="3589" spans="19:51">
      <c r="S3589" s="7"/>
      <c r="AX3589" s="7"/>
      <c r="AY3589" s="7"/>
    </row>
    <row r="3590" spans="19:51">
      <c r="S3590" s="7"/>
      <c r="AX3590" s="7"/>
      <c r="AY3590" s="7"/>
    </row>
    <row r="3591" spans="19:51">
      <c r="S3591" s="7"/>
      <c r="AX3591" s="7"/>
      <c r="AY3591" s="7"/>
    </row>
    <row r="3592" spans="19:51">
      <c r="S3592" s="7"/>
      <c r="AX3592" s="7"/>
      <c r="AY3592" s="7"/>
    </row>
    <row r="3593" spans="19:51">
      <c r="S3593" s="7"/>
      <c r="AX3593" s="7"/>
      <c r="AY3593" s="7"/>
    </row>
    <row r="3594" spans="19:51">
      <c r="S3594" s="7"/>
      <c r="AX3594" s="7"/>
      <c r="AY3594" s="7"/>
    </row>
    <row r="3595" spans="19:51">
      <c r="S3595" s="7"/>
      <c r="AX3595" s="7"/>
      <c r="AY3595" s="7"/>
    </row>
    <row r="3596" spans="19:51">
      <c r="S3596" s="7"/>
      <c r="AX3596" s="7"/>
      <c r="AY3596" s="7"/>
    </row>
    <row r="3597" spans="19:51">
      <c r="S3597" s="7"/>
      <c r="AX3597" s="7"/>
      <c r="AY3597" s="7"/>
    </row>
    <row r="3598" spans="19:51">
      <c r="S3598" s="7"/>
      <c r="AX3598" s="7"/>
      <c r="AY3598" s="7"/>
    </row>
    <row r="3599" spans="19:51">
      <c r="S3599" s="7"/>
      <c r="AX3599" s="7"/>
      <c r="AY3599" s="7"/>
    </row>
    <row r="3600" spans="19:51">
      <c r="S3600" s="7"/>
      <c r="AX3600" s="7"/>
      <c r="AY3600" s="7"/>
    </row>
    <row r="3601" spans="19:51">
      <c r="S3601" s="7"/>
      <c r="AX3601" s="7"/>
      <c r="AY3601" s="7"/>
    </row>
    <row r="3602" spans="19:51">
      <c r="S3602" s="7"/>
      <c r="AX3602" s="7"/>
      <c r="AY3602" s="7"/>
    </row>
    <row r="3603" spans="19:51">
      <c r="S3603" s="7"/>
      <c r="AX3603" s="7"/>
      <c r="AY3603" s="7"/>
    </row>
    <row r="3604" spans="19:51">
      <c r="S3604" s="7"/>
      <c r="AX3604" s="7"/>
      <c r="AY3604" s="7"/>
    </row>
    <row r="3605" spans="19:51">
      <c r="S3605" s="7"/>
      <c r="AX3605" s="7"/>
      <c r="AY3605" s="7"/>
    </row>
    <row r="3606" spans="19:51">
      <c r="S3606" s="7"/>
      <c r="AX3606" s="7"/>
      <c r="AY3606" s="7"/>
    </row>
    <row r="3607" spans="19:51">
      <c r="S3607" s="7"/>
      <c r="AX3607" s="7"/>
      <c r="AY3607" s="7"/>
    </row>
    <row r="3608" spans="19:51">
      <c r="S3608" s="7"/>
      <c r="AX3608" s="7"/>
      <c r="AY3608" s="7"/>
    </row>
    <row r="3609" spans="19:51">
      <c r="S3609" s="7"/>
      <c r="AX3609" s="7"/>
      <c r="AY3609" s="7"/>
    </row>
    <row r="3610" spans="19:51">
      <c r="S3610" s="7"/>
      <c r="AX3610" s="7"/>
      <c r="AY3610" s="7"/>
    </row>
    <row r="3611" spans="19:51">
      <c r="S3611" s="7"/>
      <c r="AX3611" s="7"/>
      <c r="AY3611" s="7"/>
    </row>
    <row r="3612" spans="19:51">
      <c r="S3612" s="7"/>
      <c r="AX3612" s="7"/>
      <c r="AY3612" s="7"/>
    </row>
    <row r="3613" spans="19:51">
      <c r="S3613" s="7"/>
      <c r="AX3613" s="7"/>
      <c r="AY3613" s="7"/>
    </row>
    <row r="3614" spans="19:51">
      <c r="S3614" s="7"/>
      <c r="AX3614" s="7"/>
      <c r="AY3614" s="7"/>
    </row>
    <row r="3615" spans="19:51">
      <c r="S3615" s="7"/>
      <c r="AX3615" s="7"/>
      <c r="AY3615" s="7"/>
    </row>
    <row r="3616" spans="19:51">
      <c r="S3616" s="7"/>
      <c r="AX3616" s="7"/>
      <c r="AY3616" s="7"/>
    </row>
    <row r="3617" spans="19:51">
      <c r="S3617" s="7"/>
      <c r="AX3617" s="7"/>
      <c r="AY3617" s="7"/>
    </row>
    <row r="3618" spans="19:51">
      <c r="S3618" s="7"/>
      <c r="AX3618" s="7"/>
      <c r="AY3618" s="7"/>
    </row>
    <row r="3619" spans="19:51">
      <c r="S3619" s="7"/>
      <c r="AX3619" s="7"/>
      <c r="AY3619" s="7"/>
    </row>
    <row r="3620" spans="19:51">
      <c r="S3620" s="7"/>
      <c r="AX3620" s="7"/>
      <c r="AY3620" s="7"/>
    </row>
    <row r="3621" spans="19:51">
      <c r="S3621" s="7"/>
      <c r="AX3621" s="7"/>
      <c r="AY3621" s="7"/>
    </row>
    <row r="3622" spans="19:51">
      <c r="S3622" s="7"/>
      <c r="AX3622" s="7"/>
      <c r="AY3622" s="7"/>
    </row>
    <row r="3623" spans="19:51">
      <c r="S3623" s="7"/>
      <c r="AX3623" s="7"/>
      <c r="AY3623" s="7"/>
    </row>
    <row r="3624" spans="19:51">
      <c r="S3624" s="7"/>
      <c r="AX3624" s="7"/>
      <c r="AY3624" s="7"/>
    </row>
    <row r="3625" spans="19:51">
      <c r="S3625" s="7"/>
      <c r="AX3625" s="7"/>
      <c r="AY3625" s="7"/>
    </row>
    <row r="3626" spans="19:51">
      <c r="S3626" s="7"/>
      <c r="AX3626" s="7"/>
      <c r="AY3626" s="7"/>
    </row>
    <row r="3627" spans="19:51">
      <c r="S3627" s="7"/>
      <c r="AX3627" s="7"/>
      <c r="AY3627" s="7"/>
    </row>
    <row r="3628" spans="19:51">
      <c r="S3628" s="7"/>
      <c r="AX3628" s="7"/>
      <c r="AY3628" s="7"/>
    </row>
    <row r="3629" spans="19:51">
      <c r="S3629" s="7"/>
      <c r="AX3629" s="7"/>
      <c r="AY3629" s="7"/>
    </row>
    <row r="3630" spans="19:51">
      <c r="S3630" s="7"/>
      <c r="AX3630" s="7"/>
      <c r="AY3630" s="7"/>
    </row>
    <row r="3631" spans="19:51">
      <c r="S3631" s="7"/>
      <c r="AX3631" s="7"/>
      <c r="AY3631" s="7"/>
    </row>
    <row r="3632" spans="19:51">
      <c r="S3632" s="7"/>
      <c r="AX3632" s="7"/>
      <c r="AY3632" s="7"/>
    </row>
    <row r="3633" spans="19:51">
      <c r="S3633" s="7"/>
      <c r="AX3633" s="7"/>
      <c r="AY3633" s="7"/>
    </row>
    <row r="3634" spans="19:51">
      <c r="S3634" s="7"/>
      <c r="AX3634" s="7"/>
      <c r="AY3634" s="7"/>
    </row>
    <row r="3635" spans="19:51">
      <c r="S3635" s="7"/>
      <c r="AX3635" s="7"/>
      <c r="AY3635" s="7"/>
    </row>
    <row r="3636" spans="19:51">
      <c r="S3636" s="7"/>
      <c r="AX3636" s="7"/>
      <c r="AY3636" s="7"/>
    </row>
    <row r="3637" spans="19:51">
      <c r="S3637" s="7"/>
      <c r="AX3637" s="7"/>
      <c r="AY3637" s="7"/>
    </row>
    <row r="3638" spans="19:51">
      <c r="S3638" s="7"/>
      <c r="AX3638" s="7"/>
      <c r="AY3638" s="7"/>
    </row>
    <row r="3639" spans="19:51">
      <c r="S3639" s="7"/>
      <c r="AX3639" s="7"/>
      <c r="AY3639" s="7"/>
    </row>
    <row r="3640" spans="19:51">
      <c r="S3640" s="7"/>
      <c r="AX3640" s="7"/>
      <c r="AY3640" s="7"/>
    </row>
    <row r="3641" spans="19:51">
      <c r="S3641" s="7"/>
      <c r="AX3641" s="7"/>
      <c r="AY3641" s="7"/>
    </row>
    <row r="3642" spans="19:51">
      <c r="S3642" s="7"/>
      <c r="AX3642" s="7"/>
      <c r="AY3642" s="7"/>
    </row>
    <row r="3643" spans="19:51">
      <c r="S3643" s="7"/>
      <c r="AX3643" s="7"/>
      <c r="AY3643" s="7"/>
    </row>
    <row r="3644" spans="19:51">
      <c r="S3644" s="7"/>
      <c r="AX3644" s="7"/>
      <c r="AY3644" s="7"/>
    </row>
    <row r="3645" spans="19:51">
      <c r="S3645" s="7"/>
      <c r="AX3645" s="7"/>
      <c r="AY3645" s="7"/>
    </row>
    <row r="3646" spans="19:51">
      <c r="S3646" s="7"/>
      <c r="AX3646" s="7"/>
      <c r="AY3646" s="7"/>
    </row>
    <row r="3647" spans="19:51">
      <c r="S3647" s="7"/>
      <c r="AX3647" s="7"/>
      <c r="AY3647" s="7"/>
    </row>
    <row r="3648" spans="19:51">
      <c r="S3648" s="7"/>
      <c r="AX3648" s="7"/>
      <c r="AY3648" s="7"/>
    </row>
    <row r="3649" spans="19:51">
      <c r="S3649" s="7"/>
      <c r="AX3649" s="7"/>
      <c r="AY3649" s="7"/>
    </row>
    <row r="3650" spans="19:51">
      <c r="S3650" s="7"/>
      <c r="AX3650" s="7"/>
      <c r="AY3650" s="7"/>
    </row>
    <row r="3651" spans="19:51">
      <c r="S3651" s="7"/>
      <c r="AX3651" s="7"/>
      <c r="AY3651" s="7"/>
    </row>
    <row r="3652" spans="19:51">
      <c r="S3652" s="7"/>
      <c r="AX3652" s="7"/>
      <c r="AY3652" s="7"/>
    </row>
    <row r="3653" spans="19:51">
      <c r="S3653" s="7"/>
      <c r="AX3653" s="7"/>
      <c r="AY3653" s="7"/>
    </row>
    <row r="3654" spans="19:51">
      <c r="S3654" s="7"/>
      <c r="AX3654" s="7"/>
      <c r="AY3654" s="7"/>
    </row>
    <row r="3655" spans="19:51">
      <c r="S3655" s="7"/>
      <c r="AX3655" s="7"/>
      <c r="AY3655" s="7"/>
    </row>
    <row r="3656" spans="19:51">
      <c r="S3656" s="7"/>
      <c r="AX3656" s="7"/>
      <c r="AY3656" s="7"/>
    </row>
    <row r="3657" spans="19:51">
      <c r="S3657" s="7"/>
      <c r="AX3657" s="7"/>
      <c r="AY3657" s="7"/>
    </row>
    <row r="3658" spans="19:51">
      <c r="S3658" s="7"/>
      <c r="AX3658" s="7"/>
      <c r="AY3658" s="7"/>
    </row>
    <row r="3659" spans="19:51">
      <c r="S3659" s="7"/>
      <c r="AX3659" s="7"/>
      <c r="AY3659" s="7"/>
    </row>
    <row r="3660" spans="19:51">
      <c r="S3660" s="7"/>
      <c r="AX3660" s="7"/>
      <c r="AY3660" s="7"/>
    </row>
    <row r="3661" spans="19:51">
      <c r="S3661" s="7"/>
      <c r="AX3661" s="7"/>
      <c r="AY3661" s="7"/>
    </row>
    <row r="3662" spans="19:51">
      <c r="S3662" s="7"/>
      <c r="AX3662" s="7"/>
      <c r="AY3662" s="7"/>
    </row>
    <row r="3663" spans="19:51">
      <c r="S3663" s="7"/>
      <c r="AX3663" s="7"/>
      <c r="AY3663" s="7"/>
    </row>
    <row r="3664" spans="19:51">
      <c r="S3664" s="7"/>
      <c r="AX3664" s="7"/>
      <c r="AY3664" s="7"/>
    </row>
    <row r="3665" spans="19:51">
      <c r="S3665" s="7"/>
      <c r="AX3665" s="7"/>
      <c r="AY3665" s="7"/>
    </row>
    <row r="3666" spans="19:51">
      <c r="S3666" s="7"/>
      <c r="AX3666" s="7"/>
      <c r="AY3666" s="7"/>
    </row>
    <row r="3667" spans="19:51">
      <c r="S3667" s="7"/>
      <c r="AX3667" s="7"/>
      <c r="AY3667" s="7"/>
    </row>
    <row r="3668" spans="19:51">
      <c r="S3668" s="7"/>
      <c r="AX3668" s="7"/>
      <c r="AY3668" s="7"/>
    </row>
    <row r="3669" spans="19:51">
      <c r="S3669" s="7"/>
      <c r="AX3669" s="7"/>
      <c r="AY3669" s="7"/>
    </row>
    <row r="3670" spans="19:51">
      <c r="S3670" s="7"/>
      <c r="AX3670" s="7"/>
      <c r="AY3670" s="7"/>
    </row>
    <row r="3671" spans="19:51">
      <c r="S3671" s="7"/>
      <c r="AX3671" s="7"/>
      <c r="AY3671" s="7"/>
    </row>
    <row r="3672" spans="19:51">
      <c r="S3672" s="7"/>
      <c r="AX3672" s="7"/>
      <c r="AY3672" s="7"/>
    </row>
    <row r="3673" spans="19:51">
      <c r="S3673" s="7"/>
      <c r="AX3673" s="7"/>
      <c r="AY3673" s="7"/>
    </row>
    <row r="3674" spans="19:51">
      <c r="S3674" s="7"/>
      <c r="AX3674" s="7"/>
      <c r="AY3674" s="7"/>
    </row>
    <row r="3675" spans="19:51">
      <c r="S3675" s="7"/>
      <c r="AX3675" s="7"/>
      <c r="AY3675" s="7"/>
    </row>
    <row r="3676" spans="19:51">
      <c r="S3676" s="7"/>
      <c r="AX3676" s="7"/>
      <c r="AY3676" s="7"/>
    </row>
    <row r="3677" spans="19:51">
      <c r="S3677" s="7"/>
      <c r="AX3677" s="7"/>
      <c r="AY3677" s="7"/>
    </row>
    <row r="3678" spans="19:51">
      <c r="S3678" s="7"/>
      <c r="AX3678" s="7"/>
      <c r="AY3678" s="7"/>
    </row>
    <row r="3679" spans="19:51">
      <c r="S3679" s="7"/>
      <c r="AX3679" s="7"/>
      <c r="AY3679" s="7"/>
    </row>
    <row r="3680" spans="19:51">
      <c r="S3680" s="7"/>
      <c r="AX3680" s="7"/>
      <c r="AY3680" s="7"/>
    </row>
    <row r="3681" spans="19:51">
      <c r="S3681" s="7"/>
      <c r="AX3681" s="7"/>
      <c r="AY3681" s="7"/>
    </row>
    <row r="3682" spans="19:51">
      <c r="S3682" s="7"/>
      <c r="AX3682" s="7"/>
      <c r="AY3682" s="7"/>
    </row>
    <row r="3683" spans="19:51">
      <c r="S3683" s="7"/>
      <c r="AX3683" s="7"/>
      <c r="AY3683" s="7"/>
    </row>
    <row r="3684" spans="19:51">
      <c r="S3684" s="7"/>
      <c r="AX3684" s="7"/>
      <c r="AY3684" s="7"/>
    </row>
    <row r="3685" spans="19:51">
      <c r="S3685" s="7"/>
      <c r="AX3685" s="7"/>
      <c r="AY3685" s="7"/>
    </row>
    <row r="3686" spans="19:51">
      <c r="S3686" s="7"/>
      <c r="AX3686" s="7"/>
      <c r="AY3686" s="7"/>
    </row>
    <row r="3687" spans="19:51">
      <c r="S3687" s="7"/>
      <c r="AX3687" s="7"/>
      <c r="AY3687" s="7"/>
    </row>
    <row r="3688" spans="19:51">
      <c r="S3688" s="7"/>
      <c r="AX3688" s="7"/>
      <c r="AY3688" s="7"/>
    </row>
    <row r="3689" spans="19:51">
      <c r="S3689" s="7"/>
      <c r="AX3689" s="7"/>
      <c r="AY3689" s="7"/>
    </row>
    <row r="3690" spans="19:51">
      <c r="S3690" s="7"/>
      <c r="AX3690" s="7"/>
      <c r="AY3690" s="7"/>
    </row>
    <row r="3691" spans="19:51">
      <c r="S3691" s="7"/>
      <c r="AX3691" s="7"/>
      <c r="AY3691" s="7"/>
    </row>
    <row r="3692" spans="19:51">
      <c r="S3692" s="7"/>
      <c r="AX3692" s="7"/>
      <c r="AY3692" s="7"/>
    </row>
    <row r="3693" spans="19:51">
      <c r="S3693" s="7"/>
      <c r="AX3693" s="7"/>
      <c r="AY3693" s="7"/>
    </row>
    <row r="3694" spans="19:51">
      <c r="S3694" s="7"/>
      <c r="AX3694" s="7"/>
      <c r="AY3694" s="7"/>
    </row>
    <row r="3695" spans="19:51">
      <c r="S3695" s="7"/>
      <c r="AX3695" s="7"/>
      <c r="AY3695" s="7"/>
    </row>
    <row r="3696" spans="19:51">
      <c r="S3696" s="7"/>
      <c r="AX3696" s="7"/>
      <c r="AY3696" s="7"/>
    </row>
    <row r="3697" spans="19:51">
      <c r="S3697" s="7"/>
      <c r="AX3697" s="7"/>
      <c r="AY3697" s="7"/>
    </row>
    <row r="3698" spans="19:51">
      <c r="S3698" s="7"/>
      <c r="AX3698" s="7"/>
      <c r="AY3698" s="7"/>
    </row>
    <row r="3699" spans="19:51">
      <c r="S3699" s="7"/>
      <c r="AX3699" s="7"/>
      <c r="AY3699" s="7"/>
    </row>
    <row r="3700" spans="19:51">
      <c r="S3700" s="7"/>
      <c r="AX3700" s="7"/>
      <c r="AY3700" s="7"/>
    </row>
    <row r="3701" spans="19:51">
      <c r="S3701" s="7"/>
      <c r="AX3701" s="7"/>
      <c r="AY3701" s="7"/>
    </row>
    <row r="3702" spans="19:51">
      <c r="S3702" s="7"/>
      <c r="AX3702" s="7"/>
      <c r="AY3702" s="7"/>
    </row>
    <row r="3703" spans="19:51">
      <c r="S3703" s="7"/>
      <c r="AX3703" s="7"/>
      <c r="AY3703" s="7"/>
    </row>
    <row r="3704" spans="19:51">
      <c r="S3704" s="7"/>
      <c r="AX3704" s="7"/>
      <c r="AY3704" s="7"/>
    </row>
    <row r="3705" spans="19:51">
      <c r="S3705" s="7"/>
      <c r="AX3705" s="7"/>
      <c r="AY3705" s="7"/>
    </row>
    <row r="3706" spans="19:51">
      <c r="S3706" s="7"/>
      <c r="AX3706" s="7"/>
      <c r="AY3706" s="7"/>
    </row>
    <row r="3707" spans="19:51">
      <c r="S3707" s="7"/>
      <c r="AX3707" s="7"/>
      <c r="AY3707" s="7"/>
    </row>
    <row r="3708" spans="19:51">
      <c r="S3708" s="7"/>
      <c r="AX3708" s="7"/>
      <c r="AY3708" s="7"/>
    </row>
    <row r="3709" spans="19:51">
      <c r="S3709" s="7"/>
      <c r="AX3709" s="7"/>
      <c r="AY3709" s="7"/>
    </row>
    <row r="3710" spans="19:51">
      <c r="S3710" s="7"/>
      <c r="AX3710" s="7"/>
      <c r="AY3710" s="7"/>
    </row>
    <row r="3711" spans="19:51">
      <c r="S3711" s="7"/>
      <c r="AX3711" s="7"/>
      <c r="AY3711" s="7"/>
    </row>
    <row r="3712" spans="19:51">
      <c r="S3712" s="7"/>
      <c r="AX3712" s="7"/>
      <c r="AY3712" s="7"/>
    </row>
    <row r="3713" spans="19:51">
      <c r="S3713" s="7"/>
      <c r="AX3713" s="7"/>
      <c r="AY3713" s="7"/>
    </row>
    <row r="3714" spans="19:51">
      <c r="S3714" s="7"/>
      <c r="AX3714" s="7"/>
      <c r="AY3714" s="7"/>
    </row>
    <row r="3715" spans="19:51">
      <c r="S3715" s="7"/>
      <c r="AX3715" s="7"/>
      <c r="AY3715" s="7"/>
    </row>
    <row r="3716" spans="19:51">
      <c r="S3716" s="7"/>
      <c r="AX3716" s="7"/>
      <c r="AY3716" s="7"/>
    </row>
    <row r="3717" spans="19:51">
      <c r="S3717" s="7"/>
      <c r="AX3717" s="7"/>
      <c r="AY3717" s="7"/>
    </row>
    <row r="3718" spans="19:51">
      <c r="S3718" s="7"/>
      <c r="AX3718" s="7"/>
      <c r="AY3718" s="7"/>
    </row>
    <row r="3719" spans="19:51">
      <c r="S3719" s="7"/>
      <c r="AX3719" s="7"/>
      <c r="AY3719" s="7"/>
    </row>
    <row r="3720" spans="19:51">
      <c r="S3720" s="7"/>
      <c r="AX3720" s="7"/>
      <c r="AY3720" s="7"/>
    </row>
    <row r="3721" spans="19:51">
      <c r="S3721" s="7"/>
      <c r="AX3721" s="7"/>
      <c r="AY3721" s="7"/>
    </row>
    <row r="3722" spans="19:51">
      <c r="S3722" s="7"/>
      <c r="AX3722" s="7"/>
      <c r="AY3722" s="7"/>
    </row>
    <row r="3723" spans="19:51">
      <c r="S3723" s="7"/>
      <c r="AX3723" s="7"/>
      <c r="AY3723" s="7"/>
    </row>
    <row r="3724" spans="19:51">
      <c r="S3724" s="7"/>
      <c r="AX3724" s="7"/>
      <c r="AY3724" s="7"/>
    </row>
    <row r="3725" spans="19:51">
      <c r="S3725" s="7"/>
      <c r="AX3725" s="7"/>
      <c r="AY3725" s="7"/>
    </row>
    <row r="3726" spans="19:51">
      <c r="S3726" s="7"/>
      <c r="AX3726" s="7"/>
      <c r="AY3726" s="7"/>
    </row>
    <row r="3727" spans="19:51">
      <c r="S3727" s="7"/>
      <c r="AX3727" s="7"/>
      <c r="AY3727" s="7"/>
    </row>
    <row r="3728" spans="19:51">
      <c r="S3728" s="7"/>
      <c r="AX3728" s="7"/>
      <c r="AY3728" s="7"/>
    </row>
    <row r="3729" spans="19:51">
      <c r="S3729" s="7"/>
      <c r="AX3729" s="7"/>
      <c r="AY3729" s="7"/>
    </row>
    <row r="3730" spans="19:51">
      <c r="S3730" s="7"/>
      <c r="AX3730" s="7"/>
      <c r="AY3730" s="7"/>
    </row>
    <row r="3731" spans="19:51">
      <c r="S3731" s="7"/>
      <c r="AX3731" s="7"/>
      <c r="AY3731" s="7"/>
    </row>
    <row r="3732" spans="19:51">
      <c r="S3732" s="7"/>
      <c r="AX3732" s="7"/>
      <c r="AY3732" s="7"/>
    </row>
    <row r="3733" spans="19:51">
      <c r="S3733" s="7"/>
      <c r="AX3733" s="7"/>
      <c r="AY3733" s="7"/>
    </row>
    <row r="3734" spans="19:51">
      <c r="S3734" s="7"/>
      <c r="AX3734" s="7"/>
      <c r="AY3734" s="7"/>
    </row>
    <row r="3735" spans="19:51">
      <c r="S3735" s="7"/>
      <c r="AX3735" s="7"/>
      <c r="AY3735" s="7"/>
    </row>
    <row r="3736" spans="19:51">
      <c r="S3736" s="7"/>
      <c r="AX3736" s="7"/>
      <c r="AY3736" s="7"/>
    </row>
    <row r="3737" spans="19:51">
      <c r="S3737" s="7"/>
      <c r="AX3737" s="7"/>
      <c r="AY3737" s="7"/>
    </row>
    <row r="3738" spans="19:51">
      <c r="S3738" s="7"/>
      <c r="AX3738" s="7"/>
      <c r="AY3738" s="7"/>
    </row>
    <row r="3739" spans="19:51">
      <c r="S3739" s="7"/>
      <c r="AX3739" s="7"/>
      <c r="AY3739" s="7"/>
    </row>
    <row r="3740" spans="19:51">
      <c r="S3740" s="7"/>
      <c r="AX3740" s="7"/>
      <c r="AY3740" s="7"/>
    </row>
    <row r="3741" spans="19:51">
      <c r="S3741" s="7"/>
      <c r="AX3741" s="7"/>
      <c r="AY3741" s="7"/>
    </row>
    <row r="3742" spans="19:51">
      <c r="S3742" s="7"/>
      <c r="AX3742" s="7"/>
      <c r="AY3742" s="7"/>
    </row>
    <row r="3743" spans="19:51">
      <c r="S3743" s="7"/>
      <c r="AX3743" s="7"/>
      <c r="AY3743" s="7"/>
    </row>
    <row r="3744" spans="19:51">
      <c r="S3744" s="7"/>
      <c r="AX3744" s="7"/>
      <c r="AY3744" s="7"/>
    </row>
    <row r="3745" spans="19:51">
      <c r="S3745" s="7"/>
      <c r="AX3745" s="7"/>
      <c r="AY3745" s="7"/>
    </row>
    <row r="3746" spans="19:51">
      <c r="S3746" s="7"/>
      <c r="AX3746" s="7"/>
      <c r="AY3746" s="7"/>
    </row>
    <row r="3747" spans="19:51">
      <c r="S3747" s="7"/>
      <c r="AX3747" s="7"/>
      <c r="AY3747" s="7"/>
    </row>
    <row r="3748" spans="19:51">
      <c r="S3748" s="7"/>
      <c r="AX3748" s="7"/>
      <c r="AY3748" s="7"/>
    </row>
    <row r="3749" spans="19:51">
      <c r="S3749" s="7"/>
      <c r="AX3749" s="7"/>
      <c r="AY3749" s="7"/>
    </row>
    <row r="3750" spans="19:51">
      <c r="S3750" s="7"/>
      <c r="AX3750" s="7"/>
      <c r="AY3750" s="7"/>
    </row>
    <row r="3751" spans="19:51">
      <c r="S3751" s="7"/>
      <c r="AX3751" s="7"/>
      <c r="AY3751" s="7"/>
    </row>
    <row r="3752" spans="19:51">
      <c r="S3752" s="7"/>
      <c r="AX3752" s="7"/>
      <c r="AY3752" s="7"/>
    </row>
    <row r="3753" spans="19:51">
      <c r="S3753" s="7"/>
      <c r="AX3753" s="7"/>
      <c r="AY3753" s="7"/>
    </row>
    <row r="3754" spans="19:51">
      <c r="S3754" s="7"/>
      <c r="AX3754" s="7"/>
      <c r="AY3754" s="7"/>
    </row>
    <row r="3755" spans="19:51">
      <c r="S3755" s="7"/>
      <c r="AX3755" s="7"/>
      <c r="AY3755" s="7"/>
    </row>
    <row r="3756" spans="19:51">
      <c r="S3756" s="7"/>
      <c r="AX3756" s="7"/>
      <c r="AY3756" s="7"/>
    </row>
    <row r="3757" spans="19:51">
      <c r="S3757" s="7"/>
      <c r="AX3757" s="7"/>
      <c r="AY3757" s="7"/>
    </row>
    <row r="3758" spans="19:51">
      <c r="S3758" s="7"/>
      <c r="AX3758" s="7"/>
      <c r="AY3758" s="7"/>
    </row>
    <row r="3759" spans="19:51">
      <c r="S3759" s="7"/>
      <c r="AX3759" s="7"/>
      <c r="AY3759" s="7"/>
    </row>
    <row r="3760" spans="19:51">
      <c r="S3760" s="7"/>
      <c r="AX3760" s="7"/>
      <c r="AY3760" s="7"/>
    </row>
    <row r="3761" spans="19:51">
      <c r="S3761" s="7"/>
      <c r="AX3761" s="7"/>
      <c r="AY3761" s="7"/>
    </row>
    <row r="3762" spans="19:51">
      <c r="S3762" s="7"/>
      <c r="AX3762" s="7"/>
      <c r="AY3762" s="7"/>
    </row>
    <row r="3763" spans="19:51">
      <c r="S3763" s="7"/>
      <c r="AX3763" s="7"/>
      <c r="AY3763" s="7"/>
    </row>
    <row r="3764" spans="19:51">
      <c r="S3764" s="7"/>
      <c r="AX3764" s="7"/>
      <c r="AY3764" s="7"/>
    </row>
    <row r="3765" spans="19:51">
      <c r="S3765" s="7"/>
      <c r="AX3765" s="7"/>
      <c r="AY3765" s="7"/>
    </row>
    <row r="3766" spans="19:51">
      <c r="S3766" s="7"/>
      <c r="AX3766" s="7"/>
      <c r="AY3766" s="7"/>
    </row>
    <row r="3767" spans="19:51">
      <c r="S3767" s="7"/>
      <c r="AX3767" s="7"/>
      <c r="AY3767" s="7"/>
    </row>
    <row r="3768" spans="19:51">
      <c r="S3768" s="7"/>
      <c r="AX3768" s="7"/>
      <c r="AY3768" s="7"/>
    </row>
    <row r="3769" spans="19:51">
      <c r="S3769" s="7"/>
      <c r="AX3769" s="7"/>
      <c r="AY3769" s="7"/>
    </row>
    <row r="3770" spans="19:51">
      <c r="S3770" s="7"/>
      <c r="AX3770" s="7"/>
      <c r="AY3770" s="7"/>
    </row>
    <row r="3771" spans="19:51">
      <c r="S3771" s="7"/>
      <c r="AX3771" s="7"/>
      <c r="AY3771" s="7"/>
    </row>
    <row r="3772" spans="19:51">
      <c r="S3772" s="7"/>
      <c r="AX3772" s="7"/>
      <c r="AY3772" s="7"/>
    </row>
    <row r="3773" spans="19:51">
      <c r="S3773" s="7"/>
      <c r="AX3773" s="7"/>
      <c r="AY3773" s="7"/>
    </row>
    <row r="3774" spans="19:51">
      <c r="S3774" s="7"/>
      <c r="AX3774" s="7"/>
      <c r="AY3774" s="7"/>
    </row>
    <row r="3775" spans="19:51">
      <c r="S3775" s="7"/>
      <c r="AX3775" s="7"/>
      <c r="AY3775" s="7"/>
    </row>
    <row r="3776" spans="19:51">
      <c r="S3776" s="7"/>
      <c r="AX3776" s="7"/>
      <c r="AY3776" s="7"/>
    </row>
    <row r="3777" spans="19:51">
      <c r="S3777" s="7"/>
      <c r="AX3777" s="7"/>
      <c r="AY3777" s="7"/>
    </row>
    <row r="3778" spans="19:51">
      <c r="S3778" s="7"/>
      <c r="AX3778" s="7"/>
      <c r="AY3778" s="7"/>
    </row>
    <row r="3779" spans="19:51">
      <c r="S3779" s="7"/>
      <c r="AX3779" s="7"/>
      <c r="AY3779" s="7"/>
    </row>
    <row r="3780" spans="19:51">
      <c r="S3780" s="7"/>
      <c r="AX3780" s="7"/>
      <c r="AY3780" s="7"/>
    </row>
    <row r="3781" spans="19:51">
      <c r="S3781" s="7"/>
      <c r="AX3781" s="7"/>
      <c r="AY3781" s="7"/>
    </row>
    <row r="3782" spans="19:51">
      <c r="S3782" s="7"/>
      <c r="AX3782" s="7"/>
      <c r="AY3782" s="7"/>
    </row>
    <row r="3783" spans="19:51">
      <c r="S3783" s="7"/>
      <c r="AX3783" s="7"/>
      <c r="AY3783" s="7"/>
    </row>
    <row r="3784" spans="19:51">
      <c r="S3784" s="7"/>
      <c r="AX3784" s="7"/>
      <c r="AY3784" s="7"/>
    </row>
    <row r="3785" spans="19:51">
      <c r="S3785" s="7"/>
      <c r="AX3785" s="7"/>
      <c r="AY3785" s="7"/>
    </row>
    <row r="3786" spans="19:51">
      <c r="S3786" s="7"/>
      <c r="AX3786" s="7"/>
      <c r="AY3786" s="7"/>
    </row>
    <row r="3787" spans="19:51">
      <c r="S3787" s="7"/>
      <c r="AX3787" s="7"/>
      <c r="AY3787" s="7"/>
    </row>
    <row r="3788" spans="19:51">
      <c r="S3788" s="7"/>
      <c r="AX3788" s="7"/>
      <c r="AY3788" s="7"/>
    </row>
    <row r="3789" spans="19:51">
      <c r="S3789" s="7"/>
      <c r="AX3789" s="7"/>
      <c r="AY3789" s="7"/>
    </row>
    <row r="3790" spans="19:51">
      <c r="S3790" s="7"/>
      <c r="AX3790" s="7"/>
      <c r="AY3790" s="7"/>
    </row>
    <row r="3791" spans="19:51">
      <c r="S3791" s="7"/>
      <c r="AX3791" s="7"/>
      <c r="AY3791" s="7"/>
    </row>
    <row r="3792" spans="19:51">
      <c r="S3792" s="7"/>
      <c r="AX3792" s="7"/>
      <c r="AY3792" s="7"/>
    </row>
    <row r="3793" spans="19:51">
      <c r="S3793" s="7"/>
      <c r="AX3793" s="7"/>
      <c r="AY3793" s="7"/>
    </row>
    <row r="3794" spans="19:51">
      <c r="S3794" s="7"/>
      <c r="AX3794" s="7"/>
      <c r="AY3794" s="7"/>
    </row>
    <row r="3795" spans="19:51">
      <c r="S3795" s="7"/>
      <c r="AX3795" s="7"/>
      <c r="AY3795" s="7"/>
    </row>
    <row r="3796" spans="19:51">
      <c r="S3796" s="7"/>
      <c r="AX3796" s="7"/>
      <c r="AY3796" s="7"/>
    </row>
    <row r="3797" spans="19:51">
      <c r="S3797" s="7"/>
      <c r="AX3797" s="7"/>
      <c r="AY3797" s="7"/>
    </row>
    <row r="3798" spans="19:51">
      <c r="S3798" s="7"/>
      <c r="AX3798" s="7"/>
      <c r="AY3798" s="7"/>
    </row>
    <row r="3799" spans="19:51">
      <c r="S3799" s="7"/>
      <c r="AX3799" s="7"/>
      <c r="AY3799" s="7"/>
    </row>
    <row r="3800" spans="19:51">
      <c r="S3800" s="7"/>
      <c r="AX3800" s="7"/>
      <c r="AY3800" s="7"/>
    </row>
    <row r="3801" spans="19:51">
      <c r="S3801" s="7"/>
      <c r="AX3801" s="7"/>
      <c r="AY3801" s="7"/>
    </row>
    <row r="3802" spans="19:51">
      <c r="S3802" s="7"/>
      <c r="AX3802" s="7"/>
      <c r="AY3802" s="7"/>
    </row>
    <row r="3803" spans="19:51">
      <c r="S3803" s="7"/>
      <c r="AX3803" s="7"/>
      <c r="AY3803" s="7"/>
    </row>
    <row r="3804" spans="19:51">
      <c r="S3804" s="7"/>
      <c r="AX3804" s="7"/>
      <c r="AY3804" s="7"/>
    </row>
    <row r="3805" spans="19:51">
      <c r="S3805" s="7"/>
      <c r="AX3805" s="7"/>
      <c r="AY3805" s="7"/>
    </row>
    <row r="3806" spans="19:51">
      <c r="S3806" s="7"/>
      <c r="AX3806" s="7"/>
      <c r="AY3806" s="7"/>
    </row>
    <row r="3807" spans="19:51">
      <c r="S3807" s="7"/>
      <c r="AX3807" s="7"/>
      <c r="AY3807" s="7"/>
    </row>
    <row r="3808" spans="19:51">
      <c r="S3808" s="7"/>
      <c r="AX3808" s="7"/>
      <c r="AY3808" s="7"/>
    </row>
    <row r="3809" spans="19:51">
      <c r="S3809" s="7"/>
      <c r="AX3809" s="7"/>
      <c r="AY3809" s="7"/>
    </row>
    <row r="3810" spans="19:51">
      <c r="S3810" s="7"/>
      <c r="AX3810" s="7"/>
      <c r="AY3810" s="7"/>
    </row>
    <row r="3811" spans="19:51">
      <c r="S3811" s="7"/>
      <c r="AX3811" s="7"/>
      <c r="AY3811" s="7"/>
    </row>
    <row r="3812" spans="19:51">
      <c r="S3812" s="7"/>
      <c r="AX3812" s="7"/>
      <c r="AY3812" s="7"/>
    </row>
    <row r="3813" spans="19:51">
      <c r="S3813" s="7"/>
      <c r="AX3813" s="7"/>
      <c r="AY3813" s="7"/>
    </row>
    <row r="3814" spans="19:51">
      <c r="S3814" s="7"/>
      <c r="AX3814" s="7"/>
      <c r="AY3814" s="7"/>
    </row>
    <row r="3815" spans="19:51">
      <c r="S3815" s="7"/>
      <c r="AX3815" s="7"/>
      <c r="AY3815" s="7"/>
    </row>
    <row r="3816" spans="19:51">
      <c r="S3816" s="7"/>
      <c r="AX3816" s="7"/>
      <c r="AY3816" s="7"/>
    </row>
    <row r="3817" spans="19:51">
      <c r="S3817" s="7"/>
      <c r="AX3817" s="7"/>
      <c r="AY3817" s="7"/>
    </row>
    <row r="3818" spans="19:51">
      <c r="S3818" s="7"/>
      <c r="AX3818" s="7"/>
      <c r="AY3818" s="7"/>
    </row>
    <row r="3819" spans="19:51">
      <c r="S3819" s="7"/>
      <c r="AX3819" s="7"/>
      <c r="AY3819" s="7"/>
    </row>
    <row r="3820" spans="19:51">
      <c r="S3820" s="7"/>
      <c r="AX3820" s="7"/>
      <c r="AY3820" s="7"/>
    </row>
    <row r="3821" spans="19:51">
      <c r="S3821" s="7"/>
      <c r="AX3821" s="7"/>
      <c r="AY3821" s="7"/>
    </row>
    <row r="3822" spans="19:51">
      <c r="S3822" s="7"/>
      <c r="AX3822" s="7"/>
      <c r="AY3822" s="7"/>
    </row>
    <row r="3823" spans="19:51">
      <c r="S3823" s="7"/>
      <c r="AX3823" s="7"/>
      <c r="AY3823" s="7"/>
    </row>
    <row r="3824" spans="19:51">
      <c r="S3824" s="7"/>
      <c r="AX3824" s="7"/>
      <c r="AY3824" s="7"/>
    </row>
    <row r="3825" spans="19:51">
      <c r="S3825" s="7"/>
      <c r="AX3825" s="7"/>
      <c r="AY3825" s="7"/>
    </row>
    <row r="3826" spans="19:51">
      <c r="S3826" s="7"/>
      <c r="AX3826" s="7"/>
      <c r="AY3826" s="7"/>
    </row>
    <row r="3827" spans="19:51">
      <c r="S3827" s="7"/>
      <c r="AX3827" s="7"/>
      <c r="AY3827" s="7"/>
    </row>
    <row r="3828" spans="19:51">
      <c r="S3828" s="7"/>
      <c r="AX3828" s="7"/>
      <c r="AY3828" s="7"/>
    </row>
    <row r="3829" spans="19:51">
      <c r="S3829" s="7"/>
      <c r="AX3829" s="7"/>
      <c r="AY3829" s="7"/>
    </row>
    <row r="3830" spans="19:51">
      <c r="S3830" s="7"/>
      <c r="AX3830" s="7"/>
      <c r="AY3830" s="7"/>
    </row>
    <row r="3831" spans="19:51">
      <c r="S3831" s="7"/>
      <c r="AX3831" s="7"/>
      <c r="AY3831" s="7"/>
    </row>
    <row r="3832" spans="19:51">
      <c r="S3832" s="7"/>
      <c r="AX3832" s="7"/>
      <c r="AY3832" s="7"/>
    </row>
    <row r="3833" spans="19:51">
      <c r="S3833" s="7"/>
      <c r="AX3833" s="7"/>
      <c r="AY3833" s="7"/>
    </row>
    <row r="3834" spans="19:51">
      <c r="S3834" s="7"/>
      <c r="AX3834" s="7"/>
      <c r="AY3834" s="7"/>
    </row>
    <row r="3835" spans="19:51">
      <c r="S3835" s="7"/>
      <c r="AX3835" s="7"/>
      <c r="AY3835" s="7"/>
    </row>
    <row r="3836" spans="19:51">
      <c r="S3836" s="7"/>
      <c r="AX3836" s="7"/>
      <c r="AY3836" s="7"/>
    </row>
    <row r="3837" spans="19:51">
      <c r="S3837" s="7"/>
      <c r="AX3837" s="7"/>
      <c r="AY3837" s="7"/>
    </row>
    <row r="3838" spans="19:51">
      <c r="S3838" s="7"/>
      <c r="AX3838" s="7"/>
      <c r="AY3838" s="7"/>
    </row>
    <row r="3839" spans="19:51">
      <c r="S3839" s="7"/>
      <c r="AX3839" s="7"/>
      <c r="AY3839" s="7"/>
    </row>
    <row r="3840" spans="19:51">
      <c r="S3840" s="7"/>
      <c r="AX3840" s="7"/>
      <c r="AY3840" s="7"/>
    </row>
    <row r="3841" spans="19:51">
      <c r="S3841" s="7"/>
      <c r="AX3841" s="7"/>
      <c r="AY3841" s="7"/>
    </row>
    <row r="3842" spans="19:51">
      <c r="S3842" s="7"/>
      <c r="AX3842" s="7"/>
      <c r="AY3842" s="7"/>
    </row>
    <row r="3843" spans="19:51">
      <c r="S3843" s="7"/>
      <c r="AX3843" s="7"/>
      <c r="AY3843" s="7"/>
    </row>
    <row r="3844" spans="19:51">
      <c r="S3844" s="7"/>
      <c r="AX3844" s="7"/>
      <c r="AY3844" s="7"/>
    </row>
    <row r="3845" spans="19:51">
      <c r="S3845" s="7"/>
      <c r="AX3845" s="7"/>
      <c r="AY3845" s="7"/>
    </row>
    <row r="3846" spans="19:51">
      <c r="S3846" s="7"/>
      <c r="AX3846" s="7"/>
      <c r="AY3846" s="7"/>
    </row>
    <row r="3847" spans="19:51">
      <c r="S3847" s="7"/>
      <c r="AX3847" s="7"/>
      <c r="AY3847" s="7"/>
    </row>
    <row r="3848" spans="19:51">
      <c r="S3848" s="7"/>
      <c r="AX3848" s="7"/>
      <c r="AY3848" s="7"/>
    </row>
    <row r="3849" spans="19:51">
      <c r="S3849" s="7"/>
      <c r="AX3849" s="7"/>
      <c r="AY3849" s="7"/>
    </row>
    <row r="3850" spans="19:51">
      <c r="S3850" s="7"/>
      <c r="AX3850" s="7"/>
      <c r="AY3850" s="7"/>
    </row>
    <row r="3851" spans="19:51">
      <c r="S3851" s="7"/>
      <c r="AX3851" s="7"/>
      <c r="AY3851" s="7"/>
    </row>
    <row r="3852" spans="19:51">
      <c r="S3852" s="7"/>
      <c r="AX3852" s="7"/>
      <c r="AY3852" s="7"/>
    </row>
    <row r="3853" spans="19:51">
      <c r="S3853" s="7"/>
      <c r="AX3853" s="7"/>
      <c r="AY3853" s="7"/>
    </row>
    <row r="3854" spans="19:51">
      <c r="S3854" s="7"/>
      <c r="AX3854" s="7"/>
      <c r="AY3854" s="7"/>
    </row>
    <row r="3855" spans="19:51">
      <c r="S3855" s="7"/>
      <c r="AX3855" s="7"/>
      <c r="AY3855" s="7"/>
    </row>
    <row r="3856" spans="19:51">
      <c r="S3856" s="7"/>
      <c r="AX3856" s="7"/>
      <c r="AY3856" s="7"/>
    </row>
    <row r="3857" spans="19:51">
      <c r="S3857" s="7"/>
      <c r="AX3857" s="7"/>
      <c r="AY3857" s="7"/>
    </row>
    <row r="3858" spans="19:51">
      <c r="S3858" s="7"/>
      <c r="AX3858" s="7"/>
      <c r="AY3858" s="7"/>
    </row>
    <row r="3859" spans="19:51">
      <c r="S3859" s="7"/>
      <c r="AX3859" s="7"/>
      <c r="AY3859" s="7"/>
    </row>
    <row r="3860" spans="19:51">
      <c r="S3860" s="7"/>
      <c r="AX3860" s="7"/>
      <c r="AY3860" s="7"/>
    </row>
    <row r="3861" spans="19:51">
      <c r="S3861" s="7"/>
      <c r="AX3861" s="7"/>
      <c r="AY3861" s="7"/>
    </row>
    <row r="3862" spans="19:51">
      <c r="S3862" s="7"/>
      <c r="AX3862" s="7"/>
      <c r="AY3862" s="7"/>
    </row>
    <row r="3863" spans="19:51">
      <c r="S3863" s="7"/>
      <c r="AX3863" s="7"/>
      <c r="AY3863" s="7"/>
    </row>
    <row r="3864" spans="19:51">
      <c r="S3864" s="7"/>
      <c r="AX3864" s="7"/>
      <c r="AY3864" s="7"/>
    </row>
    <row r="3865" spans="19:51">
      <c r="S3865" s="7"/>
      <c r="AX3865" s="7"/>
      <c r="AY3865" s="7"/>
    </row>
    <row r="3866" spans="19:51">
      <c r="S3866" s="7"/>
      <c r="AX3866" s="7"/>
      <c r="AY3866" s="7"/>
    </row>
    <row r="3867" spans="19:51">
      <c r="S3867" s="7"/>
      <c r="AX3867" s="7"/>
      <c r="AY3867" s="7"/>
    </row>
    <row r="3868" spans="19:51">
      <c r="S3868" s="7"/>
      <c r="AX3868" s="7"/>
      <c r="AY3868" s="7"/>
    </row>
    <row r="3869" spans="19:51">
      <c r="S3869" s="7"/>
      <c r="AX3869" s="7"/>
      <c r="AY3869" s="7"/>
    </row>
    <row r="3870" spans="19:51">
      <c r="S3870" s="7"/>
      <c r="AX3870" s="7"/>
      <c r="AY3870" s="7"/>
    </row>
    <row r="3871" spans="19:51">
      <c r="S3871" s="7"/>
      <c r="AX3871" s="7"/>
      <c r="AY3871" s="7"/>
    </row>
    <row r="3872" spans="19:51">
      <c r="S3872" s="7"/>
      <c r="AX3872" s="7"/>
      <c r="AY3872" s="7"/>
    </row>
    <row r="3873" spans="19:51">
      <c r="S3873" s="7"/>
      <c r="AX3873" s="7"/>
      <c r="AY3873" s="7"/>
    </row>
    <row r="3874" spans="19:51">
      <c r="S3874" s="7"/>
      <c r="AX3874" s="7"/>
      <c r="AY3874" s="7"/>
    </row>
    <row r="3875" spans="19:51">
      <c r="S3875" s="7"/>
      <c r="AX3875" s="7"/>
      <c r="AY3875" s="7"/>
    </row>
    <row r="3876" spans="19:51">
      <c r="S3876" s="7"/>
      <c r="AX3876" s="7"/>
      <c r="AY3876" s="7"/>
    </row>
    <row r="3877" spans="19:51">
      <c r="S3877" s="7"/>
      <c r="AX3877" s="7"/>
      <c r="AY3877" s="7"/>
    </row>
    <row r="3878" spans="19:51">
      <c r="S3878" s="7"/>
      <c r="AX3878" s="7"/>
      <c r="AY3878" s="7"/>
    </row>
    <row r="3879" spans="19:51">
      <c r="S3879" s="7"/>
      <c r="AX3879" s="7"/>
      <c r="AY3879" s="7"/>
    </row>
    <row r="3880" spans="19:51">
      <c r="S3880" s="7"/>
      <c r="AX3880" s="7"/>
      <c r="AY3880" s="7"/>
    </row>
    <row r="3881" spans="19:51">
      <c r="S3881" s="7"/>
      <c r="AX3881" s="7"/>
      <c r="AY3881" s="7"/>
    </row>
    <row r="3882" spans="19:51">
      <c r="S3882" s="7"/>
      <c r="AX3882" s="7"/>
      <c r="AY3882" s="7"/>
    </row>
    <row r="3883" spans="19:51">
      <c r="S3883" s="7"/>
      <c r="AX3883" s="7"/>
      <c r="AY3883" s="7"/>
    </row>
    <row r="3884" spans="19:51">
      <c r="S3884" s="7"/>
      <c r="AX3884" s="7"/>
      <c r="AY3884" s="7"/>
    </row>
    <row r="3885" spans="19:51">
      <c r="S3885" s="7"/>
      <c r="AX3885" s="7"/>
      <c r="AY3885" s="7"/>
    </row>
    <row r="3886" spans="19:51">
      <c r="S3886" s="7"/>
      <c r="AX3886" s="7"/>
      <c r="AY3886" s="7"/>
    </row>
    <row r="3887" spans="19:51">
      <c r="S3887" s="7"/>
      <c r="AX3887" s="7"/>
      <c r="AY3887" s="7"/>
    </row>
    <row r="3888" spans="19:51">
      <c r="S3888" s="7"/>
      <c r="AX3888" s="7"/>
      <c r="AY3888" s="7"/>
    </row>
    <row r="3889" spans="19:51">
      <c r="S3889" s="7"/>
      <c r="AX3889" s="7"/>
      <c r="AY3889" s="7"/>
    </row>
    <row r="3890" spans="19:51">
      <c r="S3890" s="7"/>
      <c r="AX3890" s="7"/>
      <c r="AY3890" s="7"/>
    </row>
    <row r="3891" spans="19:51">
      <c r="S3891" s="7"/>
      <c r="AX3891" s="7"/>
      <c r="AY3891" s="7"/>
    </row>
    <row r="3892" spans="19:51">
      <c r="S3892" s="7"/>
      <c r="AX3892" s="7"/>
      <c r="AY3892" s="7"/>
    </row>
    <row r="3893" spans="19:51">
      <c r="S3893" s="7"/>
      <c r="AX3893" s="7"/>
      <c r="AY3893" s="7"/>
    </row>
    <row r="3894" spans="19:51">
      <c r="S3894" s="7"/>
      <c r="AX3894" s="7"/>
      <c r="AY3894" s="7"/>
    </row>
    <row r="3895" spans="19:51">
      <c r="S3895" s="7"/>
      <c r="AX3895" s="7"/>
      <c r="AY3895" s="7"/>
    </row>
    <row r="3896" spans="19:51">
      <c r="S3896" s="7"/>
      <c r="AX3896" s="7"/>
      <c r="AY3896" s="7"/>
    </row>
    <row r="3897" spans="19:51">
      <c r="S3897" s="7"/>
      <c r="AX3897" s="7"/>
      <c r="AY3897" s="7"/>
    </row>
    <row r="3898" spans="19:51">
      <c r="S3898" s="7"/>
      <c r="AX3898" s="7"/>
      <c r="AY3898" s="7"/>
    </row>
    <row r="3899" spans="19:51">
      <c r="S3899" s="7"/>
      <c r="AX3899" s="7"/>
      <c r="AY3899" s="7"/>
    </row>
    <row r="3900" spans="19:51">
      <c r="S3900" s="7"/>
      <c r="AX3900" s="7"/>
      <c r="AY3900" s="7"/>
    </row>
    <row r="3901" spans="19:51">
      <c r="S3901" s="7"/>
      <c r="AX3901" s="7"/>
      <c r="AY3901" s="7"/>
    </row>
    <row r="3902" spans="19:51">
      <c r="S3902" s="7"/>
      <c r="AX3902" s="7"/>
      <c r="AY3902" s="7"/>
    </row>
    <row r="3903" spans="19:51">
      <c r="S3903" s="7"/>
      <c r="AX3903" s="7"/>
      <c r="AY3903" s="7"/>
    </row>
    <row r="3904" spans="19:51">
      <c r="S3904" s="7"/>
      <c r="AX3904" s="7"/>
      <c r="AY3904" s="7"/>
    </row>
    <row r="3905" spans="19:51">
      <c r="S3905" s="7"/>
      <c r="AX3905" s="7"/>
      <c r="AY3905" s="7"/>
    </row>
    <row r="3906" spans="19:51">
      <c r="S3906" s="7"/>
      <c r="AX3906" s="7"/>
      <c r="AY3906" s="7"/>
    </row>
    <row r="3907" spans="19:51">
      <c r="S3907" s="7"/>
      <c r="AX3907" s="7"/>
      <c r="AY3907" s="7"/>
    </row>
    <row r="3908" spans="19:51">
      <c r="S3908" s="7"/>
      <c r="AX3908" s="7"/>
      <c r="AY3908" s="7"/>
    </row>
    <row r="3909" spans="19:51">
      <c r="S3909" s="7"/>
      <c r="AX3909" s="7"/>
      <c r="AY3909" s="7"/>
    </row>
    <row r="3910" spans="19:51">
      <c r="S3910" s="7"/>
      <c r="AX3910" s="7"/>
      <c r="AY3910" s="7"/>
    </row>
    <row r="3911" spans="19:51">
      <c r="S3911" s="7"/>
      <c r="AX3911" s="7"/>
      <c r="AY3911" s="7"/>
    </row>
    <row r="3912" spans="19:51">
      <c r="S3912" s="7"/>
      <c r="AX3912" s="7"/>
      <c r="AY3912" s="7"/>
    </row>
    <row r="3913" spans="19:51">
      <c r="S3913" s="7"/>
      <c r="AX3913" s="7"/>
      <c r="AY3913" s="7"/>
    </row>
    <row r="3914" spans="19:51">
      <c r="S3914" s="7"/>
      <c r="AX3914" s="7"/>
      <c r="AY3914" s="7"/>
    </row>
    <row r="3915" spans="19:51">
      <c r="S3915" s="7"/>
      <c r="AX3915" s="7"/>
      <c r="AY3915" s="7"/>
    </row>
    <row r="3916" spans="19:51">
      <c r="S3916" s="7"/>
      <c r="AX3916" s="7"/>
      <c r="AY3916" s="7"/>
    </row>
    <row r="3917" spans="19:51">
      <c r="S3917" s="7"/>
      <c r="AX3917" s="7"/>
      <c r="AY3917" s="7"/>
    </row>
    <row r="3918" spans="19:51">
      <c r="S3918" s="7"/>
      <c r="AX3918" s="7"/>
      <c r="AY3918" s="7"/>
    </row>
    <row r="3919" spans="19:51">
      <c r="S3919" s="7"/>
      <c r="AX3919" s="7"/>
      <c r="AY3919" s="7"/>
    </row>
    <row r="3920" spans="19:51">
      <c r="S3920" s="7"/>
      <c r="AX3920" s="7"/>
      <c r="AY3920" s="7"/>
    </row>
    <row r="3921" spans="19:51">
      <c r="S3921" s="7"/>
      <c r="AX3921" s="7"/>
      <c r="AY3921" s="7"/>
    </row>
    <row r="3922" spans="19:51">
      <c r="S3922" s="7"/>
      <c r="AX3922" s="7"/>
      <c r="AY3922" s="7"/>
    </row>
    <row r="3923" spans="19:51">
      <c r="S3923" s="7"/>
      <c r="AX3923" s="7"/>
      <c r="AY3923" s="7"/>
    </row>
    <row r="3924" spans="19:51">
      <c r="S3924" s="7"/>
      <c r="AX3924" s="7"/>
      <c r="AY3924" s="7"/>
    </row>
    <row r="3925" spans="19:51">
      <c r="S3925" s="7"/>
      <c r="AX3925" s="7"/>
      <c r="AY3925" s="7"/>
    </row>
    <row r="3926" spans="19:51">
      <c r="S3926" s="7"/>
      <c r="AX3926" s="7"/>
      <c r="AY3926" s="7"/>
    </row>
    <row r="3927" spans="19:51">
      <c r="S3927" s="7"/>
      <c r="AX3927" s="7"/>
      <c r="AY3927" s="7"/>
    </row>
    <row r="3928" spans="19:51">
      <c r="S3928" s="7"/>
      <c r="AX3928" s="7"/>
      <c r="AY3928" s="7"/>
    </row>
    <row r="3929" spans="19:51">
      <c r="S3929" s="7"/>
      <c r="AX3929" s="7"/>
      <c r="AY3929" s="7"/>
    </row>
    <row r="3930" spans="19:51">
      <c r="S3930" s="7"/>
      <c r="AX3930" s="7"/>
      <c r="AY3930" s="7"/>
    </row>
    <row r="3931" spans="19:51">
      <c r="S3931" s="7"/>
      <c r="AX3931" s="7"/>
      <c r="AY3931" s="7"/>
    </row>
    <row r="3932" spans="19:51">
      <c r="S3932" s="7"/>
      <c r="AX3932" s="7"/>
      <c r="AY3932" s="7"/>
    </row>
    <row r="3933" spans="19:51">
      <c r="S3933" s="7"/>
      <c r="AX3933" s="7"/>
      <c r="AY3933" s="7"/>
    </row>
    <row r="3934" spans="19:51">
      <c r="S3934" s="7"/>
      <c r="AX3934" s="7"/>
      <c r="AY3934" s="7"/>
    </row>
    <row r="3935" spans="19:51">
      <c r="S3935" s="7"/>
      <c r="AX3935" s="7"/>
      <c r="AY3935" s="7"/>
    </row>
    <row r="3936" spans="19:51">
      <c r="S3936" s="7"/>
      <c r="AX3936" s="7"/>
      <c r="AY3936" s="7"/>
    </row>
    <row r="3937" spans="19:51">
      <c r="S3937" s="7"/>
      <c r="AX3937" s="7"/>
      <c r="AY3937" s="7"/>
    </row>
    <row r="3938" spans="19:51">
      <c r="S3938" s="7"/>
      <c r="AX3938" s="7"/>
      <c r="AY3938" s="7"/>
    </row>
    <row r="3939" spans="19:51">
      <c r="S3939" s="7"/>
      <c r="AX3939" s="7"/>
      <c r="AY3939" s="7"/>
    </row>
    <row r="3940" spans="19:51">
      <c r="S3940" s="7"/>
      <c r="AX3940" s="7"/>
      <c r="AY3940" s="7"/>
    </row>
    <row r="3941" spans="19:51">
      <c r="S3941" s="7"/>
      <c r="AX3941" s="7"/>
      <c r="AY3941" s="7"/>
    </row>
    <row r="3942" spans="19:51">
      <c r="S3942" s="7"/>
      <c r="AX3942" s="7"/>
      <c r="AY3942" s="7"/>
    </row>
    <row r="3943" spans="19:51">
      <c r="S3943" s="7"/>
      <c r="AX3943" s="7"/>
      <c r="AY3943" s="7"/>
    </row>
    <row r="3944" spans="19:51">
      <c r="S3944" s="7"/>
      <c r="AX3944" s="7"/>
      <c r="AY3944" s="7"/>
    </row>
    <row r="3945" spans="19:51">
      <c r="S3945" s="7"/>
      <c r="AX3945" s="7"/>
      <c r="AY3945" s="7"/>
    </row>
    <row r="3946" spans="19:51">
      <c r="S3946" s="7"/>
      <c r="AX3946" s="7"/>
      <c r="AY3946" s="7"/>
    </row>
    <row r="3947" spans="19:51">
      <c r="S3947" s="7"/>
      <c r="AX3947" s="7"/>
      <c r="AY3947" s="7"/>
    </row>
    <row r="3948" spans="19:51">
      <c r="S3948" s="7"/>
      <c r="AX3948" s="7"/>
      <c r="AY3948" s="7"/>
    </row>
    <row r="3949" spans="19:51">
      <c r="S3949" s="7"/>
      <c r="AX3949" s="7"/>
      <c r="AY3949" s="7"/>
    </row>
    <row r="3950" spans="19:51">
      <c r="S3950" s="7"/>
      <c r="AX3950" s="7"/>
      <c r="AY3950" s="7"/>
    </row>
    <row r="3951" spans="19:51">
      <c r="S3951" s="7"/>
      <c r="AX3951" s="7"/>
      <c r="AY3951" s="7"/>
    </row>
    <row r="3952" spans="19:51">
      <c r="S3952" s="7"/>
      <c r="AX3952" s="7"/>
      <c r="AY3952" s="7"/>
    </row>
    <row r="3953" spans="19:51">
      <c r="S3953" s="7"/>
      <c r="AX3953" s="7"/>
      <c r="AY3953" s="7"/>
    </row>
    <row r="3954" spans="19:51">
      <c r="S3954" s="7"/>
      <c r="AX3954" s="7"/>
      <c r="AY3954" s="7"/>
    </row>
    <row r="3955" spans="19:51">
      <c r="S3955" s="7"/>
      <c r="AX3955" s="7"/>
      <c r="AY3955" s="7"/>
    </row>
    <row r="3956" spans="19:51">
      <c r="S3956" s="7"/>
      <c r="AX3956" s="7"/>
      <c r="AY3956" s="7"/>
    </row>
    <row r="3957" spans="19:51">
      <c r="S3957" s="7"/>
      <c r="AX3957" s="7"/>
      <c r="AY3957" s="7"/>
    </row>
    <row r="3958" spans="19:51">
      <c r="S3958" s="7"/>
      <c r="AX3958" s="7"/>
      <c r="AY3958" s="7"/>
    </row>
    <row r="3959" spans="19:51">
      <c r="S3959" s="7"/>
      <c r="AX3959" s="7"/>
      <c r="AY3959" s="7"/>
    </row>
    <row r="3960" spans="19:51">
      <c r="S3960" s="7"/>
      <c r="AX3960" s="7"/>
      <c r="AY3960" s="7"/>
    </row>
    <row r="3961" spans="19:51">
      <c r="S3961" s="7"/>
      <c r="AX3961" s="7"/>
      <c r="AY3961" s="7"/>
    </row>
    <row r="3962" spans="19:51">
      <c r="S3962" s="7"/>
      <c r="AX3962" s="7"/>
      <c r="AY3962" s="7"/>
    </row>
    <row r="3963" spans="19:51">
      <c r="S3963" s="7"/>
      <c r="AX3963" s="7"/>
      <c r="AY3963" s="7"/>
    </row>
    <row r="3964" spans="19:51">
      <c r="S3964" s="7"/>
      <c r="AX3964" s="7"/>
      <c r="AY3964" s="7"/>
    </row>
    <row r="3965" spans="19:51">
      <c r="S3965" s="7"/>
      <c r="AX3965" s="7"/>
      <c r="AY3965" s="7"/>
    </row>
    <row r="3966" spans="19:51">
      <c r="S3966" s="7"/>
      <c r="AX3966" s="7"/>
      <c r="AY3966" s="7"/>
    </row>
    <row r="3967" spans="19:51">
      <c r="S3967" s="7"/>
      <c r="AX3967" s="7"/>
      <c r="AY3967" s="7"/>
    </row>
    <row r="3968" spans="19:51">
      <c r="S3968" s="7"/>
      <c r="AX3968" s="7"/>
      <c r="AY3968" s="7"/>
    </row>
    <row r="3969" spans="19:51">
      <c r="S3969" s="7"/>
      <c r="AX3969" s="7"/>
      <c r="AY3969" s="7"/>
    </row>
    <row r="3970" spans="19:51">
      <c r="S3970" s="7"/>
      <c r="AX3970" s="7"/>
      <c r="AY3970" s="7"/>
    </row>
    <row r="3971" spans="19:51">
      <c r="S3971" s="7"/>
      <c r="AX3971" s="7"/>
      <c r="AY3971" s="7"/>
    </row>
    <row r="3972" spans="19:51">
      <c r="S3972" s="7"/>
      <c r="AX3972" s="7"/>
      <c r="AY3972" s="7"/>
    </row>
    <row r="3973" spans="19:51">
      <c r="S3973" s="7"/>
      <c r="AX3973" s="7"/>
      <c r="AY3973" s="7"/>
    </row>
    <row r="3974" spans="19:51">
      <c r="S3974" s="7"/>
      <c r="AX3974" s="7"/>
      <c r="AY3974" s="7"/>
    </row>
    <row r="3975" spans="19:51">
      <c r="S3975" s="7"/>
      <c r="AX3975" s="7"/>
      <c r="AY3975" s="7"/>
    </row>
    <row r="3976" spans="19:51">
      <c r="S3976" s="7"/>
      <c r="AX3976" s="7"/>
      <c r="AY3976" s="7"/>
    </row>
    <row r="3977" spans="19:51">
      <c r="S3977" s="7"/>
      <c r="AX3977" s="7"/>
      <c r="AY3977" s="7"/>
    </row>
    <row r="3978" spans="19:51">
      <c r="S3978" s="7"/>
      <c r="AX3978" s="7"/>
      <c r="AY3978" s="7"/>
    </row>
    <row r="3979" spans="19:51">
      <c r="S3979" s="7"/>
      <c r="AX3979" s="7"/>
      <c r="AY3979" s="7"/>
    </row>
    <row r="3980" spans="19:51">
      <c r="S3980" s="7"/>
      <c r="AX3980" s="7"/>
      <c r="AY3980" s="7"/>
    </row>
    <row r="3981" spans="19:51">
      <c r="S3981" s="7"/>
      <c r="AX3981" s="7"/>
      <c r="AY3981" s="7"/>
    </row>
    <row r="3982" spans="19:51">
      <c r="S3982" s="7"/>
      <c r="AX3982" s="7"/>
      <c r="AY3982" s="7"/>
    </row>
    <row r="3983" spans="19:51">
      <c r="S3983" s="7"/>
      <c r="AX3983" s="7"/>
      <c r="AY3983" s="7"/>
    </row>
    <row r="3984" spans="19:51">
      <c r="S3984" s="7"/>
      <c r="AX3984" s="7"/>
      <c r="AY3984" s="7"/>
    </row>
    <row r="3985" spans="19:51">
      <c r="S3985" s="7"/>
      <c r="AX3985" s="7"/>
      <c r="AY3985" s="7"/>
    </row>
    <row r="3986" spans="19:51">
      <c r="S3986" s="7"/>
      <c r="AX3986" s="7"/>
      <c r="AY3986" s="7"/>
    </row>
    <row r="3987" spans="19:51">
      <c r="S3987" s="7"/>
      <c r="AX3987" s="7"/>
      <c r="AY3987" s="7"/>
    </row>
    <row r="3988" spans="19:51">
      <c r="S3988" s="7"/>
      <c r="AX3988" s="7"/>
      <c r="AY3988" s="7"/>
    </row>
    <row r="3989" spans="19:51">
      <c r="S3989" s="7"/>
      <c r="AX3989" s="7"/>
      <c r="AY3989" s="7"/>
    </row>
    <row r="3990" spans="19:51">
      <c r="S3990" s="7"/>
      <c r="AX3990" s="7"/>
      <c r="AY3990" s="7"/>
    </row>
    <row r="3991" spans="19:51">
      <c r="S3991" s="7"/>
      <c r="AX3991" s="7"/>
      <c r="AY3991" s="7"/>
    </row>
    <row r="3992" spans="19:51">
      <c r="S3992" s="7"/>
      <c r="AX3992" s="7"/>
      <c r="AY3992" s="7"/>
    </row>
    <row r="3993" spans="19:51">
      <c r="S3993" s="7"/>
      <c r="AX3993" s="7"/>
      <c r="AY3993" s="7"/>
    </row>
    <row r="3994" spans="19:51">
      <c r="S3994" s="7"/>
      <c r="AX3994" s="7"/>
      <c r="AY3994" s="7"/>
    </row>
    <row r="3995" spans="19:51">
      <c r="S3995" s="7"/>
      <c r="AX3995" s="7"/>
      <c r="AY3995" s="7"/>
    </row>
    <row r="3996" spans="19:51">
      <c r="S3996" s="7"/>
      <c r="AX3996" s="7"/>
      <c r="AY3996" s="7"/>
    </row>
    <row r="3997" spans="19:51">
      <c r="S3997" s="7"/>
      <c r="AX3997" s="7"/>
      <c r="AY3997" s="7"/>
    </row>
    <row r="3998" spans="19:51">
      <c r="S3998" s="7"/>
      <c r="AX3998" s="7"/>
      <c r="AY3998" s="7"/>
    </row>
    <row r="3999" spans="19:51">
      <c r="S3999" s="7"/>
      <c r="AX3999" s="7"/>
      <c r="AY3999" s="7"/>
    </row>
    <row r="4000" spans="19:51">
      <c r="S4000" s="7"/>
      <c r="AX4000" s="7"/>
      <c r="AY4000" s="7"/>
    </row>
    <row r="4001" spans="19:51">
      <c r="S4001" s="7"/>
      <c r="AX4001" s="7"/>
      <c r="AY4001" s="7"/>
    </row>
    <row r="4002" spans="19:51">
      <c r="S4002" s="7"/>
      <c r="AX4002" s="7"/>
      <c r="AY4002" s="7"/>
    </row>
    <row r="4003" spans="19:51">
      <c r="S4003" s="7"/>
      <c r="AX4003" s="7"/>
      <c r="AY4003" s="7"/>
    </row>
    <row r="4004" spans="19:51">
      <c r="S4004" s="7"/>
      <c r="AX4004" s="7"/>
      <c r="AY4004" s="7"/>
    </row>
    <row r="4005" spans="19:51">
      <c r="S4005" s="7"/>
      <c r="AX4005" s="7"/>
      <c r="AY4005" s="7"/>
    </row>
    <row r="4006" spans="19:51">
      <c r="S4006" s="7"/>
      <c r="AX4006" s="7"/>
      <c r="AY4006" s="7"/>
    </row>
    <row r="4007" spans="19:51">
      <c r="S4007" s="7"/>
      <c r="AX4007" s="7"/>
      <c r="AY4007" s="7"/>
    </row>
    <row r="4008" spans="19:51">
      <c r="S4008" s="7"/>
      <c r="AX4008" s="7"/>
      <c r="AY4008" s="7"/>
    </row>
    <row r="4009" spans="19:51">
      <c r="S4009" s="7"/>
      <c r="AX4009" s="7"/>
      <c r="AY4009" s="7"/>
    </row>
    <row r="4010" spans="19:51">
      <c r="S4010" s="7"/>
      <c r="AX4010" s="7"/>
      <c r="AY4010" s="7"/>
    </row>
    <row r="4011" spans="19:51">
      <c r="S4011" s="7"/>
      <c r="AX4011" s="7"/>
      <c r="AY4011" s="7"/>
    </row>
    <row r="4012" spans="19:51">
      <c r="S4012" s="7"/>
      <c r="AX4012" s="7"/>
      <c r="AY4012" s="7"/>
    </row>
    <row r="4013" spans="19:51">
      <c r="S4013" s="7"/>
      <c r="AX4013" s="7"/>
      <c r="AY4013" s="7"/>
    </row>
    <row r="4014" spans="19:51">
      <c r="S4014" s="7"/>
      <c r="AX4014" s="7"/>
      <c r="AY4014" s="7"/>
    </row>
    <row r="4015" spans="19:51">
      <c r="S4015" s="7"/>
      <c r="AX4015" s="7"/>
      <c r="AY4015" s="7"/>
    </row>
    <row r="4016" spans="19:51">
      <c r="S4016" s="7"/>
      <c r="AX4016" s="7"/>
      <c r="AY4016" s="7"/>
    </row>
    <row r="4017" spans="19:51">
      <c r="S4017" s="7"/>
      <c r="AX4017" s="7"/>
      <c r="AY4017" s="7"/>
    </row>
    <row r="4018" spans="19:51">
      <c r="S4018" s="7"/>
      <c r="AX4018" s="7"/>
      <c r="AY4018" s="7"/>
    </row>
    <row r="4019" spans="19:51">
      <c r="S4019" s="7"/>
      <c r="AX4019" s="7"/>
      <c r="AY4019" s="7"/>
    </row>
    <row r="4020" spans="19:51">
      <c r="S4020" s="7"/>
      <c r="AX4020" s="7"/>
      <c r="AY4020" s="7"/>
    </row>
    <row r="4021" spans="19:51">
      <c r="S4021" s="7"/>
      <c r="AX4021" s="7"/>
      <c r="AY4021" s="7"/>
    </row>
    <row r="4022" spans="19:51">
      <c r="S4022" s="7"/>
      <c r="AX4022" s="7"/>
      <c r="AY4022" s="7"/>
    </row>
    <row r="4023" spans="19:51">
      <c r="S4023" s="7"/>
      <c r="AX4023" s="7"/>
      <c r="AY4023" s="7"/>
    </row>
    <row r="4024" spans="19:51">
      <c r="S4024" s="7"/>
      <c r="AX4024" s="7"/>
      <c r="AY4024" s="7"/>
    </row>
    <row r="4025" spans="19:51">
      <c r="S4025" s="7"/>
      <c r="AX4025" s="7"/>
      <c r="AY4025" s="7"/>
    </row>
    <row r="4026" spans="19:51">
      <c r="S4026" s="7"/>
      <c r="AX4026" s="7"/>
      <c r="AY4026" s="7"/>
    </row>
    <row r="4027" spans="19:51">
      <c r="S4027" s="7"/>
      <c r="AX4027" s="7"/>
      <c r="AY4027" s="7"/>
    </row>
    <row r="4028" spans="19:51">
      <c r="S4028" s="7"/>
      <c r="AX4028" s="7"/>
      <c r="AY4028" s="7"/>
    </row>
    <row r="4029" spans="19:51">
      <c r="S4029" s="7"/>
      <c r="AX4029" s="7"/>
      <c r="AY4029" s="7"/>
    </row>
    <row r="4030" spans="19:51">
      <c r="S4030" s="7"/>
      <c r="AX4030" s="7"/>
      <c r="AY4030" s="7"/>
    </row>
    <row r="4031" spans="19:51">
      <c r="S4031" s="7"/>
      <c r="AX4031" s="7"/>
      <c r="AY4031" s="7"/>
    </row>
    <row r="4032" spans="19:51">
      <c r="S4032" s="7"/>
      <c r="AX4032" s="7"/>
      <c r="AY4032" s="7"/>
    </row>
    <row r="4033" spans="19:51">
      <c r="S4033" s="7"/>
      <c r="AX4033" s="7"/>
      <c r="AY4033" s="7"/>
    </row>
    <row r="4034" spans="19:51">
      <c r="S4034" s="7"/>
      <c r="AX4034" s="7"/>
      <c r="AY4034" s="7"/>
    </row>
    <row r="4035" spans="19:51">
      <c r="S4035" s="7"/>
      <c r="AX4035" s="7"/>
      <c r="AY4035" s="7"/>
    </row>
    <row r="4036" spans="19:51">
      <c r="S4036" s="7"/>
      <c r="AX4036" s="7"/>
      <c r="AY4036" s="7"/>
    </row>
    <row r="4037" spans="19:51">
      <c r="S4037" s="7"/>
      <c r="AX4037" s="7"/>
      <c r="AY4037" s="7"/>
    </row>
    <row r="4038" spans="19:51">
      <c r="S4038" s="7"/>
      <c r="AX4038" s="7"/>
      <c r="AY4038" s="7"/>
    </row>
    <row r="4039" spans="19:51">
      <c r="S4039" s="7"/>
      <c r="AX4039" s="7"/>
      <c r="AY4039" s="7"/>
    </row>
    <row r="4040" spans="19:51">
      <c r="S4040" s="7"/>
      <c r="AX4040" s="7"/>
      <c r="AY4040" s="7"/>
    </row>
    <row r="4041" spans="19:51">
      <c r="S4041" s="7"/>
      <c r="AX4041" s="7"/>
      <c r="AY4041" s="7"/>
    </row>
    <row r="4042" spans="19:51">
      <c r="S4042" s="7"/>
      <c r="AX4042" s="7"/>
      <c r="AY4042" s="7"/>
    </row>
    <row r="4043" spans="19:51">
      <c r="S4043" s="7"/>
      <c r="AX4043" s="7"/>
      <c r="AY4043" s="7"/>
    </row>
    <row r="4044" spans="19:51">
      <c r="S4044" s="7"/>
      <c r="AX4044" s="7"/>
      <c r="AY4044" s="7"/>
    </row>
    <row r="4045" spans="19:51">
      <c r="S4045" s="7"/>
      <c r="AX4045" s="7"/>
      <c r="AY4045" s="7"/>
    </row>
    <row r="4046" spans="19:51">
      <c r="S4046" s="7"/>
      <c r="AX4046" s="7"/>
      <c r="AY4046" s="7"/>
    </row>
    <row r="4047" spans="19:51">
      <c r="S4047" s="7"/>
      <c r="AX4047" s="7"/>
      <c r="AY4047" s="7"/>
    </row>
    <row r="4048" spans="19:51">
      <c r="S4048" s="7"/>
      <c r="AX4048" s="7"/>
      <c r="AY4048" s="7"/>
    </row>
    <row r="4049" spans="19:51">
      <c r="S4049" s="7"/>
      <c r="AX4049" s="7"/>
      <c r="AY4049" s="7"/>
    </row>
    <row r="4050" spans="19:51">
      <c r="S4050" s="7"/>
      <c r="AX4050" s="7"/>
      <c r="AY4050" s="7"/>
    </row>
    <row r="4051" spans="19:51">
      <c r="S4051" s="7"/>
      <c r="AX4051" s="7"/>
      <c r="AY4051" s="7"/>
    </row>
    <row r="4052" spans="19:51">
      <c r="S4052" s="7"/>
      <c r="AX4052" s="7"/>
      <c r="AY4052" s="7"/>
    </row>
    <row r="4053" spans="19:51">
      <c r="S4053" s="7"/>
      <c r="AX4053" s="7"/>
      <c r="AY4053" s="7"/>
    </row>
    <row r="4054" spans="19:51">
      <c r="S4054" s="7"/>
      <c r="AX4054" s="7"/>
      <c r="AY4054" s="7"/>
    </row>
    <row r="4055" spans="19:51">
      <c r="S4055" s="7"/>
      <c r="AX4055" s="7"/>
      <c r="AY4055" s="7"/>
    </row>
    <row r="4056" spans="19:51">
      <c r="S4056" s="7"/>
      <c r="AX4056" s="7"/>
      <c r="AY4056" s="7"/>
    </row>
    <row r="4057" spans="19:51">
      <c r="S4057" s="7"/>
      <c r="AX4057" s="7"/>
      <c r="AY4057" s="7"/>
    </row>
    <row r="4058" spans="19:51">
      <c r="S4058" s="7"/>
      <c r="AX4058" s="7"/>
      <c r="AY4058" s="7"/>
    </row>
    <row r="4059" spans="19:51">
      <c r="S4059" s="7"/>
      <c r="AX4059" s="7"/>
      <c r="AY4059" s="7"/>
    </row>
    <row r="4060" spans="19:51">
      <c r="S4060" s="7"/>
      <c r="AX4060" s="7"/>
      <c r="AY4060" s="7"/>
    </row>
    <row r="4061" spans="19:51">
      <c r="S4061" s="7"/>
      <c r="AX4061" s="7"/>
      <c r="AY4061" s="7"/>
    </row>
    <row r="4062" spans="19:51">
      <c r="S4062" s="7"/>
      <c r="AX4062" s="7"/>
      <c r="AY4062" s="7"/>
    </row>
    <row r="4063" spans="19:51">
      <c r="S4063" s="7"/>
      <c r="AX4063" s="7"/>
      <c r="AY4063" s="7"/>
    </row>
    <row r="4064" spans="19:51">
      <c r="S4064" s="7"/>
      <c r="AX4064" s="7"/>
      <c r="AY4064" s="7"/>
    </row>
    <row r="4065" spans="19:51">
      <c r="S4065" s="7"/>
      <c r="AX4065" s="7"/>
      <c r="AY4065" s="7"/>
    </row>
    <row r="4066" spans="19:51">
      <c r="S4066" s="7"/>
      <c r="AX4066" s="7"/>
      <c r="AY4066" s="7"/>
    </row>
    <row r="4067" spans="19:51">
      <c r="S4067" s="7"/>
      <c r="AX4067" s="7"/>
      <c r="AY4067" s="7"/>
    </row>
    <row r="4068" spans="19:51">
      <c r="S4068" s="7"/>
      <c r="AX4068" s="7"/>
      <c r="AY4068" s="7"/>
    </row>
    <row r="4069" spans="19:51">
      <c r="S4069" s="7"/>
      <c r="AX4069" s="7"/>
      <c r="AY4069" s="7"/>
    </row>
    <row r="4070" spans="19:51">
      <c r="S4070" s="7"/>
      <c r="AX4070" s="7"/>
      <c r="AY4070" s="7"/>
    </row>
    <row r="4071" spans="19:51">
      <c r="S4071" s="7"/>
      <c r="AX4071" s="7"/>
      <c r="AY4071" s="7"/>
    </row>
    <row r="4072" spans="19:51">
      <c r="S4072" s="7"/>
      <c r="AX4072" s="7"/>
      <c r="AY4072" s="7"/>
    </row>
    <row r="4073" spans="19:51">
      <c r="S4073" s="7"/>
      <c r="AX4073" s="7"/>
      <c r="AY4073" s="7"/>
    </row>
    <row r="4074" spans="19:51">
      <c r="S4074" s="7"/>
      <c r="AX4074" s="7"/>
      <c r="AY4074" s="7"/>
    </row>
    <row r="4075" spans="19:51">
      <c r="S4075" s="7"/>
      <c r="AX4075" s="7"/>
      <c r="AY4075" s="7"/>
    </row>
    <row r="4076" spans="19:51">
      <c r="S4076" s="7"/>
      <c r="AX4076" s="7"/>
      <c r="AY4076" s="7"/>
    </row>
    <row r="4077" spans="19:51">
      <c r="S4077" s="7"/>
      <c r="AX4077" s="7"/>
      <c r="AY4077" s="7"/>
    </row>
    <row r="4078" spans="19:51">
      <c r="S4078" s="7"/>
      <c r="AX4078" s="7"/>
      <c r="AY4078" s="7"/>
    </row>
    <row r="4079" spans="19:51">
      <c r="S4079" s="7"/>
      <c r="AX4079" s="7"/>
      <c r="AY4079" s="7"/>
    </row>
    <row r="4080" spans="19:51">
      <c r="S4080" s="7"/>
      <c r="AX4080" s="7"/>
      <c r="AY4080" s="7"/>
    </row>
    <row r="4081" spans="19:51">
      <c r="S4081" s="7"/>
      <c r="AX4081" s="7"/>
      <c r="AY4081" s="7"/>
    </row>
    <row r="4082" spans="19:51">
      <c r="S4082" s="7"/>
      <c r="AX4082" s="7"/>
      <c r="AY4082" s="7"/>
    </row>
    <row r="4083" spans="19:51">
      <c r="S4083" s="7"/>
      <c r="AX4083" s="7"/>
      <c r="AY4083" s="7"/>
    </row>
    <row r="4084" spans="19:51">
      <c r="S4084" s="7"/>
      <c r="AX4084" s="7"/>
      <c r="AY4084" s="7"/>
    </row>
    <row r="4085" spans="19:51">
      <c r="S4085" s="7"/>
      <c r="AX4085" s="7"/>
      <c r="AY4085" s="7"/>
    </row>
    <row r="4086" spans="19:51">
      <c r="S4086" s="7"/>
      <c r="AX4086" s="7"/>
      <c r="AY4086" s="7"/>
    </row>
    <row r="4087" spans="19:51">
      <c r="S4087" s="7"/>
      <c r="AX4087" s="7"/>
      <c r="AY4087" s="7"/>
    </row>
    <row r="4088" spans="19:51">
      <c r="S4088" s="7"/>
      <c r="AX4088" s="7"/>
      <c r="AY4088" s="7"/>
    </row>
    <row r="4089" spans="19:51">
      <c r="S4089" s="7"/>
      <c r="AX4089" s="7"/>
      <c r="AY4089" s="7"/>
    </row>
    <row r="4090" spans="19:51">
      <c r="S4090" s="7"/>
      <c r="AX4090" s="7"/>
      <c r="AY4090" s="7"/>
    </row>
    <row r="4091" spans="19:51">
      <c r="S4091" s="7"/>
      <c r="AX4091" s="7"/>
      <c r="AY4091" s="7"/>
    </row>
    <row r="4092" spans="19:51">
      <c r="S4092" s="7"/>
      <c r="AX4092" s="7"/>
      <c r="AY4092" s="7"/>
    </row>
    <row r="4093" spans="19:51">
      <c r="S4093" s="7"/>
      <c r="AX4093" s="7"/>
      <c r="AY4093" s="7"/>
    </row>
    <row r="4094" spans="19:51">
      <c r="S4094" s="7"/>
      <c r="AX4094" s="7"/>
      <c r="AY4094" s="7"/>
    </row>
    <row r="4095" spans="19:51">
      <c r="S4095" s="7"/>
      <c r="AX4095" s="7"/>
      <c r="AY4095" s="7"/>
    </row>
    <row r="4096" spans="19:51">
      <c r="S4096" s="7"/>
      <c r="AX4096" s="7"/>
      <c r="AY4096" s="7"/>
    </row>
    <row r="4097" spans="19:51">
      <c r="S4097" s="7"/>
      <c r="AX4097" s="7"/>
      <c r="AY4097" s="7"/>
    </row>
    <row r="4098" spans="19:51">
      <c r="S4098" s="7"/>
      <c r="AX4098" s="7"/>
      <c r="AY4098" s="7"/>
    </row>
    <row r="4099" spans="19:51">
      <c r="S4099" s="7"/>
      <c r="AX4099" s="7"/>
      <c r="AY4099" s="7"/>
    </row>
    <row r="4100" spans="19:51">
      <c r="S4100" s="7"/>
      <c r="AX4100" s="7"/>
      <c r="AY4100" s="7"/>
    </row>
    <row r="4101" spans="19:51">
      <c r="S4101" s="7"/>
      <c r="AX4101" s="7"/>
      <c r="AY4101" s="7"/>
    </row>
    <row r="4102" spans="19:51">
      <c r="S4102" s="7"/>
      <c r="AX4102" s="7"/>
      <c r="AY4102" s="7"/>
    </row>
    <row r="4103" spans="19:51">
      <c r="S4103" s="7"/>
      <c r="AX4103" s="7"/>
      <c r="AY4103" s="7"/>
    </row>
    <row r="4104" spans="19:51">
      <c r="S4104" s="7"/>
      <c r="AX4104" s="7"/>
      <c r="AY4104" s="7"/>
    </row>
    <row r="4105" spans="19:51">
      <c r="S4105" s="7"/>
      <c r="AX4105" s="7"/>
      <c r="AY4105" s="7"/>
    </row>
    <row r="4106" spans="19:51">
      <c r="S4106" s="7"/>
      <c r="AX4106" s="7"/>
      <c r="AY4106" s="7"/>
    </row>
    <row r="4107" spans="19:51">
      <c r="S4107" s="7"/>
      <c r="AX4107" s="7"/>
      <c r="AY4107" s="7"/>
    </row>
    <row r="4108" spans="19:51">
      <c r="S4108" s="7"/>
      <c r="AX4108" s="7"/>
      <c r="AY4108" s="7"/>
    </row>
    <row r="4109" spans="19:51">
      <c r="S4109" s="7"/>
      <c r="AX4109" s="7"/>
      <c r="AY4109" s="7"/>
    </row>
    <row r="4110" spans="19:51">
      <c r="S4110" s="7"/>
      <c r="AX4110" s="7"/>
      <c r="AY4110" s="7"/>
    </row>
    <row r="4111" spans="19:51">
      <c r="S4111" s="7"/>
      <c r="AX4111" s="7"/>
      <c r="AY4111" s="7"/>
    </row>
    <row r="4112" spans="19:51">
      <c r="S4112" s="7"/>
      <c r="AX4112" s="7"/>
      <c r="AY4112" s="7"/>
    </row>
    <row r="4113" spans="19:51">
      <c r="S4113" s="7"/>
      <c r="AX4113" s="7"/>
      <c r="AY4113" s="7"/>
    </row>
    <row r="4114" spans="19:51">
      <c r="S4114" s="7"/>
      <c r="AX4114" s="7"/>
      <c r="AY4114" s="7"/>
    </row>
    <row r="4115" spans="19:51">
      <c r="S4115" s="7"/>
      <c r="AX4115" s="7"/>
      <c r="AY4115" s="7"/>
    </row>
    <row r="4116" spans="19:51">
      <c r="S4116" s="7"/>
      <c r="AX4116" s="7"/>
      <c r="AY4116" s="7"/>
    </row>
    <row r="4117" spans="19:51">
      <c r="S4117" s="7"/>
      <c r="AX4117" s="7"/>
      <c r="AY4117" s="7"/>
    </row>
    <row r="4118" spans="19:51">
      <c r="S4118" s="7"/>
      <c r="AX4118" s="7"/>
      <c r="AY4118" s="7"/>
    </row>
    <row r="4119" spans="19:51">
      <c r="S4119" s="7"/>
      <c r="AX4119" s="7"/>
      <c r="AY4119" s="7"/>
    </row>
    <row r="4120" spans="19:51">
      <c r="S4120" s="7"/>
      <c r="AX4120" s="7"/>
      <c r="AY4120" s="7"/>
    </row>
    <row r="4121" spans="19:51">
      <c r="S4121" s="7"/>
      <c r="AX4121" s="7"/>
      <c r="AY4121" s="7"/>
    </row>
    <row r="4122" spans="19:51">
      <c r="S4122" s="7"/>
      <c r="AX4122" s="7"/>
      <c r="AY4122" s="7"/>
    </row>
    <row r="4123" spans="19:51">
      <c r="S4123" s="7"/>
      <c r="AX4123" s="7"/>
      <c r="AY4123" s="7"/>
    </row>
    <row r="4124" spans="19:51">
      <c r="S4124" s="7"/>
      <c r="AX4124" s="7"/>
      <c r="AY4124" s="7"/>
    </row>
    <row r="4125" spans="19:51">
      <c r="S4125" s="7"/>
      <c r="AX4125" s="7"/>
      <c r="AY4125" s="7"/>
    </row>
    <row r="4126" spans="19:51">
      <c r="S4126" s="7"/>
      <c r="AX4126" s="7"/>
      <c r="AY4126" s="7"/>
    </row>
    <row r="4127" spans="19:51">
      <c r="S4127" s="7"/>
      <c r="AX4127" s="7"/>
      <c r="AY4127" s="7"/>
    </row>
    <row r="4128" spans="19:51">
      <c r="S4128" s="7"/>
      <c r="AX4128" s="7"/>
      <c r="AY4128" s="7"/>
    </row>
    <row r="4129" spans="19:51">
      <c r="S4129" s="7"/>
      <c r="AX4129" s="7"/>
      <c r="AY4129" s="7"/>
    </row>
    <row r="4130" spans="19:51">
      <c r="S4130" s="7"/>
      <c r="AX4130" s="7"/>
      <c r="AY4130" s="7"/>
    </row>
    <row r="4131" spans="19:51">
      <c r="S4131" s="7"/>
      <c r="AX4131" s="7"/>
      <c r="AY4131" s="7"/>
    </row>
    <row r="4132" spans="19:51">
      <c r="S4132" s="7"/>
      <c r="AX4132" s="7"/>
      <c r="AY4132" s="7"/>
    </row>
    <row r="4133" spans="19:51">
      <c r="S4133" s="7"/>
      <c r="AX4133" s="7"/>
      <c r="AY4133" s="7"/>
    </row>
    <row r="4134" spans="19:51">
      <c r="S4134" s="7"/>
      <c r="AX4134" s="7"/>
      <c r="AY4134" s="7"/>
    </row>
    <row r="4135" spans="19:51">
      <c r="S4135" s="7"/>
      <c r="AX4135" s="7"/>
      <c r="AY4135" s="7"/>
    </row>
    <row r="4136" spans="19:51">
      <c r="S4136" s="7"/>
      <c r="AX4136" s="7"/>
      <c r="AY4136" s="7"/>
    </row>
    <row r="4137" spans="19:51">
      <c r="S4137" s="7"/>
      <c r="AX4137" s="7"/>
      <c r="AY4137" s="7"/>
    </row>
    <row r="4138" spans="19:51">
      <c r="S4138" s="7"/>
      <c r="AX4138" s="7"/>
      <c r="AY4138" s="7"/>
    </row>
    <row r="4139" spans="19:51">
      <c r="S4139" s="7"/>
      <c r="AX4139" s="7"/>
      <c r="AY4139" s="7"/>
    </row>
    <row r="4140" spans="19:51">
      <c r="S4140" s="7"/>
      <c r="AX4140" s="7"/>
      <c r="AY4140" s="7"/>
    </row>
    <row r="4141" spans="19:51">
      <c r="S4141" s="7"/>
      <c r="AX4141" s="7"/>
      <c r="AY4141" s="7"/>
    </row>
    <row r="4142" spans="19:51">
      <c r="S4142" s="7"/>
      <c r="AX4142" s="7"/>
      <c r="AY4142" s="7"/>
    </row>
    <row r="4143" spans="19:51">
      <c r="S4143" s="7"/>
      <c r="AX4143" s="7"/>
      <c r="AY4143" s="7"/>
    </row>
    <row r="4144" spans="19:51">
      <c r="S4144" s="7"/>
      <c r="AX4144" s="7"/>
      <c r="AY4144" s="7"/>
    </row>
    <row r="4145" spans="19:51">
      <c r="S4145" s="7"/>
      <c r="AX4145" s="7"/>
      <c r="AY4145" s="7"/>
    </row>
    <row r="4146" spans="19:51">
      <c r="S4146" s="7"/>
      <c r="AX4146" s="7"/>
      <c r="AY4146" s="7"/>
    </row>
    <row r="4147" spans="19:51">
      <c r="S4147" s="7"/>
      <c r="AX4147" s="7"/>
      <c r="AY4147" s="7"/>
    </row>
    <row r="4148" spans="19:51">
      <c r="S4148" s="7"/>
      <c r="AX4148" s="7"/>
      <c r="AY4148" s="7"/>
    </row>
    <row r="4149" spans="19:51">
      <c r="S4149" s="7"/>
      <c r="AX4149" s="7"/>
      <c r="AY4149" s="7"/>
    </row>
    <row r="4150" spans="19:51">
      <c r="S4150" s="7"/>
      <c r="AX4150" s="7"/>
      <c r="AY4150" s="7"/>
    </row>
    <row r="4151" spans="19:51">
      <c r="S4151" s="7"/>
      <c r="AX4151" s="7"/>
      <c r="AY4151" s="7"/>
    </row>
    <row r="4152" spans="19:51">
      <c r="S4152" s="7"/>
      <c r="AX4152" s="7"/>
      <c r="AY4152" s="7"/>
    </row>
    <row r="4153" spans="19:51">
      <c r="S4153" s="7"/>
      <c r="AX4153" s="7"/>
      <c r="AY4153" s="7"/>
    </row>
    <row r="4154" spans="19:51">
      <c r="S4154" s="7"/>
      <c r="AX4154" s="7"/>
      <c r="AY4154" s="7"/>
    </row>
    <row r="4155" spans="19:51">
      <c r="S4155" s="7"/>
      <c r="AX4155" s="7"/>
      <c r="AY4155" s="7"/>
    </row>
    <row r="4156" spans="19:51">
      <c r="S4156" s="7"/>
      <c r="AX4156" s="7"/>
      <c r="AY4156" s="7"/>
    </row>
    <row r="4157" spans="19:51">
      <c r="S4157" s="7"/>
      <c r="AX4157" s="7"/>
      <c r="AY4157" s="7"/>
    </row>
    <row r="4158" spans="19:51">
      <c r="S4158" s="7"/>
      <c r="AX4158" s="7"/>
      <c r="AY4158" s="7"/>
    </row>
    <row r="4159" spans="19:51">
      <c r="S4159" s="7"/>
      <c r="AX4159" s="7"/>
      <c r="AY4159" s="7"/>
    </row>
    <row r="4160" spans="19:51">
      <c r="S4160" s="7"/>
      <c r="AX4160" s="7"/>
      <c r="AY4160" s="7"/>
    </row>
    <row r="4161" spans="19:51">
      <c r="S4161" s="7"/>
      <c r="AX4161" s="7"/>
      <c r="AY4161" s="7"/>
    </row>
    <row r="4162" spans="19:51">
      <c r="S4162" s="7"/>
      <c r="AX4162" s="7"/>
      <c r="AY4162" s="7"/>
    </row>
    <row r="4163" spans="19:51">
      <c r="S4163" s="7"/>
      <c r="AX4163" s="7"/>
      <c r="AY4163" s="7"/>
    </row>
    <row r="4164" spans="19:51">
      <c r="S4164" s="7"/>
      <c r="AX4164" s="7"/>
      <c r="AY4164" s="7"/>
    </row>
    <row r="4165" spans="19:51">
      <c r="S4165" s="7"/>
      <c r="AX4165" s="7"/>
      <c r="AY4165" s="7"/>
    </row>
    <row r="4166" spans="19:51">
      <c r="S4166" s="7"/>
      <c r="AX4166" s="7"/>
      <c r="AY4166" s="7"/>
    </row>
    <row r="4167" spans="19:51">
      <c r="S4167" s="7"/>
      <c r="AX4167" s="7"/>
      <c r="AY4167" s="7"/>
    </row>
    <row r="4168" spans="19:51">
      <c r="S4168" s="7"/>
      <c r="AX4168" s="7"/>
      <c r="AY4168" s="7"/>
    </row>
    <row r="4169" spans="19:51">
      <c r="S4169" s="7"/>
      <c r="AX4169" s="7"/>
      <c r="AY4169" s="7"/>
    </row>
    <row r="4170" spans="19:51">
      <c r="S4170" s="7"/>
      <c r="AX4170" s="7"/>
      <c r="AY4170" s="7"/>
    </row>
    <row r="4171" spans="19:51">
      <c r="S4171" s="7"/>
      <c r="AX4171" s="7"/>
      <c r="AY4171" s="7"/>
    </row>
    <row r="4172" spans="19:51">
      <c r="S4172" s="7"/>
      <c r="AX4172" s="7"/>
      <c r="AY4172" s="7"/>
    </row>
    <row r="4173" spans="19:51">
      <c r="S4173" s="7"/>
      <c r="AX4173" s="7"/>
      <c r="AY4173" s="7"/>
    </row>
    <row r="4174" spans="19:51">
      <c r="S4174" s="7"/>
      <c r="AX4174" s="7"/>
      <c r="AY4174" s="7"/>
    </row>
    <row r="4175" spans="19:51">
      <c r="S4175" s="7"/>
      <c r="AX4175" s="7"/>
      <c r="AY4175" s="7"/>
    </row>
    <row r="4176" spans="19:51">
      <c r="S4176" s="7"/>
      <c r="AX4176" s="7"/>
      <c r="AY4176" s="7"/>
    </row>
    <row r="4177" spans="19:51">
      <c r="S4177" s="7"/>
      <c r="AX4177" s="7"/>
      <c r="AY4177" s="7"/>
    </row>
    <row r="4178" spans="19:51">
      <c r="S4178" s="7"/>
      <c r="AX4178" s="7"/>
      <c r="AY4178" s="7"/>
    </row>
    <row r="4179" spans="19:51">
      <c r="S4179" s="7"/>
      <c r="AX4179" s="7"/>
      <c r="AY4179" s="7"/>
    </row>
    <row r="4180" spans="19:51">
      <c r="S4180" s="7"/>
      <c r="AX4180" s="7"/>
      <c r="AY4180" s="7"/>
    </row>
    <row r="4181" spans="19:51">
      <c r="S4181" s="7"/>
      <c r="AX4181" s="7"/>
      <c r="AY4181" s="7"/>
    </row>
    <row r="4182" spans="19:51">
      <c r="S4182" s="7"/>
      <c r="AX4182" s="7"/>
      <c r="AY4182" s="7"/>
    </row>
    <row r="4183" spans="19:51">
      <c r="S4183" s="7"/>
      <c r="AX4183" s="7"/>
      <c r="AY4183" s="7"/>
    </row>
    <row r="4184" spans="19:51">
      <c r="S4184" s="7"/>
      <c r="AX4184" s="7"/>
      <c r="AY4184" s="7"/>
    </row>
    <row r="4185" spans="19:51">
      <c r="S4185" s="7"/>
      <c r="AX4185" s="7"/>
      <c r="AY4185" s="7"/>
    </row>
    <row r="4186" spans="19:51">
      <c r="S4186" s="7"/>
      <c r="AX4186" s="7"/>
      <c r="AY4186" s="7"/>
    </row>
    <row r="4187" spans="19:51">
      <c r="S4187" s="7"/>
      <c r="AX4187" s="7"/>
      <c r="AY4187" s="7"/>
    </row>
    <row r="4188" spans="19:51">
      <c r="S4188" s="7"/>
      <c r="AX4188" s="7"/>
      <c r="AY4188" s="7"/>
    </row>
    <row r="4189" spans="19:51">
      <c r="S4189" s="7"/>
      <c r="AX4189" s="7"/>
      <c r="AY4189" s="7"/>
    </row>
    <row r="4190" spans="19:51">
      <c r="S4190" s="7"/>
      <c r="AX4190" s="7"/>
      <c r="AY4190" s="7"/>
    </row>
    <row r="4191" spans="19:51">
      <c r="S4191" s="7"/>
      <c r="AX4191" s="7"/>
      <c r="AY4191" s="7"/>
    </row>
    <row r="4192" spans="19:51">
      <c r="S4192" s="7"/>
      <c r="AX4192" s="7"/>
      <c r="AY4192" s="7"/>
    </row>
    <row r="4193" spans="19:51">
      <c r="S4193" s="7"/>
      <c r="AX4193" s="7"/>
      <c r="AY4193" s="7"/>
    </row>
    <row r="4194" spans="19:51">
      <c r="S4194" s="7"/>
      <c r="AX4194" s="7"/>
      <c r="AY4194" s="7"/>
    </row>
    <row r="4195" spans="19:51">
      <c r="S4195" s="7"/>
      <c r="AX4195" s="7"/>
      <c r="AY4195" s="7"/>
    </row>
    <row r="4196" spans="19:51">
      <c r="S4196" s="7"/>
      <c r="AX4196" s="7"/>
      <c r="AY4196" s="7"/>
    </row>
    <row r="4197" spans="19:51">
      <c r="S4197" s="7"/>
      <c r="AX4197" s="7"/>
      <c r="AY4197" s="7"/>
    </row>
    <row r="4198" spans="19:51">
      <c r="S4198" s="7"/>
      <c r="AX4198" s="7"/>
      <c r="AY4198" s="7"/>
    </row>
    <row r="4199" spans="19:51">
      <c r="S4199" s="7"/>
      <c r="AX4199" s="7"/>
      <c r="AY4199" s="7"/>
    </row>
    <row r="4200" spans="19:51">
      <c r="S4200" s="7"/>
      <c r="AX4200" s="7"/>
      <c r="AY4200" s="7"/>
    </row>
    <row r="4201" spans="19:51">
      <c r="S4201" s="7"/>
      <c r="AX4201" s="7"/>
      <c r="AY4201" s="7"/>
    </row>
    <row r="4202" spans="19:51">
      <c r="S4202" s="7"/>
      <c r="AX4202" s="7"/>
      <c r="AY4202" s="7"/>
    </row>
    <row r="4203" spans="19:51">
      <c r="S4203" s="7"/>
      <c r="AX4203" s="7"/>
      <c r="AY4203" s="7"/>
    </row>
    <row r="4204" spans="19:51">
      <c r="S4204" s="7"/>
      <c r="AX4204" s="7"/>
      <c r="AY4204" s="7"/>
    </row>
    <row r="4205" spans="19:51">
      <c r="S4205" s="7"/>
      <c r="AX4205" s="7"/>
      <c r="AY4205" s="7"/>
    </row>
    <row r="4206" spans="19:51">
      <c r="S4206" s="7"/>
      <c r="AX4206" s="7"/>
      <c r="AY4206" s="7"/>
    </row>
    <row r="4207" spans="19:51">
      <c r="S4207" s="7"/>
      <c r="AX4207" s="7"/>
      <c r="AY4207" s="7"/>
    </row>
    <row r="4208" spans="19:51">
      <c r="S4208" s="7"/>
      <c r="AX4208" s="7"/>
      <c r="AY4208" s="7"/>
    </row>
    <row r="4209" spans="19:51">
      <c r="S4209" s="7"/>
      <c r="AX4209" s="7"/>
      <c r="AY4209" s="7"/>
    </row>
    <row r="4210" spans="19:51">
      <c r="S4210" s="7"/>
      <c r="AX4210" s="7"/>
      <c r="AY4210" s="7"/>
    </row>
    <row r="4211" spans="19:51">
      <c r="S4211" s="7"/>
      <c r="AX4211" s="7"/>
      <c r="AY4211" s="7"/>
    </row>
    <row r="4212" spans="19:51">
      <c r="S4212" s="7"/>
      <c r="AX4212" s="7"/>
      <c r="AY4212" s="7"/>
    </row>
    <row r="4213" spans="19:51">
      <c r="S4213" s="7"/>
      <c r="AX4213" s="7"/>
      <c r="AY4213" s="7"/>
    </row>
    <row r="4214" spans="19:51">
      <c r="S4214" s="7"/>
      <c r="AX4214" s="7"/>
      <c r="AY4214" s="7"/>
    </row>
    <row r="4215" spans="19:51">
      <c r="S4215" s="7"/>
      <c r="AX4215" s="7"/>
      <c r="AY4215" s="7"/>
    </row>
    <row r="4216" spans="19:51">
      <c r="S4216" s="7"/>
      <c r="AX4216" s="7"/>
      <c r="AY4216" s="7"/>
    </row>
    <row r="4217" spans="19:51">
      <c r="S4217" s="7"/>
      <c r="AX4217" s="7"/>
      <c r="AY4217" s="7"/>
    </row>
    <row r="4218" spans="19:51">
      <c r="S4218" s="7"/>
      <c r="AX4218" s="7"/>
      <c r="AY4218" s="7"/>
    </row>
    <row r="4219" spans="19:51">
      <c r="S4219" s="7"/>
      <c r="AX4219" s="7"/>
      <c r="AY4219" s="7"/>
    </row>
    <row r="4220" spans="19:51">
      <c r="S4220" s="7"/>
      <c r="AX4220" s="7"/>
      <c r="AY4220" s="7"/>
    </row>
    <row r="4221" spans="19:51">
      <c r="S4221" s="7"/>
      <c r="AX4221" s="7"/>
      <c r="AY4221" s="7"/>
    </row>
    <row r="4222" spans="19:51">
      <c r="S4222" s="7"/>
      <c r="AX4222" s="7"/>
      <c r="AY4222" s="7"/>
    </row>
    <row r="4223" spans="19:51">
      <c r="S4223" s="7"/>
      <c r="AX4223" s="7"/>
      <c r="AY4223" s="7"/>
    </row>
    <row r="4224" spans="19:51">
      <c r="S4224" s="7"/>
      <c r="AX4224" s="7"/>
      <c r="AY4224" s="7"/>
    </row>
    <row r="4225" spans="19:51">
      <c r="S4225" s="7"/>
      <c r="AX4225" s="7"/>
      <c r="AY4225" s="7"/>
    </row>
    <row r="4226" spans="19:51">
      <c r="S4226" s="7"/>
      <c r="AX4226" s="7"/>
      <c r="AY4226" s="7"/>
    </row>
    <row r="4227" spans="19:51">
      <c r="S4227" s="7"/>
      <c r="AX4227" s="7"/>
      <c r="AY4227" s="7"/>
    </row>
    <row r="4228" spans="19:51">
      <c r="S4228" s="7"/>
      <c r="AX4228" s="7"/>
      <c r="AY4228" s="7"/>
    </row>
    <row r="4229" spans="19:51">
      <c r="S4229" s="7"/>
      <c r="AX4229" s="7"/>
      <c r="AY4229" s="7"/>
    </row>
    <row r="4230" spans="19:51">
      <c r="S4230" s="7"/>
      <c r="AX4230" s="7"/>
      <c r="AY4230" s="7"/>
    </row>
    <row r="4231" spans="19:51">
      <c r="S4231" s="7"/>
      <c r="AX4231" s="7"/>
      <c r="AY4231" s="7"/>
    </row>
    <row r="4232" spans="19:51">
      <c r="S4232" s="7"/>
      <c r="AX4232" s="7"/>
      <c r="AY4232" s="7"/>
    </row>
    <row r="4233" spans="19:51">
      <c r="S4233" s="7"/>
      <c r="AX4233" s="7"/>
      <c r="AY4233" s="7"/>
    </row>
    <row r="4234" spans="19:51">
      <c r="S4234" s="7"/>
      <c r="AX4234" s="7"/>
      <c r="AY4234" s="7"/>
    </row>
    <row r="4235" spans="19:51">
      <c r="S4235" s="7"/>
      <c r="AX4235" s="7"/>
      <c r="AY4235" s="7"/>
    </row>
    <row r="4236" spans="19:51">
      <c r="S4236" s="7"/>
      <c r="AX4236" s="7"/>
      <c r="AY4236" s="7"/>
    </row>
    <row r="4237" spans="19:51">
      <c r="S4237" s="7"/>
      <c r="AX4237" s="7"/>
      <c r="AY4237" s="7"/>
    </row>
    <row r="4238" spans="19:51">
      <c r="S4238" s="7"/>
      <c r="AX4238" s="7"/>
      <c r="AY4238" s="7"/>
    </row>
    <row r="4239" spans="19:51">
      <c r="S4239" s="7"/>
      <c r="AX4239" s="7"/>
      <c r="AY4239" s="7"/>
    </row>
    <row r="4240" spans="19:51">
      <c r="S4240" s="7"/>
      <c r="AX4240" s="7"/>
      <c r="AY4240" s="7"/>
    </row>
    <row r="4241" spans="19:51">
      <c r="S4241" s="7"/>
      <c r="AX4241" s="7"/>
      <c r="AY4241" s="7"/>
    </row>
    <row r="4242" spans="19:51">
      <c r="S4242" s="7"/>
      <c r="AX4242" s="7"/>
      <c r="AY4242" s="7"/>
    </row>
    <row r="4243" spans="19:51">
      <c r="S4243" s="7"/>
      <c r="AX4243" s="7"/>
      <c r="AY4243" s="7"/>
    </row>
    <row r="4244" spans="19:51">
      <c r="S4244" s="7"/>
      <c r="AX4244" s="7"/>
      <c r="AY4244" s="7"/>
    </row>
    <row r="4245" spans="19:51">
      <c r="S4245" s="7"/>
      <c r="AX4245" s="7"/>
      <c r="AY4245" s="7"/>
    </row>
    <row r="4246" spans="19:51">
      <c r="S4246" s="7"/>
      <c r="AX4246" s="7"/>
      <c r="AY4246" s="7"/>
    </row>
    <row r="4247" spans="19:51">
      <c r="S4247" s="7"/>
      <c r="AX4247" s="7"/>
      <c r="AY4247" s="7"/>
    </row>
    <row r="4248" spans="19:51">
      <c r="S4248" s="7"/>
      <c r="AX4248" s="7"/>
      <c r="AY4248" s="7"/>
    </row>
    <row r="4249" spans="19:51">
      <c r="S4249" s="7"/>
      <c r="AX4249" s="7"/>
      <c r="AY4249" s="7"/>
    </row>
    <row r="4250" spans="19:51">
      <c r="S4250" s="7"/>
      <c r="AX4250" s="7"/>
      <c r="AY4250" s="7"/>
    </row>
    <row r="4251" spans="19:51">
      <c r="S4251" s="7"/>
      <c r="AX4251" s="7"/>
      <c r="AY4251" s="7"/>
    </row>
    <row r="4252" spans="19:51">
      <c r="S4252" s="7"/>
      <c r="AX4252" s="7"/>
      <c r="AY4252" s="7"/>
    </row>
    <row r="4253" spans="19:51">
      <c r="S4253" s="7"/>
      <c r="AX4253" s="7"/>
      <c r="AY4253" s="7"/>
    </row>
    <row r="4254" spans="19:51">
      <c r="S4254" s="7"/>
      <c r="AX4254" s="7"/>
      <c r="AY4254" s="7"/>
    </row>
    <row r="4255" spans="19:51">
      <c r="S4255" s="7"/>
      <c r="AX4255" s="7"/>
      <c r="AY4255" s="7"/>
    </row>
    <row r="4256" spans="19:51">
      <c r="S4256" s="7"/>
      <c r="AX4256" s="7"/>
      <c r="AY4256" s="7"/>
    </row>
    <row r="4257" spans="19:51">
      <c r="S4257" s="7"/>
      <c r="AX4257" s="7"/>
      <c r="AY4257" s="7"/>
    </row>
    <row r="4258" spans="19:51">
      <c r="S4258" s="7"/>
      <c r="AX4258" s="7"/>
      <c r="AY4258" s="7"/>
    </row>
    <row r="4259" spans="19:51">
      <c r="S4259" s="7"/>
      <c r="AX4259" s="7"/>
      <c r="AY4259" s="7"/>
    </row>
    <row r="4260" spans="19:51">
      <c r="S4260" s="7"/>
      <c r="AX4260" s="7"/>
      <c r="AY4260" s="7"/>
    </row>
    <row r="4261" spans="19:51">
      <c r="S4261" s="7"/>
      <c r="AX4261" s="7"/>
      <c r="AY4261" s="7"/>
    </row>
    <row r="4262" spans="19:51">
      <c r="S4262" s="7"/>
      <c r="AX4262" s="7"/>
      <c r="AY4262" s="7"/>
    </row>
    <row r="4263" spans="19:51">
      <c r="S4263" s="7"/>
      <c r="AX4263" s="7"/>
      <c r="AY4263" s="7"/>
    </row>
    <row r="4264" spans="19:51">
      <c r="S4264" s="7"/>
      <c r="AX4264" s="7"/>
      <c r="AY4264" s="7"/>
    </row>
    <row r="4265" spans="19:51">
      <c r="S4265" s="7"/>
      <c r="AX4265" s="7"/>
      <c r="AY4265" s="7"/>
    </row>
    <row r="4266" spans="19:51">
      <c r="S4266" s="7"/>
      <c r="AX4266" s="7"/>
      <c r="AY4266" s="7"/>
    </row>
    <row r="4267" spans="19:51">
      <c r="S4267" s="7"/>
      <c r="AX4267" s="7"/>
      <c r="AY4267" s="7"/>
    </row>
    <row r="4268" spans="19:51">
      <c r="S4268" s="7"/>
      <c r="AX4268" s="7"/>
      <c r="AY4268" s="7"/>
    </row>
    <row r="4269" spans="19:51">
      <c r="S4269" s="7"/>
      <c r="AX4269" s="7"/>
      <c r="AY4269" s="7"/>
    </row>
    <row r="4270" spans="19:51">
      <c r="S4270" s="7"/>
      <c r="AX4270" s="7"/>
      <c r="AY4270" s="7"/>
    </row>
    <row r="4271" spans="19:51">
      <c r="S4271" s="7"/>
      <c r="AX4271" s="7"/>
      <c r="AY4271" s="7"/>
    </row>
    <row r="4272" spans="19:51">
      <c r="S4272" s="7"/>
      <c r="AX4272" s="7"/>
      <c r="AY4272" s="7"/>
    </row>
    <row r="4273" spans="19:51">
      <c r="S4273" s="7"/>
      <c r="AX4273" s="7"/>
      <c r="AY4273" s="7"/>
    </row>
    <row r="4274" spans="19:51">
      <c r="S4274" s="7"/>
      <c r="AX4274" s="7"/>
      <c r="AY4274" s="7"/>
    </row>
    <row r="4275" spans="19:51">
      <c r="S4275" s="7"/>
      <c r="AX4275" s="7"/>
      <c r="AY4275" s="7"/>
    </row>
    <row r="4276" spans="19:51">
      <c r="S4276" s="7"/>
      <c r="AX4276" s="7"/>
      <c r="AY4276" s="7"/>
    </row>
    <row r="4277" spans="19:51">
      <c r="S4277" s="7"/>
      <c r="AX4277" s="7"/>
      <c r="AY4277" s="7"/>
    </row>
    <row r="4278" spans="19:51">
      <c r="S4278" s="7"/>
      <c r="AX4278" s="7"/>
      <c r="AY4278" s="7"/>
    </row>
    <row r="4279" spans="19:51">
      <c r="S4279" s="7"/>
      <c r="AX4279" s="7"/>
      <c r="AY4279" s="7"/>
    </row>
    <row r="4280" spans="19:51">
      <c r="S4280" s="7"/>
      <c r="AX4280" s="7"/>
      <c r="AY4280" s="7"/>
    </row>
    <row r="4281" spans="19:51">
      <c r="S4281" s="7"/>
      <c r="AX4281" s="7"/>
      <c r="AY4281" s="7"/>
    </row>
    <row r="4282" spans="19:51">
      <c r="S4282" s="7"/>
      <c r="AX4282" s="7"/>
      <c r="AY4282" s="7"/>
    </row>
    <row r="4283" spans="19:51">
      <c r="S4283" s="7"/>
      <c r="AX4283" s="7"/>
      <c r="AY4283" s="7"/>
    </row>
    <row r="4284" spans="19:51">
      <c r="S4284" s="7"/>
      <c r="AX4284" s="7"/>
      <c r="AY4284" s="7"/>
    </row>
    <row r="4285" spans="19:51">
      <c r="S4285" s="7"/>
      <c r="AX4285" s="7"/>
      <c r="AY4285" s="7"/>
    </row>
    <row r="4286" spans="19:51">
      <c r="S4286" s="7"/>
      <c r="AX4286" s="7"/>
      <c r="AY4286" s="7"/>
    </row>
    <row r="4287" spans="19:51">
      <c r="S4287" s="7"/>
      <c r="AX4287" s="7"/>
      <c r="AY4287" s="7"/>
    </row>
    <row r="4288" spans="19:51">
      <c r="S4288" s="7"/>
      <c r="AX4288" s="7"/>
      <c r="AY4288" s="7"/>
    </row>
    <row r="4289" spans="19:51">
      <c r="S4289" s="7"/>
      <c r="AX4289" s="7"/>
      <c r="AY4289" s="7"/>
    </row>
    <row r="4290" spans="19:51">
      <c r="S4290" s="7"/>
      <c r="AX4290" s="7"/>
      <c r="AY4290" s="7"/>
    </row>
    <row r="4291" spans="19:51">
      <c r="S4291" s="7"/>
      <c r="AX4291" s="7"/>
      <c r="AY4291" s="7"/>
    </row>
    <row r="4292" spans="19:51">
      <c r="S4292" s="7"/>
      <c r="AX4292" s="7"/>
      <c r="AY4292" s="7"/>
    </row>
    <row r="4293" spans="19:51">
      <c r="S4293" s="7"/>
      <c r="AX4293" s="7"/>
      <c r="AY4293" s="7"/>
    </row>
    <row r="4294" spans="19:51">
      <c r="S4294" s="7"/>
      <c r="AX4294" s="7"/>
      <c r="AY4294" s="7"/>
    </row>
    <row r="4295" spans="19:51">
      <c r="S4295" s="7"/>
      <c r="AX4295" s="7"/>
      <c r="AY4295" s="7"/>
    </row>
    <row r="4296" spans="19:51">
      <c r="S4296" s="7"/>
      <c r="AX4296" s="7"/>
      <c r="AY4296" s="7"/>
    </row>
    <row r="4297" spans="19:51">
      <c r="S4297" s="7"/>
      <c r="AX4297" s="7"/>
      <c r="AY4297" s="7"/>
    </row>
    <row r="4298" spans="19:51">
      <c r="S4298" s="7"/>
      <c r="AX4298" s="7"/>
      <c r="AY4298" s="7"/>
    </row>
    <row r="4299" spans="19:51">
      <c r="S4299" s="7"/>
      <c r="AX4299" s="7"/>
      <c r="AY4299" s="7"/>
    </row>
    <row r="4300" spans="19:51">
      <c r="S4300" s="7"/>
      <c r="AX4300" s="7"/>
      <c r="AY4300" s="7"/>
    </row>
    <row r="4301" spans="19:51">
      <c r="S4301" s="7"/>
      <c r="AX4301" s="7"/>
      <c r="AY4301" s="7"/>
    </row>
    <row r="4302" spans="19:51">
      <c r="S4302" s="7"/>
      <c r="AX4302" s="7"/>
      <c r="AY4302" s="7"/>
    </row>
    <row r="4303" spans="19:51">
      <c r="S4303" s="7"/>
      <c r="AX4303" s="7"/>
      <c r="AY4303" s="7"/>
    </row>
    <row r="4304" spans="19:51">
      <c r="S4304" s="7"/>
      <c r="AX4304" s="7"/>
      <c r="AY4304" s="7"/>
    </row>
    <row r="4305" spans="19:51">
      <c r="S4305" s="7"/>
      <c r="AX4305" s="7"/>
      <c r="AY4305" s="7"/>
    </row>
    <row r="4306" spans="19:51">
      <c r="S4306" s="7"/>
      <c r="AX4306" s="7"/>
      <c r="AY4306" s="7"/>
    </row>
    <row r="4307" spans="19:51">
      <c r="S4307" s="7"/>
      <c r="AX4307" s="7"/>
      <c r="AY4307" s="7"/>
    </row>
    <row r="4308" spans="19:51">
      <c r="S4308" s="7"/>
      <c r="AX4308" s="7"/>
      <c r="AY4308" s="7"/>
    </row>
    <row r="4309" spans="19:51">
      <c r="S4309" s="7"/>
      <c r="AX4309" s="7"/>
      <c r="AY4309" s="7"/>
    </row>
    <row r="4310" spans="19:51">
      <c r="S4310" s="7"/>
      <c r="AX4310" s="7"/>
      <c r="AY4310" s="7"/>
    </row>
    <row r="4311" spans="19:51">
      <c r="S4311" s="7"/>
      <c r="AX4311" s="7"/>
      <c r="AY4311" s="7"/>
    </row>
    <row r="4312" spans="19:51">
      <c r="S4312" s="7"/>
      <c r="AX4312" s="7"/>
      <c r="AY4312" s="7"/>
    </row>
    <row r="4313" spans="19:51">
      <c r="S4313" s="7"/>
      <c r="AX4313" s="7"/>
      <c r="AY4313" s="7"/>
    </row>
    <row r="4314" spans="19:51">
      <c r="S4314" s="7"/>
      <c r="AX4314" s="7"/>
      <c r="AY4314" s="7"/>
    </row>
    <row r="4315" spans="19:51">
      <c r="S4315" s="7"/>
      <c r="AX4315" s="7"/>
      <c r="AY4315" s="7"/>
    </row>
    <row r="4316" spans="19:51">
      <c r="S4316" s="7"/>
      <c r="AX4316" s="7"/>
      <c r="AY4316" s="7"/>
    </row>
    <row r="4317" spans="19:51">
      <c r="S4317" s="7"/>
      <c r="AX4317" s="7"/>
      <c r="AY4317" s="7"/>
    </row>
    <row r="4318" spans="19:51">
      <c r="S4318" s="7"/>
      <c r="AX4318" s="7"/>
      <c r="AY4318" s="7"/>
    </row>
    <row r="4319" spans="19:51">
      <c r="S4319" s="7"/>
      <c r="AX4319" s="7"/>
      <c r="AY4319" s="7"/>
    </row>
    <row r="4320" spans="19:51">
      <c r="S4320" s="7"/>
      <c r="AX4320" s="7"/>
      <c r="AY4320" s="7"/>
    </row>
    <row r="4321" spans="19:51">
      <c r="S4321" s="7"/>
      <c r="AX4321" s="7"/>
      <c r="AY4321" s="7"/>
    </row>
    <row r="4322" spans="19:51">
      <c r="S4322" s="7"/>
      <c r="AX4322" s="7"/>
      <c r="AY4322" s="7"/>
    </row>
    <row r="4323" spans="19:51">
      <c r="S4323" s="7"/>
      <c r="AX4323" s="7"/>
      <c r="AY4323" s="7"/>
    </row>
    <row r="4324" spans="19:51">
      <c r="S4324" s="7"/>
      <c r="AX4324" s="7"/>
      <c r="AY4324" s="7"/>
    </row>
    <row r="4325" spans="19:51">
      <c r="S4325" s="7"/>
      <c r="AX4325" s="7"/>
      <c r="AY4325" s="7"/>
    </row>
    <row r="4326" spans="19:51">
      <c r="S4326" s="7"/>
      <c r="AX4326" s="7"/>
      <c r="AY4326" s="7"/>
    </row>
    <row r="4327" spans="19:51">
      <c r="S4327" s="7"/>
      <c r="AX4327" s="7"/>
      <c r="AY4327" s="7"/>
    </row>
    <row r="4328" spans="19:51">
      <c r="S4328" s="7"/>
      <c r="AX4328" s="7"/>
      <c r="AY4328" s="7"/>
    </row>
    <row r="4329" spans="19:51">
      <c r="S4329" s="7"/>
      <c r="AX4329" s="7"/>
      <c r="AY4329" s="7"/>
    </row>
    <row r="4330" spans="19:51">
      <c r="S4330" s="7"/>
      <c r="AX4330" s="7"/>
      <c r="AY4330" s="7"/>
    </row>
    <row r="4331" spans="19:51">
      <c r="S4331" s="7"/>
      <c r="AX4331" s="7"/>
      <c r="AY4331" s="7"/>
    </row>
    <row r="4332" spans="19:51">
      <c r="S4332" s="7"/>
      <c r="AX4332" s="7"/>
      <c r="AY4332" s="7"/>
    </row>
    <row r="4333" spans="19:51">
      <c r="S4333" s="7"/>
      <c r="AX4333" s="7"/>
      <c r="AY4333" s="7"/>
    </row>
    <row r="4334" spans="19:51">
      <c r="S4334" s="7"/>
      <c r="AX4334" s="7"/>
      <c r="AY4334" s="7"/>
    </row>
    <row r="4335" spans="19:51">
      <c r="S4335" s="7"/>
      <c r="AX4335" s="7"/>
      <c r="AY4335" s="7"/>
    </row>
    <row r="4336" spans="19:51">
      <c r="S4336" s="7"/>
      <c r="AX4336" s="7"/>
      <c r="AY4336" s="7"/>
    </row>
    <row r="4337" spans="19:51">
      <c r="S4337" s="7"/>
      <c r="AX4337" s="7"/>
      <c r="AY4337" s="7"/>
    </row>
    <row r="4338" spans="19:51">
      <c r="S4338" s="7"/>
      <c r="AX4338" s="7"/>
      <c r="AY4338" s="7"/>
    </row>
    <row r="4339" spans="19:51">
      <c r="S4339" s="7"/>
      <c r="AX4339" s="7"/>
      <c r="AY4339" s="7"/>
    </row>
    <row r="4340" spans="19:51">
      <c r="S4340" s="7"/>
      <c r="AX4340" s="7"/>
      <c r="AY4340" s="7"/>
    </row>
    <row r="4341" spans="19:51">
      <c r="S4341" s="7"/>
      <c r="AX4341" s="7"/>
      <c r="AY4341" s="7"/>
    </row>
    <row r="4342" spans="19:51">
      <c r="S4342" s="7"/>
      <c r="AX4342" s="7"/>
      <c r="AY4342" s="7"/>
    </row>
    <row r="4343" spans="19:51">
      <c r="S4343" s="7"/>
      <c r="AX4343" s="7"/>
      <c r="AY4343" s="7"/>
    </row>
    <row r="4344" spans="19:51">
      <c r="S4344" s="7"/>
      <c r="AX4344" s="7"/>
      <c r="AY4344" s="7"/>
    </row>
    <row r="4345" spans="19:51">
      <c r="S4345" s="7"/>
      <c r="AX4345" s="7"/>
      <c r="AY4345" s="7"/>
    </row>
    <row r="4346" spans="19:51">
      <c r="S4346" s="7"/>
      <c r="AX4346" s="7"/>
      <c r="AY4346" s="7"/>
    </row>
    <row r="4347" spans="19:51">
      <c r="S4347" s="7"/>
      <c r="AX4347" s="7"/>
      <c r="AY4347" s="7"/>
    </row>
    <row r="4348" spans="19:51">
      <c r="S4348" s="7"/>
      <c r="AX4348" s="7"/>
      <c r="AY4348" s="7"/>
    </row>
    <row r="4349" spans="19:51">
      <c r="S4349" s="7"/>
      <c r="AX4349" s="7"/>
      <c r="AY4349" s="7"/>
    </row>
    <row r="4350" spans="19:51">
      <c r="S4350" s="7"/>
      <c r="AX4350" s="7"/>
      <c r="AY4350" s="7"/>
    </row>
    <row r="4351" spans="19:51">
      <c r="S4351" s="7"/>
      <c r="AX4351" s="7"/>
      <c r="AY4351" s="7"/>
    </row>
    <row r="4352" spans="19:51">
      <c r="S4352" s="7"/>
      <c r="AX4352" s="7"/>
      <c r="AY4352" s="7"/>
    </row>
    <row r="4353" spans="19:51">
      <c r="S4353" s="7"/>
      <c r="AX4353" s="7"/>
      <c r="AY4353" s="7"/>
    </row>
    <row r="4354" spans="19:51">
      <c r="S4354" s="7"/>
      <c r="AX4354" s="7"/>
      <c r="AY4354" s="7"/>
    </row>
    <row r="4355" spans="19:51">
      <c r="S4355" s="7"/>
      <c r="AX4355" s="7"/>
      <c r="AY4355" s="7"/>
    </row>
    <row r="4356" spans="19:51">
      <c r="S4356" s="7"/>
      <c r="AX4356" s="7"/>
      <c r="AY4356" s="7"/>
    </row>
    <row r="4357" spans="19:51">
      <c r="S4357" s="7"/>
      <c r="AX4357" s="7"/>
      <c r="AY4357" s="7"/>
    </row>
    <row r="4358" spans="19:51">
      <c r="S4358" s="7"/>
      <c r="AX4358" s="7"/>
      <c r="AY4358" s="7"/>
    </row>
    <row r="4359" spans="19:51">
      <c r="S4359" s="7"/>
      <c r="AX4359" s="7"/>
      <c r="AY4359" s="7"/>
    </row>
    <row r="4360" spans="19:51">
      <c r="S4360" s="7"/>
      <c r="AX4360" s="7"/>
      <c r="AY4360" s="7"/>
    </row>
    <row r="4361" spans="19:51">
      <c r="S4361" s="7"/>
      <c r="AX4361" s="7"/>
      <c r="AY4361" s="7"/>
    </row>
    <row r="4362" spans="19:51">
      <c r="S4362" s="7"/>
      <c r="AX4362" s="7"/>
      <c r="AY4362" s="7"/>
    </row>
    <row r="4363" spans="19:51">
      <c r="S4363" s="7"/>
      <c r="AX4363" s="7"/>
      <c r="AY4363" s="7"/>
    </row>
    <row r="4364" spans="19:51">
      <c r="S4364" s="7"/>
      <c r="AX4364" s="7"/>
      <c r="AY4364" s="7"/>
    </row>
    <row r="4365" spans="19:51">
      <c r="S4365" s="7"/>
      <c r="AX4365" s="7"/>
      <c r="AY4365" s="7"/>
    </row>
    <row r="4366" spans="19:51">
      <c r="S4366" s="7"/>
      <c r="AX4366" s="7"/>
      <c r="AY4366" s="7"/>
    </row>
    <row r="4367" spans="19:51">
      <c r="S4367" s="7"/>
      <c r="AX4367" s="7"/>
      <c r="AY4367" s="7"/>
    </row>
    <row r="4368" spans="19:51">
      <c r="S4368" s="7"/>
      <c r="AX4368" s="7"/>
      <c r="AY4368" s="7"/>
    </row>
    <row r="4369" spans="19:51">
      <c r="S4369" s="7"/>
      <c r="AX4369" s="7"/>
      <c r="AY4369" s="7"/>
    </row>
    <row r="4370" spans="19:51">
      <c r="S4370" s="7"/>
      <c r="AX4370" s="7"/>
      <c r="AY4370" s="7"/>
    </row>
    <row r="4371" spans="19:51">
      <c r="S4371" s="7"/>
      <c r="AX4371" s="7"/>
      <c r="AY4371" s="7"/>
    </row>
    <row r="4372" spans="19:51">
      <c r="S4372" s="7"/>
      <c r="AX4372" s="7"/>
      <c r="AY4372" s="7"/>
    </row>
    <row r="4373" spans="19:51">
      <c r="S4373" s="7"/>
      <c r="AX4373" s="7"/>
      <c r="AY4373" s="7"/>
    </row>
    <row r="4374" spans="19:51">
      <c r="S4374" s="7"/>
      <c r="AX4374" s="7"/>
      <c r="AY4374" s="7"/>
    </row>
    <row r="4375" spans="19:51">
      <c r="S4375" s="7"/>
      <c r="AX4375" s="7"/>
      <c r="AY4375" s="7"/>
    </row>
    <row r="4376" spans="19:51">
      <c r="S4376" s="7"/>
      <c r="AX4376" s="7"/>
      <c r="AY4376" s="7"/>
    </row>
    <row r="4377" spans="19:51">
      <c r="S4377" s="7"/>
      <c r="AX4377" s="7"/>
      <c r="AY4377" s="7"/>
    </row>
    <row r="4378" spans="19:51">
      <c r="S4378" s="7"/>
      <c r="AX4378" s="7"/>
      <c r="AY4378" s="7"/>
    </row>
    <row r="4379" spans="19:51">
      <c r="S4379" s="7"/>
      <c r="AX4379" s="7"/>
      <c r="AY4379" s="7"/>
    </row>
    <row r="4380" spans="19:51">
      <c r="S4380" s="7"/>
      <c r="AX4380" s="7"/>
      <c r="AY4380" s="7"/>
    </row>
    <row r="4381" spans="19:51">
      <c r="S4381" s="7"/>
      <c r="AX4381" s="7"/>
      <c r="AY4381" s="7"/>
    </row>
    <row r="4382" spans="19:51">
      <c r="S4382" s="7"/>
      <c r="AX4382" s="7"/>
      <c r="AY4382" s="7"/>
    </row>
    <row r="4383" spans="19:51">
      <c r="S4383" s="7"/>
      <c r="AX4383" s="7"/>
      <c r="AY4383" s="7"/>
    </row>
    <row r="4384" spans="19:51">
      <c r="S4384" s="7"/>
      <c r="AX4384" s="7"/>
      <c r="AY4384" s="7"/>
    </row>
    <row r="4385" spans="19:51">
      <c r="S4385" s="7"/>
      <c r="AX4385" s="7"/>
      <c r="AY4385" s="7"/>
    </row>
    <row r="4386" spans="19:51">
      <c r="S4386" s="7"/>
      <c r="AX4386" s="7"/>
      <c r="AY4386" s="7"/>
    </row>
    <row r="4387" spans="19:51">
      <c r="S4387" s="7"/>
      <c r="AX4387" s="7"/>
      <c r="AY4387" s="7"/>
    </row>
    <row r="4388" spans="19:51">
      <c r="S4388" s="7"/>
      <c r="AX4388" s="7"/>
      <c r="AY4388" s="7"/>
    </row>
    <row r="4389" spans="19:51">
      <c r="S4389" s="7"/>
      <c r="AX4389" s="7"/>
      <c r="AY4389" s="7"/>
    </row>
    <row r="4390" spans="19:51">
      <c r="S4390" s="7"/>
      <c r="AX4390" s="7"/>
      <c r="AY4390" s="7"/>
    </row>
    <row r="4391" spans="19:51">
      <c r="S4391" s="7"/>
      <c r="AX4391" s="7"/>
      <c r="AY4391" s="7"/>
    </row>
    <row r="4392" spans="19:51">
      <c r="S4392" s="7"/>
      <c r="AX4392" s="7"/>
      <c r="AY4392" s="7"/>
    </row>
    <row r="4393" spans="19:51">
      <c r="S4393" s="7"/>
      <c r="AX4393" s="7"/>
      <c r="AY4393" s="7"/>
    </row>
    <row r="4394" spans="19:51">
      <c r="S4394" s="7"/>
      <c r="AX4394" s="7"/>
      <c r="AY4394" s="7"/>
    </row>
    <row r="4395" spans="19:51">
      <c r="S4395" s="7"/>
      <c r="AX4395" s="7"/>
      <c r="AY4395" s="7"/>
    </row>
    <row r="4396" spans="19:51">
      <c r="S4396" s="7"/>
      <c r="AX4396" s="7"/>
      <c r="AY4396" s="7"/>
    </row>
    <row r="4397" spans="19:51">
      <c r="S4397" s="7"/>
      <c r="AX4397" s="7"/>
      <c r="AY4397" s="7"/>
    </row>
    <row r="4398" spans="19:51">
      <c r="S4398" s="7"/>
      <c r="AX4398" s="7"/>
      <c r="AY4398" s="7"/>
    </row>
    <row r="4399" spans="19:51">
      <c r="S4399" s="7"/>
      <c r="AX4399" s="7"/>
      <c r="AY4399" s="7"/>
    </row>
    <row r="4400" spans="19:51">
      <c r="S4400" s="7"/>
      <c r="AX4400" s="7"/>
      <c r="AY4400" s="7"/>
    </row>
    <row r="4401" spans="19:51">
      <c r="S4401" s="7"/>
      <c r="AX4401" s="7"/>
      <c r="AY4401" s="7"/>
    </row>
    <row r="4402" spans="19:51">
      <c r="S4402" s="7"/>
      <c r="AX4402" s="7"/>
      <c r="AY4402" s="7"/>
    </row>
    <row r="4403" spans="19:51">
      <c r="S4403" s="7"/>
      <c r="AX4403" s="7"/>
      <c r="AY4403" s="7"/>
    </row>
    <row r="4404" spans="19:51">
      <c r="S4404" s="7"/>
      <c r="AX4404" s="7"/>
      <c r="AY4404" s="7"/>
    </row>
    <row r="4405" spans="19:51">
      <c r="S4405" s="7"/>
      <c r="AX4405" s="7"/>
      <c r="AY4405" s="7"/>
    </row>
    <row r="4406" spans="19:51">
      <c r="S4406" s="7"/>
      <c r="AX4406" s="7"/>
      <c r="AY4406" s="7"/>
    </row>
    <row r="4407" spans="19:51">
      <c r="S4407" s="7"/>
      <c r="AX4407" s="7"/>
      <c r="AY4407" s="7"/>
    </row>
    <row r="4408" spans="19:51">
      <c r="S4408" s="7"/>
      <c r="AX4408" s="7"/>
      <c r="AY4408" s="7"/>
    </row>
    <row r="4409" spans="19:51">
      <c r="S4409" s="7"/>
      <c r="AX4409" s="7"/>
      <c r="AY4409" s="7"/>
    </row>
    <row r="4410" spans="19:51">
      <c r="S4410" s="7"/>
      <c r="AX4410" s="7"/>
      <c r="AY4410" s="7"/>
    </row>
    <row r="4411" spans="19:51">
      <c r="S4411" s="7"/>
      <c r="AX4411" s="7"/>
      <c r="AY4411" s="7"/>
    </row>
    <row r="4412" spans="19:51">
      <c r="S4412" s="7"/>
      <c r="AX4412" s="7"/>
      <c r="AY4412" s="7"/>
    </row>
    <row r="4413" spans="19:51">
      <c r="S4413" s="7"/>
      <c r="AX4413" s="7"/>
      <c r="AY4413" s="7"/>
    </row>
    <row r="4414" spans="19:51">
      <c r="S4414" s="7"/>
      <c r="AX4414" s="7"/>
      <c r="AY4414" s="7"/>
    </row>
    <row r="4415" spans="19:51">
      <c r="S4415" s="7"/>
      <c r="AX4415" s="7"/>
      <c r="AY4415" s="7"/>
    </row>
    <row r="4416" spans="19:51">
      <c r="S4416" s="7"/>
      <c r="AX4416" s="7"/>
      <c r="AY4416" s="7"/>
    </row>
    <row r="4417" spans="19:51">
      <c r="S4417" s="7"/>
      <c r="AX4417" s="7"/>
      <c r="AY4417" s="7"/>
    </row>
    <row r="4418" spans="19:51">
      <c r="S4418" s="7"/>
      <c r="AX4418" s="7"/>
      <c r="AY4418" s="7"/>
    </row>
    <row r="4419" spans="19:51">
      <c r="S4419" s="7"/>
      <c r="AX4419" s="7"/>
      <c r="AY4419" s="7"/>
    </row>
    <row r="4420" spans="19:51">
      <c r="S4420" s="7"/>
      <c r="AX4420" s="7"/>
      <c r="AY4420" s="7"/>
    </row>
    <row r="4421" spans="19:51">
      <c r="S4421" s="7"/>
      <c r="AX4421" s="7"/>
      <c r="AY4421" s="7"/>
    </row>
    <row r="4422" spans="19:51">
      <c r="S4422" s="7"/>
      <c r="AX4422" s="7"/>
      <c r="AY4422" s="7"/>
    </row>
    <row r="4423" spans="19:51">
      <c r="S4423" s="7"/>
      <c r="AX4423" s="7"/>
      <c r="AY4423" s="7"/>
    </row>
    <row r="4424" spans="19:51">
      <c r="S4424" s="7"/>
      <c r="AX4424" s="7"/>
      <c r="AY4424" s="7"/>
    </row>
    <row r="4425" spans="19:51">
      <c r="S4425" s="7"/>
      <c r="AX4425" s="7"/>
      <c r="AY4425" s="7"/>
    </row>
    <row r="4426" spans="19:51">
      <c r="S4426" s="7"/>
      <c r="AX4426" s="7"/>
      <c r="AY4426" s="7"/>
    </row>
    <row r="4427" spans="19:51">
      <c r="S4427" s="7"/>
      <c r="AX4427" s="7"/>
      <c r="AY4427" s="7"/>
    </row>
    <row r="4428" spans="19:51">
      <c r="S4428" s="7"/>
      <c r="AX4428" s="7"/>
      <c r="AY4428" s="7"/>
    </row>
    <row r="4429" spans="19:51">
      <c r="S4429" s="7"/>
      <c r="AX4429" s="7"/>
      <c r="AY4429" s="7"/>
    </row>
    <row r="4430" spans="19:51">
      <c r="S4430" s="7"/>
      <c r="AX4430" s="7"/>
      <c r="AY4430" s="7"/>
    </row>
    <row r="4431" spans="19:51">
      <c r="S4431" s="7"/>
      <c r="AX4431" s="7"/>
      <c r="AY4431" s="7"/>
    </row>
    <row r="4432" spans="19:51">
      <c r="S4432" s="7"/>
      <c r="AX4432" s="7"/>
      <c r="AY4432" s="7"/>
    </row>
    <row r="4433" spans="19:51">
      <c r="S4433" s="7"/>
      <c r="AX4433" s="7"/>
      <c r="AY4433" s="7"/>
    </row>
    <row r="4434" spans="19:51">
      <c r="S4434" s="7"/>
      <c r="AX4434" s="7"/>
      <c r="AY4434" s="7"/>
    </row>
    <row r="4435" spans="19:51">
      <c r="S4435" s="7"/>
      <c r="AX4435" s="7"/>
      <c r="AY4435" s="7"/>
    </row>
    <row r="4436" spans="19:51">
      <c r="S4436" s="7"/>
      <c r="AX4436" s="7"/>
      <c r="AY4436" s="7"/>
    </row>
    <row r="4437" spans="19:51">
      <c r="S4437" s="7"/>
      <c r="AX4437" s="7"/>
      <c r="AY4437" s="7"/>
    </row>
    <row r="4438" spans="19:51">
      <c r="S4438" s="7"/>
      <c r="AX4438" s="7"/>
      <c r="AY4438" s="7"/>
    </row>
    <row r="4439" spans="19:51">
      <c r="S4439" s="7"/>
      <c r="AX4439" s="7"/>
      <c r="AY4439" s="7"/>
    </row>
    <row r="4440" spans="19:51">
      <c r="S4440" s="7"/>
      <c r="AX4440" s="7"/>
      <c r="AY4440" s="7"/>
    </row>
    <row r="4441" spans="19:51">
      <c r="S4441" s="7"/>
      <c r="AX4441" s="7"/>
      <c r="AY4441" s="7"/>
    </row>
    <row r="4442" spans="19:51">
      <c r="S4442" s="7"/>
      <c r="AX4442" s="7"/>
      <c r="AY4442" s="7"/>
    </row>
    <row r="4443" spans="19:51">
      <c r="S4443" s="7"/>
      <c r="AX4443" s="7"/>
      <c r="AY4443" s="7"/>
    </row>
    <row r="4444" spans="19:51">
      <c r="S4444" s="7"/>
      <c r="AX4444" s="7"/>
      <c r="AY4444" s="7"/>
    </row>
    <row r="4445" spans="19:51">
      <c r="S4445" s="7"/>
      <c r="AX4445" s="7"/>
      <c r="AY4445" s="7"/>
    </row>
    <row r="4446" spans="19:51">
      <c r="S4446" s="7"/>
      <c r="AX4446" s="7"/>
      <c r="AY4446" s="7"/>
    </row>
    <row r="4447" spans="19:51">
      <c r="S4447" s="7"/>
      <c r="AX4447" s="7"/>
      <c r="AY4447" s="7"/>
    </row>
    <row r="4448" spans="19:51">
      <c r="S4448" s="7"/>
      <c r="AX4448" s="7"/>
      <c r="AY4448" s="7"/>
    </row>
    <row r="4449" spans="19:51">
      <c r="S4449" s="7"/>
      <c r="AX4449" s="7"/>
      <c r="AY4449" s="7"/>
    </row>
    <row r="4450" spans="19:51">
      <c r="S4450" s="7"/>
      <c r="AX4450" s="7"/>
      <c r="AY4450" s="7"/>
    </row>
    <row r="4451" spans="19:51">
      <c r="S4451" s="7"/>
      <c r="AX4451" s="7"/>
      <c r="AY4451" s="7"/>
    </row>
    <row r="4452" spans="19:51">
      <c r="S4452" s="7"/>
      <c r="AX4452" s="7"/>
      <c r="AY4452" s="7"/>
    </row>
    <row r="4453" spans="19:51">
      <c r="S4453" s="7"/>
      <c r="AX4453" s="7"/>
      <c r="AY4453" s="7"/>
    </row>
    <row r="4454" spans="19:51">
      <c r="S4454" s="7"/>
      <c r="AX4454" s="7"/>
      <c r="AY4454" s="7"/>
    </row>
    <row r="4455" spans="19:51">
      <c r="S4455" s="7"/>
      <c r="AX4455" s="7"/>
      <c r="AY4455" s="7"/>
    </row>
    <row r="4456" spans="19:51">
      <c r="S4456" s="7"/>
      <c r="AX4456" s="7"/>
      <c r="AY4456" s="7"/>
    </row>
    <row r="4457" spans="19:51">
      <c r="S4457" s="7"/>
      <c r="AX4457" s="7"/>
      <c r="AY4457" s="7"/>
    </row>
    <row r="4458" spans="19:51">
      <c r="S4458" s="7"/>
      <c r="AX4458" s="7"/>
      <c r="AY4458" s="7"/>
    </row>
    <row r="4459" spans="19:51">
      <c r="S4459" s="7"/>
      <c r="AX4459" s="7"/>
      <c r="AY4459" s="7"/>
    </row>
    <row r="4460" spans="19:51">
      <c r="S4460" s="7"/>
      <c r="AX4460" s="7"/>
      <c r="AY4460" s="7"/>
    </row>
    <row r="4461" spans="19:51">
      <c r="S4461" s="7"/>
      <c r="AX4461" s="7"/>
      <c r="AY4461" s="7"/>
    </row>
    <row r="4462" spans="19:51">
      <c r="S4462" s="7"/>
      <c r="AX4462" s="7"/>
      <c r="AY4462" s="7"/>
    </row>
    <row r="4463" spans="19:51">
      <c r="S4463" s="7"/>
      <c r="AX4463" s="7"/>
      <c r="AY4463" s="7"/>
    </row>
    <row r="4464" spans="19:51">
      <c r="S4464" s="7"/>
      <c r="AX4464" s="7"/>
      <c r="AY4464" s="7"/>
    </row>
    <row r="4465" spans="19:51">
      <c r="S4465" s="7"/>
      <c r="AX4465" s="7"/>
      <c r="AY4465" s="7"/>
    </row>
    <row r="4466" spans="19:51">
      <c r="S4466" s="7"/>
      <c r="AX4466" s="7"/>
      <c r="AY4466" s="7"/>
    </row>
    <row r="4467" spans="19:51">
      <c r="S4467" s="7"/>
      <c r="AX4467" s="7"/>
      <c r="AY4467" s="7"/>
    </row>
    <row r="4468" spans="19:51">
      <c r="S4468" s="7"/>
      <c r="AX4468" s="7"/>
      <c r="AY4468" s="7"/>
    </row>
    <row r="4469" spans="19:51">
      <c r="S4469" s="7"/>
      <c r="AX4469" s="7"/>
      <c r="AY4469" s="7"/>
    </row>
    <row r="4470" spans="19:51">
      <c r="S4470" s="7"/>
      <c r="AX4470" s="7"/>
      <c r="AY4470" s="7"/>
    </row>
    <row r="4471" spans="19:51">
      <c r="S4471" s="7"/>
      <c r="AX4471" s="7"/>
      <c r="AY4471" s="7"/>
    </row>
    <row r="4472" spans="19:51">
      <c r="S4472" s="7"/>
      <c r="AX4472" s="7"/>
      <c r="AY4472" s="7"/>
    </row>
    <row r="4473" spans="19:51">
      <c r="S4473" s="7"/>
      <c r="AX4473" s="7"/>
      <c r="AY4473" s="7"/>
    </row>
    <row r="4474" spans="19:51">
      <c r="S4474" s="7"/>
      <c r="AX4474" s="7"/>
      <c r="AY4474" s="7"/>
    </row>
    <row r="4475" spans="19:51">
      <c r="S4475" s="7"/>
      <c r="AX4475" s="7"/>
      <c r="AY4475" s="7"/>
    </row>
    <row r="4476" spans="19:51">
      <c r="S4476" s="7"/>
      <c r="AX4476" s="7"/>
      <c r="AY4476" s="7"/>
    </row>
    <row r="4477" spans="19:51">
      <c r="S4477" s="7"/>
      <c r="AX4477" s="7"/>
      <c r="AY4477" s="7"/>
    </row>
    <row r="4478" spans="19:51">
      <c r="S4478" s="7"/>
      <c r="AX4478" s="7"/>
      <c r="AY4478" s="7"/>
    </row>
    <row r="4479" spans="19:51">
      <c r="S4479" s="7"/>
      <c r="AX4479" s="7"/>
      <c r="AY4479" s="7"/>
    </row>
    <row r="4480" spans="19:51">
      <c r="S4480" s="7"/>
      <c r="AX4480" s="7"/>
      <c r="AY4480" s="7"/>
    </row>
    <row r="4481" spans="19:51">
      <c r="S4481" s="7"/>
      <c r="AX4481" s="7"/>
      <c r="AY4481" s="7"/>
    </row>
    <row r="4482" spans="19:51">
      <c r="S4482" s="7"/>
      <c r="AX4482" s="7"/>
      <c r="AY4482" s="7"/>
    </row>
    <row r="4483" spans="19:51">
      <c r="S4483" s="7"/>
      <c r="AX4483" s="7"/>
      <c r="AY4483" s="7"/>
    </row>
    <row r="4484" spans="19:51">
      <c r="S4484" s="7"/>
      <c r="AX4484" s="7"/>
      <c r="AY4484" s="7"/>
    </row>
    <row r="4485" spans="19:51">
      <c r="S4485" s="7"/>
      <c r="AX4485" s="7"/>
      <c r="AY4485" s="7"/>
    </row>
    <row r="4486" spans="19:51">
      <c r="S4486" s="7"/>
      <c r="AX4486" s="7"/>
      <c r="AY4486" s="7"/>
    </row>
    <row r="4487" spans="19:51">
      <c r="S4487" s="7"/>
      <c r="AX4487" s="7"/>
      <c r="AY4487" s="7"/>
    </row>
    <row r="4488" spans="19:51">
      <c r="S4488" s="7"/>
      <c r="AX4488" s="7"/>
      <c r="AY4488" s="7"/>
    </row>
    <row r="4489" spans="19:51">
      <c r="S4489" s="7"/>
      <c r="AX4489" s="7"/>
      <c r="AY4489" s="7"/>
    </row>
    <row r="4490" spans="19:51">
      <c r="S4490" s="7"/>
      <c r="AX4490" s="7"/>
      <c r="AY4490" s="7"/>
    </row>
    <row r="4491" spans="19:51">
      <c r="S4491" s="7"/>
      <c r="AX4491" s="7"/>
      <c r="AY4491" s="7"/>
    </row>
    <row r="4492" spans="19:51">
      <c r="S4492" s="7"/>
      <c r="AX4492" s="7"/>
      <c r="AY4492" s="7"/>
    </row>
    <row r="4493" spans="19:51">
      <c r="S4493" s="7"/>
      <c r="AX4493" s="7"/>
      <c r="AY4493" s="7"/>
    </row>
    <row r="4494" spans="19:51">
      <c r="S4494" s="7"/>
      <c r="AX4494" s="7"/>
      <c r="AY4494" s="7"/>
    </row>
    <row r="4495" spans="19:51">
      <c r="S4495" s="7"/>
      <c r="AX4495" s="7"/>
      <c r="AY4495" s="7"/>
    </row>
    <row r="4496" spans="19:51">
      <c r="S4496" s="7"/>
      <c r="AX4496" s="7"/>
      <c r="AY4496" s="7"/>
    </row>
    <row r="4497" spans="19:51">
      <c r="S4497" s="7"/>
      <c r="AX4497" s="7"/>
      <c r="AY4497" s="7"/>
    </row>
    <row r="4498" spans="19:51">
      <c r="S4498" s="7"/>
      <c r="AX4498" s="7"/>
      <c r="AY4498" s="7"/>
    </row>
    <row r="4499" spans="19:51">
      <c r="S4499" s="7"/>
      <c r="AX4499" s="7"/>
      <c r="AY4499" s="7"/>
    </row>
    <row r="4500" spans="19:51">
      <c r="S4500" s="7"/>
      <c r="AX4500" s="7"/>
      <c r="AY4500" s="7"/>
    </row>
    <row r="4501" spans="19:51">
      <c r="S4501" s="7"/>
      <c r="AX4501" s="7"/>
      <c r="AY4501" s="7"/>
    </row>
    <row r="4502" spans="19:51">
      <c r="S4502" s="7"/>
      <c r="AX4502" s="7"/>
      <c r="AY4502" s="7"/>
    </row>
    <row r="4503" spans="19:51">
      <c r="S4503" s="7"/>
      <c r="AX4503" s="7"/>
      <c r="AY4503" s="7"/>
    </row>
    <row r="4504" spans="19:51">
      <c r="S4504" s="7"/>
      <c r="AX4504" s="7"/>
      <c r="AY4504" s="7"/>
    </row>
    <row r="4505" spans="19:51">
      <c r="S4505" s="7"/>
      <c r="AX4505" s="7"/>
      <c r="AY4505" s="7"/>
    </row>
    <row r="4506" spans="19:51">
      <c r="S4506" s="7"/>
      <c r="AX4506" s="7"/>
      <c r="AY4506" s="7"/>
    </row>
    <row r="4507" spans="19:51">
      <c r="S4507" s="7"/>
      <c r="AX4507" s="7"/>
      <c r="AY4507" s="7"/>
    </row>
    <row r="4508" spans="19:51">
      <c r="S4508" s="7"/>
      <c r="AX4508" s="7"/>
      <c r="AY4508" s="7"/>
    </row>
    <row r="4509" spans="19:51">
      <c r="S4509" s="7"/>
      <c r="AX4509" s="7"/>
      <c r="AY4509" s="7"/>
    </row>
    <row r="4510" spans="19:51">
      <c r="S4510" s="7"/>
      <c r="AX4510" s="7"/>
      <c r="AY4510" s="7"/>
    </row>
    <row r="4511" spans="19:51">
      <c r="S4511" s="7"/>
      <c r="AX4511" s="7"/>
      <c r="AY4511" s="7"/>
    </row>
    <row r="4512" spans="19:51">
      <c r="S4512" s="7"/>
      <c r="AX4512" s="7"/>
      <c r="AY4512" s="7"/>
    </row>
    <row r="4513" spans="19:51">
      <c r="S4513" s="7"/>
      <c r="AX4513" s="7"/>
      <c r="AY4513" s="7"/>
    </row>
    <row r="4514" spans="19:51">
      <c r="S4514" s="7"/>
      <c r="AX4514" s="7"/>
      <c r="AY4514" s="7"/>
    </row>
    <row r="4515" spans="19:51">
      <c r="S4515" s="7"/>
      <c r="AX4515" s="7"/>
      <c r="AY4515" s="7"/>
    </row>
    <row r="4516" spans="19:51">
      <c r="S4516" s="7"/>
      <c r="AX4516" s="7"/>
      <c r="AY4516" s="7"/>
    </row>
    <row r="4517" spans="19:51">
      <c r="S4517" s="7"/>
      <c r="AX4517" s="7"/>
      <c r="AY4517" s="7"/>
    </row>
    <row r="4518" spans="19:51">
      <c r="S4518" s="7"/>
      <c r="AX4518" s="7"/>
      <c r="AY4518" s="7"/>
    </row>
    <row r="4519" spans="19:51">
      <c r="S4519" s="7"/>
      <c r="AX4519" s="7"/>
      <c r="AY4519" s="7"/>
    </row>
    <row r="4520" spans="19:51">
      <c r="S4520" s="7"/>
      <c r="AX4520" s="7"/>
      <c r="AY4520" s="7"/>
    </row>
    <row r="4521" spans="19:51">
      <c r="S4521" s="7"/>
      <c r="AX4521" s="7"/>
      <c r="AY4521" s="7"/>
    </row>
    <row r="4522" spans="19:51">
      <c r="S4522" s="7"/>
      <c r="AX4522" s="7"/>
      <c r="AY4522" s="7"/>
    </row>
    <row r="4523" spans="19:51">
      <c r="S4523" s="7"/>
      <c r="AX4523" s="7"/>
      <c r="AY4523" s="7"/>
    </row>
    <row r="4524" spans="19:51">
      <c r="S4524" s="7"/>
      <c r="AX4524" s="7"/>
      <c r="AY4524" s="7"/>
    </row>
    <row r="4525" spans="19:51">
      <c r="S4525" s="7"/>
      <c r="AX4525" s="7"/>
      <c r="AY4525" s="7"/>
    </row>
    <row r="4526" spans="19:51">
      <c r="S4526" s="7"/>
      <c r="AX4526" s="7"/>
      <c r="AY4526" s="7"/>
    </row>
    <row r="4527" spans="19:51">
      <c r="S4527" s="7"/>
      <c r="AX4527" s="7"/>
      <c r="AY4527" s="7"/>
    </row>
    <row r="4528" spans="19:51">
      <c r="S4528" s="7"/>
      <c r="AX4528" s="7"/>
      <c r="AY4528" s="7"/>
    </row>
    <row r="4529" spans="19:51">
      <c r="S4529" s="7"/>
      <c r="AX4529" s="7"/>
      <c r="AY4529" s="7"/>
    </row>
    <row r="4530" spans="19:51">
      <c r="S4530" s="7"/>
      <c r="AX4530" s="7"/>
      <c r="AY4530" s="7"/>
    </row>
    <row r="4531" spans="19:51">
      <c r="S4531" s="7"/>
      <c r="AX4531" s="7"/>
      <c r="AY4531" s="7"/>
    </row>
    <row r="4532" spans="19:51">
      <c r="S4532" s="7"/>
      <c r="AX4532" s="7"/>
      <c r="AY4532" s="7"/>
    </row>
    <row r="4533" spans="19:51">
      <c r="S4533" s="7"/>
      <c r="AX4533" s="7"/>
      <c r="AY4533" s="7"/>
    </row>
    <row r="4534" spans="19:51">
      <c r="S4534" s="7"/>
      <c r="AX4534" s="7"/>
      <c r="AY4534" s="7"/>
    </row>
    <row r="4535" spans="19:51">
      <c r="S4535" s="7"/>
      <c r="AX4535" s="7"/>
      <c r="AY4535" s="7"/>
    </row>
    <row r="4536" spans="19:51">
      <c r="S4536" s="7"/>
      <c r="AX4536" s="7"/>
      <c r="AY4536" s="7"/>
    </row>
    <row r="4537" spans="19:51">
      <c r="S4537" s="7"/>
      <c r="AX4537" s="7"/>
      <c r="AY4537" s="7"/>
    </row>
    <row r="4538" spans="19:51">
      <c r="S4538" s="7"/>
      <c r="AX4538" s="7"/>
      <c r="AY4538" s="7"/>
    </row>
    <row r="4539" spans="19:51">
      <c r="S4539" s="7"/>
      <c r="AX4539" s="7"/>
      <c r="AY4539" s="7"/>
    </row>
    <row r="4540" spans="19:51">
      <c r="S4540" s="7"/>
      <c r="AX4540" s="7"/>
      <c r="AY4540" s="7"/>
    </row>
    <row r="4541" spans="19:51">
      <c r="S4541" s="7"/>
      <c r="AX4541" s="7"/>
      <c r="AY4541" s="7"/>
    </row>
    <row r="4542" spans="19:51">
      <c r="S4542" s="7"/>
      <c r="AX4542" s="7"/>
      <c r="AY4542" s="7"/>
    </row>
    <row r="4543" spans="19:51">
      <c r="S4543" s="7"/>
      <c r="AX4543" s="7"/>
      <c r="AY4543" s="7"/>
    </row>
    <row r="4544" spans="19:51">
      <c r="S4544" s="7"/>
      <c r="AX4544" s="7"/>
      <c r="AY4544" s="7"/>
    </row>
    <row r="4545" spans="19:51">
      <c r="S4545" s="7"/>
      <c r="AX4545" s="7"/>
      <c r="AY4545" s="7"/>
    </row>
    <row r="4546" spans="19:51">
      <c r="S4546" s="7"/>
      <c r="AX4546" s="7"/>
      <c r="AY4546" s="7"/>
    </row>
    <row r="4547" spans="19:51">
      <c r="S4547" s="7"/>
      <c r="AX4547" s="7"/>
      <c r="AY4547" s="7"/>
    </row>
    <row r="4548" spans="19:51">
      <c r="S4548" s="7"/>
      <c r="AX4548" s="7"/>
      <c r="AY4548" s="7"/>
    </row>
    <row r="4549" spans="19:51">
      <c r="S4549" s="7"/>
      <c r="AX4549" s="7"/>
      <c r="AY4549" s="7"/>
    </row>
    <row r="4550" spans="19:51">
      <c r="S4550" s="7"/>
      <c r="AX4550" s="7"/>
      <c r="AY4550" s="7"/>
    </row>
    <row r="4551" spans="19:51">
      <c r="S4551" s="7"/>
      <c r="AX4551" s="7"/>
      <c r="AY4551" s="7"/>
    </row>
    <row r="4552" spans="19:51">
      <c r="S4552" s="7"/>
      <c r="AX4552" s="7"/>
      <c r="AY4552" s="7"/>
    </row>
    <row r="4553" spans="19:51">
      <c r="S4553" s="7"/>
      <c r="AX4553" s="7"/>
      <c r="AY4553" s="7"/>
    </row>
    <row r="4554" spans="19:51">
      <c r="S4554" s="7"/>
      <c r="AX4554" s="7"/>
      <c r="AY4554" s="7"/>
    </row>
    <row r="4555" spans="19:51">
      <c r="S4555" s="7"/>
      <c r="AX4555" s="7"/>
      <c r="AY4555" s="7"/>
    </row>
    <row r="4556" spans="19:51">
      <c r="S4556" s="7"/>
      <c r="AX4556" s="7"/>
      <c r="AY4556" s="7"/>
    </row>
    <row r="4557" spans="19:51">
      <c r="S4557" s="7"/>
      <c r="AX4557" s="7"/>
      <c r="AY4557" s="7"/>
    </row>
    <row r="4558" spans="19:51">
      <c r="S4558" s="7"/>
      <c r="AX4558" s="7"/>
      <c r="AY4558" s="7"/>
    </row>
    <row r="4559" spans="19:51">
      <c r="S4559" s="7"/>
      <c r="AX4559" s="7"/>
      <c r="AY4559" s="7"/>
    </row>
    <row r="4560" spans="19:51">
      <c r="S4560" s="7"/>
      <c r="AX4560" s="7"/>
      <c r="AY4560" s="7"/>
    </row>
    <row r="4561" spans="19:51">
      <c r="S4561" s="7"/>
      <c r="AX4561" s="7"/>
      <c r="AY4561" s="7"/>
    </row>
    <row r="4562" spans="19:51">
      <c r="S4562" s="7"/>
      <c r="AX4562" s="7"/>
      <c r="AY4562" s="7"/>
    </row>
    <row r="4563" spans="19:51">
      <c r="S4563" s="7"/>
      <c r="AX4563" s="7"/>
      <c r="AY4563" s="7"/>
    </row>
    <row r="4564" spans="19:51">
      <c r="S4564" s="7"/>
      <c r="AX4564" s="7"/>
      <c r="AY4564" s="7"/>
    </row>
    <row r="4565" spans="19:51">
      <c r="S4565" s="7"/>
      <c r="AX4565" s="7"/>
      <c r="AY4565" s="7"/>
    </row>
    <row r="4566" spans="19:51">
      <c r="S4566" s="7"/>
      <c r="AX4566" s="7"/>
      <c r="AY4566" s="7"/>
    </row>
    <row r="4567" spans="19:51">
      <c r="S4567" s="7"/>
      <c r="AX4567" s="7"/>
      <c r="AY4567" s="7"/>
    </row>
    <row r="4568" spans="19:51">
      <c r="S4568" s="7"/>
      <c r="AX4568" s="7"/>
      <c r="AY4568" s="7"/>
    </row>
    <row r="4569" spans="19:51">
      <c r="S4569" s="7"/>
      <c r="AX4569" s="7"/>
      <c r="AY4569" s="7"/>
    </row>
    <row r="4570" spans="19:51">
      <c r="S4570" s="7"/>
      <c r="AX4570" s="7"/>
      <c r="AY4570" s="7"/>
    </row>
    <row r="4571" spans="19:51">
      <c r="S4571" s="7"/>
      <c r="AX4571" s="7"/>
      <c r="AY4571" s="7"/>
    </row>
    <row r="4572" spans="19:51">
      <c r="S4572" s="7"/>
      <c r="AX4572" s="7"/>
      <c r="AY4572" s="7"/>
    </row>
    <row r="4573" spans="19:51">
      <c r="S4573" s="7"/>
      <c r="AX4573" s="7"/>
      <c r="AY4573" s="7"/>
    </row>
    <row r="4574" spans="19:51">
      <c r="S4574" s="7"/>
      <c r="AX4574" s="7"/>
      <c r="AY4574" s="7"/>
    </row>
    <row r="4575" spans="19:51">
      <c r="S4575" s="7"/>
      <c r="AX4575" s="7"/>
      <c r="AY4575" s="7"/>
    </row>
    <row r="4576" spans="19:51">
      <c r="S4576" s="7"/>
      <c r="AX4576" s="7"/>
      <c r="AY4576" s="7"/>
    </row>
    <row r="4577" spans="19:51">
      <c r="S4577" s="7"/>
      <c r="AX4577" s="7"/>
      <c r="AY4577" s="7"/>
    </row>
    <row r="4578" spans="19:51">
      <c r="S4578" s="7"/>
      <c r="AX4578" s="7"/>
      <c r="AY4578" s="7"/>
    </row>
    <row r="4579" spans="19:51">
      <c r="S4579" s="7"/>
      <c r="AX4579" s="7"/>
      <c r="AY4579" s="7"/>
    </row>
    <row r="4580" spans="19:51">
      <c r="S4580" s="7"/>
      <c r="AX4580" s="7"/>
      <c r="AY4580" s="7"/>
    </row>
    <row r="4581" spans="19:51">
      <c r="S4581" s="7"/>
      <c r="AX4581" s="7"/>
      <c r="AY4581" s="7"/>
    </row>
    <row r="4582" spans="19:51">
      <c r="S4582" s="7"/>
      <c r="AX4582" s="7"/>
      <c r="AY4582" s="7"/>
    </row>
    <row r="4583" spans="19:51">
      <c r="S4583" s="7"/>
      <c r="AX4583" s="7"/>
      <c r="AY4583" s="7"/>
    </row>
    <row r="4584" spans="19:51">
      <c r="S4584" s="7"/>
      <c r="AX4584" s="7"/>
      <c r="AY4584" s="7"/>
    </row>
    <row r="4585" spans="19:51">
      <c r="S4585" s="7"/>
      <c r="AX4585" s="7"/>
      <c r="AY4585" s="7"/>
    </row>
    <row r="4586" spans="19:51">
      <c r="S4586" s="7"/>
      <c r="AX4586" s="7"/>
      <c r="AY4586" s="7"/>
    </row>
    <row r="4587" spans="19:51">
      <c r="S4587" s="7"/>
      <c r="AX4587" s="7"/>
      <c r="AY4587" s="7"/>
    </row>
    <row r="4588" spans="19:51">
      <c r="S4588" s="7"/>
      <c r="AX4588" s="7"/>
      <c r="AY4588" s="7"/>
    </row>
    <row r="4589" spans="19:51">
      <c r="S4589" s="7"/>
      <c r="AX4589" s="7"/>
      <c r="AY4589" s="7"/>
    </row>
    <row r="4590" spans="19:51">
      <c r="S4590" s="7"/>
      <c r="AX4590" s="7"/>
      <c r="AY4590" s="7"/>
    </row>
    <row r="4591" spans="19:51">
      <c r="S4591" s="7"/>
      <c r="AX4591" s="7"/>
      <c r="AY4591" s="7"/>
    </row>
    <row r="4592" spans="19:51">
      <c r="S4592" s="7"/>
      <c r="AX4592" s="7"/>
      <c r="AY4592" s="7"/>
    </row>
    <row r="4593" spans="19:51">
      <c r="S4593" s="7"/>
      <c r="AX4593" s="7"/>
      <c r="AY4593" s="7"/>
    </row>
    <row r="4594" spans="19:51">
      <c r="S4594" s="7"/>
      <c r="AX4594" s="7"/>
      <c r="AY4594" s="7"/>
    </row>
    <row r="4595" spans="19:51">
      <c r="S4595" s="7"/>
      <c r="AX4595" s="7"/>
      <c r="AY4595" s="7"/>
    </row>
    <row r="4596" spans="19:51">
      <c r="S4596" s="7"/>
      <c r="AX4596" s="7"/>
      <c r="AY4596" s="7"/>
    </row>
    <row r="4597" spans="19:51">
      <c r="S4597" s="7"/>
      <c r="AX4597" s="7"/>
      <c r="AY4597" s="7"/>
    </row>
    <row r="4598" spans="19:51">
      <c r="S4598" s="7"/>
      <c r="AX4598" s="7"/>
      <c r="AY4598" s="7"/>
    </row>
    <row r="4599" spans="19:51">
      <c r="S4599" s="7"/>
      <c r="AX4599" s="7"/>
      <c r="AY4599" s="7"/>
    </row>
    <row r="4600" spans="19:51">
      <c r="S4600" s="7"/>
      <c r="AX4600" s="7"/>
      <c r="AY4600" s="7"/>
    </row>
    <row r="4601" spans="19:51">
      <c r="S4601" s="7"/>
      <c r="AX4601" s="7"/>
      <c r="AY4601" s="7"/>
    </row>
    <row r="4602" spans="19:51">
      <c r="S4602" s="7"/>
      <c r="AX4602" s="7"/>
      <c r="AY4602" s="7"/>
    </row>
    <row r="4603" spans="19:51">
      <c r="S4603" s="7"/>
      <c r="AX4603" s="7"/>
      <c r="AY4603" s="7"/>
    </row>
    <row r="4604" spans="19:51">
      <c r="S4604" s="7"/>
      <c r="AX4604" s="7"/>
      <c r="AY4604" s="7"/>
    </row>
    <row r="4605" spans="19:51">
      <c r="S4605" s="7"/>
      <c r="AX4605" s="7"/>
      <c r="AY4605" s="7"/>
    </row>
    <row r="4606" spans="19:51">
      <c r="S4606" s="7"/>
      <c r="AX4606" s="7"/>
      <c r="AY4606" s="7"/>
    </row>
    <row r="4607" spans="19:51">
      <c r="S4607" s="7"/>
      <c r="AX4607" s="7"/>
      <c r="AY4607" s="7"/>
    </row>
    <row r="4608" spans="19:51">
      <c r="S4608" s="7"/>
      <c r="AX4608" s="7"/>
      <c r="AY4608" s="7"/>
    </row>
    <row r="4609" spans="19:51">
      <c r="S4609" s="7"/>
      <c r="AX4609" s="7"/>
      <c r="AY4609" s="7"/>
    </row>
    <row r="4610" spans="19:51">
      <c r="S4610" s="7"/>
      <c r="AX4610" s="7"/>
      <c r="AY4610" s="7"/>
    </row>
    <row r="4611" spans="19:51">
      <c r="S4611" s="7"/>
      <c r="AX4611" s="7"/>
      <c r="AY4611" s="7"/>
    </row>
    <row r="4612" spans="19:51">
      <c r="S4612" s="7"/>
      <c r="AX4612" s="7"/>
      <c r="AY4612" s="7"/>
    </row>
    <row r="4613" spans="19:51">
      <c r="S4613" s="7"/>
      <c r="AX4613" s="7"/>
      <c r="AY4613" s="7"/>
    </row>
    <row r="4614" spans="19:51">
      <c r="S4614" s="7"/>
      <c r="AX4614" s="7"/>
      <c r="AY4614" s="7"/>
    </row>
    <row r="4615" spans="19:51">
      <c r="S4615" s="7"/>
      <c r="AX4615" s="7"/>
      <c r="AY4615" s="7"/>
    </row>
    <row r="4616" spans="19:51">
      <c r="S4616" s="7"/>
      <c r="AX4616" s="7"/>
      <c r="AY4616" s="7"/>
    </row>
    <row r="4617" spans="19:51">
      <c r="S4617" s="7"/>
      <c r="AX4617" s="7"/>
      <c r="AY4617" s="7"/>
    </row>
    <row r="4618" spans="19:51">
      <c r="S4618" s="7"/>
      <c r="AX4618" s="7"/>
      <c r="AY4618" s="7"/>
    </row>
    <row r="4619" spans="19:51">
      <c r="S4619" s="7"/>
      <c r="AX4619" s="7"/>
      <c r="AY4619" s="7"/>
    </row>
    <row r="4620" spans="19:51">
      <c r="S4620" s="7"/>
      <c r="AX4620" s="7"/>
      <c r="AY4620" s="7"/>
    </row>
    <row r="4621" spans="19:51">
      <c r="S4621" s="7"/>
      <c r="AX4621" s="7"/>
      <c r="AY4621" s="7"/>
    </row>
    <row r="4622" spans="19:51">
      <c r="S4622" s="7"/>
      <c r="AX4622" s="7"/>
      <c r="AY4622" s="7"/>
    </row>
    <row r="4623" spans="19:51">
      <c r="S4623" s="7"/>
      <c r="AX4623" s="7"/>
      <c r="AY4623" s="7"/>
    </row>
    <row r="4624" spans="19:51">
      <c r="S4624" s="7"/>
      <c r="AX4624" s="7"/>
      <c r="AY4624" s="7"/>
    </row>
    <row r="4625" spans="19:51">
      <c r="S4625" s="7"/>
      <c r="AX4625" s="7"/>
      <c r="AY4625" s="7"/>
    </row>
    <row r="4626" spans="19:51">
      <c r="S4626" s="7"/>
      <c r="AX4626" s="7"/>
      <c r="AY4626" s="7"/>
    </row>
    <row r="4627" spans="19:51">
      <c r="S4627" s="7"/>
      <c r="AX4627" s="7"/>
      <c r="AY4627" s="7"/>
    </row>
    <row r="4628" spans="19:51">
      <c r="S4628" s="7"/>
      <c r="AX4628" s="7"/>
      <c r="AY4628" s="7"/>
    </row>
    <row r="4629" spans="19:51">
      <c r="S4629" s="7"/>
      <c r="AX4629" s="7"/>
      <c r="AY4629" s="7"/>
    </row>
    <row r="4630" spans="19:51">
      <c r="S4630" s="7"/>
      <c r="AX4630" s="7"/>
      <c r="AY4630" s="7"/>
    </row>
    <row r="4631" spans="19:51">
      <c r="S4631" s="7"/>
      <c r="AX4631" s="7"/>
      <c r="AY4631" s="7"/>
    </row>
    <row r="4632" spans="19:51">
      <c r="S4632" s="7"/>
      <c r="AX4632" s="7"/>
      <c r="AY4632" s="7"/>
    </row>
    <row r="4633" spans="19:51">
      <c r="S4633" s="7"/>
      <c r="AX4633" s="7"/>
      <c r="AY4633" s="7"/>
    </row>
    <row r="4634" spans="19:51">
      <c r="S4634" s="7"/>
      <c r="AX4634" s="7"/>
      <c r="AY4634" s="7"/>
    </row>
    <row r="4635" spans="19:51">
      <c r="S4635" s="7"/>
      <c r="AX4635" s="7"/>
      <c r="AY4635" s="7"/>
    </row>
    <row r="4636" spans="19:51">
      <c r="S4636" s="7"/>
      <c r="AX4636" s="7"/>
      <c r="AY4636" s="7"/>
    </row>
    <row r="4637" spans="19:51">
      <c r="S4637" s="7"/>
      <c r="AX4637" s="7"/>
      <c r="AY4637" s="7"/>
    </row>
    <row r="4638" spans="19:51">
      <c r="S4638" s="7"/>
      <c r="AX4638" s="7"/>
      <c r="AY4638" s="7"/>
    </row>
    <row r="4639" spans="19:51">
      <c r="S4639" s="7"/>
      <c r="AX4639" s="7"/>
      <c r="AY4639" s="7"/>
    </row>
    <row r="4640" spans="19:51">
      <c r="S4640" s="7"/>
      <c r="AX4640" s="7"/>
      <c r="AY4640" s="7"/>
    </row>
    <row r="4641" spans="19:51">
      <c r="S4641" s="7"/>
      <c r="AX4641" s="7"/>
      <c r="AY4641" s="7"/>
    </row>
    <row r="4642" spans="19:51">
      <c r="S4642" s="7"/>
      <c r="AX4642" s="7"/>
      <c r="AY4642" s="7"/>
    </row>
    <row r="4643" spans="19:51">
      <c r="S4643" s="7"/>
      <c r="AX4643" s="7"/>
      <c r="AY4643" s="7"/>
    </row>
    <row r="4644" spans="19:51">
      <c r="S4644" s="7"/>
      <c r="AX4644" s="7"/>
      <c r="AY4644" s="7"/>
    </row>
    <row r="4645" spans="19:51">
      <c r="S4645" s="7"/>
      <c r="AX4645" s="7"/>
      <c r="AY4645" s="7"/>
    </row>
    <row r="4646" spans="19:51">
      <c r="S4646" s="7"/>
      <c r="AX4646" s="7"/>
      <c r="AY4646" s="7"/>
    </row>
    <row r="4647" spans="19:51">
      <c r="S4647" s="7"/>
      <c r="AX4647" s="7"/>
      <c r="AY4647" s="7"/>
    </row>
    <row r="4648" spans="19:51">
      <c r="S4648" s="7"/>
      <c r="AX4648" s="7"/>
      <c r="AY4648" s="7"/>
    </row>
    <row r="4649" spans="19:51">
      <c r="S4649" s="7"/>
      <c r="AX4649" s="7"/>
      <c r="AY4649" s="7"/>
    </row>
    <row r="4650" spans="19:51">
      <c r="S4650" s="7"/>
      <c r="AX4650" s="7"/>
      <c r="AY4650" s="7"/>
    </row>
    <row r="4651" spans="19:51">
      <c r="S4651" s="7"/>
      <c r="AX4651" s="7"/>
      <c r="AY4651" s="7"/>
    </row>
    <row r="4652" spans="19:51">
      <c r="S4652" s="7"/>
      <c r="AX4652" s="7"/>
      <c r="AY4652" s="7"/>
    </row>
    <row r="4653" spans="19:51">
      <c r="S4653" s="7"/>
      <c r="AX4653" s="7"/>
      <c r="AY4653" s="7"/>
    </row>
    <row r="4654" spans="19:51">
      <c r="S4654" s="7"/>
      <c r="AX4654" s="7"/>
      <c r="AY4654" s="7"/>
    </row>
    <row r="4655" spans="19:51">
      <c r="S4655" s="7"/>
      <c r="AX4655" s="7"/>
      <c r="AY4655" s="7"/>
    </row>
    <row r="4656" spans="19:51">
      <c r="S4656" s="7"/>
      <c r="AX4656" s="7"/>
      <c r="AY4656" s="7"/>
    </row>
    <row r="4657" spans="19:51">
      <c r="S4657" s="7"/>
      <c r="AX4657" s="7"/>
      <c r="AY4657" s="7"/>
    </row>
    <row r="4658" spans="19:51">
      <c r="S4658" s="7"/>
      <c r="AX4658" s="7"/>
      <c r="AY4658" s="7"/>
    </row>
    <row r="4659" spans="19:51">
      <c r="S4659" s="7"/>
      <c r="AX4659" s="7"/>
      <c r="AY4659" s="7"/>
    </row>
    <row r="4660" spans="19:51">
      <c r="S4660" s="7"/>
      <c r="AX4660" s="7"/>
      <c r="AY4660" s="7"/>
    </row>
    <row r="4661" spans="19:51">
      <c r="S4661" s="7"/>
      <c r="AX4661" s="7"/>
      <c r="AY4661" s="7"/>
    </row>
    <row r="4662" spans="19:51">
      <c r="S4662" s="7"/>
      <c r="AX4662" s="7"/>
      <c r="AY4662" s="7"/>
    </row>
    <row r="4663" spans="19:51">
      <c r="S4663" s="7"/>
      <c r="AX4663" s="7"/>
      <c r="AY4663" s="7"/>
    </row>
    <row r="4664" spans="19:51">
      <c r="S4664" s="7"/>
      <c r="AX4664" s="7"/>
      <c r="AY4664" s="7"/>
    </row>
    <row r="4665" spans="19:51">
      <c r="S4665" s="7"/>
      <c r="AX4665" s="7"/>
      <c r="AY4665" s="7"/>
    </row>
    <row r="4666" spans="19:51">
      <c r="S4666" s="7"/>
      <c r="AX4666" s="7"/>
      <c r="AY4666" s="7"/>
    </row>
    <row r="4667" spans="19:51">
      <c r="S4667" s="7"/>
      <c r="AX4667" s="7"/>
      <c r="AY4667" s="7"/>
    </row>
    <row r="4668" spans="19:51">
      <c r="S4668" s="7"/>
      <c r="AX4668" s="7"/>
      <c r="AY4668" s="7"/>
    </row>
    <row r="4669" spans="19:51">
      <c r="S4669" s="7"/>
      <c r="AX4669" s="7"/>
      <c r="AY4669" s="7"/>
    </row>
    <row r="4670" spans="19:51">
      <c r="S4670" s="7"/>
      <c r="AX4670" s="7"/>
      <c r="AY4670" s="7"/>
    </row>
    <row r="4671" spans="19:51">
      <c r="S4671" s="7"/>
      <c r="AX4671" s="7"/>
      <c r="AY4671" s="7"/>
    </row>
    <row r="4672" spans="19:51">
      <c r="S4672" s="7"/>
      <c r="AX4672" s="7"/>
      <c r="AY4672" s="7"/>
    </row>
    <row r="4673" spans="19:51">
      <c r="S4673" s="7"/>
      <c r="AX4673" s="7"/>
      <c r="AY4673" s="7"/>
    </row>
    <row r="4674" spans="19:51">
      <c r="S4674" s="7"/>
      <c r="AX4674" s="7"/>
      <c r="AY4674" s="7"/>
    </row>
    <row r="4675" spans="19:51">
      <c r="S4675" s="7"/>
      <c r="AX4675" s="7"/>
      <c r="AY4675" s="7"/>
    </row>
    <row r="4676" spans="19:51">
      <c r="S4676" s="7"/>
      <c r="AX4676" s="7"/>
      <c r="AY4676" s="7"/>
    </row>
    <row r="4677" spans="19:51">
      <c r="S4677" s="7"/>
      <c r="AX4677" s="7"/>
      <c r="AY4677" s="7"/>
    </row>
    <row r="4678" spans="19:51">
      <c r="S4678" s="7"/>
      <c r="AX4678" s="7"/>
      <c r="AY4678" s="7"/>
    </row>
    <row r="4679" spans="19:51">
      <c r="S4679" s="7"/>
      <c r="AX4679" s="7"/>
      <c r="AY4679" s="7"/>
    </row>
    <row r="4680" spans="19:51">
      <c r="S4680" s="7"/>
      <c r="AX4680" s="7"/>
      <c r="AY4680" s="7"/>
    </row>
    <row r="4681" spans="19:51">
      <c r="S4681" s="7"/>
      <c r="AX4681" s="7"/>
      <c r="AY4681" s="7"/>
    </row>
    <row r="4682" spans="19:51">
      <c r="S4682" s="7"/>
      <c r="AX4682" s="7"/>
      <c r="AY4682" s="7"/>
    </row>
    <row r="4683" spans="19:51">
      <c r="S4683" s="7"/>
      <c r="AX4683" s="7"/>
      <c r="AY4683" s="7"/>
    </row>
    <row r="4684" spans="19:51">
      <c r="S4684" s="7"/>
      <c r="AX4684" s="7"/>
      <c r="AY4684" s="7"/>
    </row>
    <row r="4685" spans="19:51">
      <c r="S4685" s="7"/>
      <c r="AX4685" s="7"/>
      <c r="AY4685" s="7"/>
    </row>
    <row r="4686" spans="19:51">
      <c r="S4686" s="7"/>
      <c r="AX4686" s="7"/>
      <c r="AY4686" s="7"/>
    </row>
    <row r="4687" spans="19:51">
      <c r="S4687" s="7"/>
      <c r="AX4687" s="7"/>
      <c r="AY4687" s="7"/>
    </row>
    <row r="4688" spans="19:51">
      <c r="S4688" s="7"/>
      <c r="AX4688" s="7"/>
      <c r="AY4688" s="7"/>
    </row>
    <row r="4689" spans="19:51">
      <c r="S4689" s="7"/>
      <c r="AX4689" s="7"/>
      <c r="AY4689" s="7"/>
    </row>
    <row r="4690" spans="19:51">
      <c r="S4690" s="7"/>
      <c r="AX4690" s="7"/>
      <c r="AY4690" s="7"/>
    </row>
    <row r="4691" spans="19:51">
      <c r="S4691" s="7"/>
      <c r="AX4691" s="7"/>
      <c r="AY4691" s="7"/>
    </row>
    <row r="4692" spans="19:51">
      <c r="S4692" s="7"/>
      <c r="AX4692" s="7"/>
      <c r="AY4692" s="7"/>
    </row>
    <row r="4693" spans="19:51">
      <c r="S4693" s="7"/>
      <c r="AX4693" s="7"/>
      <c r="AY4693" s="7"/>
    </row>
    <row r="4694" spans="19:51">
      <c r="S4694" s="7"/>
      <c r="AX4694" s="7"/>
      <c r="AY4694" s="7"/>
    </row>
    <row r="4695" spans="19:51">
      <c r="S4695" s="7"/>
      <c r="AX4695" s="7"/>
      <c r="AY4695" s="7"/>
    </row>
    <row r="4696" spans="19:51">
      <c r="S4696" s="7"/>
      <c r="AX4696" s="7"/>
      <c r="AY4696" s="7"/>
    </row>
    <row r="4697" spans="19:51">
      <c r="S4697" s="7"/>
      <c r="AX4697" s="7"/>
      <c r="AY4697" s="7"/>
    </row>
    <row r="4698" spans="19:51">
      <c r="S4698" s="7"/>
      <c r="AX4698" s="7"/>
      <c r="AY4698" s="7"/>
    </row>
    <row r="4699" spans="19:51">
      <c r="S4699" s="7"/>
      <c r="AX4699" s="7"/>
      <c r="AY4699" s="7"/>
    </row>
    <row r="4700" spans="19:51">
      <c r="S4700" s="7"/>
      <c r="AX4700" s="7"/>
      <c r="AY4700" s="7"/>
    </row>
    <row r="4701" spans="19:51">
      <c r="S4701" s="7"/>
      <c r="AX4701" s="7"/>
      <c r="AY4701" s="7"/>
    </row>
    <row r="4702" spans="19:51">
      <c r="S4702" s="7"/>
      <c r="AX4702" s="7"/>
      <c r="AY4702" s="7"/>
    </row>
    <row r="4703" spans="19:51">
      <c r="S4703" s="7"/>
      <c r="AX4703" s="7"/>
      <c r="AY4703" s="7"/>
    </row>
    <row r="4704" spans="19:51">
      <c r="S4704" s="7"/>
      <c r="AX4704" s="7"/>
      <c r="AY4704" s="7"/>
    </row>
    <row r="4705" spans="19:51">
      <c r="S4705" s="7"/>
      <c r="AX4705" s="7"/>
      <c r="AY4705" s="7"/>
    </row>
    <row r="4706" spans="19:51">
      <c r="S4706" s="7"/>
      <c r="AX4706" s="7"/>
      <c r="AY4706" s="7"/>
    </row>
    <row r="4707" spans="19:51">
      <c r="S4707" s="7"/>
      <c r="AX4707" s="7"/>
      <c r="AY4707" s="7"/>
    </row>
    <row r="4708" spans="19:51">
      <c r="S4708" s="7"/>
      <c r="AX4708" s="7"/>
      <c r="AY4708" s="7"/>
    </row>
    <row r="4709" spans="19:51">
      <c r="S4709" s="7"/>
      <c r="AX4709" s="7"/>
      <c r="AY4709" s="7"/>
    </row>
    <row r="4710" spans="19:51">
      <c r="S4710" s="7"/>
      <c r="AX4710" s="7"/>
      <c r="AY4710" s="7"/>
    </row>
    <row r="4711" spans="19:51">
      <c r="S4711" s="7"/>
      <c r="AX4711" s="7"/>
      <c r="AY4711" s="7"/>
    </row>
    <row r="4712" spans="19:51">
      <c r="S4712" s="7"/>
      <c r="AX4712" s="7"/>
      <c r="AY4712" s="7"/>
    </row>
    <row r="4713" spans="19:51">
      <c r="S4713" s="7"/>
      <c r="AX4713" s="7"/>
      <c r="AY4713" s="7"/>
    </row>
    <row r="4714" spans="19:51">
      <c r="S4714" s="7"/>
      <c r="AX4714" s="7"/>
      <c r="AY4714" s="7"/>
    </row>
    <row r="4715" spans="19:51">
      <c r="S4715" s="7"/>
      <c r="AX4715" s="7"/>
      <c r="AY4715" s="7"/>
    </row>
    <row r="4716" spans="19:51">
      <c r="S4716" s="7"/>
      <c r="AX4716" s="7"/>
      <c r="AY4716" s="7"/>
    </row>
    <row r="4717" spans="19:51">
      <c r="S4717" s="7"/>
      <c r="AX4717" s="7"/>
      <c r="AY4717" s="7"/>
    </row>
    <row r="4718" spans="19:51">
      <c r="S4718" s="7"/>
      <c r="AX4718" s="7"/>
      <c r="AY4718" s="7"/>
    </row>
    <row r="4719" spans="19:51">
      <c r="S4719" s="7"/>
      <c r="AX4719" s="7"/>
      <c r="AY4719" s="7"/>
    </row>
    <row r="4720" spans="19:51">
      <c r="S4720" s="7"/>
      <c r="AX4720" s="7"/>
      <c r="AY4720" s="7"/>
    </row>
    <row r="4721" spans="19:51">
      <c r="S4721" s="7"/>
      <c r="AX4721" s="7"/>
      <c r="AY4721" s="7"/>
    </row>
    <row r="4722" spans="19:51">
      <c r="S4722" s="7"/>
      <c r="AX4722" s="7"/>
      <c r="AY4722" s="7"/>
    </row>
    <row r="4723" spans="19:51">
      <c r="S4723" s="7"/>
      <c r="AX4723" s="7"/>
      <c r="AY4723" s="7"/>
    </row>
    <row r="4724" spans="19:51">
      <c r="S4724" s="7"/>
      <c r="AX4724" s="7"/>
      <c r="AY4724" s="7"/>
    </row>
    <row r="4725" spans="19:51">
      <c r="S4725" s="7"/>
      <c r="AX4725" s="7"/>
      <c r="AY4725" s="7"/>
    </row>
    <row r="4726" spans="19:51">
      <c r="S4726" s="7"/>
      <c r="AX4726" s="7"/>
      <c r="AY4726" s="7"/>
    </row>
    <row r="4727" spans="19:51">
      <c r="S4727" s="7"/>
      <c r="AX4727" s="7"/>
      <c r="AY4727" s="7"/>
    </row>
    <row r="4728" spans="19:51">
      <c r="S4728" s="7"/>
      <c r="AX4728" s="7"/>
      <c r="AY4728" s="7"/>
    </row>
    <row r="4729" spans="19:51">
      <c r="S4729" s="7"/>
      <c r="AX4729" s="7"/>
      <c r="AY4729" s="7"/>
    </row>
    <row r="4730" spans="19:51">
      <c r="S4730" s="7"/>
      <c r="AX4730" s="7"/>
      <c r="AY4730" s="7"/>
    </row>
    <row r="4731" spans="19:51">
      <c r="S4731" s="7"/>
      <c r="AX4731" s="7"/>
      <c r="AY4731" s="7"/>
    </row>
    <row r="4732" spans="19:51">
      <c r="S4732" s="7"/>
      <c r="AX4732" s="7"/>
      <c r="AY4732" s="7"/>
    </row>
    <row r="4733" spans="19:51">
      <c r="S4733" s="7"/>
      <c r="AX4733" s="7"/>
      <c r="AY4733" s="7"/>
    </row>
    <row r="4734" spans="19:51">
      <c r="S4734" s="7"/>
      <c r="AX4734" s="7"/>
      <c r="AY4734" s="7"/>
    </row>
    <row r="4735" spans="19:51">
      <c r="S4735" s="7"/>
      <c r="AX4735" s="7"/>
      <c r="AY4735" s="7"/>
    </row>
    <row r="4736" spans="19:51">
      <c r="S4736" s="7"/>
      <c r="AX4736" s="7"/>
      <c r="AY4736" s="7"/>
    </row>
    <row r="4737" spans="19:51">
      <c r="S4737" s="7"/>
      <c r="AX4737" s="7"/>
      <c r="AY4737" s="7"/>
    </row>
    <row r="4738" spans="19:51">
      <c r="S4738" s="7"/>
      <c r="AX4738" s="7"/>
      <c r="AY4738" s="7"/>
    </row>
    <row r="4739" spans="19:51">
      <c r="S4739" s="7"/>
      <c r="AX4739" s="7"/>
      <c r="AY4739" s="7"/>
    </row>
    <row r="4740" spans="19:51">
      <c r="S4740" s="7"/>
      <c r="AX4740" s="7"/>
      <c r="AY4740" s="7"/>
    </row>
    <row r="4741" spans="19:51">
      <c r="S4741" s="7"/>
      <c r="AX4741" s="7"/>
      <c r="AY4741" s="7"/>
    </row>
    <row r="4742" spans="19:51">
      <c r="S4742" s="7"/>
      <c r="AX4742" s="7"/>
      <c r="AY4742" s="7"/>
    </row>
    <row r="4743" spans="19:51">
      <c r="S4743" s="7"/>
      <c r="AX4743" s="7"/>
      <c r="AY4743" s="7"/>
    </row>
    <row r="4744" spans="19:51">
      <c r="S4744" s="7"/>
      <c r="AX4744" s="7"/>
      <c r="AY4744" s="7"/>
    </row>
    <row r="4745" spans="19:51">
      <c r="S4745" s="7"/>
      <c r="AX4745" s="7"/>
      <c r="AY4745" s="7"/>
    </row>
    <row r="4746" spans="19:51">
      <c r="S4746" s="7"/>
      <c r="AX4746" s="7"/>
      <c r="AY4746" s="7"/>
    </row>
    <row r="4747" spans="19:51">
      <c r="S4747" s="7"/>
      <c r="AX4747" s="7"/>
      <c r="AY4747" s="7"/>
    </row>
    <row r="4748" spans="19:51">
      <c r="S4748" s="7"/>
      <c r="AX4748" s="7"/>
      <c r="AY4748" s="7"/>
    </row>
    <row r="4749" spans="19:51">
      <c r="S4749" s="7"/>
      <c r="AX4749" s="7"/>
      <c r="AY4749" s="7"/>
    </row>
    <row r="4750" spans="19:51">
      <c r="S4750" s="7"/>
      <c r="AX4750" s="7"/>
      <c r="AY4750" s="7"/>
    </row>
    <row r="4751" spans="19:51">
      <c r="S4751" s="7"/>
      <c r="AX4751" s="7"/>
      <c r="AY4751" s="7"/>
    </row>
    <row r="4752" spans="19:51">
      <c r="S4752" s="7"/>
      <c r="AX4752" s="7"/>
      <c r="AY4752" s="7"/>
    </row>
    <row r="4753" spans="19:51">
      <c r="S4753" s="7"/>
      <c r="AX4753" s="7"/>
      <c r="AY4753" s="7"/>
    </row>
    <row r="4754" spans="19:51">
      <c r="S4754" s="7"/>
      <c r="AX4754" s="7"/>
      <c r="AY4754" s="7"/>
    </row>
    <row r="4755" spans="19:51">
      <c r="S4755" s="7"/>
      <c r="AX4755" s="7"/>
      <c r="AY4755" s="7"/>
    </row>
    <row r="4756" spans="19:51">
      <c r="S4756" s="7"/>
      <c r="AX4756" s="7"/>
      <c r="AY4756" s="7"/>
    </row>
    <row r="4757" spans="19:51">
      <c r="S4757" s="7"/>
      <c r="AX4757" s="7"/>
      <c r="AY4757" s="7"/>
    </row>
    <row r="4758" spans="19:51">
      <c r="S4758" s="7"/>
      <c r="AX4758" s="7"/>
      <c r="AY4758" s="7"/>
    </row>
    <row r="4759" spans="19:51">
      <c r="S4759" s="7"/>
      <c r="AX4759" s="7"/>
      <c r="AY4759" s="7"/>
    </row>
    <row r="4760" spans="19:51">
      <c r="S4760" s="7"/>
      <c r="AX4760" s="7"/>
      <c r="AY4760" s="7"/>
    </row>
    <row r="4761" spans="19:51">
      <c r="S4761" s="7"/>
      <c r="AX4761" s="7"/>
      <c r="AY4761" s="7"/>
    </row>
    <row r="4762" spans="19:51">
      <c r="S4762" s="7"/>
      <c r="AX4762" s="7"/>
      <c r="AY4762" s="7"/>
    </row>
    <row r="4763" spans="19:51">
      <c r="S4763" s="7"/>
      <c r="AX4763" s="7"/>
      <c r="AY4763" s="7"/>
    </row>
    <row r="4764" spans="19:51">
      <c r="S4764" s="7"/>
      <c r="AX4764" s="7"/>
      <c r="AY4764" s="7"/>
    </row>
    <row r="4765" spans="19:51">
      <c r="S4765" s="7"/>
      <c r="AX4765" s="7"/>
      <c r="AY4765" s="7"/>
    </row>
    <row r="4766" spans="19:51">
      <c r="S4766" s="7"/>
      <c r="AX4766" s="7"/>
      <c r="AY4766" s="7"/>
    </row>
    <row r="4767" spans="19:51">
      <c r="S4767" s="7"/>
      <c r="AX4767" s="7"/>
      <c r="AY4767" s="7"/>
    </row>
    <row r="4768" spans="19:51">
      <c r="S4768" s="7"/>
      <c r="AX4768" s="7"/>
      <c r="AY4768" s="7"/>
    </row>
    <row r="4769" spans="19:51">
      <c r="S4769" s="7"/>
      <c r="AX4769" s="7"/>
      <c r="AY4769" s="7"/>
    </row>
    <row r="4770" spans="19:51">
      <c r="S4770" s="7"/>
      <c r="AX4770" s="7"/>
      <c r="AY4770" s="7"/>
    </row>
    <row r="4771" spans="19:51">
      <c r="S4771" s="7"/>
      <c r="AX4771" s="7"/>
      <c r="AY4771" s="7"/>
    </row>
    <row r="4772" spans="19:51">
      <c r="S4772" s="7"/>
      <c r="AX4772" s="7"/>
      <c r="AY4772" s="7"/>
    </row>
    <row r="4773" spans="19:51">
      <c r="S4773" s="7"/>
      <c r="AX4773" s="7"/>
      <c r="AY4773" s="7"/>
    </row>
    <row r="4774" spans="19:51">
      <c r="S4774" s="7"/>
      <c r="AX4774" s="7"/>
      <c r="AY4774" s="7"/>
    </row>
    <row r="4775" spans="19:51">
      <c r="S4775" s="7"/>
      <c r="AX4775" s="7"/>
      <c r="AY4775" s="7"/>
    </row>
    <row r="4776" spans="19:51">
      <c r="S4776" s="7"/>
      <c r="AX4776" s="7"/>
      <c r="AY4776" s="7"/>
    </row>
    <row r="4777" spans="19:51">
      <c r="S4777" s="7"/>
      <c r="AX4777" s="7"/>
      <c r="AY4777" s="7"/>
    </row>
    <row r="4778" spans="19:51">
      <c r="S4778" s="7"/>
      <c r="AX4778" s="7"/>
      <c r="AY4778" s="7"/>
    </row>
    <row r="4779" spans="19:51">
      <c r="S4779" s="7"/>
      <c r="AX4779" s="7"/>
      <c r="AY4779" s="7"/>
    </row>
    <row r="4780" spans="19:51">
      <c r="S4780" s="7"/>
      <c r="AX4780" s="7"/>
      <c r="AY4780" s="7"/>
    </row>
    <row r="4781" spans="19:51">
      <c r="S4781" s="7"/>
      <c r="AX4781" s="7"/>
      <c r="AY4781" s="7"/>
    </row>
    <row r="4782" spans="19:51">
      <c r="S4782" s="7"/>
      <c r="AX4782" s="7"/>
      <c r="AY4782" s="7"/>
    </row>
    <row r="4783" spans="19:51">
      <c r="S4783" s="7"/>
      <c r="AX4783" s="7"/>
      <c r="AY4783" s="7"/>
    </row>
    <row r="4784" spans="19:51">
      <c r="S4784" s="7"/>
      <c r="AX4784" s="7"/>
      <c r="AY4784" s="7"/>
    </row>
    <row r="4785" spans="19:51">
      <c r="S4785" s="7"/>
      <c r="AX4785" s="7"/>
      <c r="AY4785" s="7"/>
    </row>
    <row r="4786" spans="19:51">
      <c r="S4786" s="7"/>
      <c r="AX4786" s="7"/>
      <c r="AY4786" s="7"/>
    </row>
    <row r="4787" spans="19:51">
      <c r="S4787" s="7"/>
      <c r="AX4787" s="7"/>
      <c r="AY4787" s="7"/>
    </row>
    <row r="4788" spans="19:51">
      <c r="S4788" s="7"/>
      <c r="AX4788" s="7"/>
      <c r="AY4788" s="7"/>
    </row>
    <row r="4789" spans="19:51">
      <c r="S4789" s="7"/>
      <c r="AX4789" s="7"/>
      <c r="AY4789" s="7"/>
    </row>
    <row r="4790" spans="19:51">
      <c r="S4790" s="7"/>
      <c r="AX4790" s="7"/>
      <c r="AY4790" s="7"/>
    </row>
    <row r="4791" spans="19:51">
      <c r="S4791" s="7"/>
      <c r="AX4791" s="7"/>
      <c r="AY4791" s="7"/>
    </row>
    <row r="4792" spans="19:51">
      <c r="S4792" s="7"/>
      <c r="AX4792" s="7"/>
      <c r="AY4792" s="7"/>
    </row>
    <row r="4793" spans="19:51">
      <c r="S4793" s="7"/>
      <c r="AX4793" s="7"/>
      <c r="AY4793" s="7"/>
    </row>
    <row r="4794" spans="19:51">
      <c r="S4794" s="7"/>
      <c r="AX4794" s="7"/>
      <c r="AY4794" s="7"/>
    </row>
    <row r="4795" spans="19:51">
      <c r="S4795" s="7"/>
      <c r="AX4795" s="7"/>
      <c r="AY4795" s="7"/>
    </row>
    <row r="4796" spans="19:51">
      <c r="S4796" s="7"/>
      <c r="AX4796" s="7"/>
      <c r="AY4796" s="7"/>
    </row>
    <row r="4797" spans="19:51">
      <c r="S4797" s="7"/>
      <c r="AX4797" s="7"/>
      <c r="AY4797" s="7"/>
    </row>
    <row r="4798" spans="19:51">
      <c r="S4798" s="7"/>
      <c r="AX4798" s="7"/>
      <c r="AY4798" s="7"/>
    </row>
    <row r="4799" spans="19:51">
      <c r="S4799" s="7"/>
      <c r="AX4799" s="7"/>
      <c r="AY4799" s="7"/>
    </row>
    <row r="4800" spans="19:51">
      <c r="S4800" s="7"/>
      <c r="AX4800" s="7"/>
      <c r="AY4800" s="7"/>
    </row>
    <row r="4801" spans="19:51">
      <c r="S4801" s="7"/>
      <c r="AX4801" s="7"/>
      <c r="AY4801" s="7"/>
    </row>
    <row r="4802" spans="19:51">
      <c r="S4802" s="7"/>
      <c r="AX4802" s="7"/>
      <c r="AY4802" s="7"/>
    </row>
    <row r="4803" spans="19:51">
      <c r="S4803" s="7"/>
      <c r="AX4803" s="7"/>
      <c r="AY4803" s="7"/>
    </row>
    <row r="4804" spans="19:51">
      <c r="S4804" s="7"/>
      <c r="AX4804" s="7"/>
      <c r="AY4804" s="7"/>
    </row>
    <row r="4805" spans="19:51">
      <c r="S4805" s="7"/>
      <c r="AX4805" s="7"/>
      <c r="AY4805" s="7"/>
    </row>
    <row r="4806" spans="19:51">
      <c r="S4806" s="7"/>
      <c r="AX4806" s="7"/>
      <c r="AY4806" s="7"/>
    </row>
    <row r="4807" spans="19:51">
      <c r="S4807" s="7"/>
      <c r="AX4807" s="7"/>
      <c r="AY4807" s="7"/>
    </row>
    <row r="4808" spans="19:51">
      <c r="S4808" s="7"/>
      <c r="AX4808" s="7"/>
      <c r="AY4808" s="7"/>
    </row>
    <row r="4809" spans="19:51">
      <c r="S4809" s="7"/>
      <c r="AX4809" s="7"/>
      <c r="AY4809" s="7"/>
    </row>
    <row r="4810" spans="19:51">
      <c r="S4810" s="7"/>
      <c r="AX4810" s="7"/>
      <c r="AY4810" s="7"/>
    </row>
    <row r="4811" spans="19:51">
      <c r="S4811" s="7"/>
      <c r="AX4811" s="7"/>
      <c r="AY4811" s="7"/>
    </row>
    <row r="4812" spans="19:51">
      <c r="S4812" s="7"/>
      <c r="AX4812" s="7"/>
      <c r="AY4812" s="7"/>
    </row>
    <row r="4813" spans="19:51">
      <c r="S4813" s="7"/>
      <c r="AX4813" s="7"/>
      <c r="AY4813" s="7"/>
    </row>
    <row r="4814" spans="19:51">
      <c r="S4814" s="7"/>
      <c r="AX4814" s="7"/>
      <c r="AY4814" s="7"/>
    </row>
    <row r="4815" spans="19:51">
      <c r="S4815" s="7"/>
      <c r="AX4815" s="7"/>
      <c r="AY4815" s="7"/>
    </row>
    <row r="4816" spans="19:51">
      <c r="S4816" s="7"/>
      <c r="AX4816" s="7"/>
      <c r="AY4816" s="7"/>
    </row>
    <row r="4817" spans="19:51">
      <c r="S4817" s="7"/>
      <c r="AX4817" s="7"/>
      <c r="AY4817" s="7"/>
    </row>
    <row r="4818" spans="19:51">
      <c r="S4818" s="7"/>
      <c r="AX4818" s="7"/>
      <c r="AY4818" s="7"/>
    </row>
    <row r="4819" spans="19:51">
      <c r="S4819" s="7"/>
      <c r="AX4819" s="7"/>
      <c r="AY4819" s="7"/>
    </row>
    <row r="4820" spans="19:51">
      <c r="S4820" s="7"/>
      <c r="AX4820" s="7"/>
      <c r="AY4820" s="7"/>
    </row>
    <row r="4821" spans="19:51">
      <c r="S4821" s="7"/>
      <c r="AX4821" s="7"/>
      <c r="AY4821" s="7"/>
    </row>
    <row r="4822" spans="19:51">
      <c r="S4822" s="7"/>
      <c r="AX4822" s="7"/>
      <c r="AY4822" s="7"/>
    </row>
    <row r="4823" spans="19:51">
      <c r="S4823" s="7"/>
      <c r="AX4823" s="7"/>
      <c r="AY4823" s="7"/>
    </row>
    <row r="4824" spans="19:51">
      <c r="S4824" s="7"/>
      <c r="AX4824" s="7"/>
      <c r="AY4824" s="7"/>
    </row>
    <row r="4825" spans="19:51">
      <c r="S4825" s="7"/>
      <c r="AX4825" s="7"/>
      <c r="AY4825" s="7"/>
    </row>
    <row r="4826" spans="19:51">
      <c r="S4826" s="7"/>
      <c r="AX4826" s="7"/>
      <c r="AY4826" s="7"/>
    </row>
    <row r="4827" spans="19:51">
      <c r="S4827" s="7"/>
      <c r="AX4827" s="7"/>
      <c r="AY4827" s="7"/>
    </row>
    <row r="4828" spans="19:51">
      <c r="S4828" s="7"/>
      <c r="AX4828" s="7"/>
      <c r="AY4828" s="7"/>
    </row>
    <row r="4829" spans="19:51">
      <c r="S4829" s="7"/>
      <c r="AX4829" s="7"/>
      <c r="AY4829" s="7"/>
    </row>
    <row r="4830" spans="19:51">
      <c r="S4830" s="7"/>
      <c r="AX4830" s="7"/>
      <c r="AY4830" s="7"/>
    </row>
    <row r="4831" spans="19:51">
      <c r="S4831" s="7"/>
      <c r="AX4831" s="7"/>
      <c r="AY4831" s="7"/>
    </row>
    <row r="4832" spans="19:51">
      <c r="S4832" s="7"/>
      <c r="AX4832" s="7"/>
      <c r="AY4832" s="7"/>
    </row>
    <row r="4833" spans="19:51">
      <c r="S4833" s="7"/>
      <c r="AX4833" s="7"/>
      <c r="AY4833" s="7"/>
    </row>
    <row r="4834" spans="19:51">
      <c r="S4834" s="7"/>
      <c r="AX4834" s="7"/>
      <c r="AY4834" s="7"/>
    </row>
    <row r="4835" spans="19:51">
      <c r="S4835" s="7"/>
      <c r="AX4835" s="7"/>
      <c r="AY4835" s="7"/>
    </row>
    <row r="4836" spans="19:51">
      <c r="S4836" s="7"/>
      <c r="AX4836" s="7"/>
      <c r="AY4836" s="7"/>
    </row>
    <row r="4837" spans="19:51">
      <c r="S4837" s="7"/>
      <c r="AX4837" s="7"/>
      <c r="AY4837" s="7"/>
    </row>
    <row r="4838" spans="19:51">
      <c r="S4838" s="7"/>
      <c r="AX4838" s="7"/>
      <c r="AY4838" s="7"/>
    </row>
    <row r="4839" spans="19:51">
      <c r="S4839" s="7"/>
      <c r="AX4839" s="7"/>
      <c r="AY4839" s="7"/>
    </row>
    <row r="4840" spans="19:51">
      <c r="S4840" s="7"/>
      <c r="AX4840" s="7"/>
      <c r="AY4840" s="7"/>
    </row>
    <row r="4841" spans="19:51">
      <c r="S4841" s="7"/>
      <c r="AX4841" s="7"/>
      <c r="AY4841" s="7"/>
    </row>
    <row r="4842" spans="19:51">
      <c r="S4842" s="7"/>
      <c r="AX4842" s="7"/>
      <c r="AY4842" s="7"/>
    </row>
    <row r="4843" spans="19:51">
      <c r="S4843" s="7"/>
      <c r="AX4843" s="7"/>
      <c r="AY4843" s="7"/>
    </row>
    <row r="4844" spans="19:51">
      <c r="S4844" s="7"/>
      <c r="AX4844" s="7"/>
      <c r="AY4844" s="7"/>
    </row>
    <row r="4845" spans="19:51">
      <c r="S4845" s="7"/>
      <c r="AX4845" s="7"/>
      <c r="AY4845" s="7"/>
    </row>
    <row r="4846" spans="19:51">
      <c r="S4846" s="7"/>
      <c r="AX4846" s="7"/>
      <c r="AY4846" s="7"/>
    </row>
    <row r="4847" spans="19:51">
      <c r="S4847" s="7"/>
      <c r="AX4847" s="7"/>
      <c r="AY4847" s="7"/>
    </row>
    <row r="4848" spans="19:51">
      <c r="S4848" s="7"/>
      <c r="AX4848" s="7"/>
      <c r="AY4848" s="7"/>
    </row>
    <row r="4849" spans="19:51">
      <c r="S4849" s="7"/>
      <c r="AX4849" s="7"/>
      <c r="AY4849" s="7"/>
    </row>
    <row r="4850" spans="19:51">
      <c r="S4850" s="7"/>
      <c r="AX4850" s="7"/>
      <c r="AY4850" s="7"/>
    </row>
    <row r="4851" spans="19:51">
      <c r="S4851" s="7"/>
      <c r="AX4851" s="7"/>
      <c r="AY4851" s="7"/>
    </row>
    <row r="4852" spans="19:51">
      <c r="S4852" s="7"/>
      <c r="AX4852" s="7"/>
      <c r="AY4852" s="7"/>
    </row>
    <row r="4853" spans="19:51">
      <c r="S4853" s="7"/>
      <c r="AX4853" s="7"/>
      <c r="AY4853" s="7"/>
    </row>
    <row r="4854" spans="19:51">
      <c r="S4854" s="7"/>
      <c r="AX4854" s="7"/>
      <c r="AY4854" s="7"/>
    </row>
    <row r="4855" spans="19:51">
      <c r="S4855" s="7"/>
      <c r="AX4855" s="7"/>
      <c r="AY4855" s="7"/>
    </row>
    <row r="4856" spans="19:51">
      <c r="S4856" s="7"/>
      <c r="AX4856" s="7"/>
      <c r="AY4856" s="7"/>
    </row>
    <row r="4857" spans="19:51">
      <c r="S4857" s="7"/>
      <c r="AX4857" s="7"/>
      <c r="AY4857" s="7"/>
    </row>
    <row r="4858" spans="19:51">
      <c r="S4858" s="7"/>
      <c r="AX4858" s="7"/>
      <c r="AY4858" s="7"/>
    </row>
    <row r="4859" spans="19:51">
      <c r="S4859" s="7"/>
      <c r="AX4859" s="7"/>
      <c r="AY4859" s="7"/>
    </row>
    <row r="4860" spans="19:51">
      <c r="S4860" s="7"/>
      <c r="AX4860" s="7"/>
      <c r="AY4860" s="7"/>
    </row>
    <row r="4861" spans="19:51">
      <c r="S4861" s="7"/>
      <c r="AX4861" s="7"/>
      <c r="AY4861" s="7"/>
    </row>
    <row r="4862" spans="19:51">
      <c r="S4862" s="7"/>
      <c r="AX4862" s="7"/>
      <c r="AY4862" s="7"/>
    </row>
    <row r="4863" spans="19:51">
      <c r="S4863" s="7"/>
      <c r="AX4863" s="7"/>
      <c r="AY4863" s="7"/>
    </row>
    <row r="4864" spans="19:51">
      <c r="S4864" s="7"/>
      <c r="AX4864" s="7"/>
      <c r="AY4864" s="7"/>
    </row>
    <row r="4865" spans="19:51">
      <c r="S4865" s="7"/>
      <c r="AX4865" s="7"/>
      <c r="AY4865" s="7"/>
    </row>
    <row r="4866" spans="19:51">
      <c r="S4866" s="7"/>
      <c r="AX4866" s="7"/>
      <c r="AY4866" s="7"/>
    </row>
    <row r="4867" spans="19:51">
      <c r="S4867" s="7"/>
      <c r="AX4867" s="7"/>
      <c r="AY4867" s="7"/>
    </row>
    <row r="4868" spans="19:51">
      <c r="S4868" s="7"/>
      <c r="AX4868" s="7"/>
      <c r="AY4868" s="7"/>
    </row>
    <row r="4869" spans="19:51">
      <c r="S4869" s="7"/>
      <c r="AX4869" s="7"/>
      <c r="AY4869" s="7"/>
    </row>
    <row r="4870" spans="19:51">
      <c r="S4870" s="7"/>
      <c r="AX4870" s="7"/>
      <c r="AY4870" s="7"/>
    </row>
    <row r="4871" spans="19:51">
      <c r="S4871" s="7"/>
      <c r="AX4871" s="7"/>
      <c r="AY4871" s="7"/>
    </row>
    <row r="4872" spans="19:51">
      <c r="S4872" s="7"/>
      <c r="AX4872" s="7"/>
      <c r="AY4872" s="7"/>
    </row>
    <row r="4873" spans="19:51">
      <c r="S4873" s="7"/>
      <c r="AX4873" s="7"/>
      <c r="AY4873" s="7"/>
    </row>
    <row r="4874" spans="19:51">
      <c r="S4874" s="7"/>
      <c r="AX4874" s="7"/>
      <c r="AY4874" s="7"/>
    </row>
    <row r="4875" spans="19:51">
      <c r="S4875" s="7"/>
      <c r="AX4875" s="7"/>
      <c r="AY4875" s="7"/>
    </row>
    <row r="4876" spans="19:51">
      <c r="S4876" s="7"/>
      <c r="AX4876" s="7"/>
      <c r="AY4876" s="7"/>
    </row>
    <row r="4877" spans="19:51">
      <c r="S4877" s="7"/>
      <c r="AX4877" s="7"/>
      <c r="AY4877" s="7"/>
    </row>
    <row r="4878" spans="19:51">
      <c r="S4878" s="7"/>
      <c r="AX4878" s="7"/>
      <c r="AY4878" s="7"/>
    </row>
    <row r="4879" spans="19:51">
      <c r="S4879" s="7"/>
      <c r="AX4879" s="7"/>
      <c r="AY4879" s="7"/>
    </row>
    <row r="4880" spans="19:51">
      <c r="S4880" s="7"/>
      <c r="AX4880" s="7"/>
      <c r="AY4880" s="7"/>
    </row>
    <row r="4881" spans="19:51">
      <c r="S4881" s="7"/>
      <c r="AX4881" s="7"/>
      <c r="AY4881" s="7"/>
    </row>
    <row r="4882" spans="19:51">
      <c r="S4882" s="7"/>
      <c r="AX4882" s="7"/>
      <c r="AY4882" s="7"/>
    </row>
    <row r="4883" spans="19:51">
      <c r="S4883" s="7"/>
      <c r="AX4883" s="7"/>
      <c r="AY4883" s="7"/>
    </row>
    <row r="4884" spans="19:51">
      <c r="S4884" s="7"/>
      <c r="AX4884" s="7"/>
      <c r="AY4884" s="7"/>
    </row>
    <row r="4885" spans="19:51">
      <c r="S4885" s="7"/>
      <c r="AX4885" s="7"/>
      <c r="AY4885" s="7"/>
    </row>
    <row r="4886" spans="19:51">
      <c r="S4886" s="7"/>
      <c r="AX4886" s="7"/>
      <c r="AY4886" s="7"/>
    </row>
    <row r="4887" spans="19:51">
      <c r="S4887" s="7"/>
      <c r="AX4887" s="7"/>
      <c r="AY4887" s="7"/>
    </row>
    <row r="4888" spans="19:51">
      <c r="S4888" s="7"/>
      <c r="AX4888" s="7"/>
      <c r="AY4888" s="7"/>
    </row>
    <row r="4889" spans="19:51">
      <c r="S4889" s="7"/>
      <c r="AX4889" s="7"/>
      <c r="AY4889" s="7"/>
    </row>
    <row r="4890" spans="19:51">
      <c r="S4890" s="7"/>
      <c r="AX4890" s="7"/>
      <c r="AY4890" s="7"/>
    </row>
    <row r="4891" spans="19:51">
      <c r="S4891" s="7"/>
      <c r="AX4891" s="7"/>
      <c r="AY4891" s="7"/>
    </row>
    <row r="4892" spans="19:51">
      <c r="S4892" s="7"/>
      <c r="AX4892" s="7"/>
      <c r="AY4892" s="7"/>
    </row>
    <row r="4893" spans="19:51">
      <c r="S4893" s="7"/>
      <c r="AX4893" s="7"/>
      <c r="AY4893" s="7"/>
    </row>
    <row r="4894" spans="19:51">
      <c r="S4894" s="7"/>
      <c r="AX4894" s="7"/>
      <c r="AY4894" s="7"/>
    </row>
    <row r="4895" spans="19:51">
      <c r="S4895" s="7"/>
      <c r="AX4895" s="7"/>
      <c r="AY4895" s="7"/>
    </row>
    <row r="4896" spans="19:51">
      <c r="S4896" s="7"/>
      <c r="AX4896" s="7"/>
      <c r="AY4896" s="7"/>
    </row>
    <row r="4897" spans="19:51">
      <c r="S4897" s="7"/>
      <c r="AX4897" s="7"/>
      <c r="AY4897" s="7"/>
    </row>
    <row r="4898" spans="19:51">
      <c r="S4898" s="7"/>
      <c r="AX4898" s="7"/>
      <c r="AY4898" s="7"/>
    </row>
    <row r="4899" spans="19:51">
      <c r="S4899" s="7"/>
      <c r="AX4899" s="7"/>
      <c r="AY4899" s="7"/>
    </row>
    <row r="4900" spans="19:51">
      <c r="S4900" s="7"/>
      <c r="AX4900" s="7"/>
      <c r="AY4900" s="7"/>
    </row>
    <row r="4901" spans="19:51">
      <c r="S4901" s="7"/>
      <c r="AX4901" s="7"/>
      <c r="AY4901" s="7"/>
    </row>
    <row r="4902" spans="19:51">
      <c r="S4902" s="7"/>
      <c r="AX4902" s="7"/>
      <c r="AY4902" s="7"/>
    </row>
    <row r="4903" spans="19:51">
      <c r="S4903" s="7"/>
      <c r="AX4903" s="7"/>
      <c r="AY4903" s="7"/>
    </row>
    <row r="4904" spans="19:51">
      <c r="S4904" s="7"/>
      <c r="AX4904" s="7"/>
      <c r="AY4904" s="7"/>
    </row>
    <row r="4905" spans="19:51">
      <c r="S4905" s="7"/>
      <c r="AX4905" s="7"/>
      <c r="AY4905" s="7"/>
    </row>
    <row r="4906" spans="19:51">
      <c r="S4906" s="7"/>
      <c r="AX4906" s="7"/>
      <c r="AY4906" s="7"/>
    </row>
    <row r="4907" spans="19:51">
      <c r="S4907" s="7"/>
      <c r="AX4907" s="7"/>
      <c r="AY4907" s="7"/>
    </row>
    <row r="4908" spans="19:51">
      <c r="S4908" s="7"/>
      <c r="AX4908" s="7"/>
      <c r="AY4908" s="7"/>
    </row>
    <row r="4909" spans="19:51">
      <c r="S4909" s="7"/>
      <c r="AX4909" s="7"/>
      <c r="AY4909" s="7"/>
    </row>
    <row r="4910" spans="19:51">
      <c r="S4910" s="7"/>
      <c r="AX4910" s="7"/>
      <c r="AY4910" s="7"/>
    </row>
    <row r="4911" spans="19:51">
      <c r="S4911" s="7"/>
      <c r="AX4911" s="7"/>
      <c r="AY4911" s="7"/>
    </row>
    <row r="4912" spans="19:51">
      <c r="S4912" s="7"/>
      <c r="AX4912" s="7"/>
      <c r="AY4912" s="7"/>
    </row>
    <row r="4913" spans="19:51">
      <c r="S4913" s="7"/>
      <c r="AX4913" s="7"/>
      <c r="AY4913" s="7"/>
    </row>
    <row r="4914" spans="19:51">
      <c r="S4914" s="7"/>
      <c r="AX4914" s="7"/>
      <c r="AY4914" s="7"/>
    </row>
    <row r="4915" spans="19:51">
      <c r="S4915" s="7"/>
      <c r="AX4915" s="7"/>
      <c r="AY4915" s="7"/>
    </row>
    <row r="4916" spans="19:51">
      <c r="S4916" s="7"/>
      <c r="AX4916" s="7"/>
      <c r="AY4916" s="7"/>
    </row>
    <row r="4917" spans="19:51">
      <c r="S4917" s="7"/>
      <c r="AX4917" s="7"/>
      <c r="AY4917" s="7"/>
    </row>
    <row r="4918" spans="19:51">
      <c r="S4918" s="7"/>
      <c r="AX4918" s="7"/>
      <c r="AY4918" s="7"/>
    </row>
    <row r="4919" spans="19:51">
      <c r="S4919" s="7"/>
      <c r="AX4919" s="7"/>
      <c r="AY4919" s="7"/>
    </row>
    <row r="4920" spans="19:51">
      <c r="S4920" s="7"/>
      <c r="AX4920" s="7"/>
      <c r="AY4920" s="7"/>
    </row>
    <row r="4921" spans="19:51">
      <c r="S4921" s="7"/>
      <c r="AX4921" s="7"/>
      <c r="AY4921" s="7"/>
    </row>
    <row r="4922" spans="19:51">
      <c r="S4922" s="7"/>
      <c r="AX4922" s="7"/>
      <c r="AY4922" s="7"/>
    </row>
    <row r="4923" spans="19:51">
      <c r="S4923" s="7"/>
      <c r="AX4923" s="7"/>
      <c r="AY4923" s="7"/>
    </row>
    <row r="4924" spans="19:51">
      <c r="S4924" s="7"/>
      <c r="AX4924" s="7"/>
      <c r="AY4924" s="7"/>
    </row>
    <row r="4925" spans="19:51">
      <c r="S4925" s="7"/>
      <c r="AX4925" s="7"/>
      <c r="AY4925" s="7"/>
    </row>
    <row r="4926" spans="19:51">
      <c r="S4926" s="7"/>
      <c r="AX4926" s="7"/>
      <c r="AY4926" s="7"/>
    </row>
    <row r="4927" spans="19:51">
      <c r="S4927" s="7"/>
      <c r="AX4927" s="7"/>
      <c r="AY4927" s="7"/>
    </row>
    <row r="4928" spans="19:51">
      <c r="S4928" s="7"/>
      <c r="AX4928" s="7"/>
      <c r="AY4928" s="7"/>
    </row>
    <row r="4929" spans="19:51">
      <c r="S4929" s="7"/>
      <c r="AX4929" s="7"/>
      <c r="AY4929" s="7"/>
    </row>
    <row r="4930" spans="19:51">
      <c r="S4930" s="7"/>
      <c r="AX4930" s="7"/>
      <c r="AY4930" s="7"/>
    </row>
    <row r="4931" spans="19:51">
      <c r="S4931" s="7"/>
      <c r="AX4931" s="7"/>
      <c r="AY4931" s="7"/>
    </row>
    <row r="4932" spans="19:51">
      <c r="S4932" s="7"/>
      <c r="AX4932" s="7"/>
      <c r="AY4932" s="7"/>
    </row>
    <row r="4933" spans="19:51">
      <c r="S4933" s="7"/>
      <c r="AX4933" s="7"/>
      <c r="AY4933" s="7"/>
    </row>
    <row r="4934" spans="19:51">
      <c r="S4934" s="7"/>
      <c r="AX4934" s="7"/>
      <c r="AY4934" s="7"/>
    </row>
    <row r="4935" spans="19:51">
      <c r="S4935" s="7"/>
      <c r="AX4935" s="7"/>
      <c r="AY4935" s="7"/>
    </row>
    <row r="4936" spans="19:51">
      <c r="S4936" s="7"/>
      <c r="AX4936" s="7"/>
      <c r="AY4936" s="7"/>
    </row>
    <row r="4937" spans="19:51">
      <c r="S4937" s="7"/>
      <c r="AX4937" s="7"/>
      <c r="AY4937" s="7"/>
    </row>
    <row r="4938" spans="19:51">
      <c r="S4938" s="7"/>
      <c r="AX4938" s="7"/>
      <c r="AY4938" s="7"/>
    </row>
    <row r="4939" spans="19:51">
      <c r="S4939" s="7"/>
      <c r="AX4939" s="7"/>
      <c r="AY4939" s="7"/>
    </row>
    <row r="4940" spans="19:51">
      <c r="S4940" s="7"/>
      <c r="AX4940" s="7"/>
      <c r="AY4940" s="7"/>
    </row>
    <row r="4941" spans="19:51">
      <c r="S4941" s="7"/>
      <c r="AX4941" s="7"/>
      <c r="AY4941" s="7"/>
    </row>
    <row r="4942" spans="19:51">
      <c r="S4942" s="7"/>
      <c r="AX4942" s="7"/>
      <c r="AY4942" s="7"/>
    </row>
    <row r="4943" spans="19:51">
      <c r="S4943" s="7"/>
      <c r="AX4943" s="7"/>
      <c r="AY4943" s="7"/>
    </row>
    <row r="4944" spans="19:51">
      <c r="S4944" s="7"/>
      <c r="AX4944" s="7"/>
      <c r="AY4944" s="7"/>
    </row>
    <row r="4945" spans="19:51">
      <c r="S4945" s="7"/>
      <c r="AX4945" s="7"/>
      <c r="AY4945" s="7"/>
    </row>
    <row r="4946" spans="19:51">
      <c r="S4946" s="7"/>
      <c r="AX4946" s="7"/>
      <c r="AY4946" s="7"/>
    </row>
    <row r="4947" spans="19:51">
      <c r="S4947" s="7"/>
      <c r="AX4947" s="7"/>
      <c r="AY4947" s="7"/>
    </row>
    <row r="4948" spans="19:51">
      <c r="S4948" s="7"/>
      <c r="AX4948" s="7"/>
      <c r="AY4948" s="7"/>
    </row>
    <row r="4949" spans="19:51">
      <c r="S4949" s="7"/>
      <c r="AX4949" s="7"/>
      <c r="AY4949" s="7"/>
    </row>
    <row r="4950" spans="19:51">
      <c r="S4950" s="7"/>
      <c r="AX4950" s="7"/>
      <c r="AY4950" s="7"/>
    </row>
    <row r="4951" spans="19:51">
      <c r="S4951" s="7"/>
      <c r="AX4951" s="7"/>
      <c r="AY4951" s="7"/>
    </row>
    <row r="4952" spans="19:51">
      <c r="S4952" s="7"/>
      <c r="AX4952" s="7"/>
      <c r="AY4952" s="7"/>
    </row>
    <row r="4953" spans="19:51">
      <c r="S4953" s="7"/>
      <c r="AX4953" s="7"/>
      <c r="AY4953" s="7"/>
    </row>
    <row r="4954" spans="19:51">
      <c r="S4954" s="7"/>
      <c r="AX4954" s="7"/>
      <c r="AY4954" s="7"/>
    </row>
    <row r="4955" spans="19:51">
      <c r="S4955" s="7"/>
      <c r="AX4955" s="7"/>
      <c r="AY4955" s="7"/>
    </row>
    <row r="4956" spans="19:51">
      <c r="S4956" s="7"/>
      <c r="AX4956" s="7"/>
      <c r="AY4956" s="7"/>
    </row>
    <row r="4957" spans="19:51">
      <c r="S4957" s="7"/>
      <c r="AX4957" s="7"/>
      <c r="AY4957" s="7"/>
    </row>
    <row r="4958" spans="19:51">
      <c r="S4958" s="7"/>
      <c r="AX4958" s="7"/>
      <c r="AY4958" s="7"/>
    </row>
    <row r="4959" spans="19:51">
      <c r="S4959" s="7"/>
      <c r="AX4959" s="7"/>
      <c r="AY4959" s="7"/>
    </row>
    <row r="4960" spans="19:51">
      <c r="S4960" s="7"/>
      <c r="AX4960" s="7"/>
      <c r="AY4960" s="7"/>
    </row>
    <row r="4961" spans="19:51">
      <c r="S4961" s="7"/>
      <c r="AX4961" s="7"/>
      <c r="AY4961" s="7"/>
    </row>
    <row r="4962" spans="19:51">
      <c r="S4962" s="7"/>
      <c r="AX4962" s="7"/>
      <c r="AY4962" s="7"/>
    </row>
    <row r="4963" spans="19:51">
      <c r="S4963" s="7"/>
      <c r="AX4963" s="7"/>
      <c r="AY4963" s="7"/>
    </row>
    <row r="4964" spans="19:51">
      <c r="S4964" s="7"/>
      <c r="AX4964" s="7"/>
      <c r="AY4964" s="7"/>
    </row>
    <row r="4965" spans="19:51">
      <c r="S4965" s="7"/>
      <c r="AX4965" s="7"/>
      <c r="AY4965" s="7"/>
    </row>
    <row r="4966" spans="19:51">
      <c r="S4966" s="7"/>
      <c r="AX4966" s="7"/>
      <c r="AY4966" s="7"/>
    </row>
    <row r="4967" spans="19:51">
      <c r="S4967" s="7"/>
      <c r="AX4967" s="7"/>
      <c r="AY4967" s="7"/>
    </row>
    <row r="4968" spans="19:51">
      <c r="S4968" s="7"/>
      <c r="AX4968" s="7"/>
      <c r="AY4968" s="7"/>
    </row>
    <row r="4969" spans="19:51">
      <c r="S4969" s="7"/>
      <c r="AX4969" s="7"/>
      <c r="AY4969" s="7"/>
    </row>
    <row r="4970" spans="19:51">
      <c r="S4970" s="7"/>
      <c r="AX4970" s="7"/>
      <c r="AY4970" s="7"/>
    </row>
    <row r="4971" spans="19:51">
      <c r="S4971" s="7"/>
      <c r="AX4971" s="7"/>
      <c r="AY4971" s="7"/>
    </row>
    <row r="4972" spans="19:51">
      <c r="S4972" s="7"/>
      <c r="AX4972" s="7"/>
      <c r="AY4972" s="7"/>
    </row>
    <row r="4973" spans="19:51">
      <c r="S4973" s="7"/>
      <c r="AX4973" s="7"/>
      <c r="AY4973" s="7"/>
    </row>
    <row r="4974" spans="19:51">
      <c r="S4974" s="7"/>
      <c r="AX4974" s="7"/>
      <c r="AY4974" s="7"/>
    </row>
    <row r="4975" spans="19:51">
      <c r="S4975" s="7"/>
      <c r="AX4975" s="7"/>
      <c r="AY4975" s="7"/>
    </row>
    <row r="4976" spans="19:51">
      <c r="S4976" s="7"/>
      <c r="AX4976" s="7"/>
      <c r="AY4976" s="7"/>
    </row>
    <row r="4977" spans="19:51">
      <c r="S4977" s="7"/>
      <c r="AX4977" s="7"/>
      <c r="AY4977" s="7"/>
    </row>
    <row r="4978" spans="19:51">
      <c r="S4978" s="7"/>
      <c r="AX4978" s="7"/>
      <c r="AY4978" s="7"/>
    </row>
    <row r="4979" spans="19:51">
      <c r="S4979" s="7"/>
      <c r="AX4979" s="7"/>
      <c r="AY4979" s="7"/>
    </row>
    <row r="4980" spans="19:51">
      <c r="S4980" s="7"/>
      <c r="AX4980" s="7"/>
      <c r="AY4980" s="7"/>
    </row>
    <row r="4981" spans="19:51">
      <c r="S4981" s="7"/>
      <c r="AX4981" s="7"/>
      <c r="AY4981" s="7"/>
    </row>
    <row r="4982" spans="19:51">
      <c r="S4982" s="7"/>
      <c r="AX4982" s="7"/>
      <c r="AY4982" s="7"/>
    </row>
    <row r="4983" spans="19:51">
      <c r="S4983" s="7"/>
      <c r="AX4983" s="7"/>
      <c r="AY4983" s="7"/>
    </row>
    <row r="4984" spans="19:51">
      <c r="S4984" s="7"/>
      <c r="AX4984" s="7"/>
      <c r="AY4984" s="7"/>
    </row>
    <row r="4985" spans="19:51">
      <c r="S4985" s="7"/>
      <c r="AX4985" s="7"/>
      <c r="AY4985" s="7"/>
    </row>
    <row r="4986" spans="19:51">
      <c r="S4986" s="7"/>
      <c r="AX4986" s="7"/>
      <c r="AY4986" s="7"/>
    </row>
    <row r="4987" spans="19:51">
      <c r="S4987" s="7"/>
      <c r="AX4987" s="7"/>
      <c r="AY4987" s="7"/>
    </row>
    <row r="4988" spans="19:51">
      <c r="S4988" s="7"/>
      <c r="AX4988" s="7"/>
      <c r="AY4988" s="7"/>
    </row>
    <row r="4989" spans="19:51">
      <c r="S4989" s="7"/>
      <c r="AX4989" s="7"/>
      <c r="AY4989" s="7"/>
    </row>
    <row r="4990" spans="19:51">
      <c r="S4990" s="7"/>
      <c r="AX4990" s="7"/>
      <c r="AY4990" s="7"/>
    </row>
    <row r="4991" spans="19:51">
      <c r="S4991" s="7"/>
      <c r="AX4991" s="7"/>
      <c r="AY4991" s="7"/>
    </row>
    <row r="4992" spans="19:51">
      <c r="S4992" s="7"/>
      <c r="AX4992" s="7"/>
      <c r="AY4992" s="7"/>
    </row>
    <row r="4993" spans="19:51">
      <c r="S4993" s="7"/>
      <c r="AX4993" s="7"/>
      <c r="AY4993" s="7"/>
    </row>
    <row r="4994" spans="19:51">
      <c r="S4994" s="7"/>
      <c r="AX4994" s="7"/>
      <c r="AY4994" s="7"/>
    </row>
    <row r="4995" spans="19:51">
      <c r="S4995" s="7"/>
      <c r="AX4995" s="7"/>
      <c r="AY4995" s="7"/>
    </row>
    <row r="4996" spans="19:51">
      <c r="S4996" s="7"/>
      <c r="AX4996" s="7"/>
      <c r="AY4996" s="7"/>
    </row>
    <row r="4997" spans="19:51">
      <c r="S4997" s="7"/>
      <c r="AX4997" s="7"/>
      <c r="AY4997" s="7"/>
    </row>
    <row r="4998" spans="19:51">
      <c r="S4998" s="7"/>
      <c r="AX4998" s="7"/>
      <c r="AY4998" s="7"/>
    </row>
    <row r="4999" spans="19:51">
      <c r="S4999" s="7"/>
      <c r="AX4999" s="7"/>
      <c r="AY4999" s="7"/>
    </row>
    <row r="5000" spans="19:51">
      <c r="S5000" s="7"/>
      <c r="AX5000" s="7"/>
      <c r="AY5000" s="7"/>
    </row>
    <row r="5001" spans="19:51">
      <c r="S5001" s="7"/>
      <c r="AX5001" s="7"/>
      <c r="AY5001" s="7"/>
    </row>
    <row r="5002" spans="19:51">
      <c r="S5002" s="7"/>
      <c r="AX5002" s="7"/>
      <c r="AY5002" s="7"/>
    </row>
    <row r="5003" spans="19:51">
      <c r="S5003" s="7"/>
      <c r="AX5003" s="7"/>
      <c r="AY5003" s="7"/>
    </row>
    <row r="5004" spans="19:51">
      <c r="S5004" s="7"/>
      <c r="AX5004" s="7"/>
      <c r="AY5004" s="7"/>
    </row>
    <row r="5005" spans="19:51">
      <c r="S5005" s="7"/>
      <c r="AX5005" s="7"/>
      <c r="AY5005" s="7"/>
    </row>
    <row r="5006" spans="19:51">
      <c r="S5006" s="7"/>
      <c r="AX5006" s="7"/>
      <c r="AY5006" s="7"/>
    </row>
    <row r="5007" spans="19:51">
      <c r="S5007" s="7"/>
      <c r="AX5007" s="7"/>
      <c r="AY5007" s="7"/>
    </row>
    <row r="5008" spans="19:51">
      <c r="S5008" s="7"/>
      <c r="AX5008" s="7"/>
      <c r="AY5008" s="7"/>
    </row>
    <row r="5009" spans="19:51">
      <c r="S5009" s="7"/>
      <c r="AX5009" s="7"/>
      <c r="AY5009" s="7"/>
    </row>
    <row r="5010" spans="19:51">
      <c r="S5010" s="7"/>
      <c r="AX5010" s="7"/>
      <c r="AY5010" s="7"/>
    </row>
    <row r="5011" spans="19:51">
      <c r="S5011" s="7"/>
      <c r="AX5011" s="7"/>
      <c r="AY5011" s="7"/>
    </row>
    <row r="5012" spans="19:51">
      <c r="S5012" s="7"/>
      <c r="AX5012" s="7"/>
      <c r="AY5012" s="7"/>
    </row>
    <row r="5013" spans="19:51">
      <c r="S5013" s="7"/>
      <c r="AX5013" s="7"/>
      <c r="AY5013" s="7"/>
    </row>
    <row r="5014" spans="19:51">
      <c r="S5014" s="7"/>
      <c r="AX5014" s="7"/>
      <c r="AY5014" s="7"/>
    </row>
    <row r="5015" spans="19:51">
      <c r="S5015" s="7"/>
      <c r="AX5015" s="7"/>
      <c r="AY5015" s="7"/>
    </row>
    <row r="5016" spans="19:51">
      <c r="S5016" s="7"/>
      <c r="AX5016" s="7"/>
      <c r="AY5016" s="7"/>
    </row>
    <row r="5017" spans="19:51">
      <c r="S5017" s="7"/>
      <c r="AX5017" s="7"/>
      <c r="AY5017" s="7"/>
    </row>
    <row r="5018" spans="19:51">
      <c r="S5018" s="7"/>
      <c r="AX5018" s="7"/>
      <c r="AY5018" s="7"/>
    </row>
    <row r="5019" spans="19:51">
      <c r="S5019" s="7"/>
      <c r="AX5019" s="7"/>
      <c r="AY5019" s="7"/>
    </row>
    <row r="5020" spans="19:51">
      <c r="S5020" s="7"/>
      <c r="AX5020" s="7"/>
      <c r="AY5020" s="7"/>
    </row>
    <row r="5021" spans="19:51">
      <c r="S5021" s="7"/>
      <c r="AX5021" s="7"/>
      <c r="AY5021" s="7"/>
    </row>
    <row r="5022" spans="19:51">
      <c r="S5022" s="7"/>
      <c r="AX5022" s="7"/>
      <c r="AY5022" s="7"/>
    </row>
    <row r="5023" spans="19:51">
      <c r="S5023" s="7"/>
      <c r="AX5023" s="7"/>
      <c r="AY5023" s="7"/>
    </row>
    <row r="5024" spans="19:51">
      <c r="S5024" s="7"/>
      <c r="AX5024" s="7"/>
      <c r="AY5024" s="7"/>
    </row>
    <row r="5025" spans="19:51">
      <c r="S5025" s="7"/>
      <c r="AX5025" s="7"/>
      <c r="AY5025" s="7"/>
    </row>
    <row r="5026" spans="19:51">
      <c r="S5026" s="7"/>
      <c r="AX5026" s="7"/>
      <c r="AY5026" s="7"/>
    </row>
    <row r="5027" spans="19:51">
      <c r="S5027" s="7"/>
      <c r="AX5027" s="7"/>
      <c r="AY5027" s="7"/>
    </row>
    <row r="5028" spans="19:51">
      <c r="S5028" s="7"/>
      <c r="AX5028" s="7"/>
      <c r="AY5028" s="7"/>
    </row>
    <row r="5029" spans="19:51">
      <c r="S5029" s="7"/>
      <c r="AX5029" s="7"/>
      <c r="AY5029" s="7"/>
    </row>
    <row r="5030" spans="19:51">
      <c r="S5030" s="7"/>
      <c r="AX5030" s="7"/>
      <c r="AY5030" s="7"/>
    </row>
    <row r="5031" spans="19:51">
      <c r="S5031" s="7"/>
      <c r="AX5031" s="7"/>
      <c r="AY5031" s="7"/>
    </row>
    <row r="5032" spans="19:51">
      <c r="S5032" s="7"/>
      <c r="AX5032" s="7"/>
      <c r="AY5032" s="7"/>
    </row>
    <row r="5033" spans="19:51">
      <c r="S5033" s="7"/>
      <c r="AX5033" s="7"/>
      <c r="AY5033" s="7"/>
    </row>
    <row r="5034" spans="19:51">
      <c r="S5034" s="7"/>
      <c r="AX5034" s="7"/>
      <c r="AY5034" s="7"/>
    </row>
    <row r="5035" spans="19:51">
      <c r="S5035" s="7"/>
      <c r="AX5035" s="7"/>
      <c r="AY5035" s="7"/>
    </row>
    <row r="5036" spans="19:51">
      <c r="S5036" s="7"/>
      <c r="AX5036" s="7"/>
      <c r="AY5036" s="7"/>
    </row>
    <row r="5037" spans="19:51">
      <c r="S5037" s="7"/>
      <c r="AX5037" s="7"/>
      <c r="AY5037" s="7"/>
    </row>
    <row r="5038" spans="19:51">
      <c r="S5038" s="7"/>
      <c r="AX5038" s="7"/>
      <c r="AY5038" s="7"/>
    </row>
    <row r="5039" spans="19:51">
      <c r="S5039" s="7"/>
      <c r="AX5039" s="7"/>
      <c r="AY5039" s="7"/>
    </row>
    <row r="5040" spans="19:51">
      <c r="S5040" s="7"/>
      <c r="AX5040" s="7"/>
      <c r="AY5040" s="7"/>
    </row>
    <row r="5041" spans="19:51">
      <c r="S5041" s="7"/>
      <c r="AX5041" s="7"/>
      <c r="AY5041" s="7"/>
    </row>
    <row r="5042" spans="19:51">
      <c r="S5042" s="7"/>
      <c r="AX5042" s="7"/>
      <c r="AY5042" s="7"/>
    </row>
    <row r="5043" spans="19:51">
      <c r="S5043" s="7"/>
      <c r="AX5043" s="7"/>
      <c r="AY5043" s="7"/>
    </row>
    <row r="5044" spans="19:51">
      <c r="S5044" s="7"/>
      <c r="AX5044" s="7"/>
      <c r="AY5044" s="7"/>
    </row>
    <row r="5045" spans="19:51">
      <c r="S5045" s="7"/>
      <c r="AX5045" s="7"/>
      <c r="AY5045" s="7"/>
    </row>
    <row r="5046" spans="19:51">
      <c r="S5046" s="7"/>
      <c r="AX5046" s="7"/>
      <c r="AY5046" s="7"/>
    </row>
    <row r="5047" spans="19:51">
      <c r="S5047" s="7"/>
      <c r="AX5047" s="7"/>
      <c r="AY5047" s="7"/>
    </row>
    <row r="5048" spans="19:51">
      <c r="S5048" s="7"/>
      <c r="AX5048" s="7"/>
      <c r="AY5048" s="7"/>
    </row>
    <row r="5049" spans="19:51">
      <c r="S5049" s="7"/>
      <c r="AX5049" s="7"/>
      <c r="AY5049" s="7"/>
    </row>
    <row r="5050" spans="19:51">
      <c r="S5050" s="7"/>
      <c r="AX5050" s="7"/>
      <c r="AY5050" s="7"/>
    </row>
    <row r="5051" spans="19:51">
      <c r="S5051" s="7"/>
      <c r="AX5051" s="7"/>
      <c r="AY5051" s="7"/>
    </row>
    <row r="5052" spans="19:51">
      <c r="S5052" s="7"/>
      <c r="AX5052" s="7"/>
      <c r="AY5052" s="7"/>
    </row>
    <row r="5053" spans="19:51">
      <c r="S5053" s="7"/>
      <c r="AX5053" s="7"/>
      <c r="AY5053" s="7"/>
    </row>
    <row r="5054" spans="19:51">
      <c r="S5054" s="7"/>
      <c r="AX5054" s="7"/>
      <c r="AY5054" s="7"/>
    </row>
    <row r="5055" spans="19:51">
      <c r="S5055" s="7"/>
      <c r="AX5055" s="7"/>
      <c r="AY5055" s="7"/>
    </row>
    <row r="5056" spans="19:51">
      <c r="S5056" s="7"/>
      <c r="AX5056" s="7"/>
      <c r="AY5056" s="7"/>
    </row>
    <row r="5057" spans="19:51">
      <c r="S5057" s="7"/>
      <c r="AX5057" s="7"/>
      <c r="AY5057" s="7"/>
    </row>
    <row r="5058" spans="19:51">
      <c r="S5058" s="7"/>
      <c r="AX5058" s="7"/>
      <c r="AY5058" s="7"/>
    </row>
    <row r="5059" spans="19:51">
      <c r="S5059" s="7"/>
      <c r="AX5059" s="7"/>
      <c r="AY5059" s="7"/>
    </row>
    <row r="5060" spans="19:51">
      <c r="S5060" s="7"/>
      <c r="AX5060" s="7"/>
      <c r="AY5060" s="7"/>
    </row>
    <row r="5061" spans="19:51">
      <c r="S5061" s="7"/>
      <c r="AX5061" s="7"/>
      <c r="AY5061" s="7"/>
    </row>
    <row r="5062" spans="19:51">
      <c r="S5062" s="7"/>
      <c r="AX5062" s="7"/>
      <c r="AY5062" s="7"/>
    </row>
    <row r="5063" spans="19:51">
      <c r="S5063" s="7"/>
      <c r="AX5063" s="7"/>
      <c r="AY5063" s="7"/>
    </row>
    <row r="5064" spans="19:51">
      <c r="S5064" s="7"/>
      <c r="AX5064" s="7"/>
      <c r="AY5064" s="7"/>
    </row>
    <row r="5065" spans="19:51">
      <c r="S5065" s="7"/>
      <c r="AX5065" s="7"/>
      <c r="AY5065" s="7"/>
    </row>
    <row r="5066" spans="19:51">
      <c r="S5066" s="7"/>
      <c r="AX5066" s="7"/>
      <c r="AY5066" s="7"/>
    </row>
    <row r="5067" spans="19:51">
      <c r="S5067" s="7"/>
      <c r="AX5067" s="7"/>
      <c r="AY5067" s="7"/>
    </row>
    <row r="5068" spans="19:51">
      <c r="S5068" s="7"/>
      <c r="AX5068" s="7"/>
      <c r="AY5068" s="7"/>
    </row>
    <row r="5069" spans="19:51">
      <c r="S5069" s="7"/>
      <c r="AX5069" s="7"/>
      <c r="AY5069" s="7"/>
    </row>
    <row r="5070" spans="19:51">
      <c r="S5070" s="7"/>
      <c r="AX5070" s="7"/>
      <c r="AY5070" s="7"/>
    </row>
    <row r="5071" spans="19:51">
      <c r="S5071" s="7"/>
      <c r="AX5071" s="7"/>
      <c r="AY5071" s="7"/>
    </row>
    <row r="5072" spans="19:51">
      <c r="S5072" s="7"/>
      <c r="AX5072" s="7"/>
      <c r="AY5072" s="7"/>
    </row>
    <row r="5073" spans="19:51">
      <c r="S5073" s="7"/>
      <c r="AX5073" s="7"/>
      <c r="AY5073" s="7"/>
    </row>
    <row r="5074" spans="19:51">
      <c r="S5074" s="7"/>
      <c r="AX5074" s="7"/>
      <c r="AY5074" s="7"/>
    </row>
    <row r="5075" spans="19:51">
      <c r="S5075" s="7"/>
      <c r="AX5075" s="7"/>
      <c r="AY5075" s="7"/>
    </row>
    <row r="5076" spans="19:51">
      <c r="S5076" s="7"/>
      <c r="AX5076" s="7"/>
      <c r="AY5076" s="7"/>
    </row>
    <row r="5077" spans="19:51">
      <c r="S5077" s="7"/>
      <c r="AX5077" s="7"/>
      <c r="AY5077" s="7"/>
    </row>
    <row r="5078" spans="19:51">
      <c r="S5078" s="7"/>
      <c r="AX5078" s="7"/>
      <c r="AY5078" s="7"/>
    </row>
    <row r="5079" spans="19:51">
      <c r="S5079" s="7"/>
      <c r="AX5079" s="7"/>
      <c r="AY5079" s="7"/>
    </row>
    <row r="5080" spans="19:51">
      <c r="S5080" s="7"/>
      <c r="AX5080" s="7"/>
      <c r="AY5080" s="7"/>
    </row>
    <row r="5081" spans="19:51">
      <c r="S5081" s="7"/>
      <c r="AX5081" s="7"/>
      <c r="AY5081" s="7"/>
    </row>
    <row r="5082" spans="19:51">
      <c r="S5082" s="7"/>
      <c r="AX5082" s="7"/>
      <c r="AY5082" s="7"/>
    </row>
    <row r="5083" spans="19:51">
      <c r="S5083" s="7"/>
      <c r="AX5083" s="7"/>
      <c r="AY5083" s="7"/>
    </row>
    <row r="5084" spans="19:51">
      <c r="S5084" s="7"/>
      <c r="AX5084" s="7"/>
      <c r="AY5084" s="7"/>
    </row>
    <row r="5085" spans="19:51">
      <c r="S5085" s="7"/>
      <c r="AX5085" s="7"/>
      <c r="AY5085" s="7"/>
    </row>
    <row r="5086" spans="19:51">
      <c r="S5086" s="7"/>
      <c r="AX5086" s="7"/>
      <c r="AY5086" s="7"/>
    </row>
    <row r="5087" spans="19:51">
      <c r="S5087" s="7"/>
      <c r="AX5087" s="7"/>
      <c r="AY5087" s="7"/>
    </row>
    <row r="5088" spans="19:51">
      <c r="S5088" s="7"/>
      <c r="AX5088" s="7"/>
      <c r="AY5088" s="7"/>
    </row>
    <row r="5089" spans="19:51">
      <c r="S5089" s="7"/>
      <c r="AX5089" s="7"/>
      <c r="AY5089" s="7"/>
    </row>
    <row r="5090" spans="19:51">
      <c r="S5090" s="7"/>
      <c r="AX5090" s="7"/>
      <c r="AY5090" s="7"/>
    </row>
    <row r="5091" spans="19:51">
      <c r="S5091" s="7"/>
      <c r="AX5091" s="7"/>
      <c r="AY5091" s="7"/>
    </row>
    <row r="5092" spans="19:51">
      <c r="S5092" s="7"/>
      <c r="AX5092" s="7"/>
      <c r="AY5092" s="7"/>
    </row>
    <row r="5093" spans="19:51">
      <c r="S5093" s="7"/>
      <c r="AX5093" s="7"/>
      <c r="AY5093" s="7"/>
    </row>
    <row r="5094" spans="19:51">
      <c r="S5094" s="7"/>
      <c r="AX5094" s="7"/>
      <c r="AY5094" s="7"/>
    </row>
    <row r="5095" spans="19:51">
      <c r="S5095" s="7"/>
      <c r="AX5095" s="7"/>
      <c r="AY5095" s="7"/>
    </row>
    <row r="5096" spans="19:51">
      <c r="S5096" s="7"/>
      <c r="AX5096" s="7"/>
      <c r="AY5096" s="7"/>
    </row>
    <row r="5097" spans="19:51">
      <c r="S5097" s="7"/>
      <c r="AX5097" s="7"/>
      <c r="AY5097" s="7"/>
    </row>
    <row r="5098" spans="19:51">
      <c r="S5098" s="7"/>
      <c r="AX5098" s="7"/>
      <c r="AY5098" s="7"/>
    </row>
    <row r="5099" spans="19:51">
      <c r="S5099" s="7"/>
      <c r="AX5099" s="7"/>
      <c r="AY5099" s="7"/>
    </row>
    <row r="5100" spans="19:51">
      <c r="S5100" s="7"/>
      <c r="AX5100" s="7"/>
      <c r="AY5100" s="7"/>
    </row>
    <row r="5101" spans="19:51">
      <c r="S5101" s="7"/>
      <c r="AX5101" s="7"/>
      <c r="AY5101" s="7"/>
    </row>
    <row r="5102" spans="19:51">
      <c r="S5102" s="7"/>
      <c r="AX5102" s="7"/>
      <c r="AY5102" s="7"/>
    </row>
    <row r="5103" spans="19:51">
      <c r="S5103" s="7"/>
      <c r="AX5103" s="7"/>
      <c r="AY5103" s="7"/>
    </row>
    <row r="5104" spans="19:51">
      <c r="S5104" s="7"/>
      <c r="AX5104" s="7"/>
      <c r="AY5104" s="7"/>
    </row>
    <row r="5105" spans="19:51">
      <c r="S5105" s="7"/>
      <c r="AX5105" s="7"/>
      <c r="AY5105" s="7"/>
    </row>
    <row r="5106" spans="19:51">
      <c r="S5106" s="7"/>
      <c r="AX5106" s="7"/>
      <c r="AY5106" s="7"/>
    </row>
    <row r="5107" spans="19:51">
      <c r="S5107" s="7"/>
      <c r="AX5107" s="7"/>
      <c r="AY5107" s="7"/>
    </row>
    <row r="5108" spans="19:51">
      <c r="S5108" s="7"/>
      <c r="AX5108" s="7"/>
      <c r="AY5108" s="7"/>
    </row>
    <row r="5109" spans="19:51">
      <c r="S5109" s="7"/>
      <c r="AX5109" s="7"/>
      <c r="AY5109" s="7"/>
    </row>
    <row r="5110" spans="19:51">
      <c r="S5110" s="7"/>
      <c r="AX5110" s="7"/>
      <c r="AY5110" s="7"/>
    </row>
    <row r="5111" spans="19:51">
      <c r="S5111" s="7"/>
      <c r="AX5111" s="7"/>
      <c r="AY5111" s="7"/>
    </row>
    <row r="5112" spans="19:51">
      <c r="S5112" s="7"/>
      <c r="AX5112" s="7"/>
      <c r="AY5112" s="7"/>
    </row>
    <row r="5113" spans="19:51">
      <c r="S5113" s="7"/>
      <c r="AX5113" s="7"/>
      <c r="AY5113" s="7"/>
    </row>
    <row r="5114" spans="19:51">
      <c r="S5114" s="7"/>
      <c r="AX5114" s="7"/>
      <c r="AY5114" s="7"/>
    </row>
    <row r="5115" spans="19:51">
      <c r="S5115" s="7"/>
      <c r="AX5115" s="7"/>
      <c r="AY5115" s="7"/>
    </row>
    <row r="5116" spans="19:51">
      <c r="S5116" s="7"/>
      <c r="AX5116" s="7"/>
      <c r="AY5116" s="7"/>
    </row>
    <row r="5117" spans="19:51">
      <c r="S5117" s="7"/>
      <c r="AX5117" s="7"/>
      <c r="AY5117" s="7"/>
    </row>
    <row r="5118" spans="19:51">
      <c r="S5118" s="7"/>
      <c r="AX5118" s="7"/>
      <c r="AY5118" s="7"/>
    </row>
    <row r="5119" spans="19:51">
      <c r="S5119" s="7"/>
      <c r="AX5119" s="7"/>
      <c r="AY5119" s="7"/>
    </row>
    <row r="5120" spans="19:51">
      <c r="S5120" s="7"/>
      <c r="AX5120" s="7"/>
      <c r="AY5120" s="7"/>
    </row>
    <row r="5121" spans="19:51">
      <c r="S5121" s="7"/>
      <c r="AX5121" s="7"/>
      <c r="AY5121" s="7"/>
    </row>
    <row r="5122" spans="19:51">
      <c r="S5122" s="7"/>
      <c r="AX5122" s="7"/>
      <c r="AY5122" s="7"/>
    </row>
    <row r="5123" spans="19:51">
      <c r="S5123" s="7"/>
      <c r="AX5123" s="7"/>
      <c r="AY5123" s="7"/>
    </row>
    <row r="5124" spans="19:51">
      <c r="S5124" s="7"/>
      <c r="AX5124" s="7"/>
      <c r="AY5124" s="7"/>
    </row>
    <row r="5125" spans="19:51">
      <c r="S5125" s="7"/>
      <c r="AX5125" s="7"/>
      <c r="AY5125" s="7"/>
    </row>
    <row r="5126" spans="19:51">
      <c r="S5126" s="7"/>
      <c r="AX5126" s="7"/>
      <c r="AY5126" s="7"/>
    </row>
    <row r="5127" spans="19:51">
      <c r="S5127" s="7"/>
      <c r="AX5127" s="7"/>
      <c r="AY5127" s="7"/>
    </row>
    <row r="5128" spans="19:51">
      <c r="S5128" s="7"/>
      <c r="AX5128" s="7"/>
      <c r="AY5128" s="7"/>
    </row>
    <row r="5129" spans="19:51">
      <c r="S5129" s="7"/>
      <c r="AX5129" s="7"/>
      <c r="AY5129" s="7"/>
    </row>
    <row r="5130" spans="19:51">
      <c r="S5130" s="7"/>
      <c r="AX5130" s="7"/>
      <c r="AY5130" s="7"/>
    </row>
    <row r="5131" spans="19:51">
      <c r="S5131" s="7"/>
      <c r="AX5131" s="7"/>
      <c r="AY5131" s="7"/>
    </row>
    <row r="5132" spans="19:51">
      <c r="S5132" s="7"/>
      <c r="AX5132" s="7"/>
      <c r="AY5132" s="7"/>
    </row>
    <row r="5133" spans="19:51">
      <c r="S5133" s="7"/>
      <c r="AX5133" s="7"/>
      <c r="AY5133" s="7"/>
    </row>
    <row r="5134" spans="19:51">
      <c r="S5134" s="7"/>
      <c r="AX5134" s="7"/>
      <c r="AY5134" s="7"/>
    </row>
    <row r="5135" spans="19:51">
      <c r="S5135" s="7"/>
      <c r="AX5135" s="7"/>
      <c r="AY5135" s="7"/>
    </row>
    <row r="5136" spans="19:51">
      <c r="S5136" s="7"/>
      <c r="AX5136" s="7"/>
      <c r="AY5136" s="7"/>
    </row>
    <row r="5137" spans="19:51">
      <c r="S5137" s="7"/>
      <c r="AX5137" s="7"/>
      <c r="AY5137" s="7"/>
    </row>
    <row r="5138" spans="19:51">
      <c r="S5138" s="7"/>
      <c r="AX5138" s="7"/>
      <c r="AY5138" s="7"/>
    </row>
    <row r="5139" spans="19:51">
      <c r="S5139" s="7"/>
      <c r="AX5139" s="7"/>
      <c r="AY5139" s="7"/>
    </row>
    <row r="5140" spans="19:51">
      <c r="S5140" s="7"/>
      <c r="AX5140" s="7"/>
      <c r="AY5140" s="7"/>
    </row>
    <row r="5141" spans="19:51">
      <c r="S5141" s="7"/>
      <c r="AX5141" s="7"/>
      <c r="AY5141" s="7"/>
    </row>
    <row r="5142" spans="19:51">
      <c r="S5142" s="7"/>
      <c r="AX5142" s="7"/>
      <c r="AY5142" s="7"/>
    </row>
    <row r="5143" spans="19:51">
      <c r="S5143" s="7"/>
      <c r="AX5143" s="7"/>
      <c r="AY5143" s="7"/>
    </row>
    <row r="5144" spans="19:51">
      <c r="S5144" s="7"/>
      <c r="AX5144" s="7"/>
      <c r="AY5144" s="7"/>
    </row>
    <row r="5145" spans="19:51">
      <c r="S5145" s="7"/>
      <c r="AX5145" s="7"/>
      <c r="AY5145" s="7"/>
    </row>
    <row r="5146" spans="19:51">
      <c r="S5146" s="7"/>
      <c r="AX5146" s="7"/>
      <c r="AY5146" s="7"/>
    </row>
    <row r="5147" spans="19:51">
      <c r="S5147" s="7"/>
      <c r="AX5147" s="7"/>
      <c r="AY5147" s="7"/>
    </row>
    <row r="5148" spans="19:51">
      <c r="S5148" s="7"/>
      <c r="AX5148" s="7"/>
      <c r="AY5148" s="7"/>
    </row>
    <row r="5149" spans="19:51">
      <c r="S5149" s="7"/>
      <c r="AX5149" s="7"/>
      <c r="AY5149" s="7"/>
    </row>
    <row r="5150" spans="19:51">
      <c r="S5150" s="7"/>
      <c r="AX5150" s="7"/>
      <c r="AY5150" s="7"/>
    </row>
    <row r="5151" spans="19:51">
      <c r="S5151" s="7"/>
      <c r="AX5151" s="7"/>
      <c r="AY5151" s="7"/>
    </row>
    <row r="5152" spans="19:51">
      <c r="S5152" s="7"/>
      <c r="AX5152" s="7"/>
      <c r="AY5152" s="7"/>
    </row>
    <row r="5153" spans="19:51">
      <c r="S5153" s="7"/>
      <c r="AX5153" s="7"/>
      <c r="AY5153" s="7"/>
    </row>
    <row r="5154" spans="19:51">
      <c r="S5154" s="7"/>
      <c r="AX5154" s="7"/>
      <c r="AY5154" s="7"/>
    </row>
    <row r="5155" spans="19:51">
      <c r="S5155" s="7"/>
      <c r="AX5155" s="7"/>
      <c r="AY5155" s="7"/>
    </row>
    <row r="5156" spans="19:51">
      <c r="S5156" s="7"/>
      <c r="AX5156" s="7"/>
      <c r="AY5156" s="7"/>
    </row>
    <row r="5157" spans="19:51">
      <c r="S5157" s="7"/>
      <c r="AX5157" s="7"/>
      <c r="AY5157" s="7"/>
    </row>
    <row r="5158" spans="19:51">
      <c r="S5158" s="7"/>
      <c r="AX5158" s="7"/>
      <c r="AY5158" s="7"/>
    </row>
    <row r="5159" spans="19:51">
      <c r="S5159" s="7"/>
      <c r="AX5159" s="7"/>
      <c r="AY5159" s="7"/>
    </row>
    <row r="5160" spans="19:51">
      <c r="S5160" s="7"/>
      <c r="AX5160" s="7"/>
      <c r="AY5160" s="7"/>
    </row>
    <row r="5161" spans="19:51">
      <c r="S5161" s="7"/>
      <c r="AX5161" s="7"/>
      <c r="AY5161" s="7"/>
    </row>
    <row r="5162" spans="19:51">
      <c r="S5162" s="7"/>
      <c r="AX5162" s="7"/>
      <c r="AY5162" s="7"/>
    </row>
    <row r="5163" spans="19:51">
      <c r="S5163" s="7"/>
      <c r="AX5163" s="7"/>
      <c r="AY5163" s="7"/>
    </row>
    <row r="5164" spans="19:51">
      <c r="S5164" s="7"/>
      <c r="AX5164" s="7"/>
      <c r="AY5164" s="7"/>
    </row>
    <row r="5165" spans="19:51">
      <c r="S5165" s="7"/>
      <c r="AX5165" s="7"/>
      <c r="AY5165" s="7"/>
    </row>
    <row r="5166" spans="19:51">
      <c r="S5166" s="7"/>
      <c r="AX5166" s="7"/>
      <c r="AY5166" s="7"/>
    </row>
    <row r="5167" spans="19:51">
      <c r="S5167" s="7"/>
      <c r="AX5167" s="7"/>
      <c r="AY5167" s="7"/>
    </row>
    <row r="5168" spans="19:51">
      <c r="S5168" s="7"/>
      <c r="AX5168" s="7"/>
      <c r="AY5168" s="7"/>
    </row>
    <row r="5169" spans="19:51">
      <c r="S5169" s="7"/>
      <c r="AX5169" s="7"/>
      <c r="AY5169" s="7"/>
    </row>
    <row r="5170" spans="19:51">
      <c r="S5170" s="7"/>
      <c r="AX5170" s="7"/>
      <c r="AY5170" s="7"/>
    </row>
    <row r="5171" spans="19:51">
      <c r="S5171" s="7"/>
      <c r="AX5171" s="7"/>
      <c r="AY5171" s="7"/>
    </row>
    <row r="5172" spans="19:51">
      <c r="S5172" s="7"/>
      <c r="AX5172" s="7"/>
      <c r="AY5172" s="7"/>
    </row>
    <row r="5173" spans="19:51">
      <c r="S5173" s="7"/>
      <c r="AX5173" s="7"/>
      <c r="AY5173" s="7"/>
    </row>
    <row r="5174" spans="19:51">
      <c r="S5174" s="7"/>
      <c r="AX5174" s="7"/>
      <c r="AY5174" s="7"/>
    </row>
    <row r="5175" spans="19:51">
      <c r="S5175" s="7"/>
      <c r="AX5175" s="7"/>
      <c r="AY5175" s="7"/>
    </row>
    <row r="5176" spans="19:51">
      <c r="S5176" s="7"/>
      <c r="AX5176" s="7"/>
      <c r="AY5176" s="7"/>
    </row>
    <row r="5177" spans="19:51">
      <c r="S5177" s="7"/>
      <c r="AX5177" s="7"/>
      <c r="AY5177" s="7"/>
    </row>
    <row r="5178" spans="19:51">
      <c r="S5178" s="7"/>
      <c r="AX5178" s="7"/>
      <c r="AY5178" s="7"/>
    </row>
    <row r="5179" spans="19:51">
      <c r="S5179" s="7"/>
      <c r="AX5179" s="7"/>
      <c r="AY5179" s="7"/>
    </row>
    <row r="5180" spans="19:51">
      <c r="S5180" s="7"/>
      <c r="AX5180" s="7"/>
      <c r="AY5180" s="7"/>
    </row>
    <row r="5181" spans="19:51">
      <c r="S5181" s="7"/>
      <c r="AX5181" s="7"/>
      <c r="AY5181" s="7"/>
    </row>
    <row r="5182" spans="19:51">
      <c r="S5182" s="7"/>
      <c r="AX5182" s="7"/>
      <c r="AY5182" s="7"/>
    </row>
    <row r="5183" spans="19:51">
      <c r="S5183" s="7"/>
      <c r="AX5183" s="7"/>
      <c r="AY5183" s="7"/>
    </row>
    <row r="5184" spans="19:51">
      <c r="S5184" s="7"/>
      <c r="AX5184" s="7"/>
      <c r="AY5184" s="7"/>
    </row>
    <row r="5185" spans="19:51">
      <c r="S5185" s="7"/>
      <c r="AX5185" s="7"/>
      <c r="AY5185" s="7"/>
    </row>
    <row r="5186" spans="19:51">
      <c r="S5186" s="7"/>
      <c r="AX5186" s="7"/>
      <c r="AY5186" s="7"/>
    </row>
    <row r="5187" spans="19:51">
      <c r="S5187" s="7"/>
      <c r="AX5187" s="7"/>
      <c r="AY5187" s="7"/>
    </row>
    <row r="5188" spans="19:51">
      <c r="S5188" s="7"/>
      <c r="AX5188" s="7"/>
      <c r="AY5188" s="7"/>
    </row>
    <row r="5189" spans="19:51">
      <c r="S5189" s="7"/>
      <c r="AX5189" s="7"/>
      <c r="AY5189" s="7"/>
    </row>
    <row r="5190" spans="19:51">
      <c r="S5190" s="7"/>
      <c r="AX5190" s="7"/>
      <c r="AY5190" s="7"/>
    </row>
    <row r="5191" spans="19:51">
      <c r="S5191" s="7"/>
      <c r="AX5191" s="7"/>
      <c r="AY5191" s="7"/>
    </row>
    <row r="5192" spans="19:51">
      <c r="S5192" s="7"/>
      <c r="AX5192" s="7"/>
      <c r="AY5192" s="7"/>
    </row>
    <row r="5193" spans="19:51">
      <c r="S5193" s="7"/>
      <c r="AX5193" s="7"/>
      <c r="AY5193" s="7"/>
    </row>
    <row r="5194" spans="19:51">
      <c r="S5194" s="7"/>
      <c r="AX5194" s="7"/>
      <c r="AY5194" s="7"/>
    </row>
    <row r="5195" spans="19:51">
      <c r="S5195" s="7"/>
      <c r="AX5195" s="7"/>
      <c r="AY5195" s="7"/>
    </row>
    <row r="5196" spans="19:51">
      <c r="S5196" s="7"/>
      <c r="AX5196" s="7"/>
      <c r="AY5196" s="7"/>
    </row>
    <row r="5197" spans="19:51">
      <c r="S5197" s="7"/>
      <c r="AX5197" s="7"/>
      <c r="AY5197" s="7"/>
    </row>
    <row r="5198" spans="19:51">
      <c r="S5198" s="7"/>
      <c r="AX5198" s="7"/>
      <c r="AY5198" s="7"/>
    </row>
    <row r="5199" spans="19:51">
      <c r="S5199" s="7"/>
      <c r="AX5199" s="7"/>
      <c r="AY5199" s="7"/>
    </row>
    <row r="5200" spans="19:51">
      <c r="S5200" s="7"/>
      <c r="AX5200" s="7"/>
      <c r="AY5200" s="7"/>
    </row>
    <row r="5201" spans="19:51">
      <c r="S5201" s="7"/>
      <c r="AX5201" s="7"/>
      <c r="AY5201" s="7"/>
    </row>
    <row r="5202" spans="19:51">
      <c r="S5202" s="7"/>
      <c r="AX5202" s="7"/>
      <c r="AY5202" s="7"/>
    </row>
    <row r="5203" spans="19:51">
      <c r="S5203" s="7"/>
      <c r="AX5203" s="7"/>
      <c r="AY5203" s="7"/>
    </row>
    <row r="5204" spans="19:51">
      <c r="S5204" s="7"/>
      <c r="AX5204" s="7"/>
      <c r="AY5204" s="7"/>
    </row>
    <row r="5205" spans="19:51">
      <c r="S5205" s="7"/>
      <c r="AX5205" s="7"/>
      <c r="AY5205" s="7"/>
    </row>
    <row r="5206" spans="19:51">
      <c r="S5206" s="7"/>
      <c r="AX5206" s="7"/>
      <c r="AY5206" s="7"/>
    </row>
    <row r="5207" spans="19:51">
      <c r="S5207" s="7"/>
      <c r="AX5207" s="7"/>
      <c r="AY5207" s="7"/>
    </row>
    <row r="5208" spans="19:51">
      <c r="S5208" s="7"/>
      <c r="AX5208" s="7"/>
      <c r="AY5208" s="7"/>
    </row>
    <row r="5209" spans="19:51">
      <c r="S5209" s="7"/>
      <c r="AX5209" s="7"/>
      <c r="AY5209" s="7"/>
    </row>
    <row r="5210" spans="19:51">
      <c r="S5210" s="7"/>
      <c r="AX5210" s="7"/>
      <c r="AY5210" s="7"/>
    </row>
    <row r="5211" spans="19:51">
      <c r="S5211" s="7"/>
      <c r="AX5211" s="7"/>
      <c r="AY5211" s="7"/>
    </row>
    <row r="5212" spans="19:51">
      <c r="S5212" s="7"/>
      <c r="AX5212" s="7"/>
      <c r="AY5212" s="7"/>
    </row>
    <row r="5213" spans="19:51">
      <c r="S5213" s="7"/>
      <c r="AX5213" s="7"/>
      <c r="AY5213" s="7"/>
    </row>
    <row r="5214" spans="19:51">
      <c r="S5214" s="7"/>
      <c r="AX5214" s="7"/>
      <c r="AY5214" s="7"/>
    </row>
    <row r="5215" spans="19:51">
      <c r="S5215" s="7"/>
      <c r="AX5215" s="7"/>
      <c r="AY5215" s="7"/>
    </row>
    <row r="5216" spans="19:51">
      <c r="S5216" s="7"/>
      <c r="AX5216" s="7"/>
      <c r="AY5216" s="7"/>
    </row>
    <row r="5217" spans="19:51">
      <c r="S5217" s="7"/>
      <c r="AX5217" s="7"/>
      <c r="AY5217" s="7"/>
    </row>
    <row r="5218" spans="19:51">
      <c r="S5218" s="7"/>
      <c r="AX5218" s="7"/>
      <c r="AY5218" s="7"/>
    </row>
    <row r="5219" spans="19:51">
      <c r="S5219" s="7"/>
      <c r="AX5219" s="7"/>
      <c r="AY5219" s="7"/>
    </row>
    <row r="5220" spans="19:51">
      <c r="S5220" s="7"/>
      <c r="AX5220" s="7"/>
      <c r="AY5220" s="7"/>
    </row>
    <row r="5221" spans="19:51">
      <c r="S5221" s="7"/>
      <c r="AX5221" s="7"/>
      <c r="AY5221" s="7"/>
    </row>
    <row r="5222" spans="19:51">
      <c r="S5222" s="7"/>
      <c r="AX5222" s="7"/>
      <c r="AY5222" s="7"/>
    </row>
    <row r="5223" spans="19:51">
      <c r="S5223" s="7"/>
      <c r="AX5223" s="7"/>
      <c r="AY5223" s="7"/>
    </row>
    <row r="5224" spans="19:51">
      <c r="S5224" s="7"/>
      <c r="AX5224" s="7"/>
      <c r="AY5224" s="7"/>
    </row>
    <row r="5225" spans="19:51">
      <c r="S5225" s="7"/>
      <c r="AX5225" s="7"/>
      <c r="AY5225" s="7"/>
    </row>
    <row r="5226" spans="19:51">
      <c r="S5226" s="7"/>
      <c r="AX5226" s="7"/>
      <c r="AY5226" s="7"/>
    </row>
    <row r="5227" spans="19:51">
      <c r="S5227" s="7"/>
      <c r="AX5227" s="7"/>
      <c r="AY5227" s="7"/>
    </row>
    <row r="5228" spans="19:51">
      <c r="S5228" s="7"/>
      <c r="AX5228" s="7"/>
      <c r="AY5228" s="7"/>
    </row>
    <row r="5229" spans="19:51">
      <c r="S5229" s="7"/>
      <c r="AX5229" s="7"/>
      <c r="AY5229" s="7"/>
    </row>
    <row r="5230" spans="19:51">
      <c r="S5230" s="7"/>
      <c r="AX5230" s="7"/>
      <c r="AY5230" s="7"/>
    </row>
    <row r="5231" spans="19:51">
      <c r="S5231" s="7"/>
      <c r="AX5231" s="7"/>
      <c r="AY5231" s="7"/>
    </row>
    <row r="5232" spans="19:51">
      <c r="S5232" s="7"/>
      <c r="AX5232" s="7"/>
      <c r="AY5232" s="7"/>
    </row>
    <row r="5233" spans="19:51">
      <c r="S5233" s="7"/>
      <c r="AX5233" s="7"/>
      <c r="AY5233" s="7"/>
    </row>
    <row r="5234" spans="19:51">
      <c r="S5234" s="7"/>
      <c r="AX5234" s="7"/>
      <c r="AY5234" s="7"/>
    </row>
    <row r="5235" spans="19:51">
      <c r="S5235" s="7"/>
      <c r="AX5235" s="7"/>
      <c r="AY5235" s="7"/>
    </row>
    <row r="5236" spans="19:51">
      <c r="S5236" s="7"/>
      <c r="AX5236" s="7"/>
      <c r="AY5236" s="7"/>
    </row>
    <row r="5237" spans="19:51">
      <c r="S5237" s="7"/>
      <c r="AX5237" s="7"/>
      <c r="AY5237" s="7"/>
    </row>
    <row r="5238" spans="19:51">
      <c r="S5238" s="7"/>
      <c r="AX5238" s="7"/>
      <c r="AY5238" s="7"/>
    </row>
    <row r="5239" spans="19:51">
      <c r="S5239" s="7"/>
      <c r="AX5239" s="7"/>
      <c r="AY5239" s="7"/>
    </row>
    <row r="5240" spans="19:51">
      <c r="S5240" s="7"/>
      <c r="AX5240" s="7"/>
      <c r="AY5240" s="7"/>
    </row>
    <row r="5241" spans="19:51">
      <c r="S5241" s="7"/>
      <c r="AX5241" s="7"/>
      <c r="AY5241" s="7"/>
    </row>
    <row r="5242" spans="19:51">
      <c r="S5242" s="7"/>
      <c r="AX5242" s="7"/>
      <c r="AY5242" s="7"/>
    </row>
    <row r="5243" spans="19:51">
      <c r="S5243" s="7"/>
      <c r="AX5243" s="7"/>
      <c r="AY5243" s="7"/>
    </row>
    <row r="5244" spans="19:51">
      <c r="S5244" s="7"/>
      <c r="AX5244" s="7"/>
      <c r="AY5244" s="7"/>
    </row>
    <row r="5245" spans="19:51">
      <c r="S5245" s="7"/>
      <c r="AX5245" s="7"/>
      <c r="AY5245" s="7"/>
    </row>
    <row r="5246" spans="19:51">
      <c r="S5246" s="7"/>
      <c r="AX5246" s="7"/>
      <c r="AY5246" s="7"/>
    </row>
    <row r="5247" spans="19:51">
      <c r="S5247" s="7"/>
      <c r="AX5247" s="7"/>
      <c r="AY5247" s="7"/>
    </row>
    <row r="5248" spans="19:51">
      <c r="S5248" s="7"/>
      <c r="AX5248" s="7"/>
      <c r="AY5248" s="7"/>
    </row>
    <row r="5249" spans="19:51">
      <c r="S5249" s="7"/>
      <c r="AX5249" s="7"/>
      <c r="AY5249" s="7"/>
    </row>
    <row r="5250" spans="19:51">
      <c r="S5250" s="7"/>
      <c r="AX5250" s="7"/>
      <c r="AY5250" s="7"/>
    </row>
    <row r="5251" spans="19:51">
      <c r="S5251" s="7"/>
      <c r="AX5251" s="7"/>
      <c r="AY5251" s="7"/>
    </row>
    <row r="5252" spans="19:51">
      <c r="S5252" s="7"/>
      <c r="AX5252" s="7"/>
      <c r="AY5252" s="7"/>
    </row>
    <row r="5253" spans="19:51">
      <c r="S5253" s="7"/>
      <c r="AX5253" s="7"/>
      <c r="AY5253" s="7"/>
    </row>
    <row r="5254" spans="19:51">
      <c r="S5254" s="7"/>
      <c r="AX5254" s="7"/>
      <c r="AY5254" s="7"/>
    </row>
    <row r="5255" spans="19:51">
      <c r="S5255" s="7"/>
      <c r="AX5255" s="7"/>
      <c r="AY5255" s="7"/>
    </row>
    <row r="5256" spans="19:51">
      <c r="S5256" s="7"/>
      <c r="AX5256" s="7"/>
      <c r="AY5256" s="7"/>
    </row>
    <row r="5257" spans="19:51">
      <c r="S5257" s="7"/>
      <c r="AX5257" s="7"/>
      <c r="AY5257" s="7"/>
    </row>
    <row r="5258" spans="19:51">
      <c r="S5258" s="7"/>
      <c r="AX5258" s="7"/>
      <c r="AY5258" s="7"/>
    </row>
    <row r="5259" spans="19:51">
      <c r="S5259" s="7"/>
      <c r="AX5259" s="7"/>
      <c r="AY5259" s="7"/>
    </row>
    <row r="5260" spans="19:51">
      <c r="S5260" s="7"/>
      <c r="AX5260" s="7"/>
      <c r="AY5260" s="7"/>
    </row>
    <row r="5261" spans="19:51">
      <c r="S5261" s="7"/>
      <c r="AX5261" s="7"/>
      <c r="AY5261" s="7"/>
    </row>
    <row r="5262" spans="19:51">
      <c r="S5262" s="7"/>
      <c r="AX5262" s="7"/>
      <c r="AY5262" s="7"/>
    </row>
    <row r="5263" spans="19:51">
      <c r="S5263" s="7"/>
      <c r="AX5263" s="7"/>
      <c r="AY5263" s="7"/>
    </row>
    <row r="5264" spans="19:51">
      <c r="S5264" s="7"/>
      <c r="AX5264" s="7"/>
      <c r="AY5264" s="7"/>
    </row>
    <row r="5265" spans="19:51">
      <c r="S5265" s="7"/>
      <c r="AX5265" s="7"/>
      <c r="AY5265" s="7"/>
    </row>
    <row r="5266" spans="19:51">
      <c r="S5266" s="7"/>
      <c r="AX5266" s="7"/>
      <c r="AY5266" s="7"/>
    </row>
    <row r="5267" spans="19:51">
      <c r="S5267" s="7"/>
      <c r="AX5267" s="7"/>
      <c r="AY5267" s="7"/>
    </row>
    <row r="5268" spans="19:51">
      <c r="S5268" s="7"/>
      <c r="AX5268" s="7"/>
      <c r="AY5268" s="7"/>
    </row>
    <row r="5269" spans="19:51">
      <c r="S5269" s="7"/>
      <c r="AX5269" s="7"/>
      <c r="AY5269" s="7"/>
    </row>
    <row r="5270" spans="19:51">
      <c r="S5270" s="7"/>
      <c r="AX5270" s="7"/>
      <c r="AY5270" s="7"/>
    </row>
    <row r="5271" spans="19:51">
      <c r="S5271" s="7"/>
      <c r="AX5271" s="7"/>
      <c r="AY5271" s="7"/>
    </row>
    <row r="5272" spans="19:51">
      <c r="S5272" s="7"/>
      <c r="AX5272" s="7"/>
      <c r="AY5272" s="7"/>
    </row>
    <row r="5273" spans="19:51">
      <c r="S5273" s="7"/>
      <c r="AX5273" s="7"/>
      <c r="AY5273" s="7"/>
    </row>
    <row r="5274" spans="19:51">
      <c r="S5274" s="7"/>
      <c r="AX5274" s="7"/>
      <c r="AY5274" s="7"/>
    </row>
    <row r="5275" spans="19:51">
      <c r="S5275" s="7"/>
      <c r="AX5275" s="7"/>
      <c r="AY5275" s="7"/>
    </row>
    <row r="5276" spans="19:51">
      <c r="S5276" s="7"/>
      <c r="AX5276" s="7"/>
      <c r="AY5276" s="7"/>
    </row>
    <row r="5277" spans="19:51">
      <c r="S5277" s="7"/>
      <c r="AX5277" s="7"/>
      <c r="AY5277" s="7"/>
    </row>
    <row r="5278" spans="19:51">
      <c r="S5278" s="7"/>
      <c r="AX5278" s="7"/>
      <c r="AY5278" s="7"/>
    </row>
    <row r="5279" spans="19:51">
      <c r="S5279" s="7"/>
      <c r="AX5279" s="7"/>
      <c r="AY5279" s="7"/>
    </row>
    <row r="5280" spans="19:51">
      <c r="S5280" s="7"/>
      <c r="AX5280" s="7"/>
      <c r="AY5280" s="7"/>
    </row>
    <row r="5281" spans="19:51">
      <c r="S5281" s="7"/>
      <c r="AX5281" s="7"/>
      <c r="AY5281" s="7"/>
    </row>
    <row r="5282" spans="19:51">
      <c r="S5282" s="7"/>
      <c r="AX5282" s="7"/>
      <c r="AY5282" s="7"/>
    </row>
    <row r="5283" spans="19:51">
      <c r="S5283" s="7"/>
      <c r="AX5283" s="7"/>
      <c r="AY5283" s="7"/>
    </row>
    <row r="5284" spans="19:51">
      <c r="S5284" s="7"/>
      <c r="AX5284" s="7"/>
      <c r="AY5284" s="7"/>
    </row>
    <row r="5285" spans="19:51">
      <c r="S5285" s="7"/>
      <c r="AX5285" s="7"/>
      <c r="AY5285" s="7"/>
    </row>
    <row r="5286" spans="19:51">
      <c r="S5286" s="7"/>
      <c r="AX5286" s="7"/>
      <c r="AY5286" s="7"/>
    </row>
    <row r="5287" spans="19:51">
      <c r="S5287" s="7"/>
      <c r="AX5287" s="7"/>
      <c r="AY5287" s="7"/>
    </row>
    <row r="5288" spans="19:51">
      <c r="S5288" s="7"/>
      <c r="AX5288" s="7"/>
      <c r="AY5288" s="7"/>
    </row>
    <row r="5289" spans="19:51">
      <c r="S5289" s="7"/>
      <c r="AX5289" s="7"/>
      <c r="AY5289" s="7"/>
    </row>
    <row r="5290" spans="19:51">
      <c r="S5290" s="7"/>
      <c r="AX5290" s="7"/>
      <c r="AY5290" s="7"/>
    </row>
    <row r="5291" spans="19:51">
      <c r="S5291" s="7"/>
      <c r="AX5291" s="7"/>
      <c r="AY5291" s="7"/>
    </row>
    <row r="5292" spans="19:51">
      <c r="S5292" s="7"/>
      <c r="AX5292" s="7"/>
      <c r="AY5292" s="7"/>
    </row>
    <row r="5293" spans="19:51">
      <c r="S5293" s="7"/>
      <c r="AX5293" s="7"/>
      <c r="AY5293" s="7"/>
    </row>
    <row r="5294" spans="19:51">
      <c r="S5294" s="7"/>
      <c r="AX5294" s="7"/>
      <c r="AY5294" s="7"/>
    </row>
    <row r="5295" spans="19:51">
      <c r="S5295" s="7"/>
      <c r="AX5295" s="7"/>
      <c r="AY5295" s="7"/>
    </row>
    <row r="5296" spans="19:51">
      <c r="S5296" s="7"/>
      <c r="AX5296" s="7"/>
      <c r="AY5296" s="7"/>
    </row>
    <row r="5297" spans="19:51">
      <c r="S5297" s="7"/>
      <c r="AX5297" s="7"/>
      <c r="AY5297" s="7"/>
    </row>
    <row r="5298" spans="19:51">
      <c r="S5298" s="7"/>
      <c r="AX5298" s="7"/>
      <c r="AY5298" s="7"/>
    </row>
    <row r="5299" spans="19:51">
      <c r="S5299" s="7"/>
      <c r="AX5299" s="7"/>
      <c r="AY5299" s="7"/>
    </row>
    <row r="5300" spans="19:51">
      <c r="S5300" s="7"/>
      <c r="AX5300" s="7"/>
      <c r="AY5300" s="7"/>
    </row>
    <row r="5301" spans="19:51">
      <c r="S5301" s="7"/>
      <c r="AX5301" s="7"/>
      <c r="AY5301" s="7"/>
    </row>
    <row r="5302" spans="19:51">
      <c r="S5302" s="7"/>
      <c r="AX5302" s="7"/>
      <c r="AY5302" s="7"/>
    </row>
    <row r="5303" spans="19:51">
      <c r="S5303" s="7"/>
      <c r="AX5303" s="7"/>
      <c r="AY5303" s="7"/>
    </row>
    <row r="5304" spans="19:51">
      <c r="S5304" s="7"/>
      <c r="AX5304" s="7"/>
      <c r="AY5304" s="7"/>
    </row>
    <row r="5305" spans="19:51">
      <c r="S5305" s="7"/>
      <c r="AX5305" s="7"/>
      <c r="AY5305" s="7"/>
    </row>
    <row r="5306" spans="19:51">
      <c r="S5306" s="7"/>
      <c r="AX5306" s="7"/>
      <c r="AY5306" s="7"/>
    </row>
    <row r="5307" spans="19:51">
      <c r="S5307" s="7"/>
      <c r="AX5307" s="7"/>
      <c r="AY5307" s="7"/>
    </row>
    <row r="5308" spans="19:51">
      <c r="S5308" s="7"/>
      <c r="AX5308" s="7"/>
      <c r="AY5308" s="7"/>
    </row>
    <row r="5309" spans="19:51">
      <c r="S5309" s="7"/>
      <c r="AX5309" s="7"/>
      <c r="AY5309" s="7"/>
    </row>
    <row r="5310" spans="19:51">
      <c r="S5310" s="7"/>
      <c r="AX5310" s="7"/>
      <c r="AY5310" s="7"/>
    </row>
    <row r="5311" spans="19:51">
      <c r="S5311" s="7"/>
      <c r="AX5311" s="7"/>
      <c r="AY5311" s="7"/>
    </row>
    <row r="5312" spans="19:51">
      <c r="S5312" s="7"/>
      <c r="AX5312" s="7"/>
      <c r="AY5312" s="7"/>
    </row>
    <row r="5313" spans="19:51">
      <c r="S5313" s="7"/>
      <c r="AX5313" s="7"/>
      <c r="AY5313" s="7"/>
    </row>
    <row r="5314" spans="19:51">
      <c r="S5314" s="7"/>
      <c r="AX5314" s="7"/>
      <c r="AY5314" s="7"/>
    </row>
    <row r="5315" spans="19:51">
      <c r="S5315" s="7"/>
      <c r="AX5315" s="7"/>
      <c r="AY5315" s="7"/>
    </row>
    <row r="5316" spans="19:51">
      <c r="S5316" s="7"/>
      <c r="AX5316" s="7"/>
      <c r="AY5316" s="7"/>
    </row>
    <row r="5317" spans="19:51">
      <c r="S5317" s="7"/>
      <c r="AX5317" s="7"/>
      <c r="AY5317" s="7"/>
    </row>
    <row r="5318" spans="19:51">
      <c r="S5318" s="7"/>
      <c r="AX5318" s="7"/>
      <c r="AY5318" s="7"/>
    </row>
    <row r="5319" spans="19:51">
      <c r="S5319" s="7"/>
      <c r="AX5319" s="7"/>
      <c r="AY5319" s="7"/>
    </row>
    <row r="5320" spans="19:51">
      <c r="S5320" s="7"/>
      <c r="AX5320" s="7"/>
      <c r="AY5320" s="7"/>
    </row>
    <row r="5321" spans="19:51">
      <c r="S5321" s="7"/>
      <c r="AX5321" s="7"/>
      <c r="AY5321" s="7"/>
    </row>
    <row r="5322" spans="19:51">
      <c r="S5322" s="7"/>
      <c r="AX5322" s="7"/>
      <c r="AY5322" s="7"/>
    </row>
    <row r="5323" spans="19:51">
      <c r="S5323" s="7"/>
      <c r="AX5323" s="7"/>
      <c r="AY5323" s="7"/>
    </row>
    <row r="5324" spans="19:51">
      <c r="S5324" s="7"/>
      <c r="AX5324" s="7"/>
      <c r="AY5324" s="7"/>
    </row>
    <row r="5325" spans="19:51">
      <c r="S5325" s="7"/>
      <c r="AX5325" s="7"/>
      <c r="AY5325" s="7"/>
    </row>
    <row r="5326" spans="19:51">
      <c r="S5326" s="7"/>
      <c r="AX5326" s="7"/>
      <c r="AY5326" s="7"/>
    </row>
    <row r="5327" spans="19:51">
      <c r="S5327" s="7"/>
      <c r="AX5327" s="7"/>
      <c r="AY5327" s="7"/>
    </row>
    <row r="5328" spans="19:51">
      <c r="S5328" s="7"/>
      <c r="AX5328" s="7"/>
      <c r="AY5328" s="7"/>
    </row>
    <row r="5329" spans="19:51">
      <c r="S5329" s="7"/>
      <c r="AX5329" s="7"/>
      <c r="AY5329" s="7"/>
    </row>
    <row r="5330" spans="19:51">
      <c r="S5330" s="7"/>
      <c r="AX5330" s="7"/>
      <c r="AY5330" s="7"/>
    </row>
    <row r="5331" spans="19:51">
      <c r="S5331" s="7"/>
      <c r="AX5331" s="7"/>
      <c r="AY5331" s="7"/>
    </row>
    <row r="5332" spans="19:51">
      <c r="S5332" s="7"/>
      <c r="AX5332" s="7"/>
      <c r="AY5332" s="7"/>
    </row>
    <row r="5333" spans="19:51">
      <c r="S5333" s="7"/>
      <c r="AX5333" s="7"/>
      <c r="AY5333" s="7"/>
    </row>
    <row r="5334" spans="19:51">
      <c r="S5334" s="7"/>
      <c r="AX5334" s="7"/>
      <c r="AY5334" s="7"/>
    </row>
    <row r="5335" spans="19:51">
      <c r="S5335" s="7"/>
      <c r="AX5335" s="7"/>
      <c r="AY5335" s="7"/>
    </row>
    <row r="5336" spans="19:51">
      <c r="S5336" s="7"/>
      <c r="AX5336" s="7"/>
      <c r="AY5336" s="7"/>
    </row>
    <row r="5337" spans="19:51">
      <c r="S5337" s="7"/>
      <c r="AX5337" s="7"/>
      <c r="AY5337" s="7"/>
    </row>
    <row r="5338" spans="19:51">
      <c r="S5338" s="7"/>
      <c r="AX5338" s="7"/>
      <c r="AY5338" s="7"/>
    </row>
    <row r="5339" spans="19:51">
      <c r="S5339" s="7"/>
      <c r="AX5339" s="7"/>
      <c r="AY5339" s="7"/>
    </row>
    <row r="5340" spans="19:51">
      <c r="S5340" s="7"/>
      <c r="AX5340" s="7"/>
      <c r="AY5340" s="7"/>
    </row>
    <row r="5341" spans="19:51">
      <c r="S5341" s="7"/>
      <c r="AX5341" s="7"/>
      <c r="AY5341" s="7"/>
    </row>
    <row r="5342" spans="19:51">
      <c r="S5342" s="7"/>
      <c r="AX5342" s="7"/>
      <c r="AY5342" s="7"/>
    </row>
    <row r="5343" spans="19:51">
      <c r="S5343" s="7"/>
      <c r="AX5343" s="7"/>
      <c r="AY5343" s="7"/>
    </row>
    <row r="5344" spans="19:51">
      <c r="S5344" s="7"/>
      <c r="AX5344" s="7"/>
      <c r="AY5344" s="7"/>
    </row>
    <row r="5345" spans="19:51">
      <c r="S5345" s="7"/>
      <c r="AX5345" s="7"/>
      <c r="AY5345" s="7"/>
    </row>
    <row r="5346" spans="19:51">
      <c r="S5346" s="7"/>
      <c r="AX5346" s="7"/>
      <c r="AY5346" s="7"/>
    </row>
    <row r="5347" spans="19:51">
      <c r="S5347" s="7"/>
      <c r="AX5347" s="7"/>
      <c r="AY5347" s="7"/>
    </row>
    <row r="5348" spans="19:51">
      <c r="S5348" s="7"/>
      <c r="AX5348" s="7"/>
      <c r="AY5348" s="7"/>
    </row>
    <row r="5349" spans="19:51">
      <c r="S5349" s="7"/>
      <c r="AX5349" s="7"/>
      <c r="AY5349" s="7"/>
    </row>
    <row r="5350" spans="19:51">
      <c r="S5350" s="7"/>
      <c r="AX5350" s="7"/>
      <c r="AY5350" s="7"/>
    </row>
    <row r="5351" spans="19:51">
      <c r="S5351" s="7"/>
      <c r="AX5351" s="7"/>
      <c r="AY5351" s="7"/>
    </row>
    <row r="5352" spans="19:51">
      <c r="S5352" s="7"/>
      <c r="AX5352" s="7"/>
      <c r="AY5352" s="7"/>
    </row>
    <row r="5353" spans="19:51">
      <c r="S5353" s="7"/>
      <c r="AX5353" s="7"/>
      <c r="AY5353" s="7"/>
    </row>
    <row r="5354" spans="19:51">
      <c r="S5354" s="7"/>
      <c r="AX5354" s="7"/>
      <c r="AY5354" s="7"/>
    </row>
    <row r="5355" spans="19:51">
      <c r="S5355" s="7"/>
      <c r="AX5355" s="7"/>
      <c r="AY5355" s="7"/>
    </row>
    <row r="5356" spans="19:51">
      <c r="S5356" s="7"/>
      <c r="AX5356" s="7"/>
      <c r="AY5356" s="7"/>
    </row>
    <row r="5357" spans="19:51">
      <c r="S5357" s="7"/>
      <c r="AX5357" s="7"/>
      <c r="AY5357" s="7"/>
    </row>
    <row r="5358" spans="19:51">
      <c r="S5358" s="7"/>
      <c r="AX5358" s="7"/>
      <c r="AY5358" s="7"/>
    </row>
    <row r="5359" spans="19:51">
      <c r="S5359" s="7"/>
      <c r="AX5359" s="7"/>
      <c r="AY5359" s="7"/>
    </row>
    <row r="5360" spans="19:51">
      <c r="S5360" s="7"/>
      <c r="AX5360" s="7"/>
      <c r="AY5360" s="7"/>
    </row>
    <row r="5361" spans="19:51">
      <c r="S5361" s="7"/>
      <c r="AX5361" s="7"/>
      <c r="AY5361" s="7"/>
    </row>
    <row r="5362" spans="19:51">
      <c r="S5362" s="7"/>
      <c r="AX5362" s="7"/>
      <c r="AY5362" s="7"/>
    </row>
    <row r="5363" spans="19:51">
      <c r="S5363" s="7"/>
      <c r="AX5363" s="7"/>
      <c r="AY5363" s="7"/>
    </row>
    <row r="5364" spans="19:51">
      <c r="S5364" s="7"/>
      <c r="AX5364" s="7"/>
      <c r="AY5364" s="7"/>
    </row>
    <row r="5365" spans="19:51">
      <c r="S5365" s="7"/>
      <c r="AX5365" s="7"/>
      <c r="AY5365" s="7"/>
    </row>
    <row r="5366" spans="19:51">
      <c r="S5366" s="7"/>
      <c r="AX5366" s="7"/>
      <c r="AY5366" s="7"/>
    </row>
    <row r="5367" spans="19:51">
      <c r="S5367" s="7"/>
      <c r="AX5367" s="7"/>
      <c r="AY5367" s="7"/>
    </row>
    <row r="5368" spans="19:51">
      <c r="S5368" s="7"/>
      <c r="AX5368" s="7"/>
      <c r="AY5368" s="7"/>
    </row>
    <row r="5369" spans="19:51">
      <c r="S5369" s="7"/>
      <c r="AX5369" s="7"/>
      <c r="AY5369" s="7"/>
    </row>
    <row r="5370" spans="19:51">
      <c r="S5370" s="7"/>
      <c r="AX5370" s="7"/>
      <c r="AY5370" s="7"/>
    </row>
    <row r="5371" spans="19:51">
      <c r="S5371" s="7"/>
      <c r="AX5371" s="7"/>
      <c r="AY5371" s="7"/>
    </row>
    <row r="5372" spans="19:51">
      <c r="S5372" s="7"/>
      <c r="AX5372" s="7"/>
      <c r="AY5372" s="7"/>
    </row>
    <row r="5373" spans="19:51">
      <c r="S5373" s="7"/>
      <c r="AX5373" s="7"/>
      <c r="AY5373" s="7"/>
    </row>
    <row r="5374" spans="19:51">
      <c r="S5374" s="7"/>
      <c r="AX5374" s="7"/>
      <c r="AY5374" s="7"/>
    </row>
    <row r="5375" spans="19:51">
      <c r="S5375" s="7"/>
      <c r="AX5375" s="7"/>
      <c r="AY5375" s="7"/>
    </row>
    <row r="5376" spans="19:51">
      <c r="S5376" s="7"/>
      <c r="AX5376" s="7"/>
      <c r="AY5376" s="7"/>
    </row>
    <row r="5377" spans="19:51">
      <c r="S5377" s="7"/>
      <c r="AX5377" s="7"/>
      <c r="AY5377" s="7"/>
    </row>
    <row r="5378" spans="19:51">
      <c r="S5378" s="7"/>
      <c r="AX5378" s="7"/>
      <c r="AY5378" s="7"/>
    </row>
    <row r="5379" spans="19:51">
      <c r="S5379" s="7"/>
      <c r="AX5379" s="7"/>
      <c r="AY5379" s="7"/>
    </row>
    <row r="5380" spans="19:51">
      <c r="S5380" s="7"/>
      <c r="AX5380" s="7"/>
      <c r="AY5380" s="7"/>
    </row>
    <row r="5381" spans="19:51">
      <c r="S5381" s="7"/>
      <c r="AX5381" s="7"/>
      <c r="AY5381" s="7"/>
    </row>
    <row r="5382" spans="19:51">
      <c r="S5382" s="7"/>
      <c r="AX5382" s="7"/>
      <c r="AY5382" s="7"/>
    </row>
    <row r="5383" spans="19:51">
      <c r="S5383" s="7"/>
      <c r="AX5383" s="7"/>
      <c r="AY5383" s="7"/>
    </row>
    <row r="5384" spans="19:51">
      <c r="S5384" s="7"/>
      <c r="AX5384" s="7"/>
      <c r="AY5384" s="7"/>
    </row>
    <row r="5385" spans="19:51">
      <c r="S5385" s="7"/>
      <c r="AX5385" s="7"/>
      <c r="AY5385" s="7"/>
    </row>
    <row r="5386" spans="19:51">
      <c r="S5386" s="7"/>
      <c r="AX5386" s="7"/>
      <c r="AY5386" s="7"/>
    </row>
    <row r="5387" spans="19:51">
      <c r="S5387" s="7"/>
      <c r="AX5387" s="7"/>
      <c r="AY5387" s="7"/>
    </row>
    <row r="5388" spans="19:51">
      <c r="S5388" s="7"/>
      <c r="AX5388" s="7"/>
      <c r="AY5388" s="7"/>
    </row>
    <row r="5389" spans="19:51">
      <c r="S5389" s="7"/>
      <c r="AX5389" s="7"/>
      <c r="AY5389" s="7"/>
    </row>
    <row r="5390" spans="19:51">
      <c r="S5390" s="7"/>
      <c r="AX5390" s="7"/>
      <c r="AY5390" s="7"/>
    </row>
    <row r="5391" spans="19:51">
      <c r="S5391" s="7"/>
      <c r="AX5391" s="7"/>
      <c r="AY5391" s="7"/>
    </row>
    <row r="5392" spans="19:51">
      <c r="S5392" s="7"/>
      <c r="AX5392" s="7"/>
      <c r="AY5392" s="7"/>
    </row>
    <row r="5393" spans="19:51">
      <c r="S5393" s="7"/>
      <c r="AX5393" s="7"/>
      <c r="AY5393" s="7"/>
    </row>
    <row r="5394" spans="19:51">
      <c r="S5394" s="7"/>
      <c r="AX5394" s="7"/>
      <c r="AY5394" s="7"/>
    </row>
    <row r="5395" spans="19:51">
      <c r="S5395" s="7"/>
      <c r="AX5395" s="7"/>
      <c r="AY5395" s="7"/>
    </row>
    <row r="5396" spans="19:51">
      <c r="S5396" s="7"/>
      <c r="AX5396" s="7"/>
      <c r="AY5396" s="7"/>
    </row>
    <row r="5397" spans="19:51">
      <c r="S5397" s="7"/>
      <c r="AX5397" s="7"/>
      <c r="AY5397" s="7"/>
    </row>
    <row r="5398" spans="19:51">
      <c r="S5398" s="7"/>
      <c r="AX5398" s="7"/>
      <c r="AY5398" s="7"/>
    </row>
    <row r="5399" spans="19:51">
      <c r="S5399" s="7"/>
      <c r="AX5399" s="7"/>
      <c r="AY5399" s="7"/>
    </row>
    <row r="5400" spans="19:51">
      <c r="S5400" s="7"/>
      <c r="AX5400" s="7"/>
      <c r="AY5400" s="7"/>
    </row>
    <row r="5401" spans="19:51">
      <c r="S5401" s="7"/>
      <c r="AX5401" s="7"/>
      <c r="AY5401" s="7"/>
    </row>
    <row r="5402" spans="19:51">
      <c r="S5402" s="7"/>
      <c r="AX5402" s="7"/>
      <c r="AY5402" s="7"/>
    </row>
    <row r="5403" spans="19:51">
      <c r="S5403" s="7"/>
      <c r="AX5403" s="7"/>
      <c r="AY5403" s="7"/>
    </row>
    <row r="5404" spans="19:51">
      <c r="S5404" s="7"/>
      <c r="AX5404" s="7"/>
      <c r="AY5404" s="7"/>
    </row>
    <row r="5405" spans="19:51">
      <c r="S5405" s="7"/>
      <c r="AX5405" s="7"/>
      <c r="AY5405" s="7"/>
    </row>
    <row r="5406" spans="19:51">
      <c r="S5406" s="7"/>
      <c r="AX5406" s="7"/>
      <c r="AY5406" s="7"/>
    </row>
    <row r="5407" spans="19:51">
      <c r="S5407" s="7"/>
      <c r="AX5407" s="7"/>
      <c r="AY5407" s="7"/>
    </row>
    <row r="5408" spans="19:51">
      <c r="S5408" s="7"/>
      <c r="AX5408" s="7"/>
      <c r="AY5408" s="7"/>
    </row>
    <row r="5409" spans="19:51">
      <c r="S5409" s="7"/>
      <c r="AX5409" s="7"/>
      <c r="AY5409" s="7"/>
    </row>
    <row r="5410" spans="19:51">
      <c r="S5410" s="7"/>
      <c r="AX5410" s="7"/>
      <c r="AY5410" s="7"/>
    </row>
    <row r="5411" spans="19:51">
      <c r="S5411" s="7"/>
      <c r="AX5411" s="7"/>
      <c r="AY5411" s="7"/>
    </row>
    <row r="5412" spans="19:51">
      <c r="S5412" s="7"/>
      <c r="AX5412" s="7"/>
      <c r="AY5412" s="7"/>
    </row>
    <row r="5413" spans="19:51">
      <c r="S5413" s="7"/>
      <c r="AX5413" s="7"/>
      <c r="AY5413" s="7"/>
    </row>
    <row r="5414" spans="19:51">
      <c r="S5414" s="7"/>
      <c r="AX5414" s="7"/>
      <c r="AY5414" s="7"/>
    </row>
    <row r="5415" spans="19:51">
      <c r="S5415" s="7"/>
      <c r="AX5415" s="7"/>
      <c r="AY5415" s="7"/>
    </row>
    <row r="5416" spans="19:51">
      <c r="S5416" s="7"/>
      <c r="AX5416" s="7"/>
      <c r="AY5416" s="7"/>
    </row>
    <row r="5417" spans="19:51">
      <c r="S5417" s="7"/>
      <c r="AX5417" s="7"/>
      <c r="AY5417" s="7"/>
    </row>
    <row r="5418" spans="19:51">
      <c r="S5418" s="7"/>
      <c r="AX5418" s="7"/>
      <c r="AY5418" s="7"/>
    </row>
    <row r="5419" spans="19:51">
      <c r="S5419" s="7"/>
      <c r="AX5419" s="7"/>
      <c r="AY5419" s="7"/>
    </row>
    <row r="5420" spans="19:51">
      <c r="S5420" s="7"/>
      <c r="AX5420" s="7"/>
      <c r="AY5420" s="7"/>
    </row>
    <row r="5421" spans="19:51">
      <c r="S5421" s="7"/>
      <c r="AX5421" s="7"/>
      <c r="AY5421" s="7"/>
    </row>
    <row r="5422" spans="19:51">
      <c r="S5422" s="7"/>
      <c r="AX5422" s="7"/>
      <c r="AY5422" s="7"/>
    </row>
    <row r="5423" spans="19:51">
      <c r="S5423" s="7"/>
      <c r="AX5423" s="7"/>
      <c r="AY5423" s="7"/>
    </row>
    <row r="5424" spans="19:51">
      <c r="S5424" s="7"/>
      <c r="AX5424" s="7"/>
      <c r="AY5424" s="7"/>
    </row>
    <row r="5425" spans="19:51">
      <c r="S5425" s="7"/>
      <c r="AX5425" s="7"/>
      <c r="AY5425" s="7"/>
    </row>
    <row r="5426" spans="19:51">
      <c r="S5426" s="7"/>
      <c r="AX5426" s="7"/>
      <c r="AY5426" s="7"/>
    </row>
    <row r="5427" spans="19:51">
      <c r="S5427" s="7"/>
      <c r="AX5427" s="7"/>
      <c r="AY5427" s="7"/>
    </row>
    <row r="5428" spans="19:51">
      <c r="S5428" s="7"/>
      <c r="AX5428" s="7"/>
      <c r="AY5428" s="7"/>
    </row>
    <row r="5429" spans="19:51">
      <c r="S5429" s="7"/>
      <c r="AX5429" s="7"/>
      <c r="AY5429" s="7"/>
    </row>
    <row r="5430" spans="19:51">
      <c r="S5430" s="7"/>
      <c r="AX5430" s="7"/>
      <c r="AY5430" s="7"/>
    </row>
    <row r="5431" spans="19:51">
      <c r="S5431" s="7"/>
      <c r="AX5431" s="7"/>
      <c r="AY5431" s="7"/>
    </row>
    <row r="5432" spans="19:51">
      <c r="S5432" s="7"/>
      <c r="AX5432" s="7"/>
      <c r="AY5432" s="7"/>
    </row>
    <row r="5433" spans="19:51">
      <c r="S5433" s="7"/>
      <c r="AX5433" s="7"/>
      <c r="AY5433" s="7"/>
    </row>
    <row r="5434" spans="19:51">
      <c r="S5434" s="7"/>
      <c r="AX5434" s="7"/>
      <c r="AY5434" s="7"/>
    </row>
    <row r="5435" spans="19:51">
      <c r="S5435" s="7"/>
      <c r="AX5435" s="7"/>
      <c r="AY5435" s="7"/>
    </row>
    <row r="5436" spans="19:51">
      <c r="S5436" s="7"/>
      <c r="AX5436" s="7"/>
      <c r="AY5436" s="7"/>
    </row>
    <row r="5437" spans="19:51">
      <c r="S5437" s="7"/>
      <c r="AX5437" s="7"/>
      <c r="AY5437" s="7"/>
    </row>
    <row r="5438" spans="19:51">
      <c r="S5438" s="7"/>
      <c r="AX5438" s="7"/>
      <c r="AY5438" s="7"/>
    </row>
    <row r="5439" spans="19:51">
      <c r="S5439" s="7"/>
      <c r="AX5439" s="7"/>
      <c r="AY5439" s="7"/>
    </row>
    <row r="5440" spans="19:51">
      <c r="S5440" s="7"/>
      <c r="AX5440" s="7"/>
      <c r="AY5440" s="7"/>
    </row>
    <row r="5441" spans="19:51">
      <c r="S5441" s="7"/>
      <c r="AX5441" s="7"/>
      <c r="AY5441" s="7"/>
    </row>
    <row r="5442" spans="19:51">
      <c r="S5442" s="7"/>
      <c r="AX5442" s="7"/>
      <c r="AY5442" s="7"/>
    </row>
    <row r="5443" spans="19:51">
      <c r="S5443" s="7"/>
      <c r="AX5443" s="7"/>
      <c r="AY5443" s="7"/>
    </row>
    <row r="5444" spans="19:51">
      <c r="S5444" s="7"/>
      <c r="AX5444" s="7"/>
      <c r="AY5444" s="7"/>
    </row>
    <row r="5445" spans="19:51">
      <c r="S5445" s="7"/>
      <c r="AX5445" s="7"/>
      <c r="AY5445" s="7"/>
    </row>
    <row r="5446" spans="19:51">
      <c r="S5446" s="7"/>
      <c r="AX5446" s="7"/>
      <c r="AY5446" s="7"/>
    </row>
    <row r="5447" spans="19:51">
      <c r="S5447" s="7"/>
      <c r="AX5447" s="7"/>
      <c r="AY5447" s="7"/>
    </row>
    <row r="5448" spans="19:51">
      <c r="S5448" s="7"/>
      <c r="AX5448" s="7"/>
      <c r="AY5448" s="7"/>
    </row>
    <row r="5449" spans="19:51">
      <c r="S5449" s="7"/>
      <c r="AX5449" s="7"/>
      <c r="AY5449" s="7"/>
    </row>
    <row r="5450" spans="19:51">
      <c r="S5450" s="7"/>
      <c r="AX5450" s="7"/>
      <c r="AY5450" s="7"/>
    </row>
    <row r="5451" spans="19:51">
      <c r="S5451" s="7"/>
      <c r="AX5451" s="7"/>
      <c r="AY5451" s="7"/>
    </row>
    <row r="5452" spans="19:51">
      <c r="S5452" s="7"/>
      <c r="AX5452" s="7"/>
      <c r="AY5452" s="7"/>
    </row>
    <row r="5453" spans="19:51">
      <c r="S5453" s="7"/>
      <c r="AX5453" s="7"/>
      <c r="AY5453" s="7"/>
    </row>
    <row r="5454" spans="19:51">
      <c r="S5454" s="7"/>
      <c r="AX5454" s="7"/>
      <c r="AY5454" s="7"/>
    </row>
    <row r="5455" spans="19:51">
      <c r="S5455" s="7"/>
      <c r="AX5455" s="7"/>
      <c r="AY5455" s="7"/>
    </row>
    <row r="5456" spans="19:51">
      <c r="S5456" s="7"/>
      <c r="AX5456" s="7"/>
      <c r="AY5456" s="7"/>
    </row>
    <row r="5457" spans="19:51">
      <c r="S5457" s="7"/>
      <c r="AX5457" s="7"/>
      <c r="AY5457" s="7"/>
    </row>
    <row r="5458" spans="19:51">
      <c r="S5458" s="7"/>
      <c r="AX5458" s="7"/>
      <c r="AY5458" s="7"/>
    </row>
    <row r="5459" spans="19:51">
      <c r="S5459" s="7"/>
      <c r="AX5459" s="7"/>
      <c r="AY5459" s="7"/>
    </row>
    <row r="5460" spans="19:51">
      <c r="S5460" s="7"/>
      <c r="AX5460" s="7"/>
      <c r="AY5460" s="7"/>
    </row>
    <row r="5461" spans="19:51">
      <c r="S5461" s="7"/>
      <c r="AX5461" s="7"/>
      <c r="AY5461" s="7"/>
    </row>
    <row r="5462" spans="19:51">
      <c r="S5462" s="7"/>
      <c r="AX5462" s="7"/>
      <c r="AY5462" s="7"/>
    </row>
    <row r="5463" spans="19:51">
      <c r="S5463" s="7"/>
      <c r="AX5463" s="7"/>
      <c r="AY5463" s="7"/>
    </row>
    <row r="5464" spans="19:51">
      <c r="S5464" s="7"/>
      <c r="AX5464" s="7"/>
      <c r="AY5464" s="7"/>
    </row>
    <row r="5465" spans="19:51">
      <c r="S5465" s="7"/>
      <c r="AX5465" s="7"/>
      <c r="AY5465" s="7"/>
    </row>
    <row r="5466" spans="19:51">
      <c r="S5466" s="7"/>
      <c r="AX5466" s="7"/>
      <c r="AY5466" s="7"/>
    </row>
    <row r="5467" spans="19:51">
      <c r="S5467" s="7"/>
      <c r="AX5467" s="7"/>
      <c r="AY5467" s="7"/>
    </row>
    <row r="5468" spans="19:51">
      <c r="S5468" s="7"/>
      <c r="AX5468" s="7"/>
      <c r="AY5468" s="7"/>
    </row>
    <row r="5469" spans="19:51">
      <c r="S5469" s="7"/>
      <c r="AX5469" s="7"/>
      <c r="AY5469" s="7"/>
    </row>
    <row r="5470" spans="19:51">
      <c r="S5470" s="7"/>
      <c r="AX5470" s="7"/>
      <c r="AY5470" s="7"/>
    </row>
    <row r="5471" spans="19:51">
      <c r="S5471" s="7"/>
      <c r="AX5471" s="7"/>
      <c r="AY5471" s="7"/>
    </row>
    <row r="5472" spans="19:51">
      <c r="S5472" s="7"/>
      <c r="AX5472" s="7"/>
      <c r="AY5472" s="7"/>
    </row>
    <row r="5473" spans="19:51">
      <c r="S5473" s="7"/>
      <c r="AX5473" s="7"/>
      <c r="AY5473" s="7"/>
    </row>
    <row r="5474" spans="19:51">
      <c r="S5474" s="7"/>
      <c r="AX5474" s="7"/>
      <c r="AY5474" s="7"/>
    </row>
    <row r="5475" spans="19:51">
      <c r="S5475" s="7"/>
      <c r="AX5475" s="7"/>
      <c r="AY5475" s="7"/>
    </row>
    <row r="5476" spans="19:51">
      <c r="S5476" s="7"/>
      <c r="AX5476" s="7"/>
      <c r="AY5476" s="7"/>
    </row>
    <row r="5477" spans="19:51">
      <c r="S5477" s="7"/>
      <c r="AX5477" s="7"/>
      <c r="AY5477" s="7"/>
    </row>
    <row r="5478" spans="19:51">
      <c r="S5478" s="7"/>
      <c r="AX5478" s="7"/>
      <c r="AY5478" s="7"/>
    </row>
    <row r="5479" spans="19:51">
      <c r="S5479" s="7"/>
      <c r="AX5479" s="7"/>
      <c r="AY5479" s="7"/>
    </row>
    <row r="5480" spans="19:51">
      <c r="S5480" s="7"/>
      <c r="AX5480" s="7"/>
      <c r="AY5480" s="7"/>
    </row>
    <row r="5481" spans="19:51">
      <c r="S5481" s="7"/>
      <c r="AX5481" s="7"/>
      <c r="AY5481" s="7"/>
    </row>
    <row r="5482" spans="19:51">
      <c r="S5482" s="7"/>
      <c r="AX5482" s="7"/>
      <c r="AY5482" s="7"/>
    </row>
    <row r="5483" spans="19:51">
      <c r="S5483" s="7"/>
      <c r="AX5483" s="7"/>
      <c r="AY5483" s="7"/>
    </row>
    <row r="5484" spans="19:51">
      <c r="S5484" s="7"/>
      <c r="AX5484" s="7"/>
      <c r="AY5484" s="7"/>
    </row>
    <row r="5485" spans="19:51">
      <c r="S5485" s="7"/>
      <c r="AX5485" s="7"/>
      <c r="AY5485" s="7"/>
    </row>
    <row r="5486" spans="19:51">
      <c r="S5486" s="7"/>
      <c r="AX5486" s="7"/>
      <c r="AY5486" s="7"/>
    </row>
    <row r="5487" spans="19:51">
      <c r="S5487" s="7"/>
      <c r="AX5487" s="7"/>
      <c r="AY5487" s="7"/>
    </row>
    <row r="5488" spans="19:51">
      <c r="S5488" s="7"/>
      <c r="AX5488" s="7"/>
      <c r="AY5488" s="7"/>
    </row>
    <row r="5489" spans="19:51">
      <c r="S5489" s="7"/>
      <c r="AX5489" s="7"/>
      <c r="AY5489" s="7"/>
    </row>
    <row r="5490" spans="19:51">
      <c r="S5490" s="7"/>
      <c r="AX5490" s="7"/>
      <c r="AY5490" s="7"/>
    </row>
    <row r="5491" spans="19:51">
      <c r="S5491" s="7"/>
      <c r="AX5491" s="7"/>
      <c r="AY5491" s="7"/>
    </row>
    <row r="5492" spans="19:51">
      <c r="S5492" s="7"/>
      <c r="AX5492" s="7"/>
      <c r="AY5492" s="7"/>
    </row>
    <row r="5493" spans="19:51">
      <c r="S5493" s="7"/>
      <c r="AX5493" s="7"/>
      <c r="AY5493" s="7"/>
    </row>
    <row r="5494" spans="19:51">
      <c r="S5494" s="7"/>
      <c r="AX5494" s="7"/>
      <c r="AY5494" s="7"/>
    </row>
    <row r="5495" spans="19:51">
      <c r="S5495" s="7"/>
      <c r="AX5495" s="7"/>
      <c r="AY5495" s="7"/>
    </row>
    <row r="5496" spans="19:51">
      <c r="S5496" s="7"/>
      <c r="AX5496" s="7"/>
      <c r="AY5496" s="7"/>
    </row>
    <row r="5497" spans="19:51">
      <c r="S5497" s="7"/>
      <c r="AX5497" s="7"/>
      <c r="AY5497" s="7"/>
    </row>
    <row r="5498" spans="19:51">
      <c r="S5498" s="7"/>
      <c r="AX5498" s="7"/>
      <c r="AY5498" s="7"/>
    </row>
    <row r="5499" spans="19:51">
      <c r="S5499" s="7"/>
      <c r="AX5499" s="7"/>
      <c r="AY5499" s="7"/>
    </row>
    <row r="5500" spans="19:51">
      <c r="S5500" s="7"/>
      <c r="AX5500" s="7"/>
      <c r="AY5500" s="7"/>
    </row>
    <row r="5501" spans="19:51">
      <c r="S5501" s="7"/>
      <c r="AX5501" s="7"/>
      <c r="AY5501" s="7"/>
    </row>
    <row r="5502" spans="19:51">
      <c r="S5502" s="7"/>
      <c r="AX5502" s="7"/>
      <c r="AY5502" s="7"/>
    </row>
    <row r="5503" spans="19:51">
      <c r="S5503" s="7"/>
      <c r="AX5503" s="7"/>
      <c r="AY5503" s="7"/>
    </row>
    <row r="5504" spans="19:51">
      <c r="S5504" s="7"/>
      <c r="AX5504" s="7"/>
      <c r="AY5504" s="7"/>
    </row>
    <row r="5505" spans="19:51">
      <c r="S5505" s="7"/>
      <c r="AX5505" s="7"/>
      <c r="AY5505" s="7"/>
    </row>
    <row r="5506" spans="19:51">
      <c r="S5506" s="7"/>
      <c r="AX5506" s="7"/>
      <c r="AY5506" s="7"/>
    </row>
    <row r="5507" spans="19:51">
      <c r="S5507" s="7"/>
      <c r="AX5507" s="7"/>
      <c r="AY5507" s="7"/>
    </row>
    <row r="5508" spans="19:51">
      <c r="S5508" s="7"/>
      <c r="AX5508" s="7"/>
      <c r="AY5508" s="7"/>
    </row>
    <row r="5509" spans="19:51">
      <c r="S5509" s="7"/>
      <c r="AX5509" s="7"/>
      <c r="AY5509" s="7"/>
    </row>
    <row r="5510" spans="19:51">
      <c r="S5510" s="7"/>
      <c r="AX5510" s="7"/>
      <c r="AY5510" s="7"/>
    </row>
    <row r="5511" spans="19:51">
      <c r="S5511" s="7"/>
      <c r="AX5511" s="7"/>
      <c r="AY5511" s="7"/>
    </row>
    <row r="5512" spans="19:51">
      <c r="S5512" s="7"/>
      <c r="AX5512" s="7"/>
      <c r="AY5512" s="7"/>
    </row>
    <row r="5513" spans="19:51">
      <c r="S5513" s="7"/>
      <c r="AX5513" s="7"/>
      <c r="AY5513" s="7"/>
    </row>
    <row r="5514" spans="19:51">
      <c r="S5514" s="7"/>
      <c r="AX5514" s="7"/>
      <c r="AY5514" s="7"/>
    </row>
    <row r="5515" spans="19:51">
      <c r="S5515" s="7"/>
      <c r="AX5515" s="7"/>
      <c r="AY5515" s="7"/>
    </row>
    <row r="5516" spans="19:51">
      <c r="S5516" s="7"/>
      <c r="AX5516" s="7"/>
      <c r="AY5516" s="7"/>
    </row>
    <row r="5517" spans="19:51">
      <c r="S5517" s="7"/>
      <c r="AX5517" s="7"/>
      <c r="AY5517" s="7"/>
    </row>
    <row r="5518" spans="19:51">
      <c r="S5518" s="7"/>
      <c r="AX5518" s="7"/>
      <c r="AY5518" s="7"/>
    </row>
    <row r="5519" spans="19:51">
      <c r="S5519" s="7"/>
      <c r="AX5519" s="7"/>
      <c r="AY5519" s="7"/>
    </row>
    <row r="5520" spans="19:51">
      <c r="S5520" s="7"/>
      <c r="AX5520" s="7"/>
      <c r="AY5520" s="7"/>
    </row>
    <row r="5521" spans="19:51">
      <c r="S5521" s="7"/>
      <c r="AX5521" s="7"/>
      <c r="AY5521" s="7"/>
    </row>
    <row r="5522" spans="19:51">
      <c r="S5522" s="7"/>
      <c r="AX5522" s="7"/>
      <c r="AY5522" s="7"/>
    </row>
    <row r="5523" spans="19:51">
      <c r="S5523" s="7"/>
      <c r="AX5523" s="7"/>
      <c r="AY5523" s="7"/>
    </row>
    <row r="5524" spans="19:51">
      <c r="S5524" s="7"/>
      <c r="AX5524" s="7"/>
      <c r="AY5524" s="7"/>
    </row>
    <row r="5525" spans="19:51">
      <c r="S5525" s="7"/>
      <c r="AX5525" s="7"/>
      <c r="AY5525" s="7"/>
    </row>
    <row r="5526" spans="19:51">
      <c r="S5526" s="7"/>
      <c r="AX5526" s="7"/>
      <c r="AY5526" s="7"/>
    </row>
    <row r="5527" spans="19:51">
      <c r="S5527" s="7"/>
      <c r="AX5527" s="7"/>
      <c r="AY5527" s="7"/>
    </row>
    <row r="5528" spans="19:51">
      <c r="S5528" s="7"/>
      <c r="AX5528" s="7"/>
      <c r="AY5528" s="7"/>
    </row>
    <row r="5529" spans="19:51">
      <c r="S5529" s="7"/>
      <c r="AX5529" s="7"/>
      <c r="AY5529" s="7"/>
    </row>
    <row r="5530" spans="19:51">
      <c r="S5530" s="7"/>
      <c r="AX5530" s="7"/>
      <c r="AY5530" s="7"/>
    </row>
    <row r="5531" spans="19:51">
      <c r="S5531" s="7"/>
      <c r="AX5531" s="7"/>
      <c r="AY5531" s="7"/>
    </row>
    <row r="5532" spans="19:51">
      <c r="S5532" s="7"/>
      <c r="AX5532" s="7"/>
      <c r="AY5532" s="7"/>
    </row>
    <row r="5533" spans="19:51">
      <c r="S5533" s="7"/>
      <c r="AX5533" s="7"/>
      <c r="AY5533" s="7"/>
    </row>
    <row r="5534" spans="19:51">
      <c r="S5534" s="7"/>
      <c r="AX5534" s="7"/>
      <c r="AY5534" s="7"/>
    </row>
    <row r="5535" spans="19:51">
      <c r="S5535" s="7"/>
      <c r="AX5535" s="7"/>
      <c r="AY5535" s="7"/>
    </row>
    <row r="5536" spans="19:51">
      <c r="S5536" s="7"/>
      <c r="AX5536" s="7"/>
      <c r="AY5536" s="7"/>
    </row>
    <row r="5537" spans="19:51">
      <c r="S5537" s="7"/>
      <c r="AX5537" s="7"/>
      <c r="AY5537" s="7"/>
    </row>
    <row r="5538" spans="19:51">
      <c r="S5538" s="7"/>
      <c r="AX5538" s="7"/>
      <c r="AY5538" s="7"/>
    </row>
    <row r="5539" spans="19:51">
      <c r="S5539" s="7"/>
      <c r="AX5539" s="7"/>
      <c r="AY5539" s="7"/>
    </row>
    <row r="5540" spans="19:51">
      <c r="S5540" s="7"/>
      <c r="AX5540" s="7"/>
      <c r="AY5540" s="7"/>
    </row>
    <row r="5541" spans="19:51">
      <c r="S5541" s="7"/>
      <c r="AX5541" s="7"/>
      <c r="AY5541" s="7"/>
    </row>
    <row r="5542" spans="19:51">
      <c r="S5542" s="7"/>
      <c r="AX5542" s="7"/>
      <c r="AY5542" s="7"/>
    </row>
    <row r="5543" spans="19:51">
      <c r="S5543" s="7"/>
      <c r="AX5543" s="7"/>
      <c r="AY5543" s="7"/>
    </row>
    <row r="5544" spans="19:51">
      <c r="S5544" s="7"/>
      <c r="AX5544" s="7"/>
      <c r="AY5544" s="7"/>
    </row>
    <row r="5545" spans="19:51">
      <c r="S5545" s="7"/>
      <c r="AX5545" s="7"/>
      <c r="AY5545" s="7"/>
    </row>
    <row r="5546" spans="19:51">
      <c r="S5546" s="7"/>
      <c r="AX5546" s="7"/>
      <c r="AY5546" s="7"/>
    </row>
    <row r="5547" spans="19:51">
      <c r="S5547" s="7"/>
      <c r="AX5547" s="7"/>
      <c r="AY5547" s="7"/>
    </row>
    <row r="5548" spans="19:51">
      <c r="S5548" s="7"/>
      <c r="AX5548" s="7"/>
      <c r="AY5548" s="7"/>
    </row>
    <row r="5549" spans="19:51">
      <c r="S5549" s="7"/>
      <c r="AX5549" s="7"/>
      <c r="AY5549" s="7"/>
    </row>
    <row r="5550" spans="19:51">
      <c r="S5550" s="7"/>
      <c r="AX5550" s="7"/>
      <c r="AY5550" s="7"/>
    </row>
    <row r="5551" spans="19:51">
      <c r="S5551" s="7"/>
      <c r="AX5551" s="7"/>
      <c r="AY5551" s="7"/>
    </row>
    <row r="5552" spans="19:51">
      <c r="S5552" s="7"/>
      <c r="AX5552" s="7"/>
      <c r="AY5552" s="7"/>
    </row>
    <row r="5553" spans="19:51">
      <c r="S5553" s="7"/>
      <c r="AX5553" s="7"/>
      <c r="AY5553" s="7"/>
    </row>
    <row r="5554" spans="19:51">
      <c r="S5554" s="7"/>
      <c r="AX5554" s="7"/>
      <c r="AY5554" s="7"/>
    </row>
    <row r="5555" spans="19:51">
      <c r="S5555" s="7"/>
      <c r="AX5555" s="7"/>
      <c r="AY5555" s="7"/>
    </row>
    <row r="5556" spans="19:51">
      <c r="S5556" s="7"/>
      <c r="AX5556" s="7"/>
      <c r="AY5556" s="7"/>
    </row>
    <row r="5557" spans="19:51">
      <c r="S5557" s="7"/>
      <c r="AX5557" s="7"/>
      <c r="AY5557" s="7"/>
    </row>
    <row r="5558" spans="19:51">
      <c r="S5558" s="7"/>
      <c r="AX5558" s="7"/>
      <c r="AY5558" s="7"/>
    </row>
    <row r="5559" spans="19:51">
      <c r="S5559" s="7"/>
      <c r="AX5559" s="7"/>
      <c r="AY5559" s="7"/>
    </row>
    <row r="5560" spans="19:51">
      <c r="S5560" s="7"/>
      <c r="AX5560" s="7"/>
      <c r="AY5560" s="7"/>
    </row>
    <row r="5561" spans="19:51">
      <c r="S5561" s="7"/>
      <c r="AX5561" s="7"/>
      <c r="AY5561" s="7"/>
    </row>
    <row r="5562" spans="19:51">
      <c r="S5562" s="7"/>
      <c r="AX5562" s="7"/>
      <c r="AY5562" s="7"/>
    </row>
    <row r="5563" spans="19:51">
      <c r="S5563" s="7"/>
      <c r="AX5563" s="7"/>
      <c r="AY5563" s="7"/>
    </row>
    <row r="5564" spans="19:51">
      <c r="S5564" s="7"/>
      <c r="AX5564" s="7"/>
      <c r="AY5564" s="7"/>
    </row>
    <row r="5565" spans="19:51">
      <c r="S5565" s="7"/>
      <c r="AX5565" s="7"/>
      <c r="AY5565" s="7"/>
    </row>
    <row r="5566" spans="19:51">
      <c r="S5566" s="7"/>
      <c r="AX5566" s="7"/>
      <c r="AY5566" s="7"/>
    </row>
    <row r="5567" spans="19:51">
      <c r="S5567" s="7"/>
      <c r="AX5567" s="7"/>
      <c r="AY5567" s="7"/>
    </row>
    <row r="5568" spans="19:51">
      <c r="S5568" s="7"/>
      <c r="AX5568" s="7"/>
      <c r="AY5568" s="7"/>
    </row>
    <row r="5569" spans="19:51">
      <c r="S5569" s="7"/>
      <c r="AX5569" s="7"/>
      <c r="AY5569" s="7"/>
    </row>
    <row r="5570" spans="19:51">
      <c r="S5570" s="7"/>
      <c r="AX5570" s="7"/>
      <c r="AY5570" s="7"/>
    </row>
    <row r="5571" spans="19:51">
      <c r="S5571" s="7"/>
      <c r="AX5571" s="7"/>
      <c r="AY5571" s="7"/>
    </row>
    <row r="5572" spans="19:51">
      <c r="S5572" s="7"/>
      <c r="AX5572" s="7"/>
      <c r="AY5572" s="7"/>
    </row>
    <row r="5573" spans="19:51">
      <c r="S5573" s="7"/>
      <c r="AX5573" s="7"/>
      <c r="AY5573" s="7"/>
    </row>
    <row r="5574" spans="19:51">
      <c r="S5574" s="7"/>
      <c r="AX5574" s="7"/>
      <c r="AY5574" s="7"/>
    </row>
    <row r="5575" spans="19:51">
      <c r="S5575" s="7"/>
      <c r="AX5575" s="7"/>
      <c r="AY5575" s="7"/>
    </row>
    <row r="5576" spans="19:51">
      <c r="S5576" s="7"/>
      <c r="AX5576" s="7"/>
      <c r="AY5576" s="7"/>
    </row>
    <row r="5577" spans="19:51">
      <c r="S5577" s="7"/>
      <c r="AX5577" s="7"/>
      <c r="AY5577" s="7"/>
    </row>
    <row r="5578" spans="19:51">
      <c r="S5578" s="7"/>
      <c r="AX5578" s="7"/>
      <c r="AY5578" s="7"/>
    </row>
    <row r="5579" spans="19:51">
      <c r="S5579" s="7"/>
      <c r="AX5579" s="7"/>
      <c r="AY5579" s="7"/>
    </row>
    <row r="5580" spans="19:51">
      <c r="S5580" s="7"/>
      <c r="AX5580" s="7"/>
      <c r="AY5580" s="7"/>
    </row>
    <row r="5581" spans="19:51">
      <c r="S5581" s="7"/>
      <c r="AX5581" s="7"/>
      <c r="AY5581" s="7"/>
    </row>
    <row r="5582" spans="19:51">
      <c r="S5582" s="7"/>
      <c r="AX5582" s="7"/>
      <c r="AY5582" s="7"/>
    </row>
    <row r="5583" spans="19:51">
      <c r="S5583" s="7"/>
      <c r="AX5583" s="7"/>
      <c r="AY5583" s="7"/>
    </row>
    <row r="5584" spans="19:51">
      <c r="S5584" s="7"/>
      <c r="AX5584" s="7"/>
      <c r="AY5584" s="7"/>
    </row>
    <row r="5585" spans="19:51">
      <c r="S5585" s="7"/>
      <c r="AX5585" s="7"/>
      <c r="AY5585" s="7"/>
    </row>
    <row r="5586" spans="19:51">
      <c r="S5586" s="7"/>
      <c r="AX5586" s="7"/>
      <c r="AY5586" s="7"/>
    </row>
    <row r="5587" spans="19:51">
      <c r="S5587" s="7"/>
      <c r="AX5587" s="7"/>
      <c r="AY5587" s="7"/>
    </row>
    <row r="5588" spans="19:51">
      <c r="S5588" s="7"/>
      <c r="AX5588" s="7"/>
      <c r="AY5588" s="7"/>
    </row>
    <row r="5589" spans="19:51">
      <c r="S5589" s="7"/>
      <c r="AX5589" s="7"/>
      <c r="AY5589" s="7"/>
    </row>
    <row r="5590" spans="19:51">
      <c r="S5590" s="7"/>
      <c r="AX5590" s="7"/>
      <c r="AY5590" s="7"/>
    </row>
    <row r="5591" spans="19:51">
      <c r="S5591" s="7"/>
      <c r="AX5591" s="7"/>
      <c r="AY5591" s="7"/>
    </row>
    <row r="5592" spans="19:51">
      <c r="S5592" s="7"/>
      <c r="AX5592" s="7"/>
      <c r="AY5592" s="7"/>
    </row>
    <row r="5593" spans="19:51">
      <c r="S5593" s="7"/>
      <c r="AX5593" s="7"/>
      <c r="AY5593" s="7"/>
    </row>
    <row r="5594" spans="19:51">
      <c r="S5594" s="7"/>
      <c r="AX5594" s="7"/>
      <c r="AY5594" s="7"/>
    </row>
    <row r="5595" spans="19:51">
      <c r="S5595" s="7"/>
      <c r="AX5595" s="7"/>
      <c r="AY5595" s="7"/>
    </row>
    <row r="5596" spans="19:51">
      <c r="S5596" s="7"/>
      <c r="AX5596" s="7"/>
      <c r="AY5596" s="7"/>
    </row>
    <row r="5597" spans="19:51">
      <c r="S5597" s="7"/>
      <c r="AX5597" s="7"/>
      <c r="AY5597" s="7"/>
    </row>
    <row r="5598" spans="19:51">
      <c r="S5598" s="7"/>
      <c r="AX5598" s="7"/>
      <c r="AY5598" s="7"/>
    </row>
    <row r="5599" spans="19:51">
      <c r="S5599" s="7"/>
      <c r="AX5599" s="7"/>
      <c r="AY5599" s="7"/>
    </row>
    <row r="5600" spans="19:51">
      <c r="S5600" s="7"/>
      <c r="AX5600" s="7"/>
      <c r="AY5600" s="7"/>
    </row>
    <row r="5601" spans="19:51">
      <c r="S5601" s="7"/>
      <c r="AX5601" s="7"/>
      <c r="AY5601" s="7"/>
    </row>
    <row r="5602" spans="19:51">
      <c r="S5602" s="7"/>
      <c r="AX5602" s="7"/>
      <c r="AY5602" s="7"/>
    </row>
    <row r="5603" spans="19:51">
      <c r="S5603" s="7"/>
      <c r="AX5603" s="7"/>
      <c r="AY5603" s="7"/>
    </row>
    <row r="5604" spans="19:51">
      <c r="S5604" s="7"/>
      <c r="AX5604" s="7"/>
      <c r="AY5604" s="7"/>
    </row>
    <row r="5605" spans="19:51">
      <c r="S5605" s="7"/>
      <c r="AX5605" s="7"/>
      <c r="AY5605" s="7"/>
    </row>
    <row r="5606" spans="19:51">
      <c r="S5606" s="7"/>
      <c r="AX5606" s="7"/>
      <c r="AY5606" s="7"/>
    </row>
    <row r="5607" spans="19:51">
      <c r="S5607" s="7"/>
      <c r="AX5607" s="7"/>
      <c r="AY5607" s="7"/>
    </row>
    <row r="5608" spans="19:51">
      <c r="S5608" s="7"/>
      <c r="AX5608" s="7"/>
      <c r="AY5608" s="7"/>
    </row>
    <row r="5609" spans="19:51">
      <c r="S5609" s="7"/>
      <c r="AX5609" s="7"/>
      <c r="AY5609" s="7"/>
    </row>
    <row r="5610" spans="19:51">
      <c r="S5610" s="7"/>
      <c r="AX5610" s="7"/>
      <c r="AY5610" s="7"/>
    </row>
    <row r="5611" spans="19:51">
      <c r="S5611" s="7"/>
      <c r="AX5611" s="7"/>
      <c r="AY5611" s="7"/>
    </row>
    <row r="5612" spans="19:51">
      <c r="S5612" s="7"/>
      <c r="AX5612" s="7"/>
      <c r="AY5612" s="7"/>
    </row>
    <row r="5613" spans="19:51">
      <c r="S5613" s="7"/>
      <c r="AX5613" s="7"/>
      <c r="AY5613" s="7"/>
    </row>
    <row r="5614" spans="19:51">
      <c r="S5614" s="7"/>
      <c r="AX5614" s="7"/>
      <c r="AY5614" s="7"/>
    </row>
    <row r="5615" spans="19:51">
      <c r="S5615" s="7"/>
      <c r="AX5615" s="7"/>
      <c r="AY5615" s="7"/>
    </row>
    <row r="5616" spans="19:51">
      <c r="S5616" s="7"/>
      <c r="AX5616" s="7"/>
      <c r="AY5616" s="7"/>
    </row>
    <row r="5617" spans="19:51">
      <c r="S5617" s="7"/>
      <c r="AX5617" s="7"/>
      <c r="AY5617" s="7"/>
    </row>
    <row r="5618" spans="19:51">
      <c r="S5618" s="7"/>
      <c r="AX5618" s="7"/>
      <c r="AY5618" s="7"/>
    </row>
    <row r="5619" spans="19:51">
      <c r="S5619" s="7"/>
      <c r="AX5619" s="7"/>
      <c r="AY5619" s="7"/>
    </row>
    <row r="5620" spans="19:51">
      <c r="S5620" s="7"/>
      <c r="AX5620" s="7"/>
      <c r="AY5620" s="7"/>
    </row>
    <row r="5621" spans="19:51">
      <c r="S5621" s="7"/>
      <c r="AX5621" s="7"/>
      <c r="AY5621" s="7"/>
    </row>
    <row r="5622" spans="19:51">
      <c r="S5622" s="7"/>
      <c r="AX5622" s="7"/>
      <c r="AY5622" s="7"/>
    </row>
    <row r="5623" spans="19:51">
      <c r="S5623" s="7"/>
      <c r="AX5623" s="7"/>
      <c r="AY5623" s="7"/>
    </row>
    <row r="5624" spans="19:51">
      <c r="S5624" s="7"/>
      <c r="AX5624" s="7"/>
      <c r="AY5624" s="7"/>
    </row>
    <row r="5625" spans="19:51">
      <c r="S5625" s="7"/>
      <c r="AX5625" s="7"/>
      <c r="AY5625" s="7"/>
    </row>
    <row r="5626" spans="19:51">
      <c r="S5626" s="7"/>
      <c r="AX5626" s="7"/>
      <c r="AY5626" s="7"/>
    </row>
    <row r="5627" spans="19:51">
      <c r="S5627" s="7"/>
      <c r="AX5627" s="7"/>
      <c r="AY5627" s="7"/>
    </row>
    <row r="5628" spans="19:51">
      <c r="S5628" s="7"/>
      <c r="AX5628" s="7"/>
      <c r="AY5628" s="7"/>
    </row>
    <row r="5629" spans="19:51">
      <c r="S5629" s="7"/>
      <c r="AX5629" s="7"/>
      <c r="AY5629" s="7"/>
    </row>
    <row r="5630" spans="19:51">
      <c r="S5630" s="7"/>
      <c r="AX5630" s="7"/>
      <c r="AY5630" s="7"/>
    </row>
    <row r="5631" spans="19:51">
      <c r="S5631" s="7"/>
      <c r="AX5631" s="7"/>
      <c r="AY5631" s="7"/>
    </row>
    <row r="5632" spans="19:51">
      <c r="S5632" s="7"/>
      <c r="AX5632" s="7"/>
      <c r="AY5632" s="7"/>
    </row>
    <row r="5633" spans="19:51">
      <c r="S5633" s="7"/>
      <c r="AX5633" s="7"/>
      <c r="AY5633" s="7"/>
    </row>
    <row r="5634" spans="19:51">
      <c r="S5634" s="7"/>
      <c r="AX5634" s="7"/>
      <c r="AY5634" s="7"/>
    </row>
    <row r="5635" spans="19:51">
      <c r="S5635" s="7"/>
      <c r="AX5635" s="7"/>
      <c r="AY5635" s="7"/>
    </row>
    <row r="5636" spans="19:51">
      <c r="S5636" s="7"/>
      <c r="AX5636" s="7"/>
      <c r="AY5636" s="7"/>
    </row>
    <row r="5637" spans="19:51">
      <c r="S5637" s="7"/>
      <c r="AX5637" s="7"/>
      <c r="AY5637" s="7"/>
    </row>
    <row r="5638" spans="19:51">
      <c r="S5638" s="7"/>
      <c r="AX5638" s="7"/>
      <c r="AY5638" s="7"/>
    </row>
    <row r="5639" spans="19:51">
      <c r="S5639" s="7"/>
      <c r="AX5639" s="7"/>
      <c r="AY5639" s="7"/>
    </row>
    <row r="5640" spans="19:51">
      <c r="S5640" s="7"/>
      <c r="AX5640" s="7"/>
      <c r="AY5640" s="7"/>
    </row>
    <row r="5641" spans="19:51">
      <c r="S5641" s="7"/>
      <c r="AX5641" s="7"/>
      <c r="AY5641" s="7"/>
    </row>
    <row r="5642" spans="19:51">
      <c r="S5642" s="7"/>
      <c r="AX5642" s="7"/>
      <c r="AY5642" s="7"/>
    </row>
    <row r="5643" spans="19:51">
      <c r="S5643" s="7"/>
      <c r="AX5643" s="7"/>
      <c r="AY5643" s="7"/>
    </row>
    <row r="5644" spans="19:51">
      <c r="S5644" s="7"/>
      <c r="AX5644" s="7"/>
      <c r="AY5644" s="7"/>
    </row>
    <row r="5645" spans="19:51">
      <c r="S5645" s="7"/>
      <c r="AX5645" s="7"/>
      <c r="AY5645" s="7"/>
    </row>
    <row r="5646" spans="19:51">
      <c r="S5646" s="7"/>
      <c r="AX5646" s="7"/>
      <c r="AY5646" s="7"/>
    </row>
    <row r="5647" spans="19:51">
      <c r="S5647" s="7"/>
      <c r="AX5647" s="7"/>
      <c r="AY5647" s="7"/>
    </row>
    <row r="5648" spans="19:51">
      <c r="S5648" s="7"/>
      <c r="AX5648" s="7"/>
      <c r="AY5648" s="7"/>
    </row>
    <row r="5649" spans="19:51">
      <c r="S5649" s="7"/>
      <c r="AX5649" s="7"/>
      <c r="AY5649" s="7"/>
    </row>
    <row r="5650" spans="19:51">
      <c r="S5650" s="7"/>
      <c r="AX5650" s="7"/>
      <c r="AY5650" s="7"/>
    </row>
    <row r="5651" spans="19:51">
      <c r="S5651" s="7"/>
      <c r="AX5651" s="7"/>
      <c r="AY5651" s="7"/>
    </row>
    <row r="5652" spans="19:51">
      <c r="S5652" s="7"/>
      <c r="AX5652" s="7"/>
      <c r="AY5652" s="7"/>
    </row>
    <row r="5653" spans="19:51">
      <c r="S5653" s="7"/>
      <c r="AX5653" s="7"/>
      <c r="AY5653" s="7"/>
    </row>
    <row r="5654" spans="19:51">
      <c r="S5654" s="7"/>
      <c r="AX5654" s="7"/>
      <c r="AY5654" s="7"/>
    </row>
    <row r="5655" spans="19:51">
      <c r="S5655" s="7"/>
      <c r="AX5655" s="7"/>
      <c r="AY5655" s="7"/>
    </row>
    <row r="5656" spans="19:51">
      <c r="S5656" s="7"/>
      <c r="AX5656" s="7"/>
      <c r="AY5656" s="7"/>
    </row>
    <row r="5657" spans="19:51">
      <c r="S5657" s="7"/>
      <c r="AX5657" s="7"/>
      <c r="AY5657" s="7"/>
    </row>
    <row r="5658" spans="19:51">
      <c r="S5658" s="7"/>
      <c r="AX5658" s="7"/>
      <c r="AY5658" s="7"/>
    </row>
    <row r="5659" spans="19:51">
      <c r="S5659" s="7"/>
      <c r="AX5659" s="7"/>
      <c r="AY5659" s="7"/>
    </row>
    <row r="5660" spans="19:51">
      <c r="S5660" s="7"/>
      <c r="AX5660" s="7"/>
      <c r="AY5660" s="7"/>
    </row>
    <row r="5661" spans="19:51">
      <c r="S5661" s="7"/>
      <c r="AX5661" s="7"/>
      <c r="AY5661" s="7"/>
    </row>
    <row r="5662" spans="19:51">
      <c r="S5662" s="7"/>
      <c r="AX5662" s="7"/>
      <c r="AY5662" s="7"/>
    </row>
    <row r="5663" spans="19:51">
      <c r="S5663" s="7"/>
      <c r="AX5663" s="7"/>
      <c r="AY5663" s="7"/>
    </row>
    <row r="5664" spans="19:51">
      <c r="S5664" s="7"/>
      <c r="AX5664" s="7"/>
      <c r="AY5664" s="7"/>
    </row>
    <row r="5665" spans="19:51">
      <c r="S5665" s="7"/>
      <c r="AX5665" s="7"/>
      <c r="AY5665" s="7"/>
    </row>
    <row r="5666" spans="19:51">
      <c r="S5666" s="7"/>
      <c r="AX5666" s="7"/>
      <c r="AY5666" s="7"/>
    </row>
    <row r="5667" spans="19:51">
      <c r="S5667" s="7"/>
      <c r="AX5667" s="7"/>
      <c r="AY5667" s="7"/>
    </row>
    <row r="5668" spans="19:51">
      <c r="S5668" s="7"/>
      <c r="AX5668" s="7"/>
      <c r="AY5668" s="7"/>
    </row>
    <row r="5669" spans="19:51">
      <c r="S5669" s="7"/>
      <c r="AX5669" s="7"/>
      <c r="AY5669" s="7"/>
    </row>
    <row r="5670" spans="19:51">
      <c r="S5670" s="7"/>
      <c r="AX5670" s="7"/>
      <c r="AY5670" s="7"/>
    </row>
    <row r="5671" spans="19:51">
      <c r="S5671" s="7"/>
      <c r="AX5671" s="7"/>
      <c r="AY5671" s="7"/>
    </row>
    <row r="5672" spans="19:51">
      <c r="S5672" s="7"/>
      <c r="AX5672" s="7"/>
      <c r="AY5672" s="7"/>
    </row>
    <row r="5673" spans="19:51">
      <c r="S5673" s="7"/>
      <c r="AX5673" s="7"/>
      <c r="AY5673" s="7"/>
    </row>
    <row r="5674" spans="19:51">
      <c r="S5674" s="7"/>
      <c r="AX5674" s="7"/>
      <c r="AY5674" s="7"/>
    </row>
    <row r="5675" spans="19:51">
      <c r="S5675" s="7"/>
      <c r="AX5675" s="7"/>
      <c r="AY5675" s="7"/>
    </row>
    <row r="5676" spans="19:51">
      <c r="S5676" s="7"/>
      <c r="AX5676" s="7"/>
      <c r="AY5676" s="7"/>
    </row>
    <row r="5677" spans="19:51">
      <c r="S5677" s="7"/>
      <c r="AX5677" s="7"/>
      <c r="AY5677" s="7"/>
    </row>
    <row r="5678" spans="19:51">
      <c r="S5678" s="7"/>
      <c r="AX5678" s="7"/>
      <c r="AY5678" s="7"/>
    </row>
    <row r="5679" spans="19:51">
      <c r="S5679" s="7"/>
      <c r="AX5679" s="7"/>
      <c r="AY5679" s="7"/>
    </row>
    <row r="5680" spans="19:51">
      <c r="S5680" s="7"/>
      <c r="AX5680" s="7"/>
      <c r="AY5680" s="7"/>
    </row>
    <row r="5681" spans="19:51">
      <c r="S5681" s="7"/>
      <c r="AX5681" s="7"/>
      <c r="AY5681" s="7"/>
    </row>
    <row r="5682" spans="19:51">
      <c r="S5682" s="7"/>
      <c r="AX5682" s="7"/>
      <c r="AY5682" s="7"/>
    </row>
    <row r="5683" spans="19:51">
      <c r="S5683" s="7"/>
      <c r="AX5683" s="7"/>
      <c r="AY5683" s="7"/>
    </row>
    <row r="5684" spans="19:51">
      <c r="S5684" s="7"/>
      <c r="AX5684" s="7"/>
      <c r="AY5684" s="7"/>
    </row>
    <row r="5685" spans="19:51">
      <c r="S5685" s="7"/>
      <c r="AX5685" s="7"/>
      <c r="AY5685" s="7"/>
    </row>
    <row r="5686" spans="19:51">
      <c r="S5686" s="7"/>
      <c r="AX5686" s="7"/>
      <c r="AY5686" s="7"/>
    </row>
    <row r="5687" spans="19:51">
      <c r="S5687" s="7"/>
      <c r="AX5687" s="7"/>
      <c r="AY5687" s="7"/>
    </row>
    <row r="5688" spans="19:51">
      <c r="S5688" s="7"/>
      <c r="AX5688" s="7"/>
      <c r="AY5688" s="7"/>
    </row>
    <row r="5689" spans="19:51">
      <c r="S5689" s="7"/>
      <c r="AX5689" s="7"/>
      <c r="AY5689" s="7"/>
    </row>
    <row r="5690" spans="19:51">
      <c r="S5690" s="7"/>
      <c r="AX5690" s="7"/>
      <c r="AY5690" s="7"/>
    </row>
    <row r="5691" spans="19:51">
      <c r="S5691" s="7"/>
      <c r="AX5691" s="7"/>
      <c r="AY5691" s="7"/>
    </row>
    <row r="5692" spans="19:51">
      <c r="S5692" s="7"/>
      <c r="AX5692" s="7"/>
      <c r="AY5692" s="7"/>
    </row>
    <row r="5693" spans="19:51">
      <c r="S5693" s="7"/>
      <c r="AX5693" s="7"/>
      <c r="AY5693" s="7"/>
    </row>
    <row r="5694" spans="19:51">
      <c r="S5694" s="7"/>
      <c r="AX5694" s="7"/>
      <c r="AY5694" s="7"/>
    </row>
    <row r="5695" spans="19:51">
      <c r="S5695" s="7"/>
      <c r="AX5695" s="7"/>
      <c r="AY5695" s="7"/>
    </row>
    <row r="5696" spans="19:51">
      <c r="S5696" s="7"/>
      <c r="AX5696" s="7"/>
      <c r="AY5696" s="7"/>
    </row>
    <row r="5697" spans="19:51">
      <c r="S5697" s="7"/>
      <c r="AX5697" s="7"/>
      <c r="AY5697" s="7"/>
    </row>
    <row r="5698" spans="19:51">
      <c r="S5698" s="7"/>
      <c r="AX5698" s="7"/>
      <c r="AY5698" s="7"/>
    </row>
    <row r="5699" spans="19:51">
      <c r="S5699" s="7"/>
      <c r="AX5699" s="7"/>
      <c r="AY5699" s="7"/>
    </row>
    <row r="5700" spans="19:51">
      <c r="S5700" s="7"/>
      <c r="AX5700" s="7"/>
      <c r="AY5700" s="7"/>
    </row>
    <row r="5701" spans="19:51">
      <c r="S5701" s="7"/>
      <c r="AX5701" s="7"/>
      <c r="AY5701" s="7"/>
    </row>
    <row r="5702" spans="19:51">
      <c r="S5702" s="7"/>
      <c r="AX5702" s="7"/>
      <c r="AY5702" s="7"/>
    </row>
    <row r="5703" spans="19:51">
      <c r="S5703" s="7"/>
      <c r="AX5703" s="7"/>
      <c r="AY5703" s="7"/>
    </row>
    <row r="5704" spans="19:51">
      <c r="S5704" s="7"/>
      <c r="AX5704" s="7"/>
      <c r="AY5704" s="7"/>
    </row>
    <row r="5705" spans="19:51">
      <c r="S5705" s="7"/>
      <c r="AX5705" s="7"/>
      <c r="AY5705" s="7"/>
    </row>
    <row r="5706" spans="19:51">
      <c r="S5706" s="7"/>
      <c r="AX5706" s="7"/>
      <c r="AY5706" s="7"/>
    </row>
    <row r="5707" spans="19:51">
      <c r="S5707" s="7"/>
      <c r="AX5707" s="7"/>
      <c r="AY5707" s="7"/>
    </row>
    <row r="5708" spans="19:51">
      <c r="S5708" s="7"/>
      <c r="AX5708" s="7"/>
      <c r="AY5708" s="7"/>
    </row>
    <row r="5709" spans="19:51">
      <c r="S5709" s="7"/>
      <c r="AX5709" s="7"/>
      <c r="AY5709" s="7"/>
    </row>
    <row r="5710" spans="19:51">
      <c r="S5710" s="7"/>
      <c r="AX5710" s="7"/>
      <c r="AY5710" s="7"/>
    </row>
    <row r="5711" spans="19:51">
      <c r="S5711" s="7"/>
      <c r="AX5711" s="7"/>
      <c r="AY5711" s="7"/>
    </row>
    <row r="5712" spans="19:51">
      <c r="S5712" s="7"/>
      <c r="AX5712" s="7"/>
      <c r="AY5712" s="7"/>
    </row>
    <row r="5713" spans="19:51">
      <c r="S5713" s="7"/>
      <c r="AX5713" s="7"/>
      <c r="AY5713" s="7"/>
    </row>
    <row r="5714" spans="19:51">
      <c r="S5714" s="7"/>
      <c r="AX5714" s="7"/>
      <c r="AY5714" s="7"/>
    </row>
    <row r="5715" spans="19:51">
      <c r="S5715" s="7"/>
      <c r="AX5715" s="7"/>
      <c r="AY5715" s="7"/>
    </row>
    <row r="5716" spans="19:51">
      <c r="S5716" s="7"/>
      <c r="AX5716" s="7"/>
      <c r="AY5716" s="7"/>
    </row>
    <row r="5717" spans="19:51">
      <c r="S5717" s="7"/>
      <c r="AX5717" s="7"/>
      <c r="AY5717" s="7"/>
    </row>
    <row r="5718" spans="19:51">
      <c r="S5718" s="7"/>
      <c r="AX5718" s="7"/>
      <c r="AY5718" s="7"/>
    </row>
    <row r="5719" spans="19:51">
      <c r="S5719" s="7"/>
      <c r="AX5719" s="7"/>
      <c r="AY5719" s="7"/>
    </row>
    <row r="5720" spans="19:51">
      <c r="S5720" s="7"/>
      <c r="AX5720" s="7"/>
      <c r="AY5720" s="7"/>
    </row>
    <row r="5721" spans="19:51">
      <c r="S5721" s="7"/>
      <c r="AX5721" s="7"/>
      <c r="AY5721" s="7"/>
    </row>
    <row r="5722" spans="19:51">
      <c r="S5722" s="7"/>
      <c r="AX5722" s="7"/>
      <c r="AY5722" s="7"/>
    </row>
    <row r="5723" spans="19:51">
      <c r="S5723" s="7"/>
      <c r="AX5723" s="7"/>
      <c r="AY5723" s="7"/>
    </row>
    <row r="5724" spans="19:51">
      <c r="S5724" s="7"/>
      <c r="AX5724" s="7"/>
      <c r="AY5724" s="7"/>
    </row>
    <row r="5725" spans="19:51">
      <c r="S5725" s="7"/>
      <c r="AX5725" s="7"/>
      <c r="AY5725" s="7"/>
    </row>
    <row r="5726" spans="19:51">
      <c r="S5726" s="7"/>
      <c r="AX5726" s="7"/>
      <c r="AY5726" s="7"/>
    </row>
    <row r="5727" spans="19:51">
      <c r="S5727" s="7"/>
      <c r="AX5727" s="7"/>
      <c r="AY5727" s="7"/>
    </row>
    <row r="5728" spans="19:51">
      <c r="S5728" s="7"/>
      <c r="AX5728" s="7"/>
      <c r="AY5728" s="7"/>
    </row>
    <row r="5729" spans="19:51">
      <c r="S5729" s="7"/>
      <c r="AX5729" s="7"/>
      <c r="AY5729" s="7"/>
    </row>
    <row r="5730" spans="19:51">
      <c r="S5730" s="7"/>
      <c r="AX5730" s="7"/>
      <c r="AY5730" s="7"/>
    </row>
    <row r="5731" spans="19:51">
      <c r="S5731" s="7"/>
      <c r="AX5731" s="7"/>
      <c r="AY5731" s="7"/>
    </row>
    <row r="5732" spans="19:51">
      <c r="S5732" s="7"/>
      <c r="AX5732" s="7"/>
      <c r="AY5732" s="7"/>
    </row>
    <row r="5733" spans="19:51">
      <c r="S5733" s="7"/>
      <c r="AX5733" s="7"/>
      <c r="AY5733" s="7"/>
    </row>
    <row r="5734" spans="19:51">
      <c r="S5734" s="7"/>
      <c r="AX5734" s="7"/>
      <c r="AY5734" s="7"/>
    </row>
    <row r="5735" spans="19:51">
      <c r="S5735" s="7"/>
      <c r="AX5735" s="7"/>
      <c r="AY5735" s="7"/>
    </row>
    <row r="5736" spans="19:51">
      <c r="S5736" s="7"/>
      <c r="AX5736" s="7"/>
      <c r="AY5736" s="7"/>
    </row>
    <row r="5737" spans="19:51">
      <c r="S5737" s="7"/>
      <c r="AX5737" s="7"/>
      <c r="AY5737" s="7"/>
    </row>
    <row r="5738" spans="19:51">
      <c r="S5738" s="7"/>
      <c r="AX5738" s="7"/>
      <c r="AY5738" s="7"/>
    </row>
    <row r="5739" spans="19:51">
      <c r="S5739" s="7"/>
      <c r="AX5739" s="7"/>
      <c r="AY5739" s="7"/>
    </row>
    <row r="5740" spans="19:51">
      <c r="S5740" s="7"/>
      <c r="AX5740" s="7"/>
      <c r="AY5740" s="7"/>
    </row>
    <row r="5741" spans="19:51">
      <c r="S5741" s="7"/>
      <c r="AX5741" s="7"/>
      <c r="AY5741" s="7"/>
    </row>
    <row r="5742" spans="19:51">
      <c r="S5742" s="7"/>
      <c r="AX5742" s="7"/>
      <c r="AY5742" s="7"/>
    </row>
    <row r="5743" spans="19:51">
      <c r="S5743" s="7"/>
      <c r="AX5743" s="7"/>
      <c r="AY5743" s="7"/>
    </row>
    <row r="5744" spans="19:51">
      <c r="S5744" s="7"/>
      <c r="AX5744" s="7"/>
      <c r="AY5744" s="7"/>
    </row>
    <row r="5745" spans="19:51">
      <c r="S5745" s="7"/>
      <c r="AX5745" s="7"/>
      <c r="AY5745" s="7"/>
    </row>
    <row r="5746" spans="19:51">
      <c r="S5746" s="7"/>
      <c r="AX5746" s="7"/>
      <c r="AY5746" s="7"/>
    </row>
    <row r="5747" spans="19:51">
      <c r="S5747" s="7"/>
      <c r="AX5747" s="7"/>
      <c r="AY5747" s="7"/>
    </row>
    <row r="5748" spans="19:51">
      <c r="S5748" s="7"/>
      <c r="AX5748" s="7"/>
      <c r="AY5748" s="7"/>
    </row>
    <row r="5749" spans="19:51">
      <c r="S5749" s="7"/>
      <c r="AX5749" s="7"/>
      <c r="AY5749" s="7"/>
    </row>
    <row r="5750" spans="19:51">
      <c r="S5750" s="7"/>
      <c r="AX5750" s="7"/>
      <c r="AY5750" s="7"/>
    </row>
    <row r="5751" spans="19:51">
      <c r="S5751" s="7"/>
      <c r="AX5751" s="7"/>
      <c r="AY5751" s="7"/>
    </row>
    <row r="5752" spans="19:51">
      <c r="S5752" s="7"/>
      <c r="AX5752" s="7"/>
      <c r="AY5752" s="7"/>
    </row>
    <row r="5753" spans="19:51">
      <c r="S5753" s="7"/>
      <c r="AX5753" s="7"/>
      <c r="AY5753" s="7"/>
    </row>
    <row r="5754" spans="19:51">
      <c r="S5754" s="7"/>
      <c r="AX5754" s="7"/>
      <c r="AY5754" s="7"/>
    </row>
    <row r="5755" spans="19:51">
      <c r="S5755" s="7"/>
      <c r="AX5755" s="7"/>
      <c r="AY5755" s="7"/>
    </row>
    <row r="5756" spans="19:51">
      <c r="S5756" s="7"/>
      <c r="AX5756" s="7"/>
      <c r="AY5756" s="7"/>
    </row>
    <row r="5757" spans="19:51">
      <c r="S5757" s="7"/>
      <c r="AX5757" s="7"/>
      <c r="AY5757" s="7"/>
    </row>
    <row r="5758" spans="19:51">
      <c r="S5758" s="7"/>
      <c r="AX5758" s="7"/>
      <c r="AY5758" s="7"/>
    </row>
    <row r="5759" spans="19:51">
      <c r="S5759" s="7"/>
      <c r="AX5759" s="7"/>
      <c r="AY5759" s="7"/>
    </row>
    <row r="5760" spans="19:51">
      <c r="S5760" s="7"/>
      <c r="AX5760" s="7"/>
      <c r="AY5760" s="7"/>
    </row>
    <row r="5761" spans="19:51">
      <c r="S5761" s="7"/>
      <c r="AX5761" s="7"/>
      <c r="AY5761" s="7"/>
    </row>
    <row r="5762" spans="19:51">
      <c r="S5762" s="7"/>
      <c r="AX5762" s="7"/>
      <c r="AY5762" s="7"/>
    </row>
    <row r="5763" spans="19:51">
      <c r="S5763" s="7"/>
      <c r="AX5763" s="7"/>
      <c r="AY5763" s="7"/>
    </row>
    <row r="5764" spans="19:51">
      <c r="S5764" s="7"/>
      <c r="AX5764" s="7"/>
      <c r="AY5764" s="7"/>
    </row>
    <row r="5765" spans="19:51">
      <c r="S5765" s="7"/>
      <c r="AX5765" s="7"/>
      <c r="AY5765" s="7"/>
    </row>
    <row r="5766" spans="19:51">
      <c r="S5766" s="7"/>
      <c r="AX5766" s="7"/>
      <c r="AY5766" s="7"/>
    </row>
    <row r="5767" spans="19:51">
      <c r="S5767" s="7"/>
      <c r="AX5767" s="7"/>
      <c r="AY5767" s="7"/>
    </row>
    <row r="5768" spans="19:51">
      <c r="S5768" s="7"/>
      <c r="AX5768" s="7"/>
      <c r="AY5768" s="7"/>
    </row>
    <row r="5769" spans="19:51">
      <c r="S5769" s="7"/>
      <c r="AX5769" s="7"/>
      <c r="AY5769" s="7"/>
    </row>
    <row r="5770" spans="19:51">
      <c r="S5770" s="7"/>
      <c r="AX5770" s="7"/>
      <c r="AY5770" s="7"/>
    </row>
    <row r="5771" spans="19:51">
      <c r="S5771" s="7"/>
      <c r="AX5771" s="7"/>
      <c r="AY5771" s="7"/>
    </row>
    <row r="5772" spans="19:51">
      <c r="S5772" s="7"/>
      <c r="AX5772" s="7"/>
      <c r="AY5772" s="7"/>
    </row>
    <row r="5773" spans="19:51">
      <c r="S5773" s="7"/>
      <c r="AX5773" s="7"/>
      <c r="AY5773" s="7"/>
    </row>
    <row r="5774" spans="19:51">
      <c r="S5774" s="7"/>
      <c r="AX5774" s="7"/>
      <c r="AY5774" s="7"/>
    </row>
    <row r="5775" spans="19:51">
      <c r="S5775" s="7"/>
      <c r="AX5775" s="7"/>
      <c r="AY5775" s="7"/>
    </row>
    <row r="5776" spans="19:51">
      <c r="S5776" s="7"/>
      <c r="AX5776" s="7"/>
      <c r="AY5776" s="7"/>
    </row>
    <row r="5777" spans="19:51">
      <c r="S5777" s="7"/>
      <c r="AX5777" s="7"/>
      <c r="AY5777" s="7"/>
    </row>
    <row r="5778" spans="19:51">
      <c r="S5778" s="7"/>
      <c r="AX5778" s="7"/>
      <c r="AY5778" s="7"/>
    </row>
    <row r="5779" spans="19:51">
      <c r="S5779" s="7"/>
      <c r="AX5779" s="7"/>
      <c r="AY5779" s="7"/>
    </row>
    <row r="5780" spans="19:51">
      <c r="S5780" s="7"/>
      <c r="AX5780" s="7"/>
      <c r="AY5780" s="7"/>
    </row>
    <row r="5781" spans="19:51">
      <c r="S5781" s="7"/>
      <c r="AX5781" s="7"/>
      <c r="AY5781" s="7"/>
    </row>
    <row r="5782" spans="19:51">
      <c r="S5782" s="7"/>
      <c r="AX5782" s="7"/>
      <c r="AY5782" s="7"/>
    </row>
    <row r="5783" spans="19:51">
      <c r="S5783" s="7"/>
      <c r="AX5783" s="7"/>
      <c r="AY5783" s="7"/>
    </row>
    <row r="5784" spans="19:51">
      <c r="S5784" s="7"/>
      <c r="AX5784" s="7"/>
      <c r="AY5784" s="7"/>
    </row>
    <row r="5785" spans="19:51">
      <c r="S5785" s="7"/>
      <c r="AX5785" s="7"/>
      <c r="AY5785" s="7"/>
    </row>
    <row r="5786" spans="19:51">
      <c r="S5786" s="7"/>
      <c r="AX5786" s="7"/>
      <c r="AY5786" s="7"/>
    </row>
    <row r="5787" spans="19:51">
      <c r="S5787" s="7"/>
      <c r="AX5787" s="7"/>
      <c r="AY5787" s="7"/>
    </row>
    <row r="5788" spans="19:51">
      <c r="S5788" s="7"/>
      <c r="AX5788" s="7"/>
      <c r="AY5788" s="7"/>
    </row>
    <row r="5789" spans="19:51">
      <c r="S5789" s="7"/>
      <c r="AX5789" s="7"/>
      <c r="AY5789" s="7"/>
    </row>
    <row r="5790" spans="19:51">
      <c r="S5790" s="7"/>
      <c r="AX5790" s="7"/>
      <c r="AY5790" s="7"/>
    </row>
    <row r="5791" spans="19:51">
      <c r="S5791" s="7"/>
      <c r="AX5791" s="7"/>
      <c r="AY5791" s="7"/>
    </row>
    <row r="5792" spans="19:51">
      <c r="S5792" s="7"/>
      <c r="AX5792" s="7"/>
      <c r="AY5792" s="7"/>
    </row>
    <row r="5793" spans="19:51">
      <c r="S5793" s="7"/>
      <c r="AX5793" s="7"/>
      <c r="AY5793" s="7"/>
    </row>
    <row r="5794" spans="19:51">
      <c r="S5794" s="7"/>
      <c r="AX5794" s="7"/>
      <c r="AY5794" s="7"/>
    </row>
    <row r="5795" spans="19:51">
      <c r="S5795" s="7"/>
      <c r="AX5795" s="7"/>
      <c r="AY5795" s="7"/>
    </row>
    <row r="5796" spans="19:51">
      <c r="S5796" s="7"/>
      <c r="AX5796" s="7"/>
      <c r="AY5796" s="7"/>
    </row>
    <row r="5797" spans="19:51">
      <c r="S5797" s="7"/>
      <c r="AX5797" s="7"/>
      <c r="AY5797" s="7"/>
    </row>
    <row r="5798" spans="19:51">
      <c r="S5798" s="7"/>
      <c r="AX5798" s="7"/>
      <c r="AY5798" s="7"/>
    </row>
    <row r="5799" spans="19:51">
      <c r="S5799" s="7"/>
      <c r="AX5799" s="7"/>
      <c r="AY5799" s="7"/>
    </row>
    <row r="5800" spans="19:51">
      <c r="S5800" s="7"/>
      <c r="AX5800" s="7"/>
      <c r="AY5800" s="7"/>
    </row>
    <row r="5801" spans="19:51">
      <c r="S5801" s="7"/>
      <c r="AX5801" s="7"/>
      <c r="AY5801" s="7"/>
    </row>
    <row r="5802" spans="19:51">
      <c r="S5802" s="7"/>
      <c r="AX5802" s="7"/>
      <c r="AY5802" s="7"/>
    </row>
    <row r="5803" spans="19:51">
      <c r="S5803" s="7"/>
      <c r="AX5803" s="7"/>
      <c r="AY5803" s="7"/>
    </row>
    <row r="5804" spans="19:51">
      <c r="S5804" s="7"/>
      <c r="AX5804" s="7"/>
      <c r="AY5804" s="7"/>
    </row>
    <row r="5805" spans="19:51">
      <c r="S5805" s="7"/>
      <c r="AX5805" s="7"/>
      <c r="AY5805" s="7"/>
    </row>
    <row r="5806" spans="19:51">
      <c r="S5806" s="7"/>
      <c r="AX5806" s="7"/>
      <c r="AY5806" s="7"/>
    </row>
    <row r="5807" spans="19:51">
      <c r="S5807" s="7"/>
      <c r="AX5807" s="7"/>
      <c r="AY5807" s="7"/>
    </row>
    <row r="5808" spans="19:51">
      <c r="S5808" s="7"/>
      <c r="AX5808" s="7"/>
      <c r="AY5808" s="7"/>
    </row>
    <row r="5809" spans="19:51">
      <c r="S5809" s="7"/>
      <c r="AX5809" s="7"/>
      <c r="AY5809" s="7"/>
    </row>
    <row r="5810" spans="19:51">
      <c r="S5810" s="7"/>
      <c r="AX5810" s="7"/>
      <c r="AY5810" s="7"/>
    </row>
    <row r="5811" spans="19:51">
      <c r="S5811" s="7"/>
      <c r="AX5811" s="7"/>
      <c r="AY5811" s="7"/>
    </row>
    <row r="5812" spans="19:51">
      <c r="S5812" s="7"/>
      <c r="AX5812" s="7"/>
      <c r="AY5812" s="7"/>
    </row>
    <row r="5813" spans="19:51">
      <c r="S5813" s="7"/>
      <c r="AX5813" s="7"/>
      <c r="AY5813" s="7"/>
    </row>
    <row r="5814" spans="19:51">
      <c r="S5814" s="7"/>
      <c r="AX5814" s="7"/>
      <c r="AY5814" s="7"/>
    </row>
    <row r="5815" spans="19:51">
      <c r="S5815" s="7"/>
      <c r="AX5815" s="7"/>
      <c r="AY5815" s="7"/>
    </row>
    <row r="5816" spans="19:51">
      <c r="S5816" s="7"/>
      <c r="AX5816" s="7"/>
      <c r="AY5816" s="7"/>
    </row>
    <row r="5817" spans="19:51">
      <c r="S5817" s="7"/>
      <c r="AX5817" s="7"/>
      <c r="AY5817" s="7"/>
    </row>
    <row r="5818" spans="19:51">
      <c r="S5818" s="7"/>
      <c r="AX5818" s="7"/>
      <c r="AY5818" s="7"/>
    </row>
    <row r="5819" spans="19:51">
      <c r="S5819" s="7"/>
      <c r="AX5819" s="7"/>
      <c r="AY5819" s="7"/>
    </row>
    <row r="5820" spans="19:51">
      <c r="S5820" s="7"/>
      <c r="AX5820" s="7"/>
      <c r="AY5820" s="7"/>
    </row>
    <row r="5821" spans="19:51">
      <c r="S5821" s="7"/>
      <c r="AX5821" s="7"/>
      <c r="AY5821" s="7"/>
    </row>
    <row r="5822" spans="19:51">
      <c r="S5822" s="7"/>
      <c r="AX5822" s="7"/>
      <c r="AY5822" s="7"/>
    </row>
    <row r="5823" spans="19:51">
      <c r="S5823" s="7"/>
      <c r="AX5823" s="7"/>
      <c r="AY5823" s="7"/>
    </row>
    <row r="5824" spans="19:51">
      <c r="S5824" s="7"/>
      <c r="AX5824" s="7"/>
      <c r="AY5824" s="7"/>
    </row>
    <row r="5825" spans="19:51">
      <c r="S5825" s="7"/>
      <c r="AX5825" s="7"/>
      <c r="AY5825" s="7"/>
    </row>
    <row r="5826" spans="19:51">
      <c r="S5826" s="7"/>
      <c r="AX5826" s="7"/>
      <c r="AY5826" s="7"/>
    </row>
    <row r="5827" spans="19:51">
      <c r="S5827" s="7"/>
      <c r="AX5827" s="7"/>
      <c r="AY5827" s="7"/>
    </row>
    <row r="5828" spans="19:51">
      <c r="S5828" s="7"/>
      <c r="AX5828" s="7"/>
      <c r="AY5828" s="7"/>
    </row>
    <row r="5829" spans="19:51">
      <c r="S5829" s="7"/>
      <c r="AX5829" s="7"/>
      <c r="AY5829" s="7"/>
    </row>
    <row r="5830" spans="19:51">
      <c r="S5830" s="7"/>
      <c r="AX5830" s="7"/>
      <c r="AY5830" s="7"/>
    </row>
    <row r="5831" spans="19:51">
      <c r="S5831" s="7"/>
      <c r="AX5831" s="7"/>
      <c r="AY5831" s="7"/>
    </row>
    <row r="5832" spans="19:51">
      <c r="S5832" s="7"/>
      <c r="AX5832" s="7"/>
      <c r="AY5832" s="7"/>
    </row>
    <row r="5833" spans="19:51">
      <c r="S5833" s="7"/>
      <c r="AX5833" s="7"/>
      <c r="AY5833" s="7"/>
    </row>
    <row r="5834" spans="19:51">
      <c r="S5834" s="7"/>
      <c r="AX5834" s="7"/>
      <c r="AY5834" s="7"/>
    </row>
    <row r="5835" spans="19:51">
      <c r="S5835" s="7"/>
      <c r="AX5835" s="7"/>
      <c r="AY5835" s="7"/>
    </row>
    <row r="5836" spans="19:51">
      <c r="S5836" s="7"/>
      <c r="AX5836" s="7"/>
      <c r="AY5836" s="7"/>
    </row>
    <row r="5837" spans="19:51">
      <c r="S5837" s="7"/>
      <c r="AX5837" s="7"/>
      <c r="AY5837" s="7"/>
    </row>
    <row r="5838" spans="19:51">
      <c r="S5838" s="7"/>
      <c r="AX5838" s="7"/>
      <c r="AY5838" s="7"/>
    </row>
    <row r="5839" spans="19:51">
      <c r="S5839" s="7"/>
      <c r="AX5839" s="7"/>
      <c r="AY5839" s="7"/>
    </row>
    <row r="5840" spans="19:51">
      <c r="S5840" s="7"/>
      <c r="AX5840" s="7"/>
      <c r="AY5840" s="7"/>
    </row>
    <row r="5841" spans="19:51">
      <c r="S5841" s="7"/>
      <c r="AX5841" s="7"/>
      <c r="AY5841" s="7"/>
    </row>
    <row r="5842" spans="19:51">
      <c r="S5842" s="7"/>
      <c r="AX5842" s="7"/>
      <c r="AY5842" s="7"/>
    </row>
    <row r="5843" spans="19:51">
      <c r="S5843" s="7"/>
      <c r="AX5843" s="7"/>
      <c r="AY5843" s="7"/>
    </row>
    <row r="5844" spans="19:51">
      <c r="S5844" s="7"/>
      <c r="AX5844" s="7"/>
      <c r="AY5844" s="7"/>
    </row>
    <row r="5845" spans="19:51">
      <c r="S5845" s="7"/>
      <c r="AX5845" s="7"/>
      <c r="AY5845" s="7"/>
    </row>
    <row r="5846" spans="19:51">
      <c r="S5846" s="7"/>
      <c r="AX5846" s="7"/>
      <c r="AY5846" s="7"/>
    </row>
    <row r="5847" spans="19:51">
      <c r="S5847" s="7"/>
      <c r="AX5847" s="7"/>
      <c r="AY5847" s="7"/>
    </row>
    <row r="5848" spans="19:51">
      <c r="S5848" s="7"/>
      <c r="AX5848" s="7"/>
      <c r="AY5848" s="7"/>
    </row>
    <row r="5849" spans="19:51">
      <c r="S5849" s="7"/>
      <c r="AX5849" s="7"/>
      <c r="AY5849" s="7"/>
    </row>
    <row r="5850" spans="19:51">
      <c r="S5850" s="7"/>
      <c r="AX5850" s="7"/>
      <c r="AY5850" s="7"/>
    </row>
    <row r="5851" spans="19:51">
      <c r="S5851" s="7"/>
      <c r="AX5851" s="7"/>
      <c r="AY5851" s="7"/>
    </row>
    <row r="5852" spans="19:51">
      <c r="S5852" s="7"/>
      <c r="AX5852" s="7"/>
      <c r="AY5852" s="7"/>
    </row>
    <row r="5853" spans="19:51">
      <c r="S5853" s="7"/>
      <c r="AX5853" s="7"/>
      <c r="AY5853" s="7"/>
    </row>
    <row r="5854" spans="19:51">
      <c r="S5854" s="7"/>
      <c r="AX5854" s="7"/>
      <c r="AY5854" s="7"/>
    </row>
    <row r="5855" spans="19:51">
      <c r="S5855" s="7"/>
      <c r="AX5855" s="7"/>
      <c r="AY5855" s="7"/>
    </row>
    <row r="5856" spans="19:51">
      <c r="S5856" s="7"/>
      <c r="AX5856" s="7"/>
      <c r="AY5856" s="7"/>
    </row>
    <row r="5857" spans="19:51">
      <c r="S5857" s="7"/>
      <c r="AX5857" s="7"/>
      <c r="AY5857" s="7"/>
    </row>
    <row r="5858" spans="19:51">
      <c r="S5858" s="7"/>
      <c r="AX5858" s="7"/>
      <c r="AY5858" s="7"/>
    </row>
    <row r="5859" spans="19:51">
      <c r="S5859" s="7"/>
      <c r="AX5859" s="7"/>
      <c r="AY5859" s="7"/>
    </row>
    <row r="5860" spans="19:51">
      <c r="S5860" s="7"/>
      <c r="AX5860" s="7"/>
      <c r="AY5860" s="7"/>
    </row>
    <row r="5861" spans="19:51">
      <c r="S5861" s="7"/>
      <c r="AX5861" s="7"/>
      <c r="AY5861" s="7"/>
    </row>
    <row r="5862" spans="19:51">
      <c r="S5862" s="7"/>
      <c r="AX5862" s="7"/>
      <c r="AY5862" s="7"/>
    </row>
    <row r="5863" spans="19:51">
      <c r="S5863" s="7"/>
      <c r="AX5863" s="7"/>
      <c r="AY5863" s="7"/>
    </row>
    <row r="5864" spans="19:51">
      <c r="S5864" s="7"/>
      <c r="AX5864" s="7"/>
      <c r="AY5864" s="7"/>
    </row>
    <row r="5865" spans="19:51">
      <c r="S5865" s="7"/>
      <c r="AX5865" s="7"/>
      <c r="AY5865" s="7"/>
    </row>
    <row r="5866" spans="19:51">
      <c r="S5866" s="7"/>
      <c r="AX5866" s="7"/>
      <c r="AY5866" s="7"/>
    </row>
    <row r="5867" spans="19:51">
      <c r="S5867" s="7"/>
      <c r="AX5867" s="7"/>
      <c r="AY5867" s="7"/>
    </row>
    <row r="5868" spans="19:51">
      <c r="S5868" s="7"/>
      <c r="AX5868" s="7"/>
      <c r="AY5868" s="7"/>
    </row>
    <row r="5869" spans="19:51">
      <c r="S5869" s="7"/>
      <c r="AX5869" s="7"/>
      <c r="AY5869" s="7"/>
    </row>
    <row r="5870" spans="19:51">
      <c r="S5870" s="7"/>
      <c r="AX5870" s="7"/>
      <c r="AY5870" s="7"/>
    </row>
    <row r="5871" spans="19:51">
      <c r="S5871" s="7"/>
      <c r="AX5871" s="7"/>
      <c r="AY5871" s="7"/>
    </row>
    <row r="5872" spans="19:51">
      <c r="S5872" s="7"/>
      <c r="AX5872" s="7"/>
      <c r="AY5872" s="7"/>
    </row>
    <row r="5873" spans="19:51">
      <c r="S5873" s="7"/>
      <c r="AX5873" s="7"/>
      <c r="AY5873" s="7"/>
    </row>
    <row r="5874" spans="19:51">
      <c r="S5874" s="7"/>
      <c r="AX5874" s="7"/>
      <c r="AY5874" s="7"/>
    </row>
    <row r="5875" spans="19:51">
      <c r="S5875" s="7"/>
      <c r="AX5875" s="7"/>
      <c r="AY5875" s="7"/>
    </row>
    <row r="5876" spans="19:51">
      <c r="S5876" s="7"/>
      <c r="AX5876" s="7"/>
      <c r="AY5876" s="7"/>
    </row>
    <row r="5877" spans="19:51">
      <c r="S5877" s="7"/>
      <c r="AX5877" s="7"/>
      <c r="AY5877" s="7"/>
    </row>
    <row r="5878" spans="19:51">
      <c r="S5878" s="7"/>
      <c r="AX5878" s="7"/>
      <c r="AY5878" s="7"/>
    </row>
    <row r="5879" spans="19:51">
      <c r="S5879" s="7"/>
      <c r="AX5879" s="7"/>
      <c r="AY5879" s="7"/>
    </row>
    <row r="5880" spans="19:51">
      <c r="S5880" s="7"/>
      <c r="AX5880" s="7"/>
      <c r="AY5880" s="7"/>
    </row>
    <row r="5881" spans="19:51">
      <c r="S5881" s="7"/>
      <c r="AX5881" s="7"/>
      <c r="AY5881" s="7"/>
    </row>
    <row r="5882" spans="19:51">
      <c r="S5882" s="7"/>
      <c r="AX5882" s="7"/>
      <c r="AY5882" s="7"/>
    </row>
    <row r="5883" spans="19:51">
      <c r="S5883" s="7"/>
      <c r="AX5883" s="7"/>
      <c r="AY5883" s="7"/>
    </row>
    <row r="5884" spans="19:51">
      <c r="S5884" s="7"/>
      <c r="AX5884" s="7"/>
      <c r="AY5884" s="7"/>
    </row>
    <row r="5885" spans="19:51">
      <c r="S5885" s="7"/>
      <c r="AX5885" s="7"/>
      <c r="AY5885" s="7"/>
    </row>
    <row r="5886" spans="19:51">
      <c r="S5886" s="7"/>
      <c r="AX5886" s="7"/>
      <c r="AY5886" s="7"/>
    </row>
    <row r="5887" spans="19:51">
      <c r="S5887" s="7"/>
      <c r="AX5887" s="7"/>
      <c r="AY5887" s="7"/>
    </row>
    <row r="5888" spans="19:51">
      <c r="S5888" s="7"/>
      <c r="AX5888" s="7"/>
      <c r="AY5888" s="7"/>
    </row>
    <row r="5889" spans="19:51">
      <c r="S5889" s="7"/>
      <c r="AX5889" s="7"/>
      <c r="AY5889" s="7"/>
    </row>
    <row r="5890" spans="19:51">
      <c r="S5890" s="7"/>
      <c r="AX5890" s="7"/>
      <c r="AY5890" s="7"/>
    </row>
    <row r="5891" spans="19:51">
      <c r="S5891" s="7"/>
      <c r="AX5891" s="7"/>
      <c r="AY5891" s="7"/>
    </row>
    <row r="5892" spans="19:51">
      <c r="S5892" s="7"/>
      <c r="AX5892" s="7"/>
      <c r="AY5892" s="7"/>
    </row>
    <row r="5893" spans="19:51">
      <c r="S5893" s="7"/>
      <c r="AX5893" s="7"/>
      <c r="AY5893" s="7"/>
    </row>
    <row r="5894" spans="19:51">
      <c r="S5894" s="7"/>
      <c r="AX5894" s="7"/>
      <c r="AY5894" s="7"/>
    </row>
    <row r="5895" spans="19:51">
      <c r="S5895" s="7"/>
      <c r="AX5895" s="7"/>
      <c r="AY5895" s="7"/>
    </row>
    <row r="5896" spans="19:51">
      <c r="S5896" s="7"/>
      <c r="AX5896" s="7"/>
      <c r="AY5896" s="7"/>
    </row>
    <row r="5897" spans="19:51">
      <c r="S5897" s="7"/>
      <c r="AX5897" s="7"/>
      <c r="AY5897" s="7"/>
    </row>
    <row r="5898" spans="19:51">
      <c r="S5898" s="7"/>
      <c r="AX5898" s="7"/>
      <c r="AY5898" s="7"/>
    </row>
    <row r="5899" spans="19:51">
      <c r="S5899" s="7"/>
      <c r="AX5899" s="7"/>
      <c r="AY5899" s="7"/>
    </row>
    <row r="5900" spans="19:51">
      <c r="S5900" s="7"/>
      <c r="AX5900" s="7"/>
      <c r="AY5900" s="7"/>
    </row>
    <row r="5901" spans="19:51">
      <c r="S5901" s="7"/>
      <c r="AX5901" s="7"/>
      <c r="AY5901" s="7"/>
    </row>
    <row r="5902" spans="19:51">
      <c r="S5902" s="7"/>
      <c r="AX5902" s="7"/>
      <c r="AY5902" s="7"/>
    </row>
    <row r="5903" spans="19:51">
      <c r="S5903" s="7"/>
      <c r="AX5903" s="7"/>
      <c r="AY5903" s="7"/>
    </row>
    <row r="5904" spans="19:51">
      <c r="S5904" s="7"/>
      <c r="AX5904" s="7"/>
      <c r="AY5904" s="7"/>
    </row>
    <row r="5905" spans="19:51">
      <c r="S5905" s="7"/>
      <c r="AX5905" s="7"/>
      <c r="AY5905" s="7"/>
    </row>
    <row r="5906" spans="19:51">
      <c r="S5906" s="7"/>
      <c r="AX5906" s="7"/>
      <c r="AY5906" s="7"/>
    </row>
    <row r="5907" spans="19:51">
      <c r="S5907" s="7"/>
      <c r="AX5907" s="7"/>
      <c r="AY5907" s="7"/>
    </row>
    <row r="5908" spans="19:51">
      <c r="S5908" s="7"/>
      <c r="AX5908" s="7"/>
      <c r="AY5908" s="7"/>
    </row>
    <row r="5909" spans="19:51">
      <c r="S5909" s="7"/>
      <c r="AX5909" s="7"/>
      <c r="AY5909" s="7"/>
    </row>
    <row r="5910" spans="19:51">
      <c r="S5910" s="7"/>
      <c r="AX5910" s="7"/>
      <c r="AY5910" s="7"/>
    </row>
    <row r="5911" spans="19:51">
      <c r="S5911" s="7"/>
      <c r="AX5911" s="7"/>
      <c r="AY5911" s="7"/>
    </row>
    <row r="5912" spans="19:51">
      <c r="S5912" s="7"/>
      <c r="AX5912" s="7"/>
      <c r="AY5912" s="7"/>
    </row>
    <row r="5913" spans="19:51">
      <c r="S5913" s="7"/>
      <c r="AX5913" s="7"/>
      <c r="AY5913" s="7"/>
    </row>
    <row r="5914" spans="19:51">
      <c r="S5914" s="7"/>
      <c r="AX5914" s="7"/>
      <c r="AY5914" s="7"/>
    </row>
    <row r="5915" spans="19:51">
      <c r="S5915" s="7"/>
      <c r="AX5915" s="7"/>
      <c r="AY5915" s="7"/>
    </row>
    <row r="5916" spans="19:51">
      <c r="S5916" s="7"/>
      <c r="AX5916" s="7"/>
      <c r="AY5916" s="7"/>
    </row>
    <row r="5917" spans="19:51">
      <c r="S5917" s="7"/>
      <c r="AX5917" s="7"/>
      <c r="AY5917" s="7"/>
    </row>
    <row r="5918" spans="19:51">
      <c r="S5918" s="7"/>
      <c r="AX5918" s="7"/>
      <c r="AY5918" s="7"/>
    </row>
    <row r="5919" spans="19:51">
      <c r="S5919" s="7"/>
      <c r="AX5919" s="7"/>
      <c r="AY5919" s="7"/>
    </row>
    <row r="5920" spans="19:51">
      <c r="S5920" s="7"/>
      <c r="AX5920" s="7"/>
      <c r="AY5920" s="7"/>
    </row>
    <row r="5921" spans="19:51">
      <c r="S5921" s="7"/>
      <c r="AX5921" s="7"/>
      <c r="AY5921" s="7"/>
    </row>
    <row r="5922" spans="19:51">
      <c r="S5922" s="7"/>
      <c r="AX5922" s="7"/>
      <c r="AY5922" s="7"/>
    </row>
    <row r="5923" spans="19:51">
      <c r="S5923" s="7"/>
      <c r="AX5923" s="7"/>
      <c r="AY5923" s="7"/>
    </row>
    <row r="5924" spans="19:51">
      <c r="S5924" s="7"/>
      <c r="AX5924" s="7"/>
      <c r="AY5924" s="7"/>
    </row>
    <row r="5925" spans="19:51">
      <c r="S5925" s="7"/>
      <c r="AX5925" s="7"/>
      <c r="AY5925" s="7"/>
    </row>
    <row r="5926" spans="19:51">
      <c r="S5926" s="7"/>
      <c r="AX5926" s="7"/>
      <c r="AY5926" s="7"/>
    </row>
    <row r="5927" spans="19:51">
      <c r="S5927" s="7"/>
      <c r="AX5927" s="7"/>
      <c r="AY5927" s="7"/>
    </row>
    <row r="5928" spans="19:51">
      <c r="S5928" s="7"/>
      <c r="AX5928" s="7"/>
      <c r="AY5928" s="7"/>
    </row>
    <row r="5929" spans="19:51">
      <c r="S5929" s="7"/>
      <c r="AX5929" s="7"/>
      <c r="AY5929" s="7"/>
    </row>
    <row r="5930" spans="19:51">
      <c r="S5930" s="7"/>
      <c r="AX5930" s="7"/>
      <c r="AY5930" s="7"/>
    </row>
    <row r="5931" spans="19:51">
      <c r="S5931" s="7"/>
      <c r="AX5931" s="7"/>
      <c r="AY5931" s="7"/>
    </row>
    <row r="5932" spans="19:51">
      <c r="S5932" s="7"/>
      <c r="AX5932" s="7"/>
      <c r="AY5932" s="7"/>
    </row>
    <row r="5933" spans="19:51">
      <c r="S5933" s="7"/>
      <c r="AX5933" s="7"/>
      <c r="AY5933" s="7"/>
    </row>
    <row r="5934" spans="19:51">
      <c r="S5934" s="7"/>
      <c r="AX5934" s="7"/>
      <c r="AY5934" s="7"/>
    </row>
    <row r="5935" spans="19:51">
      <c r="S5935" s="7"/>
      <c r="AX5935" s="7"/>
      <c r="AY5935" s="7"/>
    </row>
    <row r="5936" spans="19:51">
      <c r="S5936" s="7"/>
      <c r="AX5936" s="7"/>
      <c r="AY5936" s="7"/>
    </row>
    <row r="5937" spans="19:51">
      <c r="S5937" s="7"/>
      <c r="AX5937" s="7"/>
      <c r="AY5937" s="7"/>
    </row>
    <row r="5938" spans="19:51">
      <c r="S5938" s="7"/>
      <c r="AX5938" s="7"/>
      <c r="AY5938" s="7"/>
    </row>
    <row r="5939" spans="19:51">
      <c r="S5939" s="7"/>
      <c r="AX5939" s="7"/>
      <c r="AY5939" s="7"/>
    </row>
    <row r="5940" spans="19:51">
      <c r="S5940" s="7"/>
      <c r="AX5940" s="7"/>
      <c r="AY5940" s="7"/>
    </row>
    <row r="5941" spans="19:51">
      <c r="S5941" s="7"/>
      <c r="AX5941" s="7"/>
      <c r="AY5941" s="7"/>
    </row>
    <row r="5942" spans="19:51">
      <c r="S5942" s="7"/>
      <c r="AX5942" s="7"/>
      <c r="AY5942" s="7"/>
    </row>
    <row r="5943" spans="19:51">
      <c r="S5943" s="7"/>
      <c r="AX5943" s="7"/>
      <c r="AY5943" s="7"/>
    </row>
    <row r="5944" spans="19:51">
      <c r="S5944" s="7"/>
      <c r="AX5944" s="7"/>
      <c r="AY5944" s="7"/>
    </row>
    <row r="5945" spans="19:51">
      <c r="S5945" s="7"/>
      <c r="AX5945" s="7"/>
      <c r="AY5945" s="7"/>
    </row>
    <row r="5946" spans="19:51">
      <c r="S5946" s="7"/>
      <c r="AX5946" s="7"/>
      <c r="AY5946" s="7"/>
    </row>
    <row r="5947" spans="19:51">
      <c r="S5947" s="7"/>
      <c r="AX5947" s="7"/>
      <c r="AY5947" s="7"/>
    </row>
    <row r="5948" spans="19:51">
      <c r="S5948" s="7"/>
      <c r="AX5948" s="7"/>
      <c r="AY5948" s="7"/>
    </row>
    <row r="5949" spans="19:51">
      <c r="S5949" s="7"/>
      <c r="AX5949" s="7"/>
      <c r="AY5949" s="7"/>
    </row>
    <row r="5950" spans="19:51">
      <c r="S5950" s="7"/>
      <c r="AX5950" s="7"/>
      <c r="AY5950" s="7"/>
    </row>
    <row r="5951" spans="19:51">
      <c r="S5951" s="7"/>
      <c r="AX5951" s="7"/>
      <c r="AY5951" s="7"/>
    </row>
    <row r="5952" spans="19:51">
      <c r="S5952" s="7"/>
      <c r="AX5952" s="7"/>
      <c r="AY5952" s="7"/>
    </row>
    <row r="5953" spans="19:51">
      <c r="S5953" s="7"/>
      <c r="AX5953" s="7"/>
      <c r="AY5953" s="7"/>
    </row>
    <row r="5954" spans="19:51">
      <c r="S5954" s="7"/>
      <c r="AX5954" s="7"/>
      <c r="AY5954" s="7"/>
    </row>
    <row r="5955" spans="19:51">
      <c r="S5955" s="7"/>
      <c r="AX5955" s="7"/>
      <c r="AY5955" s="7"/>
    </row>
    <row r="5956" spans="19:51">
      <c r="S5956" s="7"/>
      <c r="AX5956" s="7"/>
      <c r="AY5956" s="7"/>
    </row>
    <row r="5957" spans="19:51">
      <c r="S5957" s="7"/>
      <c r="AX5957" s="7"/>
      <c r="AY5957" s="7"/>
    </row>
    <row r="5958" spans="19:51">
      <c r="S5958" s="7"/>
      <c r="AX5958" s="7"/>
      <c r="AY5958" s="7"/>
    </row>
    <row r="5959" spans="19:51">
      <c r="S5959" s="7"/>
      <c r="AX5959" s="7"/>
      <c r="AY5959" s="7"/>
    </row>
    <row r="5960" spans="19:51">
      <c r="S5960" s="7"/>
      <c r="AX5960" s="7"/>
      <c r="AY5960" s="7"/>
    </row>
    <row r="5961" spans="19:51">
      <c r="S5961" s="7"/>
      <c r="AX5961" s="7"/>
      <c r="AY5961" s="7"/>
    </row>
    <row r="5962" spans="19:51">
      <c r="S5962" s="7"/>
      <c r="AX5962" s="7"/>
      <c r="AY5962" s="7"/>
    </row>
    <row r="5963" spans="19:51">
      <c r="S5963" s="7"/>
      <c r="AX5963" s="7"/>
      <c r="AY5963" s="7"/>
    </row>
    <row r="5964" spans="19:51">
      <c r="S5964" s="7"/>
      <c r="AX5964" s="7"/>
      <c r="AY5964" s="7"/>
    </row>
    <row r="5965" spans="19:51">
      <c r="S5965" s="7"/>
      <c r="AX5965" s="7"/>
      <c r="AY5965" s="7"/>
    </row>
    <row r="5966" spans="19:51">
      <c r="S5966" s="7"/>
      <c r="AX5966" s="7"/>
      <c r="AY5966" s="7"/>
    </row>
    <row r="5967" spans="19:51">
      <c r="S5967" s="7"/>
      <c r="AX5967" s="7"/>
      <c r="AY5967" s="7"/>
    </row>
    <row r="5968" spans="19:51">
      <c r="S5968" s="7"/>
      <c r="AX5968" s="7"/>
      <c r="AY5968" s="7"/>
    </row>
    <row r="5969" spans="19:51">
      <c r="S5969" s="7"/>
      <c r="AX5969" s="7"/>
      <c r="AY5969" s="7"/>
    </row>
    <row r="5970" spans="19:51">
      <c r="S5970" s="7"/>
      <c r="AX5970" s="7"/>
      <c r="AY5970" s="7"/>
    </row>
    <row r="5971" spans="19:51">
      <c r="S5971" s="7"/>
      <c r="AX5971" s="7"/>
      <c r="AY5971" s="7"/>
    </row>
    <row r="5972" spans="19:51">
      <c r="S5972" s="7"/>
      <c r="AX5972" s="7"/>
      <c r="AY5972" s="7"/>
    </row>
    <row r="5973" spans="19:51">
      <c r="S5973" s="7"/>
      <c r="AX5973" s="7"/>
      <c r="AY5973" s="7"/>
    </row>
    <row r="5974" spans="19:51">
      <c r="S5974" s="7"/>
      <c r="AX5974" s="7"/>
      <c r="AY5974" s="7"/>
    </row>
    <row r="5975" spans="19:51">
      <c r="S5975" s="7"/>
      <c r="AX5975" s="7"/>
      <c r="AY5975" s="7"/>
    </row>
    <row r="5976" spans="19:51">
      <c r="S5976" s="7"/>
      <c r="AX5976" s="7"/>
      <c r="AY5976" s="7"/>
    </row>
    <row r="5977" spans="19:51">
      <c r="S5977" s="7"/>
      <c r="AX5977" s="7"/>
      <c r="AY5977" s="7"/>
    </row>
    <row r="5978" spans="19:51">
      <c r="S5978" s="7"/>
      <c r="AX5978" s="7"/>
      <c r="AY5978" s="7"/>
    </row>
    <row r="5979" spans="19:51">
      <c r="S5979" s="7"/>
      <c r="AX5979" s="7"/>
      <c r="AY5979" s="7"/>
    </row>
    <row r="5980" spans="19:51">
      <c r="S5980" s="7"/>
      <c r="AX5980" s="7"/>
      <c r="AY5980" s="7"/>
    </row>
    <row r="5981" spans="19:51">
      <c r="S5981" s="7"/>
      <c r="AX5981" s="7"/>
      <c r="AY5981" s="7"/>
    </row>
    <row r="5982" spans="19:51">
      <c r="S5982" s="7"/>
      <c r="AX5982" s="7"/>
      <c r="AY5982" s="7"/>
    </row>
    <row r="5983" spans="19:51">
      <c r="S5983" s="7"/>
      <c r="AX5983" s="7"/>
      <c r="AY5983" s="7"/>
    </row>
    <row r="5984" spans="19:51">
      <c r="S5984" s="7"/>
      <c r="AX5984" s="7"/>
      <c r="AY5984" s="7"/>
    </row>
    <row r="5985" spans="19:51">
      <c r="S5985" s="7"/>
      <c r="AX5985" s="7"/>
      <c r="AY5985" s="7"/>
    </row>
    <row r="5986" spans="19:51">
      <c r="S5986" s="7"/>
      <c r="AX5986" s="7"/>
      <c r="AY5986" s="7"/>
    </row>
    <row r="5987" spans="19:51">
      <c r="S5987" s="7"/>
      <c r="AX5987" s="7"/>
      <c r="AY5987" s="7"/>
    </row>
    <row r="5988" spans="19:51">
      <c r="S5988" s="7"/>
      <c r="AX5988" s="7"/>
      <c r="AY5988" s="7"/>
    </row>
    <row r="5989" spans="19:51">
      <c r="S5989" s="7"/>
      <c r="AX5989" s="7"/>
      <c r="AY5989" s="7"/>
    </row>
    <row r="5990" spans="19:51">
      <c r="S5990" s="7"/>
      <c r="AX5990" s="7"/>
      <c r="AY5990" s="7"/>
    </row>
    <row r="5991" spans="19:51">
      <c r="S5991" s="7"/>
      <c r="AX5991" s="7"/>
      <c r="AY5991" s="7"/>
    </row>
    <row r="5992" spans="19:51">
      <c r="S5992" s="7"/>
      <c r="AX5992" s="7"/>
      <c r="AY5992" s="7"/>
    </row>
    <row r="5993" spans="19:51">
      <c r="S5993" s="7"/>
      <c r="AX5993" s="7"/>
      <c r="AY5993" s="7"/>
    </row>
    <row r="5994" spans="19:51">
      <c r="S5994" s="7"/>
      <c r="AX5994" s="7"/>
      <c r="AY5994" s="7"/>
    </row>
    <row r="5995" spans="19:51">
      <c r="S5995" s="7"/>
      <c r="AX5995" s="7"/>
      <c r="AY5995" s="7"/>
    </row>
    <row r="5996" spans="19:51">
      <c r="S5996" s="7"/>
      <c r="AX5996" s="7"/>
      <c r="AY5996" s="7"/>
    </row>
    <row r="5997" spans="19:51">
      <c r="S5997" s="7"/>
      <c r="AX5997" s="7"/>
      <c r="AY5997" s="7"/>
    </row>
    <row r="5998" spans="19:51">
      <c r="S5998" s="7"/>
      <c r="AX5998" s="7"/>
      <c r="AY5998" s="7"/>
    </row>
    <row r="5999" spans="19:51">
      <c r="S5999" s="7"/>
      <c r="AX5999" s="7"/>
      <c r="AY5999" s="7"/>
    </row>
    <row r="6000" spans="19:51">
      <c r="S6000" s="7"/>
      <c r="AX6000" s="7"/>
      <c r="AY6000" s="7"/>
    </row>
    <row r="6001" spans="19:51">
      <c r="S6001" s="7"/>
      <c r="AX6001" s="7"/>
      <c r="AY6001" s="7"/>
    </row>
    <row r="6002" spans="19:51">
      <c r="S6002" s="7"/>
      <c r="AX6002" s="7"/>
      <c r="AY6002" s="7"/>
    </row>
    <row r="6003" spans="19:51">
      <c r="S6003" s="7"/>
      <c r="AX6003" s="7"/>
      <c r="AY6003" s="7"/>
    </row>
    <row r="6004" spans="19:51">
      <c r="S6004" s="7"/>
      <c r="AX6004" s="7"/>
      <c r="AY6004" s="7"/>
    </row>
    <row r="6005" spans="19:51">
      <c r="S6005" s="7"/>
      <c r="AX6005" s="7"/>
      <c r="AY6005" s="7"/>
    </row>
    <row r="6006" spans="19:51">
      <c r="S6006" s="7"/>
      <c r="AX6006" s="7"/>
      <c r="AY6006" s="7"/>
    </row>
    <row r="6007" spans="19:51">
      <c r="S6007" s="7"/>
      <c r="AX6007" s="7"/>
      <c r="AY6007" s="7"/>
    </row>
    <row r="6008" spans="19:51">
      <c r="S6008" s="7"/>
      <c r="AX6008" s="7"/>
      <c r="AY6008" s="7"/>
    </row>
    <row r="6009" spans="19:51">
      <c r="S6009" s="7"/>
      <c r="AX6009" s="7"/>
      <c r="AY6009" s="7"/>
    </row>
    <row r="6010" spans="19:51">
      <c r="S6010" s="7"/>
      <c r="AX6010" s="7"/>
      <c r="AY6010" s="7"/>
    </row>
    <row r="6011" spans="19:51">
      <c r="S6011" s="7"/>
      <c r="AX6011" s="7"/>
      <c r="AY6011" s="7"/>
    </row>
    <row r="6012" spans="19:51">
      <c r="S6012" s="7"/>
      <c r="AX6012" s="7"/>
      <c r="AY6012" s="7"/>
    </row>
    <row r="6013" spans="19:51">
      <c r="S6013" s="7"/>
      <c r="AX6013" s="7"/>
      <c r="AY6013" s="7"/>
    </row>
    <row r="6014" spans="19:51">
      <c r="S6014" s="7"/>
      <c r="AX6014" s="7"/>
      <c r="AY6014" s="7"/>
    </row>
    <row r="6015" spans="19:51">
      <c r="S6015" s="7"/>
      <c r="AX6015" s="7"/>
      <c r="AY6015" s="7"/>
    </row>
    <row r="6016" spans="19:51">
      <c r="S6016" s="7"/>
      <c r="AX6016" s="7"/>
      <c r="AY6016" s="7"/>
    </row>
    <row r="6017" spans="19:51">
      <c r="S6017" s="7"/>
      <c r="AX6017" s="7"/>
      <c r="AY6017" s="7"/>
    </row>
    <row r="6018" spans="19:51">
      <c r="S6018" s="7"/>
      <c r="AX6018" s="7"/>
      <c r="AY6018" s="7"/>
    </row>
    <row r="6019" spans="19:51">
      <c r="S6019" s="7"/>
      <c r="AX6019" s="7"/>
      <c r="AY6019" s="7"/>
    </row>
    <row r="6020" spans="19:51">
      <c r="S6020" s="7"/>
      <c r="AX6020" s="7"/>
      <c r="AY6020" s="7"/>
    </row>
    <row r="6021" spans="19:51">
      <c r="S6021" s="7"/>
      <c r="AX6021" s="7"/>
      <c r="AY6021" s="7"/>
    </row>
    <row r="6022" spans="19:51">
      <c r="S6022" s="7"/>
      <c r="AX6022" s="7"/>
      <c r="AY6022" s="7"/>
    </row>
    <row r="6023" spans="19:51">
      <c r="S6023" s="7"/>
      <c r="AX6023" s="7"/>
      <c r="AY6023" s="7"/>
    </row>
    <row r="6024" spans="19:51">
      <c r="S6024" s="7"/>
      <c r="AX6024" s="7"/>
      <c r="AY6024" s="7"/>
    </row>
    <row r="6025" spans="19:51">
      <c r="S6025" s="7"/>
      <c r="AX6025" s="7"/>
      <c r="AY6025" s="7"/>
    </row>
    <row r="6026" spans="19:51">
      <c r="S6026" s="7"/>
      <c r="AX6026" s="7"/>
      <c r="AY6026" s="7"/>
    </row>
    <row r="6027" spans="19:51">
      <c r="S6027" s="7"/>
      <c r="AX6027" s="7"/>
      <c r="AY6027" s="7"/>
    </row>
    <row r="6028" spans="19:51">
      <c r="S6028" s="7"/>
      <c r="AX6028" s="7"/>
      <c r="AY6028" s="7"/>
    </row>
    <row r="6029" spans="19:51">
      <c r="S6029" s="7"/>
      <c r="AX6029" s="7"/>
      <c r="AY6029" s="7"/>
    </row>
    <row r="6030" spans="19:51">
      <c r="S6030" s="7"/>
      <c r="AX6030" s="7"/>
      <c r="AY6030" s="7"/>
    </row>
    <row r="6031" spans="19:51">
      <c r="S6031" s="7"/>
      <c r="AX6031" s="7"/>
      <c r="AY6031" s="7"/>
    </row>
    <row r="6032" spans="19:51">
      <c r="S6032" s="7"/>
      <c r="AX6032" s="7"/>
      <c r="AY6032" s="7"/>
    </row>
    <row r="6033" spans="19:51">
      <c r="S6033" s="7"/>
      <c r="AX6033" s="7"/>
      <c r="AY6033" s="7"/>
    </row>
    <row r="6034" spans="19:51">
      <c r="S6034" s="7"/>
      <c r="AX6034" s="7"/>
      <c r="AY6034" s="7"/>
    </row>
    <row r="6035" spans="19:51">
      <c r="S6035" s="7"/>
      <c r="AX6035" s="7"/>
      <c r="AY6035" s="7"/>
    </row>
    <row r="6036" spans="19:51">
      <c r="S6036" s="7"/>
      <c r="AX6036" s="7"/>
      <c r="AY6036" s="7"/>
    </row>
    <row r="6037" spans="19:51">
      <c r="S6037" s="7"/>
      <c r="AX6037" s="7"/>
      <c r="AY6037" s="7"/>
    </row>
    <row r="6038" spans="19:51">
      <c r="S6038" s="7"/>
      <c r="AX6038" s="7"/>
      <c r="AY6038" s="7"/>
    </row>
    <row r="6039" spans="19:51">
      <c r="S6039" s="7"/>
      <c r="AX6039" s="7"/>
      <c r="AY6039" s="7"/>
    </row>
    <row r="6040" spans="19:51">
      <c r="S6040" s="7"/>
      <c r="AX6040" s="7"/>
      <c r="AY6040" s="7"/>
    </row>
    <row r="6041" spans="19:51">
      <c r="S6041" s="7"/>
      <c r="AX6041" s="7"/>
      <c r="AY6041" s="7"/>
    </row>
    <row r="6042" spans="19:51">
      <c r="S6042" s="7"/>
      <c r="AX6042" s="7"/>
      <c r="AY6042" s="7"/>
    </row>
    <row r="6043" spans="19:51">
      <c r="S6043" s="7"/>
      <c r="AX6043" s="7"/>
      <c r="AY6043" s="7"/>
    </row>
    <row r="6044" spans="19:51">
      <c r="S6044" s="7"/>
      <c r="AX6044" s="7"/>
      <c r="AY6044" s="7"/>
    </row>
    <row r="6045" spans="19:51">
      <c r="S6045" s="7"/>
      <c r="AX6045" s="7"/>
      <c r="AY6045" s="7"/>
    </row>
    <row r="6046" spans="19:51">
      <c r="S6046" s="7"/>
      <c r="AX6046" s="7"/>
      <c r="AY6046" s="7"/>
    </row>
    <row r="6047" spans="19:51">
      <c r="S6047" s="7"/>
      <c r="AX6047" s="7"/>
      <c r="AY6047" s="7"/>
    </row>
    <row r="6048" spans="19:51">
      <c r="S6048" s="7"/>
      <c r="AX6048" s="7"/>
      <c r="AY6048" s="7"/>
    </row>
    <row r="6049" spans="19:51">
      <c r="S6049" s="7"/>
      <c r="AX6049" s="7"/>
      <c r="AY6049" s="7"/>
    </row>
    <row r="6050" spans="19:51">
      <c r="S6050" s="7"/>
      <c r="AX6050" s="7"/>
      <c r="AY6050" s="7"/>
    </row>
    <row r="6051" spans="19:51">
      <c r="S6051" s="7"/>
      <c r="AX6051" s="7"/>
      <c r="AY6051" s="7"/>
    </row>
    <row r="6052" spans="19:51">
      <c r="S6052" s="7"/>
      <c r="AX6052" s="7"/>
      <c r="AY6052" s="7"/>
    </row>
    <row r="6053" spans="19:51">
      <c r="S6053" s="7"/>
      <c r="AX6053" s="7"/>
      <c r="AY6053" s="7"/>
    </row>
    <row r="6054" spans="19:51">
      <c r="S6054" s="7"/>
      <c r="AX6054" s="7"/>
      <c r="AY6054" s="7"/>
    </row>
    <row r="6055" spans="19:51">
      <c r="S6055" s="7"/>
      <c r="AX6055" s="7"/>
      <c r="AY6055" s="7"/>
    </row>
    <row r="6056" spans="19:51">
      <c r="S6056" s="7"/>
      <c r="AX6056" s="7"/>
      <c r="AY6056" s="7"/>
    </row>
    <row r="6057" spans="19:51">
      <c r="S6057" s="7"/>
      <c r="AX6057" s="7"/>
      <c r="AY6057" s="7"/>
    </row>
    <row r="6058" spans="19:51">
      <c r="S6058" s="7"/>
      <c r="AX6058" s="7"/>
      <c r="AY6058" s="7"/>
    </row>
    <row r="6059" spans="19:51">
      <c r="S6059" s="7"/>
      <c r="AX6059" s="7"/>
      <c r="AY6059" s="7"/>
    </row>
    <row r="6060" spans="19:51">
      <c r="S6060" s="7"/>
      <c r="AX6060" s="7"/>
      <c r="AY6060" s="7"/>
    </row>
    <row r="6061" spans="19:51">
      <c r="S6061" s="7"/>
      <c r="AX6061" s="7"/>
      <c r="AY6061" s="7"/>
    </row>
    <row r="6062" spans="19:51">
      <c r="S6062" s="7"/>
      <c r="AX6062" s="7"/>
      <c r="AY6062" s="7"/>
    </row>
    <row r="6063" spans="19:51">
      <c r="S6063" s="7"/>
      <c r="AX6063" s="7"/>
      <c r="AY6063" s="7"/>
    </row>
    <row r="6064" spans="19:51">
      <c r="S6064" s="7"/>
      <c r="AX6064" s="7"/>
      <c r="AY6064" s="7"/>
    </row>
    <row r="6065" spans="19:51">
      <c r="S6065" s="7"/>
      <c r="AX6065" s="7"/>
      <c r="AY6065" s="7"/>
    </row>
    <row r="6066" spans="19:51">
      <c r="S6066" s="7"/>
      <c r="AX6066" s="7"/>
      <c r="AY6066" s="7"/>
    </row>
    <row r="6067" spans="19:51">
      <c r="S6067" s="7"/>
      <c r="AX6067" s="7"/>
      <c r="AY6067" s="7"/>
    </row>
    <row r="6068" spans="19:51">
      <c r="S6068" s="7"/>
      <c r="AX6068" s="7"/>
      <c r="AY6068" s="7"/>
    </row>
    <row r="6069" spans="19:51">
      <c r="S6069" s="7"/>
      <c r="AX6069" s="7"/>
      <c r="AY6069" s="7"/>
    </row>
    <row r="6070" spans="19:51">
      <c r="S6070" s="7"/>
      <c r="AX6070" s="7"/>
      <c r="AY6070" s="7"/>
    </row>
    <row r="6071" spans="19:51">
      <c r="S6071" s="7"/>
      <c r="AX6071" s="7"/>
      <c r="AY6071" s="7"/>
    </row>
    <row r="6072" spans="19:51">
      <c r="S6072" s="7"/>
      <c r="AX6072" s="7"/>
      <c r="AY6072" s="7"/>
    </row>
    <row r="6073" spans="19:51">
      <c r="S6073" s="7"/>
      <c r="AX6073" s="7"/>
      <c r="AY6073" s="7"/>
    </row>
    <row r="6074" spans="19:51">
      <c r="S6074" s="7"/>
      <c r="AX6074" s="7"/>
      <c r="AY6074" s="7"/>
    </row>
    <row r="6075" spans="19:51">
      <c r="S6075" s="7"/>
      <c r="AX6075" s="7"/>
      <c r="AY6075" s="7"/>
    </row>
    <row r="6076" spans="19:51">
      <c r="S6076" s="7"/>
      <c r="AX6076" s="7"/>
      <c r="AY6076" s="7"/>
    </row>
    <row r="6077" spans="19:51">
      <c r="S6077" s="7"/>
      <c r="AX6077" s="7"/>
      <c r="AY6077" s="7"/>
    </row>
    <row r="6078" spans="19:51">
      <c r="S6078" s="7"/>
      <c r="AX6078" s="7"/>
      <c r="AY6078" s="7"/>
    </row>
    <row r="6079" spans="19:51">
      <c r="S6079" s="7"/>
      <c r="AX6079" s="7"/>
      <c r="AY6079" s="7"/>
    </row>
    <row r="6080" spans="19:51">
      <c r="S6080" s="7"/>
      <c r="AX6080" s="7"/>
      <c r="AY6080" s="7"/>
    </row>
    <row r="6081" spans="19:51">
      <c r="S6081" s="7"/>
      <c r="AX6081" s="7"/>
      <c r="AY6081" s="7"/>
    </row>
    <row r="6082" spans="19:51">
      <c r="S6082" s="7"/>
      <c r="AX6082" s="7"/>
      <c r="AY6082" s="7"/>
    </row>
    <row r="6083" spans="19:51">
      <c r="S6083" s="7"/>
      <c r="AX6083" s="7"/>
      <c r="AY6083" s="7"/>
    </row>
    <row r="6084" spans="19:51">
      <c r="S6084" s="7"/>
      <c r="AX6084" s="7"/>
      <c r="AY6084" s="7"/>
    </row>
    <row r="6085" spans="19:51">
      <c r="S6085" s="7"/>
      <c r="AX6085" s="7"/>
      <c r="AY6085" s="7"/>
    </row>
    <row r="6086" spans="19:51">
      <c r="S6086" s="7"/>
      <c r="AX6086" s="7"/>
      <c r="AY6086" s="7"/>
    </row>
    <row r="6087" spans="19:51">
      <c r="S6087" s="7"/>
      <c r="AX6087" s="7"/>
      <c r="AY6087" s="7"/>
    </row>
    <row r="6088" spans="19:51">
      <c r="S6088" s="7"/>
      <c r="AX6088" s="7"/>
      <c r="AY6088" s="7"/>
    </row>
    <row r="6089" spans="19:51">
      <c r="S6089" s="7"/>
      <c r="AX6089" s="7"/>
      <c r="AY6089" s="7"/>
    </row>
    <row r="6090" spans="19:51">
      <c r="S6090" s="7"/>
      <c r="AX6090" s="7"/>
      <c r="AY6090" s="7"/>
    </row>
    <row r="6091" spans="19:51">
      <c r="S6091" s="7"/>
      <c r="AX6091" s="7"/>
      <c r="AY6091" s="7"/>
    </row>
    <row r="6092" spans="19:51">
      <c r="S6092" s="7"/>
      <c r="AX6092" s="7"/>
      <c r="AY6092" s="7"/>
    </row>
    <row r="6093" spans="19:51">
      <c r="S6093" s="7"/>
      <c r="AX6093" s="7"/>
      <c r="AY6093" s="7"/>
    </row>
    <row r="6094" spans="19:51">
      <c r="S6094" s="7"/>
      <c r="AX6094" s="7"/>
      <c r="AY6094" s="7"/>
    </row>
    <row r="6095" spans="19:51">
      <c r="S6095" s="7"/>
      <c r="AX6095" s="7"/>
      <c r="AY6095" s="7"/>
    </row>
    <row r="6096" spans="19:51">
      <c r="S6096" s="7"/>
      <c r="AX6096" s="7"/>
      <c r="AY6096" s="7"/>
    </row>
    <row r="6097" spans="19:51">
      <c r="S6097" s="7"/>
      <c r="AX6097" s="7"/>
      <c r="AY6097" s="7"/>
    </row>
    <row r="6098" spans="19:51">
      <c r="S6098" s="7"/>
      <c r="AX6098" s="7"/>
      <c r="AY6098" s="7"/>
    </row>
    <row r="6099" spans="19:51">
      <c r="S6099" s="7"/>
      <c r="AX6099" s="7"/>
      <c r="AY6099" s="7"/>
    </row>
    <row r="6100" spans="19:51">
      <c r="S6100" s="7"/>
      <c r="AX6100" s="7"/>
      <c r="AY6100" s="7"/>
    </row>
    <row r="6101" spans="19:51">
      <c r="S6101" s="7"/>
      <c r="AX6101" s="7"/>
      <c r="AY6101" s="7"/>
    </row>
    <row r="6102" spans="19:51">
      <c r="S6102" s="7"/>
      <c r="AX6102" s="7"/>
      <c r="AY6102" s="7"/>
    </row>
    <row r="6103" spans="19:51">
      <c r="S6103" s="7"/>
      <c r="AX6103" s="7"/>
      <c r="AY6103" s="7"/>
    </row>
    <row r="6104" spans="19:51">
      <c r="S6104" s="7"/>
      <c r="AX6104" s="7"/>
      <c r="AY6104" s="7"/>
    </row>
    <row r="6105" spans="19:51">
      <c r="S6105" s="7"/>
      <c r="AX6105" s="7"/>
      <c r="AY6105" s="7"/>
    </row>
    <row r="6106" spans="19:51">
      <c r="S6106" s="7"/>
      <c r="AX6106" s="7"/>
      <c r="AY6106" s="7"/>
    </row>
    <row r="6107" spans="19:51">
      <c r="S6107" s="7"/>
      <c r="AX6107" s="7"/>
      <c r="AY6107" s="7"/>
    </row>
    <row r="6108" spans="19:51">
      <c r="S6108" s="7"/>
      <c r="AX6108" s="7"/>
      <c r="AY6108" s="7"/>
    </row>
    <row r="6109" spans="19:51">
      <c r="S6109" s="7"/>
      <c r="AX6109" s="7"/>
      <c r="AY6109" s="7"/>
    </row>
    <row r="6110" spans="19:51">
      <c r="S6110" s="7"/>
      <c r="AX6110" s="7"/>
      <c r="AY6110" s="7"/>
    </row>
    <row r="6111" spans="19:51">
      <c r="S6111" s="7"/>
      <c r="AX6111" s="7"/>
      <c r="AY6111" s="7"/>
    </row>
    <row r="6112" spans="19:51">
      <c r="S6112" s="7"/>
      <c r="AX6112" s="7"/>
      <c r="AY6112" s="7"/>
    </row>
    <row r="6113" spans="50:51">
      <c r="AX6113" s="7"/>
      <c r="AY6113" s="7"/>
    </row>
    <row r="6114" spans="50:51">
      <c r="AX6114" s="7"/>
      <c r="AY6114" s="7"/>
    </row>
    <row r="6115" spans="50:51">
      <c r="AX6115" s="7"/>
      <c r="AY6115" s="7"/>
    </row>
    <row r="6116" spans="50:51">
      <c r="AX6116" s="7"/>
      <c r="AY6116" s="7"/>
    </row>
    <row r="6117" spans="50:51">
      <c r="AX6117" s="7"/>
      <c r="AY6117" s="7"/>
    </row>
    <row r="6118" spans="50:51">
      <c r="AX6118" s="7"/>
      <c r="AY6118" s="7"/>
    </row>
    <row r="6119" spans="50:51">
      <c r="AX6119" s="7"/>
      <c r="AY6119" s="7"/>
    </row>
    <row r="6120" spans="50:51">
      <c r="AX6120" s="7"/>
      <c r="AY6120" s="7"/>
    </row>
    <row r="6121" spans="50:51">
      <c r="AX6121" s="7"/>
      <c r="AY6121" s="7"/>
    </row>
    <row r="6122" spans="50:51">
      <c r="AX6122" s="7"/>
      <c r="AY6122" s="7"/>
    </row>
    <row r="6123" spans="50:51">
      <c r="AX6123" s="7"/>
      <c r="AY6123" s="7"/>
    </row>
    <row r="6124" spans="50:51">
      <c r="AX6124" s="7"/>
      <c r="AY6124" s="7"/>
    </row>
    <row r="6125" spans="50:51">
      <c r="AX6125" s="7"/>
      <c r="AY6125" s="7"/>
    </row>
    <row r="6126" spans="50:51">
      <c r="AX6126" s="7"/>
      <c r="AY6126" s="7"/>
    </row>
    <row r="6127" spans="50:51">
      <c r="AX6127" s="7"/>
      <c r="AY6127" s="7"/>
    </row>
    <row r="6128" spans="50:51">
      <c r="AX6128" s="7"/>
      <c r="AY6128" s="7"/>
    </row>
    <row r="6129" spans="50:51">
      <c r="AX6129" s="7"/>
      <c r="AY6129" s="7"/>
    </row>
    <row r="6130" spans="50:51">
      <c r="AX6130" s="7"/>
      <c r="AY6130" s="7"/>
    </row>
    <row r="6131" spans="50:51">
      <c r="AX6131" s="7"/>
      <c r="AY6131" s="7"/>
    </row>
    <row r="6132" spans="50:51">
      <c r="AX6132" s="7"/>
      <c r="AY6132" s="7"/>
    </row>
    <row r="6133" spans="50:51">
      <c r="AX6133" s="7"/>
      <c r="AY6133" s="7"/>
    </row>
    <row r="6134" spans="50:51">
      <c r="AX6134" s="7"/>
      <c r="AY6134" s="7"/>
    </row>
    <row r="6135" spans="50:51">
      <c r="AX6135" s="7"/>
      <c r="AY6135" s="7"/>
    </row>
    <row r="6136" spans="50:51">
      <c r="AX6136" s="7"/>
      <c r="AY6136" s="7"/>
    </row>
    <row r="6137" spans="50:51">
      <c r="AX6137" s="7"/>
      <c r="AY6137" s="7"/>
    </row>
    <row r="6138" spans="50:51">
      <c r="AX6138" s="7"/>
      <c r="AY6138" s="7"/>
    </row>
    <row r="6139" spans="50:51">
      <c r="AX6139" s="7"/>
      <c r="AY6139" s="7"/>
    </row>
    <row r="6140" spans="50:51">
      <c r="AX6140" s="7"/>
      <c r="AY6140" s="7"/>
    </row>
    <row r="6141" spans="50:51">
      <c r="AX6141" s="7"/>
      <c r="AY6141" s="7"/>
    </row>
    <row r="6142" spans="50:51">
      <c r="AX6142" s="7"/>
      <c r="AY6142" s="7"/>
    </row>
    <row r="6143" spans="50:51">
      <c r="AX6143" s="7"/>
      <c r="AY6143" s="7"/>
    </row>
    <row r="6144" spans="50:51">
      <c r="AX6144" s="7"/>
      <c r="AY6144" s="7"/>
    </row>
    <row r="6145" spans="50:51">
      <c r="AX6145" s="7"/>
      <c r="AY6145" s="7"/>
    </row>
    <row r="6146" spans="50:51">
      <c r="AX6146" s="7"/>
      <c r="AY6146" s="7"/>
    </row>
    <row r="6147" spans="50:51">
      <c r="AX6147" s="7"/>
      <c r="AY6147" s="7"/>
    </row>
    <row r="6148" spans="50:51">
      <c r="AX6148" s="7"/>
      <c r="AY6148" s="7"/>
    </row>
    <row r="6149" spans="50:51">
      <c r="AX6149" s="7"/>
      <c r="AY6149" s="7"/>
    </row>
    <row r="6150" spans="50:51">
      <c r="AX6150" s="7"/>
      <c r="AY6150" s="7"/>
    </row>
    <row r="6151" spans="50:51">
      <c r="AX6151" s="7"/>
      <c r="AY6151" s="7"/>
    </row>
    <row r="6152" spans="50:51">
      <c r="AX6152" s="7"/>
      <c r="AY6152" s="7"/>
    </row>
    <row r="6153" spans="50:51">
      <c r="AX6153" s="7"/>
      <c r="AY6153" s="7"/>
    </row>
    <row r="6154" spans="50:51">
      <c r="AX6154" s="7"/>
      <c r="AY6154" s="7"/>
    </row>
    <row r="6155" spans="50:51">
      <c r="AX6155" s="7"/>
      <c r="AY6155" s="7"/>
    </row>
    <row r="6156" spans="50:51">
      <c r="AX6156" s="7"/>
      <c r="AY6156" s="7"/>
    </row>
    <row r="6157" spans="50:51">
      <c r="AX6157" s="7"/>
      <c r="AY6157" s="7"/>
    </row>
    <row r="6158" spans="50:51">
      <c r="AX6158" s="7"/>
      <c r="AY6158" s="7"/>
    </row>
    <row r="6159" spans="50:51">
      <c r="AX6159" s="7"/>
      <c r="AY6159" s="7"/>
    </row>
    <row r="6160" spans="50:51">
      <c r="AX6160" s="7"/>
      <c r="AY6160" s="7"/>
    </row>
    <row r="6161" spans="50:51">
      <c r="AX6161" s="7"/>
      <c r="AY6161" s="7"/>
    </row>
    <row r="6162" spans="50:51">
      <c r="AX6162" s="7"/>
      <c r="AY6162" s="7"/>
    </row>
    <row r="6163" spans="50:51">
      <c r="AX6163" s="7"/>
      <c r="AY6163" s="7"/>
    </row>
    <row r="6164" spans="50:51">
      <c r="AX6164" s="7"/>
      <c r="AY6164" s="7"/>
    </row>
    <row r="6165" spans="50:51">
      <c r="AX6165" s="7"/>
      <c r="AY6165" s="7"/>
    </row>
    <row r="6166" spans="50:51">
      <c r="AX6166" s="7"/>
      <c r="AY6166" s="7"/>
    </row>
    <row r="6167" spans="50:51">
      <c r="AX6167" s="7"/>
      <c r="AY6167" s="7"/>
    </row>
    <row r="6168" spans="50:51">
      <c r="AX6168" s="7"/>
      <c r="AY6168" s="7"/>
    </row>
    <row r="6169" spans="50:51">
      <c r="AX6169" s="7"/>
      <c r="AY6169" s="7"/>
    </row>
    <row r="6170" spans="50:51">
      <c r="AX6170" s="7"/>
      <c r="AY6170" s="7"/>
    </row>
    <row r="6171" spans="50:51">
      <c r="AX6171" s="7"/>
      <c r="AY6171" s="7"/>
    </row>
    <row r="6172" spans="50:51">
      <c r="AX6172" s="7"/>
      <c r="AY6172" s="7"/>
    </row>
    <row r="6173" spans="50:51">
      <c r="AX6173" s="7"/>
      <c r="AY6173" s="7"/>
    </row>
    <row r="6174" spans="50:51">
      <c r="AX6174" s="7"/>
      <c r="AY6174" s="7"/>
    </row>
    <row r="6175" spans="50:51">
      <c r="AX6175" s="7"/>
      <c r="AY6175" s="7"/>
    </row>
    <row r="6176" spans="50:51">
      <c r="AX6176" s="7"/>
      <c r="AY6176" s="7"/>
    </row>
    <row r="6177" spans="50:51">
      <c r="AX6177" s="7"/>
      <c r="AY6177" s="7"/>
    </row>
    <row r="6178" spans="50:51">
      <c r="AX6178" s="7"/>
      <c r="AY6178" s="7"/>
    </row>
    <row r="6179" spans="50:51">
      <c r="AX6179" s="7"/>
      <c r="AY6179" s="7"/>
    </row>
    <row r="6180" spans="50:51">
      <c r="AX6180" s="7"/>
      <c r="AY6180" s="7"/>
    </row>
    <row r="6181" spans="50:51">
      <c r="AX6181" s="7"/>
      <c r="AY6181" s="7"/>
    </row>
    <row r="6182" spans="50:51">
      <c r="AX6182" s="7"/>
      <c r="AY6182" s="7"/>
    </row>
    <row r="6183" spans="50:51">
      <c r="AX6183" s="7"/>
      <c r="AY6183" s="7"/>
    </row>
    <row r="6184" spans="50:51">
      <c r="AX6184" s="7"/>
      <c r="AY6184" s="7"/>
    </row>
    <row r="6185" spans="50:51">
      <c r="AX6185" s="7"/>
      <c r="AY6185" s="7"/>
    </row>
    <row r="6186" spans="50:51">
      <c r="AX6186" s="7"/>
      <c r="AY6186" s="7"/>
    </row>
    <row r="6187" spans="50:51">
      <c r="AX6187" s="7"/>
      <c r="AY6187" s="7"/>
    </row>
    <row r="6188" spans="50:51">
      <c r="AX6188" s="7"/>
      <c r="AY6188" s="7"/>
    </row>
    <row r="6189" spans="50:51">
      <c r="AX6189" s="7"/>
      <c r="AY6189" s="7"/>
    </row>
    <row r="6190" spans="50:51">
      <c r="AX6190" s="7"/>
      <c r="AY6190" s="7"/>
    </row>
    <row r="6191" spans="50:51">
      <c r="AX6191" s="7"/>
      <c r="AY6191" s="7"/>
    </row>
    <row r="6192" spans="50:51">
      <c r="AX6192" s="7"/>
      <c r="AY6192" s="7"/>
    </row>
    <row r="6193" spans="50:51">
      <c r="AX6193" s="7"/>
      <c r="AY6193" s="7"/>
    </row>
    <row r="6194" spans="50:51">
      <c r="AX6194" s="7"/>
      <c r="AY6194" s="7"/>
    </row>
    <row r="6195" spans="50:51">
      <c r="AX6195" s="7"/>
      <c r="AY6195" s="7"/>
    </row>
    <row r="6196" spans="50:51">
      <c r="AX6196" s="7"/>
      <c r="AY6196" s="7"/>
    </row>
    <row r="6197" spans="50:51">
      <c r="AX6197" s="7"/>
      <c r="AY6197" s="7"/>
    </row>
    <row r="6198" spans="50:51">
      <c r="AX6198" s="7"/>
      <c r="AY6198" s="7"/>
    </row>
    <row r="6199" spans="50:51">
      <c r="AX6199" s="7"/>
      <c r="AY6199" s="7"/>
    </row>
    <row r="6200" spans="50:51">
      <c r="AX6200" s="7"/>
      <c r="AY6200" s="7"/>
    </row>
    <row r="6201" spans="50:51">
      <c r="AX6201" s="7"/>
      <c r="AY6201" s="7"/>
    </row>
    <row r="6202" spans="50:51">
      <c r="AX6202" s="7"/>
      <c r="AY6202" s="7"/>
    </row>
    <row r="6203" spans="50:51">
      <c r="AX6203" s="7"/>
      <c r="AY6203" s="7"/>
    </row>
    <row r="6204" spans="50:51">
      <c r="AX6204" s="7"/>
      <c r="AY6204" s="7"/>
    </row>
    <row r="6205" spans="50:51">
      <c r="AX6205" s="7"/>
      <c r="AY6205" s="7"/>
    </row>
    <row r="6206" spans="50:51">
      <c r="AX6206" s="7"/>
      <c r="AY6206" s="7"/>
    </row>
    <row r="6207" spans="50:51">
      <c r="AX6207" s="7"/>
      <c r="AY6207" s="7"/>
    </row>
    <row r="6208" spans="50:51">
      <c r="AX6208" s="7"/>
      <c r="AY6208" s="7"/>
    </row>
    <row r="6209" spans="50:51">
      <c r="AX6209" s="7"/>
      <c r="AY6209" s="7"/>
    </row>
    <row r="6210" spans="50:51">
      <c r="AX6210" s="7"/>
      <c r="AY6210" s="7"/>
    </row>
    <row r="6211" spans="50:51">
      <c r="AX6211" s="7"/>
      <c r="AY6211" s="7"/>
    </row>
    <row r="6212" spans="50:51">
      <c r="AX6212" s="7"/>
      <c r="AY6212" s="7"/>
    </row>
    <row r="6213" spans="50:51">
      <c r="AX6213" s="7"/>
      <c r="AY6213" s="7"/>
    </row>
    <row r="6214" spans="50:51">
      <c r="AX6214" s="7"/>
      <c r="AY6214" s="7"/>
    </row>
    <row r="6215" spans="50:51">
      <c r="AX6215" s="7"/>
      <c r="AY6215" s="7"/>
    </row>
    <row r="6216" spans="50:51">
      <c r="AX6216" s="7"/>
      <c r="AY6216" s="7"/>
    </row>
    <row r="6217" spans="50:51">
      <c r="AX6217" s="7"/>
      <c r="AY6217" s="7"/>
    </row>
    <row r="6218" spans="50:51">
      <c r="AX6218" s="7"/>
      <c r="AY6218" s="7"/>
    </row>
    <row r="6219" spans="50:51">
      <c r="AX6219" s="7"/>
      <c r="AY6219" s="7"/>
    </row>
    <row r="6220" spans="50:51">
      <c r="AX6220" s="7"/>
      <c r="AY6220" s="7"/>
    </row>
    <row r="6221" spans="50:51">
      <c r="AX6221" s="7"/>
      <c r="AY6221" s="7"/>
    </row>
    <row r="6222" spans="50:51">
      <c r="AX6222" s="7"/>
      <c r="AY6222" s="7"/>
    </row>
    <row r="6223" spans="50:51">
      <c r="AX6223" s="7"/>
      <c r="AY6223" s="7"/>
    </row>
    <row r="6224" spans="50:51">
      <c r="AX6224" s="7"/>
      <c r="AY6224" s="7"/>
    </row>
    <row r="6225" spans="50:51">
      <c r="AX6225" s="7"/>
      <c r="AY6225" s="7"/>
    </row>
    <row r="6226" spans="50:51">
      <c r="AX6226" s="7"/>
      <c r="AY6226" s="7"/>
    </row>
    <row r="6227" spans="50:51">
      <c r="AX6227" s="7"/>
      <c r="AY6227" s="7"/>
    </row>
    <row r="6228" spans="50:51">
      <c r="AX6228" s="7"/>
      <c r="AY6228" s="7"/>
    </row>
    <row r="6229" spans="50:51">
      <c r="AX6229" s="7"/>
      <c r="AY6229" s="7"/>
    </row>
    <row r="6230" spans="50:51">
      <c r="AX6230" s="7"/>
      <c r="AY6230" s="7"/>
    </row>
    <row r="6231" spans="50:51">
      <c r="AX6231" s="7"/>
      <c r="AY6231" s="7"/>
    </row>
    <row r="6232" spans="50:51">
      <c r="AX6232" s="7"/>
      <c r="AY6232" s="7"/>
    </row>
    <row r="6233" spans="50:51">
      <c r="AX6233" s="7"/>
      <c r="AY6233" s="7"/>
    </row>
    <row r="6234" spans="50:51">
      <c r="AX6234" s="7"/>
      <c r="AY6234" s="7"/>
    </row>
    <row r="6235" spans="50:51">
      <c r="AX6235" s="7"/>
      <c r="AY6235" s="7"/>
    </row>
    <row r="6236" spans="50:51">
      <c r="AX6236" s="7"/>
      <c r="AY6236" s="7"/>
    </row>
    <row r="6237" spans="50:51">
      <c r="AX6237" s="7"/>
      <c r="AY6237" s="7"/>
    </row>
    <row r="6238" spans="50:51">
      <c r="AX6238" s="7"/>
      <c r="AY6238" s="7"/>
    </row>
    <row r="6239" spans="50:51">
      <c r="AX6239" s="7"/>
      <c r="AY6239" s="7"/>
    </row>
    <row r="6240" spans="50:51">
      <c r="AX6240" s="7"/>
      <c r="AY6240" s="7"/>
    </row>
    <row r="6241" spans="50:51">
      <c r="AX6241" s="7"/>
      <c r="AY6241" s="7"/>
    </row>
    <row r="6242" spans="50:51">
      <c r="AX6242" s="7"/>
      <c r="AY6242" s="7"/>
    </row>
    <row r="6243" spans="50:51">
      <c r="AX6243" s="7"/>
      <c r="AY6243" s="7"/>
    </row>
    <row r="6244" spans="50:51">
      <c r="AX6244" s="7"/>
      <c r="AY6244" s="7"/>
    </row>
    <row r="6245" spans="50:51">
      <c r="AX6245" s="7"/>
      <c r="AY6245" s="7"/>
    </row>
    <row r="6246" spans="50:51">
      <c r="AX6246" s="7"/>
      <c r="AY6246" s="7"/>
    </row>
    <row r="6247" spans="50:51">
      <c r="AX6247" s="7"/>
      <c r="AY6247" s="7"/>
    </row>
    <row r="6248" spans="50:51">
      <c r="AX6248" s="7"/>
      <c r="AY6248" s="7"/>
    </row>
    <row r="6249" spans="50:51">
      <c r="AX6249" s="7"/>
      <c r="AY6249" s="7"/>
    </row>
    <row r="6250" spans="50:51">
      <c r="AX6250" s="7"/>
      <c r="AY6250" s="7"/>
    </row>
    <row r="6251" spans="50:51">
      <c r="AX6251" s="7"/>
      <c r="AY6251" s="7"/>
    </row>
    <row r="6252" spans="50:51">
      <c r="AX6252" s="7"/>
      <c r="AY6252" s="7"/>
    </row>
    <row r="6253" spans="50:51">
      <c r="AX6253" s="7"/>
      <c r="AY6253" s="7"/>
    </row>
    <row r="6254" spans="50:51">
      <c r="AX6254" s="7"/>
      <c r="AY6254" s="7"/>
    </row>
    <row r="6255" spans="50:51">
      <c r="AX6255" s="7"/>
      <c r="AY6255" s="7"/>
    </row>
    <row r="6256" spans="50:51">
      <c r="AX6256" s="7"/>
      <c r="AY6256" s="7"/>
    </row>
    <row r="6257" spans="50:51">
      <c r="AX6257" s="7"/>
      <c r="AY6257" s="7"/>
    </row>
    <row r="6258" spans="50:51">
      <c r="AX6258" s="7"/>
      <c r="AY6258" s="7"/>
    </row>
    <row r="6259" spans="50:51">
      <c r="AX6259" s="7"/>
      <c r="AY6259" s="7"/>
    </row>
    <row r="6260" spans="50:51">
      <c r="AX6260" s="7"/>
      <c r="AY6260" s="7"/>
    </row>
    <row r="6261" spans="50:51">
      <c r="AX6261" s="7"/>
      <c r="AY6261" s="7"/>
    </row>
    <row r="6262" spans="50:51">
      <c r="AX6262" s="7"/>
      <c r="AY6262" s="7"/>
    </row>
    <row r="6263" spans="50:51">
      <c r="AX6263" s="7"/>
      <c r="AY6263" s="7"/>
    </row>
    <row r="6264" spans="50:51">
      <c r="AX6264" s="7"/>
      <c r="AY6264" s="7"/>
    </row>
    <row r="6265" spans="50:51">
      <c r="AX6265" s="7"/>
      <c r="AY6265" s="7"/>
    </row>
    <row r="6266" spans="50:51">
      <c r="AX6266" s="7"/>
      <c r="AY6266" s="7"/>
    </row>
    <row r="6267" spans="50:51">
      <c r="AX6267" s="7"/>
      <c r="AY6267" s="7"/>
    </row>
    <row r="6268" spans="50:51">
      <c r="AX6268" s="7"/>
      <c r="AY6268" s="7"/>
    </row>
    <row r="6269" spans="50:51">
      <c r="AX6269" s="7"/>
      <c r="AY6269" s="7"/>
    </row>
    <row r="6270" spans="50:51">
      <c r="AX6270" s="7"/>
      <c r="AY6270" s="7"/>
    </row>
    <row r="6271" spans="50:51">
      <c r="AX6271" s="7"/>
      <c r="AY6271" s="7"/>
    </row>
    <row r="6272" spans="50:51">
      <c r="AX6272" s="7"/>
      <c r="AY6272" s="7"/>
    </row>
    <row r="6273" spans="50:51">
      <c r="AX6273" s="7"/>
      <c r="AY6273" s="7"/>
    </row>
    <row r="6274" spans="50:51">
      <c r="AX6274" s="7"/>
      <c r="AY6274" s="7"/>
    </row>
    <row r="6275" spans="50:51">
      <c r="AX6275" s="7"/>
      <c r="AY6275" s="7"/>
    </row>
    <row r="6276" spans="50:51">
      <c r="AX6276" s="7"/>
      <c r="AY6276" s="7"/>
    </row>
    <row r="6277" spans="50:51">
      <c r="AX6277" s="7"/>
      <c r="AY6277" s="7"/>
    </row>
    <row r="6278" spans="50:51">
      <c r="AX6278" s="7"/>
      <c r="AY6278" s="7"/>
    </row>
    <row r="6279" spans="50:51">
      <c r="AX6279" s="7"/>
      <c r="AY6279" s="7"/>
    </row>
    <row r="6280" spans="50:51">
      <c r="AX6280" s="7"/>
      <c r="AY6280" s="7"/>
    </row>
    <row r="6281" spans="50:51">
      <c r="AX6281" s="7"/>
      <c r="AY6281" s="7"/>
    </row>
    <row r="6282" spans="50:51">
      <c r="AX6282" s="7"/>
      <c r="AY6282" s="7"/>
    </row>
    <row r="6283" spans="50:51">
      <c r="AX6283" s="7"/>
      <c r="AY6283" s="7"/>
    </row>
    <row r="6284" spans="50:51">
      <c r="AX6284" s="7"/>
      <c r="AY6284" s="7"/>
    </row>
    <row r="6285" spans="50:51">
      <c r="AX6285" s="7"/>
      <c r="AY6285" s="7"/>
    </row>
    <row r="6286" spans="50:51">
      <c r="AX6286" s="7"/>
      <c r="AY6286" s="7"/>
    </row>
    <row r="6287" spans="50:51">
      <c r="AX6287" s="7"/>
      <c r="AY6287" s="7"/>
    </row>
    <row r="6288" spans="50:51">
      <c r="AX6288" s="7"/>
      <c r="AY6288" s="7"/>
    </row>
    <row r="6289" spans="50:51">
      <c r="AX6289" s="7"/>
      <c r="AY6289" s="7"/>
    </row>
    <row r="6290" spans="50:51">
      <c r="AX6290" s="7"/>
      <c r="AY6290" s="7"/>
    </row>
    <row r="6291" spans="50:51">
      <c r="AX6291" s="7"/>
      <c r="AY6291" s="7"/>
    </row>
    <row r="6292" spans="50:51">
      <c r="AX6292" s="7"/>
      <c r="AY6292" s="7"/>
    </row>
    <row r="6293" spans="50:51">
      <c r="AX6293" s="7"/>
      <c r="AY6293" s="7"/>
    </row>
    <row r="6294" spans="50:51">
      <c r="AX6294" s="7"/>
      <c r="AY6294" s="7"/>
    </row>
    <row r="6295" spans="50:51">
      <c r="AX6295" s="7"/>
      <c r="AY6295" s="7"/>
    </row>
    <row r="6296" spans="50:51">
      <c r="AX6296" s="7"/>
      <c r="AY6296" s="7"/>
    </row>
    <row r="6297" spans="50:51">
      <c r="AX6297" s="7"/>
      <c r="AY6297" s="7"/>
    </row>
    <row r="6298" spans="50:51">
      <c r="AX6298" s="7"/>
      <c r="AY6298" s="7"/>
    </row>
    <row r="6299" spans="50:51">
      <c r="AX6299" s="7"/>
      <c r="AY6299" s="7"/>
    </row>
    <row r="6300" spans="50:51">
      <c r="AX6300" s="7"/>
      <c r="AY6300" s="7"/>
    </row>
    <row r="6301" spans="50:51">
      <c r="AX6301" s="7"/>
      <c r="AY6301" s="7"/>
    </row>
    <row r="6302" spans="50:51">
      <c r="AX6302" s="7"/>
      <c r="AY6302" s="7"/>
    </row>
    <row r="6303" spans="50:51">
      <c r="AX6303" s="7"/>
      <c r="AY6303" s="7"/>
    </row>
    <row r="6304" spans="50:51">
      <c r="AX6304" s="7"/>
      <c r="AY6304" s="7"/>
    </row>
    <row r="6305" spans="50:51">
      <c r="AX6305" s="7"/>
      <c r="AY6305" s="7"/>
    </row>
    <row r="6306" spans="50:51">
      <c r="AX6306" s="7"/>
      <c r="AY6306" s="7"/>
    </row>
    <row r="6307" spans="50:51">
      <c r="AX6307" s="7"/>
      <c r="AY6307" s="7"/>
    </row>
    <row r="6308" spans="50:51">
      <c r="AX6308" s="7"/>
      <c r="AY6308" s="7"/>
    </row>
    <row r="6309" spans="50:51">
      <c r="AX6309" s="7"/>
      <c r="AY6309" s="7"/>
    </row>
    <row r="6310" spans="50:51">
      <c r="AX6310" s="7"/>
      <c r="AY6310" s="7"/>
    </row>
    <row r="6311" spans="50:51">
      <c r="AX6311" s="7"/>
      <c r="AY6311" s="7"/>
    </row>
    <row r="6312" spans="50:51">
      <c r="AX6312" s="7"/>
      <c r="AY6312" s="7"/>
    </row>
    <row r="6313" spans="50:51">
      <c r="AX6313" s="7"/>
      <c r="AY6313" s="7"/>
    </row>
    <row r="6314" spans="50:51">
      <c r="AX6314" s="7"/>
      <c r="AY6314" s="7"/>
    </row>
    <row r="6315" spans="50:51">
      <c r="AX6315" s="7"/>
      <c r="AY6315" s="7"/>
    </row>
    <row r="6316" spans="50:51">
      <c r="AX6316" s="7"/>
      <c r="AY6316" s="7"/>
    </row>
    <row r="6317" spans="50:51">
      <c r="AX6317" s="7"/>
      <c r="AY6317" s="7"/>
    </row>
    <row r="6318" spans="50:51">
      <c r="AX6318" s="7"/>
      <c r="AY6318" s="7"/>
    </row>
    <row r="6319" spans="50:51">
      <c r="AX6319" s="7"/>
      <c r="AY6319" s="7"/>
    </row>
    <row r="6320" spans="50:51">
      <c r="AX6320" s="7"/>
      <c r="AY6320" s="7"/>
    </row>
    <row r="6321" spans="50:51">
      <c r="AX6321" s="7"/>
      <c r="AY6321" s="7"/>
    </row>
    <row r="6322" spans="50:51">
      <c r="AX6322" s="7"/>
      <c r="AY6322" s="7"/>
    </row>
    <row r="6323" spans="50:51">
      <c r="AX6323" s="7"/>
      <c r="AY6323" s="7"/>
    </row>
    <row r="6324" spans="50:51">
      <c r="AX6324" s="7"/>
      <c r="AY6324" s="7"/>
    </row>
    <row r="6325" spans="50:51">
      <c r="AX6325" s="7"/>
      <c r="AY6325" s="7"/>
    </row>
    <row r="6326" spans="50:51">
      <c r="AX6326" s="7"/>
      <c r="AY6326" s="7"/>
    </row>
    <row r="6327" spans="50:51">
      <c r="AX6327" s="7"/>
      <c r="AY6327" s="7"/>
    </row>
    <row r="6328" spans="50:51">
      <c r="AX6328" s="7"/>
      <c r="AY6328" s="7"/>
    </row>
    <row r="6329" spans="50:51">
      <c r="AX6329" s="7"/>
      <c r="AY6329" s="7"/>
    </row>
    <row r="6330" spans="50:51">
      <c r="AX6330" s="7"/>
      <c r="AY6330" s="7"/>
    </row>
    <row r="6331" spans="50:51">
      <c r="AX6331" s="7"/>
      <c r="AY6331" s="7"/>
    </row>
    <row r="6332" spans="50:51">
      <c r="AX6332" s="7"/>
      <c r="AY6332" s="7"/>
    </row>
    <row r="6333" spans="50:51">
      <c r="AX6333" s="7"/>
      <c r="AY6333" s="7"/>
    </row>
    <row r="6334" spans="50:51">
      <c r="AX6334" s="7"/>
      <c r="AY6334" s="7"/>
    </row>
    <row r="6335" spans="50:51">
      <c r="AX6335" s="7"/>
      <c r="AY6335" s="7"/>
    </row>
    <row r="6336" spans="50:51">
      <c r="AX6336" s="7"/>
      <c r="AY6336" s="7"/>
    </row>
    <row r="6337" spans="50:51">
      <c r="AX6337" s="7"/>
      <c r="AY6337" s="7"/>
    </row>
    <row r="6338" spans="50:51">
      <c r="AX6338" s="7"/>
      <c r="AY6338" s="7"/>
    </row>
    <row r="6339" spans="50:51">
      <c r="AX6339" s="7"/>
      <c r="AY6339" s="7"/>
    </row>
    <row r="6340" spans="50:51">
      <c r="AX6340" s="7"/>
      <c r="AY6340" s="7"/>
    </row>
    <row r="6341" spans="50:51">
      <c r="AX6341" s="7"/>
      <c r="AY6341" s="7"/>
    </row>
    <row r="6342" spans="50:51">
      <c r="AX6342" s="7"/>
      <c r="AY6342" s="7"/>
    </row>
    <row r="6343" spans="50:51">
      <c r="AX6343" s="7"/>
      <c r="AY6343" s="7"/>
    </row>
    <row r="6344" spans="50:51">
      <c r="AX6344" s="7"/>
      <c r="AY6344" s="7"/>
    </row>
    <row r="6345" spans="50:51">
      <c r="AX6345" s="7"/>
      <c r="AY6345" s="7"/>
    </row>
    <row r="6346" spans="50:51">
      <c r="AX6346" s="7"/>
      <c r="AY6346" s="7"/>
    </row>
    <row r="6347" spans="50:51">
      <c r="AX6347" s="7"/>
      <c r="AY6347" s="7"/>
    </row>
    <row r="6348" spans="50:51">
      <c r="AX6348" s="7"/>
      <c r="AY6348" s="7"/>
    </row>
    <row r="6349" spans="50:51">
      <c r="AX6349" s="7"/>
      <c r="AY6349" s="7"/>
    </row>
    <row r="6350" spans="50:51">
      <c r="AX6350" s="7"/>
      <c r="AY6350" s="7"/>
    </row>
    <row r="6351" spans="50:51">
      <c r="AX6351" s="7"/>
      <c r="AY6351" s="7"/>
    </row>
    <row r="6352" spans="50:51">
      <c r="AX6352" s="7"/>
      <c r="AY6352" s="7"/>
    </row>
    <row r="6353" spans="50:51">
      <c r="AX6353" s="7"/>
      <c r="AY6353" s="7"/>
    </row>
    <row r="6354" spans="50:51">
      <c r="AX6354" s="7"/>
      <c r="AY6354" s="7"/>
    </row>
    <row r="6355" spans="50:51">
      <c r="AX6355" s="7"/>
      <c r="AY6355" s="7"/>
    </row>
    <row r="6356" spans="50:51">
      <c r="AX6356" s="7"/>
      <c r="AY6356" s="7"/>
    </row>
    <row r="6357" spans="50:51">
      <c r="AX6357" s="7"/>
      <c r="AY6357" s="7"/>
    </row>
    <row r="6358" spans="50:51">
      <c r="AX6358" s="7"/>
      <c r="AY6358" s="7"/>
    </row>
    <row r="6359" spans="50:51">
      <c r="AX6359" s="7"/>
      <c r="AY6359" s="7"/>
    </row>
    <row r="6360" spans="50:51">
      <c r="AX6360" s="7"/>
      <c r="AY6360" s="7"/>
    </row>
    <row r="6361" spans="50:51">
      <c r="AX6361" s="7"/>
      <c r="AY6361" s="7"/>
    </row>
    <row r="6362" spans="50:51">
      <c r="AX6362" s="7"/>
      <c r="AY6362" s="7"/>
    </row>
    <row r="6363" spans="50:51">
      <c r="AX6363" s="7"/>
      <c r="AY6363" s="7"/>
    </row>
    <row r="6364" spans="50:51">
      <c r="AX6364" s="7"/>
      <c r="AY6364" s="7"/>
    </row>
    <row r="6365" spans="50:51">
      <c r="AX6365" s="7"/>
      <c r="AY6365" s="7"/>
    </row>
    <row r="6366" spans="50:51">
      <c r="AX6366" s="7"/>
      <c r="AY6366" s="7"/>
    </row>
    <row r="6367" spans="50:51">
      <c r="AX6367" s="7"/>
      <c r="AY6367" s="7"/>
    </row>
    <row r="6368" spans="50:51">
      <c r="AX6368" s="7"/>
      <c r="AY6368" s="7"/>
    </row>
    <row r="6369" spans="50:51">
      <c r="AX6369" s="7"/>
      <c r="AY6369" s="7"/>
    </row>
    <row r="6370" spans="50:51">
      <c r="AX6370" s="7"/>
      <c r="AY6370" s="7"/>
    </row>
    <row r="6371" spans="50:51">
      <c r="AX6371" s="7"/>
      <c r="AY6371" s="7"/>
    </row>
    <row r="6372" spans="50:51">
      <c r="AX6372" s="7"/>
      <c r="AY6372" s="7"/>
    </row>
    <row r="6373" spans="50:51">
      <c r="AX6373" s="7"/>
      <c r="AY6373" s="7"/>
    </row>
    <row r="6374" spans="50:51">
      <c r="AX6374" s="7"/>
      <c r="AY6374" s="7"/>
    </row>
    <row r="6375" spans="50:51">
      <c r="AX6375" s="7"/>
      <c r="AY6375" s="7"/>
    </row>
    <row r="6376" spans="50:51">
      <c r="AX6376" s="7"/>
      <c r="AY6376" s="7"/>
    </row>
    <row r="6377" spans="50:51">
      <c r="AX6377" s="7"/>
      <c r="AY6377" s="7"/>
    </row>
    <row r="6378" spans="50:51">
      <c r="AX6378" s="7"/>
      <c r="AY6378" s="7"/>
    </row>
    <row r="6379" spans="50:51">
      <c r="AX6379" s="7"/>
      <c r="AY6379" s="7"/>
    </row>
    <row r="6380" spans="50:51">
      <c r="AX6380" s="7"/>
      <c r="AY6380" s="7"/>
    </row>
    <row r="6381" spans="50:51">
      <c r="AX6381" s="7"/>
      <c r="AY6381" s="7"/>
    </row>
    <row r="6382" spans="50:51">
      <c r="AX6382" s="7"/>
      <c r="AY6382" s="7"/>
    </row>
    <row r="6383" spans="50:51">
      <c r="AX6383" s="7"/>
      <c r="AY6383" s="7"/>
    </row>
    <row r="6384" spans="50:51">
      <c r="AX6384" s="7"/>
      <c r="AY6384" s="7"/>
    </row>
    <row r="6385" spans="50:51">
      <c r="AX6385" s="7"/>
      <c r="AY6385" s="7"/>
    </row>
    <row r="6386" spans="50:51">
      <c r="AX6386" s="7"/>
      <c r="AY6386" s="7"/>
    </row>
    <row r="6387" spans="50:51">
      <c r="AX6387" s="7"/>
      <c r="AY6387" s="7"/>
    </row>
    <row r="6388" spans="50:51">
      <c r="AX6388" s="7"/>
      <c r="AY6388" s="7"/>
    </row>
    <row r="6389" spans="50:51">
      <c r="AX6389" s="7"/>
      <c r="AY6389" s="7"/>
    </row>
    <row r="6390" spans="50:51">
      <c r="AX6390" s="7"/>
      <c r="AY6390" s="7"/>
    </row>
    <row r="6391" spans="50:51">
      <c r="AX6391" s="7"/>
      <c r="AY6391" s="7"/>
    </row>
    <row r="6392" spans="50:51">
      <c r="AX6392" s="7"/>
      <c r="AY6392" s="7"/>
    </row>
    <row r="6393" spans="50:51">
      <c r="AX6393" s="7"/>
      <c r="AY6393" s="7"/>
    </row>
    <row r="6394" spans="50:51">
      <c r="AX6394" s="7"/>
      <c r="AY6394" s="7"/>
    </row>
    <row r="6395" spans="50:51">
      <c r="AX6395" s="7"/>
      <c r="AY6395" s="7"/>
    </row>
    <row r="6396" spans="50:51">
      <c r="AX6396" s="7"/>
      <c r="AY6396" s="7"/>
    </row>
    <row r="6397" spans="50:51">
      <c r="AX6397" s="7"/>
      <c r="AY6397" s="7"/>
    </row>
    <row r="6398" spans="50:51">
      <c r="AX6398" s="7"/>
      <c r="AY6398" s="7"/>
    </row>
    <row r="6399" spans="50:51">
      <c r="AX6399" s="7"/>
      <c r="AY6399" s="7"/>
    </row>
    <row r="6400" spans="50:51">
      <c r="AX6400" s="7"/>
      <c r="AY6400" s="7"/>
    </row>
    <row r="6401" spans="50:51">
      <c r="AX6401" s="7"/>
      <c r="AY6401" s="7"/>
    </row>
    <row r="6402" spans="50:51">
      <c r="AX6402" s="7"/>
      <c r="AY6402" s="7"/>
    </row>
    <row r="6403" spans="50:51">
      <c r="AX6403" s="7"/>
      <c r="AY6403" s="7"/>
    </row>
    <row r="6404" spans="50:51">
      <c r="AX6404" s="7"/>
      <c r="AY6404" s="7"/>
    </row>
    <row r="6405" spans="50:51">
      <c r="AX6405" s="7"/>
      <c r="AY6405" s="7"/>
    </row>
    <row r="6406" spans="50:51">
      <c r="AX6406" s="7"/>
      <c r="AY6406" s="7"/>
    </row>
    <row r="6407" spans="50:51">
      <c r="AX6407" s="7"/>
      <c r="AY6407" s="7"/>
    </row>
    <row r="6408" spans="50:51">
      <c r="AX6408" s="7"/>
      <c r="AY6408" s="7"/>
    </row>
    <row r="6409" spans="50:51">
      <c r="AX6409" s="7"/>
      <c r="AY6409" s="7"/>
    </row>
    <row r="6410" spans="50:51">
      <c r="AX6410" s="7"/>
      <c r="AY6410" s="7"/>
    </row>
    <row r="6411" spans="50:51">
      <c r="AX6411" s="7"/>
      <c r="AY6411" s="7"/>
    </row>
    <row r="6412" spans="50:51">
      <c r="AX6412" s="7"/>
      <c r="AY6412" s="7"/>
    </row>
    <row r="6413" spans="50:51">
      <c r="AX6413" s="7"/>
      <c r="AY6413" s="7"/>
    </row>
    <row r="6414" spans="50:51">
      <c r="AX6414" s="7"/>
      <c r="AY6414" s="7"/>
    </row>
    <row r="6415" spans="50:51">
      <c r="AX6415" s="7"/>
      <c r="AY6415" s="7"/>
    </row>
    <row r="6416" spans="50:51">
      <c r="AX6416" s="7"/>
      <c r="AY6416" s="7"/>
    </row>
    <row r="6417" spans="50:51">
      <c r="AX6417" s="7"/>
      <c r="AY6417" s="7"/>
    </row>
    <row r="6418" spans="50:51">
      <c r="AX6418" s="7"/>
      <c r="AY6418" s="7"/>
    </row>
    <row r="6419" spans="50:51">
      <c r="AX6419" s="7"/>
      <c r="AY6419" s="7"/>
    </row>
    <row r="6420" spans="50:51">
      <c r="AX6420" s="7"/>
      <c r="AY6420" s="7"/>
    </row>
    <row r="6421" spans="50:51">
      <c r="AX6421" s="7"/>
      <c r="AY6421" s="7"/>
    </row>
    <row r="6422" spans="50:51">
      <c r="AX6422" s="7"/>
      <c r="AY6422" s="7"/>
    </row>
    <row r="6423" spans="50:51">
      <c r="AX6423" s="7"/>
      <c r="AY6423" s="7"/>
    </row>
    <row r="6424" spans="50:51">
      <c r="AX6424" s="7"/>
      <c r="AY6424" s="7"/>
    </row>
    <row r="6425" spans="50:51">
      <c r="AX6425" s="7"/>
      <c r="AY6425" s="7"/>
    </row>
    <row r="6426" spans="50:51">
      <c r="AX6426" s="7"/>
      <c r="AY6426" s="7"/>
    </row>
    <row r="6427" spans="50:51">
      <c r="AX6427" s="7"/>
      <c r="AY6427" s="7"/>
    </row>
    <row r="6428" spans="50:51">
      <c r="AX6428" s="7"/>
      <c r="AY6428" s="7"/>
    </row>
    <row r="6429" spans="50:51">
      <c r="AX6429" s="7"/>
      <c r="AY6429" s="7"/>
    </row>
    <row r="6430" spans="50:51">
      <c r="AX6430" s="7"/>
      <c r="AY6430" s="7"/>
    </row>
    <row r="6431" spans="50:51">
      <c r="AX6431" s="7"/>
      <c r="AY6431" s="7"/>
    </row>
    <row r="6432" spans="50:51">
      <c r="AX6432" s="7"/>
      <c r="AY6432" s="7"/>
    </row>
    <row r="6433" spans="50:51">
      <c r="AX6433" s="7"/>
      <c r="AY6433" s="7"/>
    </row>
    <row r="6434" spans="50:51">
      <c r="AX6434" s="7"/>
      <c r="AY6434" s="7"/>
    </row>
    <row r="6435" spans="50:51">
      <c r="AX6435" s="7"/>
      <c r="AY6435" s="7"/>
    </row>
    <row r="6436" spans="50:51">
      <c r="AX6436" s="7"/>
      <c r="AY6436" s="7"/>
    </row>
    <row r="6437" spans="50:51">
      <c r="AX6437" s="7"/>
      <c r="AY6437" s="7"/>
    </row>
    <row r="6438" spans="50:51">
      <c r="AX6438" s="7"/>
      <c r="AY6438" s="7"/>
    </row>
    <row r="6439" spans="50:51">
      <c r="AX6439" s="7"/>
      <c r="AY6439" s="7"/>
    </row>
    <row r="6440" spans="50:51">
      <c r="AX6440" s="7"/>
      <c r="AY6440" s="7"/>
    </row>
    <row r="6441" spans="50:51">
      <c r="AX6441" s="7"/>
      <c r="AY6441" s="7"/>
    </row>
    <row r="6442" spans="50:51">
      <c r="AX6442" s="7"/>
      <c r="AY6442" s="7"/>
    </row>
    <row r="6443" spans="50:51">
      <c r="AX6443" s="7"/>
      <c r="AY6443" s="7"/>
    </row>
    <row r="6444" spans="50:51">
      <c r="AX6444" s="7"/>
      <c r="AY6444" s="7"/>
    </row>
    <row r="6445" spans="50:51">
      <c r="AX6445" s="7"/>
      <c r="AY6445" s="7"/>
    </row>
    <row r="6446" spans="50:51">
      <c r="AX6446" s="7"/>
      <c r="AY6446" s="7"/>
    </row>
    <row r="6447" spans="50:51">
      <c r="AX6447" s="7"/>
      <c r="AY6447" s="7"/>
    </row>
    <row r="6448" spans="50:51">
      <c r="AX6448" s="7"/>
      <c r="AY6448" s="7"/>
    </row>
    <row r="6449" spans="50:51">
      <c r="AX6449" s="7"/>
      <c r="AY6449" s="7"/>
    </row>
    <row r="6450" spans="50:51">
      <c r="AX6450" s="7"/>
      <c r="AY6450" s="7"/>
    </row>
    <row r="6451" spans="50:51">
      <c r="AX6451" s="7"/>
      <c r="AY6451" s="7"/>
    </row>
    <row r="6452" spans="50:51">
      <c r="AX6452" s="7"/>
      <c r="AY6452" s="7"/>
    </row>
    <row r="6453" spans="50:51">
      <c r="AX6453" s="7"/>
      <c r="AY6453" s="7"/>
    </row>
    <row r="6454" spans="50:51">
      <c r="AX6454" s="7"/>
      <c r="AY6454" s="7"/>
    </row>
    <row r="6455" spans="50:51">
      <c r="AX6455" s="7"/>
      <c r="AY6455" s="7"/>
    </row>
    <row r="6456" spans="50:51">
      <c r="AX6456" s="7"/>
      <c r="AY6456" s="7"/>
    </row>
    <row r="6457" spans="50:51">
      <c r="AX6457" s="7"/>
      <c r="AY6457" s="7"/>
    </row>
    <row r="6458" spans="50:51">
      <c r="AX6458" s="7"/>
      <c r="AY6458" s="7"/>
    </row>
    <row r="6459" spans="50:51">
      <c r="AX6459" s="7"/>
      <c r="AY6459" s="7"/>
    </row>
    <row r="6460" spans="50:51">
      <c r="AX6460" s="7"/>
      <c r="AY6460" s="7"/>
    </row>
    <row r="6461" spans="50:51">
      <c r="AX6461" s="7"/>
      <c r="AY6461" s="7"/>
    </row>
    <row r="6462" spans="50:51">
      <c r="AX6462" s="7"/>
      <c r="AY6462" s="7"/>
    </row>
    <row r="6463" spans="50:51">
      <c r="AX6463" s="7"/>
      <c r="AY6463" s="7"/>
    </row>
    <row r="6464" spans="50:51">
      <c r="AX6464" s="7"/>
      <c r="AY6464" s="7"/>
    </row>
    <row r="6465" spans="50:51">
      <c r="AX6465" s="7"/>
      <c r="AY6465" s="7"/>
    </row>
    <row r="6466" spans="50:51">
      <c r="AX6466" s="7"/>
      <c r="AY6466" s="7"/>
    </row>
    <row r="6467" spans="50:51">
      <c r="AX6467" s="7"/>
      <c r="AY6467" s="7"/>
    </row>
    <row r="6468" spans="50:51">
      <c r="AX6468" s="7"/>
      <c r="AY6468" s="7"/>
    </row>
    <row r="6469" spans="50:51">
      <c r="AX6469" s="7"/>
      <c r="AY6469" s="7"/>
    </row>
    <row r="6470" spans="50:51">
      <c r="AX6470" s="7"/>
      <c r="AY6470" s="7"/>
    </row>
    <row r="6471" spans="50:51">
      <c r="AX6471" s="7"/>
      <c r="AY6471" s="7"/>
    </row>
    <row r="6472" spans="50:51">
      <c r="AX6472" s="7"/>
      <c r="AY6472" s="7"/>
    </row>
    <row r="6473" spans="50:51">
      <c r="AX6473" s="7"/>
      <c r="AY6473" s="7"/>
    </row>
    <row r="6474" spans="50:51">
      <c r="AX6474" s="7"/>
      <c r="AY6474" s="7"/>
    </row>
    <row r="6475" spans="50:51">
      <c r="AX6475" s="7"/>
      <c r="AY6475" s="7"/>
    </row>
    <row r="6476" spans="50:51">
      <c r="AX6476" s="7"/>
      <c r="AY6476" s="7"/>
    </row>
    <row r="6477" spans="50:51">
      <c r="AX6477" s="7"/>
      <c r="AY6477" s="7"/>
    </row>
    <row r="6478" spans="50:51">
      <c r="AX6478" s="7"/>
      <c r="AY6478" s="7"/>
    </row>
    <row r="6479" spans="50:51">
      <c r="AX6479" s="7"/>
      <c r="AY6479" s="7"/>
    </row>
    <row r="6480" spans="50:51">
      <c r="AX6480" s="7"/>
      <c r="AY6480" s="7"/>
    </row>
    <row r="6481" spans="50:51">
      <c r="AX6481" s="7"/>
      <c r="AY6481" s="7"/>
    </row>
    <row r="6482" spans="50:51">
      <c r="AX6482" s="7"/>
      <c r="AY6482" s="7"/>
    </row>
    <row r="6483" spans="50:51">
      <c r="AX6483" s="7"/>
      <c r="AY6483" s="7"/>
    </row>
    <row r="6484" spans="50:51">
      <c r="AX6484" s="7"/>
      <c r="AY6484" s="7"/>
    </row>
    <row r="6485" spans="50:51">
      <c r="AX6485" s="7"/>
      <c r="AY6485" s="7"/>
    </row>
    <row r="6486" spans="50:51">
      <c r="AX6486" s="7"/>
      <c r="AY6486" s="7"/>
    </row>
    <row r="6487" spans="50:51">
      <c r="AX6487" s="7"/>
      <c r="AY6487" s="7"/>
    </row>
    <row r="6488" spans="50:51">
      <c r="AX6488" s="7"/>
      <c r="AY6488" s="7"/>
    </row>
    <row r="6489" spans="50:51">
      <c r="AX6489" s="7"/>
      <c r="AY6489" s="7"/>
    </row>
    <row r="6490" spans="50:51">
      <c r="AX6490" s="7"/>
      <c r="AY6490" s="7"/>
    </row>
    <row r="6491" spans="50:51">
      <c r="AX6491" s="7"/>
      <c r="AY6491" s="7"/>
    </row>
    <row r="6492" spans="50:51">
      <c r="AX6492" s="7"/>
      <c r="AY6492" s="7"/>
    </row>
    <row r="6493" spans="50:51">
      <c r="AX6493" s="7"/>
      <c r="AY6493" s="7"/>
    </row>
    <row r="6494" spans="50:51">
      <c r="AX6494" s="7"/>
      <c r="AY6494" s="7"/>
    </row>
    <row r="6495" spans="50:51">
      <c r="AX6495" s="7"/>
      <c r="AY6495" s="7"/>
    </row>
    <row r="6496" spans="50:51">
      <c r="AX6496" s="7"/>
      <c r="AY6496" s="7"/>
    </row>
    <row r="6497" spans="50:51">
      <c r="AX6497" s="7"/>
      <c r="AY6497" s="7"/>
    </row>
    <row r="6498" spans="50:51">
      <c r="AX6498" s="7"/>
      <c r="AY6498" s="7"/>
    </row>
    <row r="6499" spans="50:51">
      <c r="AX6499" s="7"/>
      <c r="AY6499" s="7"/>
    </row>
    <row r="6500" spans="50:51">
      <c r="AX6500" s="7"/>
      <c r="AY6500" s="7"/>
    </row>
    <row r="6501" spans="50:51">
      <c r="AX6501" s="7"/>
      <c r="AY6501" s="7"/>
    </row>
    <row r="6502" spans="50:51">
      <c r="AX6502" s="7"/>
      <c r="AY6502" s="7"/>
    </row>
    <row r="6503" spans="50:51">
      <c r="AX6503" s="7"/>
      <c r="AY6503" s="7"/>
    </row>
    <row r="6504" spans="50:51">
      <c r="AX6504" s="7"/>
      <c r="AY6504" s="7"/>
    </row>
    <row r="6505" spans="50:51">
      <c r="AX6505" s="7"/>
      <c r="AY6505" s="7"/>
    </row>
    <row r="6506" spans="50:51">
      <c r="AX6506" s="7"/>
      <c r="AY6506" s="7"/>
    </row>
    <row r="6507" spans="50:51">
      <c r="AX6507" s="7"/>
      <c r="AY6507" s="7"/>
    </row>
    <row r="6508" spans="50:51">
      <c r="AX6508" s="7"/>
      <c r="AY6508" s="7"/>
    </row>
    <row r="6509" spans="50:51">
      <c r="AX6509" s="7"/>
      <c r="AY6509" s="7"/>
    </row>
    <row r="6510" spans="50:51">
      <c r="AX6510" s="7"/>
      <c r="AY6510" s="7"/>
    </row>
    <row r="6511" spans="50:51">
      <c r="AX6511" s="7"/>
      <c r="AY6511" s="7"/>
    </row>
    <row r="6512" spans="50:51">
      <c r="AX6512" s="7"/>
      <c r="AY6512" s="7"/>
    </row>
    <row r="6513" spans="50:51">
      <c r="AX6513" s="7"/>
      <c r="AY6513" s="7"/>
    </row>
    <row r="6514" spans="50:51">
      <c r="AX6514" s="7"/>
      <c r="AY6514" s="7"/>
    </row>
    <row r="6515" spans="50:51">
      <c r="AX6515" s="7"/>
      <c r="AY6515" s="7"/>
    </row>
    <row r="6516" spans="50:51">
      <c r="AX6516" s="7"/>
      <c r="AY6516" s="7"/>
    </row>
    <row r="6517" spans="50:51">
      <c r="AX6517" s="7"/>
      <c r="AY6517" s="7"/>
    </row>
    <row r="6518" spans="50:51">
      <c r="AX6518" s="7"/>
      <c r="AY6518" s="7"/>
    </row>
    <row r="6519" spans="50:51">
      <c r="AX6519" s="7"/>
      <c r="AY6519" s="7"/>
    </row>
    <row r="6520" spans="50:51">
      <c r="AX6520" s="7"/>
      <c r="AY6520" s="7"/>
    </row>
    <row r="6521" spans="50:51">
      <c r="AX6521" s="7"/>
      <c r="AY6521" s="7"/>
    </row>
    <row r="6522" spans="50:51">
      <c r="AX6522" s="7"/>
      <c r="AY6522" s="7"/>
    </row>
    <row r="6523" spans="50:51">
      <c r="AX6523" s="7"/>
      <c r="AY6523" s="7"/>
    </row>
    <row r="6524" spans="50:51">
      <c r="AX6524" s="7"/>
      <c r="AY6524" s="7"/>
    </row>
    <row r="6525" spans="50:51">
      <c r="AX6525" s="7"/>
      <c r="AY6525" s="7"/>
    </row>
    <row r="6526" spans="50:51">
      <c r="AX6526" s="7"/>
      <c r="AY6526" s="7"/>
    </row>
    <row r="6527" spans="50:51">
      <c r="AX6527" s="7"/>
      <c r="AY6527" s="7"/>
    </row>
    <row r="6528" spans="50:51">
      <c r="AX6528" s="7"/>
      <c r="AY6528" s="7"/>
    </row>
    <row r="6529" spans="50:51">
      <c r="AX6529" s="7"/>
      <c r="AY6529" s="7"/>
    </row>
    <row r="6530" spans="50:51">
      <c r="AX6530" s="7"/>
      <c r="AY6530" s="7"/>
    </row>
    <row r="6531" spans="50:51">
      <c r="AX6531" s="7"/>
      <c r="AY6531" s="7"/>
    </row>
    <row r="6532" spans="50:51">
      <c r="AX6532" s="7"/>
      <c r="AY6532" s="7"/>
    </row>
    <row r="6533" spans="50:51">
      <c r="AX6533" s="7"/>
      <c r="AY6533" s="7"/>
    </row>
    <row r="6534" spans="50:51">
      <c r="AX6534" s="7"/>
      <c r="AY6534" s="7"/>
    </row>
    <row r="6535" spans="50:51">
      <c r="AX6535" s="7"/>
      <c r="AY6535" s="7"/>
    </row>
    <row r="6536" spans="50:51">
      <c r="AX6536" s="7"/>
      <c r="AY6536" s="7"/>
    </row>
    <row r="6537" spans="50:51">
      <c r="AX6537" s="7"/>
      <c r="AY6537" s="7"/>
    </row>
    <row r="6538" spans="50:51">
      <c r="AX6538" s="7"/>
      <c r="AY6538" s="7"/>
    </row>
    <row r="6539" spans="50:51">
      <c r="AX6539" s="7"/>
      <c r="AY6539" s="7"/>
    </row>
    <row r="6540" spans="50:51">
      <c r="AX6540" s="7"/>
      <c r="AY6540" s="7"/>
    </row>
    <row r="6541" spans="50:51">
      <c r="AX6541" s="7"/>
      <c r="AY6541" s="7"/>
    </row>
    <row r="6542" spans="50:51">
      <c r="AX6542" s="7"/>
      <c r="AY6542" s="7"/>
    </row>
    <row r="6543" spans="50:51">
      <c r="AX6543" s="7"/>
      <c r="AY6543" s="7"/>
    </row>
    <row r="6544" spans="50:51">
      <c r="AX6544" s="7"/>
      <c r="AY6544" s="7"/>
    </row>
    <row r="6545" spans="50:51">
      <c r="AX6545" s="7"/>
      <c r="AY6545" s="7"/>
    </row>
    <row r="6546" spans="50:51">
      <c r="AX6546" s="7"/>
      <c r="AY6546" s="7"/>
    </row>
    <row r="6547" spans="50:51">
      <c r="AX6547" s="7"/>
      <c r="AY6547" s="7"/>
    </row>
    <row r="6548" spans="50:51">
      <c r="AX6548" s="7"/>
      <c r="AY6548" s="7"/>
    </row>
    <row r="6549" spans="50:51">
      <c r="AX6549" s="7"/>
      <c r="AY6549" s="7"/>
    </row>
    <row r="6550" spans="50:51">
      <c r="AX6550" s="7"/>
      <c r="AY6550" s="7"/>
    </row>
    <row r="6551" spans="50:51">
      <c r="AX6551" s="7"/>
      <c r="AY6551" s="7"/>
    </row>
    <row r="6552" spans="50:51">
      <c r="AX6552" s="7"/>
      <c r="AY6552" s="7"/>
    </row>
    <row r="6553" spans="50:51">
      <c r="AX6553" s="7"/>
      <c r="AY6553" s="7"/>
    </row>
    <row r="6554" spans="50:51">
      <c r="AX6554" s="7"/>
      <c r="AY6554" s="7"/>
    </row>
    <row r="6555" spans="50:51">
      <c r="AX6555" s="7"/>
      <c r="AY6555" s="7"/>
    </row>
    <row r="6556" spans="50:51">
      <c r="AX6556" s="7"/>
      <c r="AY6556" s="7"/>
    </row>
    <row r="6557" spans="50:51">
      <c r="AX6557" s="7"/>
      <c r="AY6557" s="7"/>
    </row>
    <row r="6558" spans="50:51">
      <c r="AX6558" s="7"/>
      <c r="AY6558" s="7"/>
    </row>
    <row r="6559" spans="50:51">
      <c r="AX6559" s="7"/>
      <c r="AY6559" s="7"/>
    </row>
    <row r="6560" spans="50:51">
      <c r="AX6560" s="7"/>
      <c r="AY6560" s="7"/>
    </row>
    <row r="6561" spans="50:51">
      <c r="AX6561" s="7"/>
      <c r="AY6561" s="7"/>
    </row>
    <row r="6562" spans="50:51">
      <c r="AX6562" s="7"/>
      <c r="AY6562" s="7"/>
    </row>
    <row r="6563" spans="50:51">
      <c r="AX6563" s="7"/>
      <c r="AY6563" s="7"/>
    </row>
    <row r="6564" spans="50:51">
      <c r="AX6564" s="7"/>
      <c r="AY6564" s="7"/>
    </row>
    <row r="6565" spans="50:51">
      <c r="AX6565" s="7"/>
      <c r="AY6565" s="7"/>
    </row>
    <row r="6566" spans="50:51">
      <c r="AX6566" s="7"/>
      <c r="AY6566" s="7"/>
    </row>
    <row r="6567" spans="50:51">
      <c r="AX6567" s="7"/>
      <c r="AY6567" s="7"/>
    </row>
    <row r="6568" spans="50:51">
      <c r="AX6568" s="7"/>
      <c r="AY6568" s="7"/>
    </row>
    <row r="6569" spans="50:51">
      <c r="AX6569" s="7"/>
      <c r="AY6569" s="7"/>
    </row>
    <row r="6570" spans="50:51">
      <c r="AX6570" s="7"/>
      <c r="AY6570" s="7"/>
    </row>
    <row r="6571" spans="50:51">
      <c r="AX6571" s="7"/>
      <c r="AY6571" s="7"/>
    </row>
    <row r="6572" spans="50:51">
      <c r="AX6572" s="7"/>
      <c r="AY6572" s="7"/>
    </row>
    <row r="6573" spans="50:51">
      <c r="AX6573" s="7"/>
      <c r="AY6573" s="7"/>
    </row>
    <row r="6574" spans="50:51">
      <c r="AX6574" s="7"/>
      <c r="AY6574" s="7"/>
    </row>
    <row r="6575" spans="50:51">
      <c r="AX6575" s="7"/>
      <c r="AY6575" s="7"/>
    </row>
    <row r="6576" spans="50:51">
      <c r="AX6576" s="7"/>
      <c r="AY6576" s="7"/>
    </row>
    <row r="6577" spans="50:51">
      <c r="AX6577" s="7"/>
      <c r="AY6577" s="7"/>
    </row>
    <row r="6578" spans="50:51">
      <c r="AX6578" s="7"/>
      <c r="AY6578" s="7"/>
    </row>
    <row r="6579" spans="50:51">
      <c r="AX6579" s="7"/>
      <c r="AY6579" s="7"/>
    </row>
    <row r="6580" spans="50:51">
      <c r="AX6580" s="7"/>
      <c r="AY6580" s="7"/>
    </row>
    <row r="6581" spans="50:51">
      <c r="AX6581" s="7"/>
      <c r="AY6581" s="7"/>
    </row>
    <row r="6582" spans="50:51">
      <c r="AX6582" s="7"/>
      <c r="AY6582" s="7"/>
    </row>
    <row r="6583" spans="50:51">
      <c r="AX6583" s="7"/>
      <c r="AY6583" s="7"/>
    </row>
    <row r="6584" spans="50:51">
      <c r="AX6584" s="7"/>
      <c r="AY6584" s="7"/>
    </row>
    <row r="6585" spans="50:51">
      <c r="AX6585" s="7"/>
      <c r="AY6585" s="7"/>
    </row>
    <row r="6586" spans="50:51">
      <c r="AX6586" s="7"/>
      <c r="AY6586" s="7"/>
    </row>
    <row r="6587" spans="50:51">
      <c r="AX6587" s="7"/>
      <c r="AY6587" s="7"/>
    </row>
    <row r="6588" spans="50:51">
      <c r="AX6588" s="7"/>
      <c r="AY6588" s="7"/>
    </row>
    <row r="6589" spans="50:51">
      <c r="AX6589" s="7"/>
      <c r="AY6589" s="7"/>
    </row>
    <row r="6590" spans="50:51">
      <c r="AX6590" s="7"/>
      <c r="AY6590" s="7"/>
    </row>
    <row r="6591" spans="50:51">
      <c r="AX6591" s="7"/>
      <c r="AY6591" s="7"/>
    </row>
    <row r="6592" spans="50:51">
      <c r="AX6592" s="7"/>
      <c r="AY6592" s="7"/>
    </row>
    <row r="6593" spans="50:51">
      <c r="AX6593" s="7"/>
      <c r="AY6593" s="7"/>
    </row>
    <row r="6594" spans="50:51">
      <c r="AX6594" s="7"/>
      <c r="AY6594" s="7"/>
    </row>
    <row r="6595" spans="50:51">
      <c r="AX6595" s="7"/>
      <c r="AY6595" s="7"/>
    </row>
    <row r="6596" spans="50:51">
      <c r="AX6596" s="7"/>
      <c r="AY6596" s="7"/>
    </row>
    <row r="6597" spans="50:51">
      <c r="AX6597" s="7"/>
      <c r="AY6597" s="7"/>
    </row>
    <row r="6598" spans="50:51">
      <c r="AX6598" s="7"/>
      <c r="AY6598" s="7"/>
    </row>
    <row r="6599" spans="50:51">
      <c r="AX6599" s="7"/>
      <c r="AY6599" s="7"/>
    </row>
    <row r="6600" spans="50:51">
      <c r="AX6600" s="7"/>
      <c r="AY6600" s="7"/>
    </row>
    <row r="6601" spans="50:51">
      <c r="AX6601" s="7"/>
      <c r="AY6601" s="7"/>
    </row>
    <row r="6602" spans="50:51">
      <c r="AX6602" s="7"/>
      <c r="AY6602" s="7"/>
    </row>
    <row r="6603" spans="50:51">
      <c r="AX6603" s="7"/>
      <c r="AY6603" s="7"/>
    </row>
    <row r="6604" spans="50:51">
      <c r="AX6604" s="7"/>
      <c r="AY6604" s="7"/>
    </row>
    <row r="6605" spans="50:51">
      <c r="AX6605" s="7"/>
      <c r="AY6605" s="7"/>
    </row>
    <row r="6606" spans="50:51">
      <c r="AX6606" s="7"/>
      <c r="AY6606" s="7"/>
    </row>
    <row r="6607" spans="50:51">
      <c r="AX6607" s="7"/>
      <c r="AY6607" s="7"/>
    </row>
    <row r="6608" spans="50:51">
      <c r="AX6608" s="7"/>
      <c r="AY6608" s="7"/>
    </row>
    <row r="6609" spans="50:51">
      <c r="AX6609" s="7"/>
      <c r="AY6609" s="7"/>
    </row>
    <row r="6610" spans="50:51">
      <c r="AX6610" s="7"/>
      <c r="AY6610" s="7"/>
    </row>
    <row r="6611" spans="50:51">
      <c r="AX6611" s="7"/>
      <c r="AY6611" s="7"/>
    </row>
    <row r="6612" spans="50:51">
      <c r="AX6612" s="7"/>
      <c r="AY6612" s="7"/>
    </row>
    <row r="6613" spans="50:51">
      <c r="AX6613" s="7"/>
      <c r="AY6613" s="7"/>
    </row>
    <row r="6614" spans="50:51">
      <c r="AX6614" s="7"/>
      <c r="AY6614" s="7"/>
    </row>
    <row r="6615" spans="50:51">
      <c r="AX6615" s="7"/>
      <c r="AY6615" s="7"/>
    </row>
    <row r="6616" spans="50:51">
      <c r="AX6616" s="7"/>
      <c r="AY6616" s="7"/>
    </row>
    <row r="6617" spans="50:51">
      <c r="AX6617" s="7"/>
      <c r="AY6617" s="7"/>
    </row>
    <row r="6618" spans="50:51">
      <c r="AX6618" s="7"/>
      <c r="AY6618" s="7"/>
    </row>
    <row r="6619" spans="50:51">
      <c r="AX6619" s="7"/>
      <c r="AY6619" s="7"/>
    </row>
    <row r="6620" spans="50:51">
      <c r="AX6620" s="7"/>
      <c r="AY6620" s="7"/>
    </row>
    <row r="6621" spans="50:51">
      <c r="AX6621" s="7"/>
      <c r="AY6621" s="7"/>
    </row>
    <row r="6622" spans="50:51">
      <c r="AX6622" s="7"/>
      <c r="AY6622" s="7"/>
    </row>
    <row r="6623" spans="50:51">
      <c r="AX6623" s="7"/>
      <c r="AY6623" s="7"/>
    </row>
    <row r="6624" spans="50:51">
      <c r="AX6624" s="7"/>
      <c r="AY6624" s="7"/>
    </row>
    <row r="6625" spans="50:51">
      <c r="AX6625" s="7"/>
      <c r="AY6625" s="7"/>
    </row>
    <row r="6626" spans="50:51">
      <c r="AX6626" s="7"/>
      <c r="AY6626" s="7"/>
    </row>
    <row r="6627" spans="50:51">
      <c r="AX6627" s="7"/>
      <c r="AY6627" s="7"/>
    </row>
    <row r="6628" spans="50:51">
      <c r="AX6628" s="7"/>
      <c r="AY6628" s="7"/>
    </row>
    <row r="6629" spans="50:51">
      <c r="AX6629" s="7"/>
      <c r="AY6629" s="7"/>
    </row>
    <row r="6630" spans="50:51">
      <c r="AX6630" s="7"/>
      <c r="AY6630" s="7"/>
    </row>
    <row r="6631" spans="50:51">
      <c r="AX6631" s="7"/>
      <c r="AY6631" s="7"/>
    </row>
    <row r="6632" spans="50:51">
      <c r="AX6632" s="7"/>
      <c r="AY6632" s="7"/>
    </row>
    <row r="6633" spans="50:51">
      <c r="AX6633" s="7"/>
      <c r="AY6633" s="7"/>
    </row>
    <row r="6634" spans="50:51">
      <c r="AX6634" s="7"/>
      <c r="AY6634" s="7"/>
    </row>
    <row r="6635" spans="50:51">
      <c r="AX6635" s="7"/>
      <c r="AY6635" s="7"/>
    </row>
    <row r="6636" spans="50:51">
      <c r="AX6636" s="7"/>
      <c r="AY6636" s="7"/>
    </row>
    <row r="6637" spans="50:51">
      <c r="AX6637" s="7"/>
      <c r="AY6637" s="7"/>
    </row>
    <row r="6638" spans="50:51">
      <c r="AX6638" s="7"/>
      <c r="AY6638" s="7"/>
    </row>
    <row r="6639" spans="50:51">
      <c r="AX6639" s="7"/>
      <c r="AY6639" s="7"/>
    </row>
    <row r="6640" spans="50:51">
      <c r="AX6640" s="7"/>
      <c r="AY6640" s="7"/>
    </row>
    <row r="6641" spans="50:51">
      <c r="AX6641" s="7"/>
      <c r="AY6641" s="7"/>
    </row>
    <row r="6642" spans="50:51">
      <c r="AX6642" s="7"/>
      <c r="AY6642" s="7"/>
    </row>
    <row r="6643" spans="50:51">
      <c r="AX6643" s="7"/>
      <c r="AY6643" s="7"/>
    </row>
    <row r="6644" spans="50:51">
      <c r="AX6644" s="7"/>
      <c r="AY6644" s="7"/>
    </row>
    <row r="6645" spans="50:51">
      <c r="AX6645" s="7"/>
      <c r="AY6645" s="7"/>
    </row>
    <row r="6646" spans="50:51">
      <c r="AX6646" s="7"/>
      <c r="AY6646" s="7"/>
    </row>
    <row r="6647" spans="50:51">
      <c r="AX6647" s="7"/>
      <c r="AY6647" s="7"/>
    </row>
    <row r="6648" spans="50:51">
      <c r="AX6648" s="7"/>
      <c r="AY6648" s="7"/>
    </row>
    <row r="6649" spans="50:51">
      <c r="AX6649" s="7"/>
      <c r="AY6649" s="7"/>
    </row>
    <row r="6650" spans="50:51">
      <c r="AX6650" s="7"/>
      <c r="AY6650" s="7"/>
    </row>
    <row r="6651" spans="50:51">
      <c r="AX6651" s="7"/>
      <c r="AY6651" s="7"/>
    </row>
    <row r="6652" spans="50:51">
      <c r="AX6652" s="7"/>
      <c r="AY6652" s="7"/>
    </row>
    <row r="6653" spans="50:51">
      <c r="AX6653" s="7"/>
      <c r="AY6653" s="7"/>
    </row>
    <row r="6654" spans="50:51">
      <c r="AX6654" s="7"/>
      <c r="AY6654" s="7"/>
    </row>
    <row r="6655" spans="50:51">
      <c r="AX6655" s="7"/>
      <c r="AY6655" s="7"/>
    </row>
    <row r="6656" spans="50:51">
      <c r="AX6656" s="7"/>
      <c r="AY6656" s="7"/>
    </row>
    <row r="6657" spans="50:51">
      <c r="AX6657" s="7"/>
      <c r="AY6657" s="7"/>
    </row>
    <row r="6658" spans="50:51">
      <c r="AX6658" s="7"/>
      <c r="AY6658" s="7"/>
    </row>
    <row r="6659" spans="50:51">
      <c r="AX6659" s="7"/>
      <c r="AY6659" s="7"/>
    </row>
    <row r="6660" spans="50:51">
      <c r="AX6660" s="7"/>
      <c r="AY6660" s="7"/>
    </row>
    <row r="6661" spans="50:51">
      <c r="AX6661" s="7"/>
      <c r="AY6661" s="7"/>
    </row>
    <row r="6662" spans="50:51">
      <c r="AX6662" s="7"/>
      <c r="AY6662" s="7"/>
    </row>
    <row r="6663" spans="50:51">
      <c r="AX6663" s="7"/>
      <c r="AY6663" s="7"/>
    </row>
    <row r="6664" spans="50:51">
      <c r="AX6664" s="7"/>
      <c r="AY6664" s="7"/>
    </row>
    <row r="6665" spans="50:51">
      <c r="AX6665" s="7"/>
      <c r="AY6665" s="7"/>
    </row>
    <row r="6666" spans="50:51">
      <c r="AX6666" s="7"/>
      <c r="AY6666" s="7"/>
    </row>
    <row r="6667" spans="50:51">
      <c r="AX6667" s="7"/>
      <c r="AY6667" s="7"/>
    </row>
    <row r="6668" spans="50:51">
      <c r="AX6668" s="7"/>
      <c r="AY6668" s="7"/>
    </row>
    <row r="6669" spans="50:51">
      <c r="AX6669" s="7"/>
      <c r="AY6669" s="7"/>
    </row>
    <row r="6670" spans="50:51">
      <c r="AX6670" s="7"/>
      <c r="AY6670" s="7"/>
    </row>
    <row r="6671" spans="50:51">
      <c r="AX6671" s="7"/>
      <c r="AY6671" s="7"/>
    </row>
    <row r="6672" spans="50:51">
      <c r="AX6672" s="7"/>
      <c r="AY6672" s="7"/>
    </row>
    <row r="6673" spans="50:51">
      <c r="AX6673" s="7"/>
      <c r="AY6673" s="7"/>
    </row>
    <row r="6674" spans="50:51">
      <c r="AX6674" s="7"/>
      <c r="AY6674" s="7"/>
    </row>
    <row r="6675" spans="50:51">
      <c r="AX6675" s="7"/>
      <c r="AY6675" s="7"/>
    </row>
    <row r="6676" spans="50:51">
      <c r="AX6676" s="7"/>
      <c r="AY6676" s="7"/>
    </row>
    <row r="6677" spans="50:51">
      <c r="AX6677" s="7"/>
      <c r="AY6677" s="7"/>
    </row>
    <row r="6678" spans="50:51">
      <c r="AX6678" s="7"/>
      <c r="AY6678" s="7"/>
    </row>
    <row r="6679" spans="50:51">
      <c r="AX6679" s="7"/>
      <c r="AY6679" s="7"/>
    </row>
    <row r="6680" spans="50:51">
      <c r="AX6680" s="7"/>
      <c r="AY6680" s="7"/>
    </row>
    <row r="6681" spans="50:51">
      <c r="AX6681" s="7"/>
      <c r="AY6681" s="7"/>
    </row>
    <row r="6682" spans="50:51">
      <c r="AX6682" s="7"/>
      <c r="AY6682" s="7"/>
    </row>
    <row r="6683" spans="50:51">
      <c r="AX6683" s="7"/>
      <c r="AY6683" s="7"/>
    </row>
    <row r="6684" spans="50:51">
      <c r="AX6684" s="7"/>
      <c r="AY6684" s="7"/>
    </row>
    <row r="6685" spans="50:51">
      <c r="AX6685" s="7"/>
      <c r="AY6685" s="7"/>
    </row>
    <row r="6686" spans="50:51">
      <c r="AX6686" s="7"/>
      <c r="AY6686" s="7"/>
    </row>
    <row r="6687" spans="50:51">
      <c r="AX6687" s="7"/>
      <c r="AY6687" s="7"/>
    </row>
    <row r="6688" spans="50:51">
      <c r="AX6688" s="7"/>
      <c r="AY6688" s="7"/>
    </row>
    <row r="6689" spans="50:51">
      <c r="AX6689" s="7"/>
      <c r="AY6689" s="7"/>
    </row>
    <row r="6690" spans="50:51">
      <c r="AX6690" s="7"/>
      <c r="AY6690" s="7"/>
    </row>
    <row r="6691" spans="50:51">
      <c r="AX6691" s="7"/>
      <c r="AY6691" s="7"/>
    </row>
    <row r="6692" spans="50:51">
      <c r="AX6692" s="7"/>
      <c r="AY6692" s="7"/>
    </row>
    <row r="6693" spans="50:51">
      <c r="AX6693" s="7"/>
      <c r="AY6693" s="7"/>
    </row>
    <row r="6694" spans="50:51">
      <c r="AX6694" s="7"/>
      <c r="AY6694" s="7"/>
    </row>
    <row r="6695" spans="50:51">
      <c r="AX6695" s="7"/>
      <c r="AY6695" s="7"/>
    </row>
    <row r="6696" spans="50:51">
      <c r="AX6696" s="7"/>
      <c r="AY6696" s="7"/>
    </row>
    <row r="6697" spans="50:51">
      <c r="AX6697" s="7"/>
      <c r="AY6697" s="7"/>
    </row>
    <row r="6698" spans="50:51">
      <c r="AX6698" s="7"/>
      <c r="AY6698" s="7"/>
    </row>
    <row r="6699" spans="50:51">
      <c r="AX6699" s="7"/>
      <c r="AY6699" s="7"/>
    </row>
    <row r="6700" spans="50:51">
      <c r="AX6700" s="7"/>
      <c r="AY6700" s="7"/>
    </row>
    <row r="6701" spans="50:51">
      <c r="AX6701" s="7"/>
      <c r="AY6701" s="7"/>
    </row>
    <row r="6702" spans="50:51">
      <c r="AX6702" s="7"/>
      <c r="AY6702" s="7"/>
    </row>
    <row r="6703" spans="50:51">
      <c r="AX6703" s="7"/>
      <c r="AY6703" s="7"/>
    </row>
    <row r="6704" spans="50:51">
      <c r="AX6704" s="7"/>
      <c r="AY6704" s="7"/>
    </row>
    <row r="6705" spans="50:51">
      <c r="AX6705" s="7"/>
      <c r="AY6705" s="7"/>
    </row>
    <row r="6706" spans="50:51">
      <c r="AX6706" s="7"/>
      <c r="AY6706" s="7"/>
    </row>
    <row r="6707" spans="50:51">
      <c r="AX6707" s="7"/>
      <c r="AY6707" s="7"/>
    </row>
    <row r="6708" spans="50:51">
      <c r="AX6708" s="7"/>
      <c r="AY6708" s="7"/>
    </row>
    <row r="6709" spans="50:51">
      <c r="AX6709" s="7"/>
      <c r="AY6709" s="7"/>
    </row>
    <row r="6710" spans="50:51">
      <c r="AX6710" s="7"/>
      <c r="AY6710" s="7"/>
    </row>
    <row r="6711" spans="50:51">
      <c r="AX6711" s="7"/>
      <c r="AY6711" s="7"/>
    </row>
    <row r="6712" spans="50:51">
      <c r="AX6712" s="7"/>
      <c r="AY6712" s="7"/>
    </row>
    <row r="6713" spans="50:51">
      <c r="AX6713" s="7"/>
      <c r="AY6713" s="7"/>
    </row>
    <row r="6714" spans="50:51">
      <c r="AX6714" s="7"/>
      <c r="AY6714" s="7"/>
    </row>
    <row r="6715" spans="50:51">
      <c r="AX6715" s="7"/>
      <c r="AY6715" s="7"/>
    </row>
    <row r="6716" spans="50:51">
      <c r="AX6716" s="7"/>
      <c r="AY6716" s="7"/>
    </row>
    <row r="6717" spans="50:51">
      <c r="AX6717" s="7"/>
      <c r="AY6717" s="7"/>
    </row>
    <row r="6718" spans="50:51">
      <c r="AX6718" s="7"/>
      <c r="AY6718" s="7"/>
    </row>
    <row r="6719" spans="50:51">
      <c r="AX6719" s="7"/>
      <c r="AY6719" s="7"/>
    </row>
    <row r="6720" spans="50:51">
      <c r="AX6720" s="7"/>
      <c r="AY6720" s="7"/>
    </row>
    <row r="6721" spans="50:51">
      <c r="AX6721" s="7"/>
      <c r="AY6721" s="7"/>
    </row>
    <row r="6722" spans="50:51">
      <c r="AX6722" s="7"/>
      <c r="AY6722" s="7"/>
    </row>
    <row r="6723" spans="50:51">
      <c r="AX6723" s="7"/>
      <c r="AY6723" s="7"/>
    </row>
    <row r="6724" spans="50:51">
      <c r="AX6724" s="7"/>
      <c r="AY6724" s="7"/>
    </row>
    <row r="6725" spans="50:51">
      <c r="AX6725" s="7"/>
      <c r="AY6725" s="7"/>
    </row>
    <row r="6726" spans="50:51">
      <c r="AX6726" s="7"/>
      <c r="AY6726" s="7"/>
    </row>
    <row r="6727" spans="50:51">
      <c r="AX6727" s="7"/>
      <c r="AY6727" s="7"/>
    </row>
    <row r="6728" spans="50:51">
      <c r="AX6728" s="7"/>
      <c r="AY6728" s="7"/>
    </row>
    <row r="6729" spans="50:51">
      <c r="AX6729" s="7"/>
      <c r="AY6729" s="7"/>
    </row>
    <row r="6730" spans="50:51">
      <c r="AX6730" s="7"/>
      <c r="AY6730" s="7"/>
    </row>
    <row r="6731" spans="50:51">
      <c r="AX6731" s="7"/>
      <c r="AY6731" s="7"/>
    </row>
    <row r="6732" spans="50:51">
      <c r="AX6732" s="7"/>
      <c r="AY6732" s="7"/>
    </row>
    <row r="6733" spans="50:51">
      <c r="AX6733" s="7"/>
      <c r="AY6733" s="7"/>
    </row>
    <row r="6734" spans="50:51">
      <c r="AX6734" s="7"/>
      <c r="AY6734" s="7"/>
    </row>
    <row r="6735" spans="50:51">
      <c r="AX6735" s="7"/>
      <c r="AY6735" s="7"/>
    </row>
    <row r="6736" spans="50:51">
      <c r="AX6736" s="7"/>
      <c r="AY6736" s="7"/>
    </row>
    <row r="6737" spans="50:51">
      <c r="AX6737" s="7"/>
      <c r="AY6737" s="7"/>
    </row>
    <row r="6738" spans="50:51">
      <c r="AX6738" s="7"/>
      <c r="AY6738" s="7"/>
    </row>
    <row r="6739" spans="50:51">
      <c r="AX6739" s="7"/>
      <c r="AY6739" s="7"/>
    </row>
    <row r="6740" spans="50:51">
      <c r="AX6740" s="7"/>
      <c r="AY6740" s="7"/>
    </row>
    <row r="6741" spans="50:51">
      <c r="AX6741" s="7"/>
      <c r="AY6741" s="7"/>
    </row>
    <row r="6742" spans="50:51">
      <c r="AX6742" s="7"/>
      <c r="AY6742" s="7"/>
    </row>
    <row r="6743" spans="50:51">
      <c r="AX6743" s="7"/>
      <c r="AY6743" s="7"/>
    </row>
    <row r="6744" spans="50:51">
      <c r="AX6744" s="7"/>
      <c r="AY6744" s="7"/>
    </row>
    <row r="6745" spans="50:51">
      <c r="AX6745" s="7"/>
      <c r="AY6745" s="7"/>
    </row>
    <row r="6746" spans="50:51">
      <c r="AX6746" s="7"/>
      <c r="AY6746" s="7"/>
    </row>
    <row r="6747" spans="50:51">
      <c r="AX6747" s="7"/>
      <c r="AY6747" s="7"/>
    </row>
    <row r="6748" spans="50:51">
      <c r="AX6748" s="7"/>
      <c r="AY6748" s="7"/>
    </row>
    <row r="6749" spans="50:51">
      <c r="AX6749" s="7"/>
      <c r="AY6749" s="7"/>
    </row>
    <row r="6750" spans="50:51">
      <c r="AX6750" s="7"/>
      <c r="AY6750" s="7"/>
    </row>
    <row r="6751" spans="50:51">
      <c r="AX6751" s="7"/>
      <c r="AY6751" s="7"/>
    </row>
    <row r="6752" spans="50:51">
      <c r="AX6752" s="7"/>
      <c r="AY6752" s="7"/>
    </row>
    <row r="6753" spans="50:51">
      <c r="AX6753" s="7"/>
      <c r="AY6753" s="7"/>
    </row>
    <row r="6754" spans="50:51">
      <c r="AX6754" s="7"/>
      <c r="AY6754" s="7"/>
    </row>
    <row r="6755" spans="50:51">
      <c r="AX6755" s="7"/>
      <c r="AY6755" s="7"/>
    </row>
    <row r="6756" spans="50:51">
      <c r="AX6756" s="7"/>
      <c r="AY6756" s="7"/>
    </row>
    <row r="6757" spans="50:51">
      <c r="AX6757" s="7"/>
      <c r="AY6757" s="7"/>
    </row>
    <row r="6758" spans="50:51">
      <c r="AX6758" s="7"/>
      <c r="AY6758" s="7"/>
    </row>
    <row r="6759" spans="50:51">
      <c r="AX6759" s="7"/>
      <c r="AY6759" s="7"/>
    </row>
    <row r="6760" spans="50:51">
      <c r="AX6760" s="7"/>
      <c r="AY6760" s="7"/>
    </row>
    <row r="6761" spans="50:51">
      <c r="AX6761" s="7"/>
      <c r="AY6761" s="7"/>
    </row>
    <row r="6762" spans="50:51">
      <c r="AX6762" s="7"/>
      <c r="AY6762" s="7"/>
    </row>
    <row r="6763" spans="50:51">
      <c r="AX6763" s="7"/>
      <c r="AY6763" s="7"/>
    </row>
    <row r="6764" spans="50:51">
      <c r="AX6764" s="7"/>
      <c r="AY6764" s="7"/>
    </row>
    <row r="6765" spans="50:51">
      <c r="AX6765" s="7"/>
      <c r="AY6765" s="7"/>
    </row>
    <row r="6766" spans="50:51">
      <c r="AX6766" s="7"/>
      <c r="AY6766" s="7"/>
    </row>
    <row r="6767" spans="50:51">
      <c r="AX6767" s="7"/>
      <c r="AY6767" s="7"/>
    </row>
    <row r="6768" spans="50:51">
      <c r="AX6768" s="7"/>
      <c r="AY6768" s="7"/>
    </row>
    <row r="6769" spans="50:51">
      <c r="AX6769" s="7"/>
      <c r="AY6769" s="7"/>
    </row>
    <row r="6770" spans="50:51">
      <c r="AX6770" s="7"/>
      <c r="AY6770" s="7"/>
    </row>
    <row r="6771" spans="50:51">
      <c r="AX6771" s="7"/>
      <c r="AY6771" s="7"/>
    </row>
    <row r="6772" spans="50:51">
      <c r="AX6772" s="7"/>
      <c r="AY6772" s="7"/>
    </row>
    <row r="6773" spans="50:51">
      <c r="AX6773" s="7"/>
      <c r="AY6773" s="7"/>
    </row>
    <row r="6774" spans="50:51">
      <c r="AX6774" s="7"/>
      <c r="AY6774" s="7"/>
    </row>
    <row r="6775" spans="50:51">
      <c r="AX6775" s="7"/>
      <c r="AY6775" s="7"/>
    </row>
    <row r="6776" spans="50:51">
      <c r="AX6776" s="7"/>
      <c r="AY6776" s="7"/>
    </row>
    <row r="6777" spans="50:51">
      <c r="AX6777" s="7"/>
      <c r="AY6777" s="7"/>
    </row>
    <row r="6778" spans="50:51">
      <c r="AX6778" s="7"/>
      <c r="AY6778" s="7"/>
    </row>
    <row r="6779" spans="50:51">
      <c r="AX6779" s="7"/>
      <c r="AY6779" s="7"/>
    </row>
    <row r="6780" spans="50:51">
      <c r="AX6780" s="7"/>
      <c r="AY6780" s="7"/>
    </row>
    <row r="6781" spans="50:51">
      <c r="AX6781" s="7"/>
      <c r="AY6781" s="7"/>
    </row>
    <row r="6782" spans="50:51">
      <c r="AX6782" s="7"/>
      <c r="AY6782" s="7"/>
    </row>
    <row r="6783" spans="50:51">
      <c r="AX6783" s="7"/>
      <c r="AY6783" s="7"/>
    </row>
    <row r="6784" spans="50:51">
      <c r="AX6784" s="7"/>
      <c r="AY6784" s="7"/>
    </row>
    <row r="6785" spans="50:51">
      <c r="AX6785" s="7"/>
      <c r="AY6785" s="7"/>
    </row>
    <row r="6786" spans="50:51">
      <c r="AX6786" s="7"/>
      <c r="AY6786" s="7"/>
    </row>
    <row r="6787" spans="50:51">
      <c r="AX6787" s="7"/>
      <c r="AY6787" s="7"/>
    </row>
    <row r="6788" spans="50:51">
      <c r="AX6788" s="7"/>
      <c r="AY6788" s="7"/>
    </row>
    <row r="6789" spans="50:51">
      <c r="AX6789" s="7"/>
      <c r="AY6789" s="7"/>
    </row>
    <row r="6790" spans="50:51">
      <c r="AX6790" s="7"/>
      <c r="AY6790" s="7"/>
    </row>
    <row r="6791" spans="50:51">
      <c r="AX6791" s="7"/>
      <c r="AY6791" s="7"/>
    </row>
    <row r="6792" spans="50:51">
      <c r="AX6792" s="7"/>
      <c r="AY6792" s="7"/>
    </row>
    <row r="6793" spans="50:51">
      <c r="AX6793" s="7"/>
      <c r="AY6793" s="7"/>
    </row>
    <row r="6794" spans="50:51">
      <c r="AX6794" s="7"/>
      <c r="AY6794" s="7"/>
    </row>
    <row r="6795" spans="50:51">
      <c r="AX6795" s="7"/>
      <c r="AY6795" s="7"/>
    </row>
    <row r="6796" spans="50:51">
      <c r="AX6796" s="7"/>
      <c r="AY6796" s="7"/>
    </row>
    <row r="6797" spans="50:51">
      <c r="AX6797" s="7"/>
      <c r="AY6797" s="7"/>
    </row>
    <row r="6798" spans="50:51">
      <c r="AX6798" s="7"/>
      <c r="AY6798" s="7"/>
    </row>
    <row r="6799" spans="50:51">
      <c r="AX6799" s="7"/>
      <c r="AY6799" s="7"/>
    </row>
    <row r="6800" spans="50:51">
      <c r="AX6800" s="7"/>
      <c r="AY6800" s="7"/>
    </row>
    <row r="6801" spans="50:51">
      <c r="AX6801" s="7"/>
      <c r="AY6801" s="7"/>
    </row>
    <row r="6802" spans="50:51">
      <c r="AX6802" s="7"/>
      <c r="AY6802" s="7"/>
    </row>
    <row r="6803" spans="50:51">
      <c r="AX6803" s="7"/>
      <c r="AY6803" s="7"/>
    </row>
    <row r="6804" spans="50:51">
      <c r="AX6804" s="7"/>
      <c r="AY6804" s="7"/>
    </row>
    <row r="6805" spans="50:51">
      <c r="AX6805" s="7"/>
      <c r="AY6805" s="7"/>
    </row>
    <row r="6806" spans="50:51">
      <c r="AX6806" s="7"/>
      <c r="AY6806" s="7"/>
    </row>
    <row r="6807" spans="50:51">
      <c r="AX6807" s="7"/>
      <c r="AY6807" s="7"/>
    </row>
    <row r="6808" spans="50:51">
      <c r="AX6808" s="7"/>
      <c r="AY6808" s="7"/>
    </row>
    <row r="6809" spans="50:51">
      <c r="AX6809" s="7"/>
      <c r="AY6809" s="7"/>
    </row>
    <row r="6810" spans="50:51">
      <c r="AX6810" s="7"/>
      <c r="AY6810" s="7"/>
    </row>
    <row r="6811" spans="50:51">
      <c r="AX6811" s="7"/>
      <c r="AY6811" s="7"/>
    </row>
    <row r="6812" spans="50:51">
      <c r="AX6812" s="7"/>
      <c r="AY6812" s="7"/>
    </row>
    <row r="6813" spans="50:51">
      <c r="AX6813" s="7"/>
      <c r="AY6813" s="7"/>
    </row>
    <row r="6814" spans="50:51">
      <c r="AX6814" s="7"/>
      <c r="AY6814" s="7"/>
    </row>
    <row r="6815" spans="50:51">
      <c r="AX6815" s="7"/>
      <c r="AY6815" s="7"/>
    </row>
    <row r="6816" spans="50:51">
      <c r="AX6816" s="7"/>
      <c r="AY6816" s="7"/>
    </row>
    <row r="6817" spans="50:51">
      <c r="AX6817" s="7"/>
      <c r="AY6817" s="7"/>
    </row>
    <row r="6818" spans="50:51">
      <c r="AX6818" s="7"/>
      <c r="AY6818" s="7"/>
    </row>
    <row r="6819" spans="50:51">
      <c r="AX6819" s="7"/>
      <c r="AY6819" s="7"/>
    </row>
    <row r="6820" spans="50:51">
      <c r="AX6820" s="7"/>
      <c r="AY6820" s="7"/>
    </row>
    <row r="6821" spans="50:51">
      <c r="AX6821" s="7"/>
      <c r="AY6821" s="7"/>
    </row>
    <row r="6822" spans="50:51">
      <c r="AX6822" s="7"/>
      <c r="AY6822" s="7"/>
    </row>
    <row r="6823" spans="50:51">
      <c r="AX6823" s="7"/>
      <c r="AY6823" s="7"/>
    </row>
    <row r="6824" spans="50:51">
      <c r="AX6824" s="7"/>
      <c r="AY6824" s="7"/>
    </row>
    <row r="6825" spans="50:51">
      <c r="AX6825" s="7"/>
      <c r="AY6825" s="7"/>
    </row>
    <row r="6826" spans="50:51">
      <c r="AX6826" s="7"/>
      <c r="AY6826" s="7"/>
    </row>
    <row r="6827" spans="50:51">
      <c r="AX6827" s="7"/>
      <c r="AY6827" s="7"/>
    </row>
    <row r="6828" spans="50:51">
      <c r="AX6828" s="7"/>
      <c r="AY6828" s="7"/>
    </row>
    <row r="6829" spans="50:51">
      <c r="AX6829" s="7"/>
      <c r="AY6829" s="7"/>
    </row>
    <row r="6830" spans="50:51">
      <c r="AX6830" s="7"/>
      <c r="AY6830" s="7"/>
    </row>
    <row r="6831" spans="50:51">
      <c r="AX6831" s="7"/>
      <c r="AY6831" s="7"/>
    </row>
    <row r="6832" spans="50:51">
      <c r="AX6832" s="7"/>
      <c r="AY6832" s="7"/>
    </row>
    <row r="6833" spans="50:51">
      <c r="AX6833" s="7"/>
      <c r="AY6833" s="7"/>
    </row>
    <row r="6834" spans="50:51">
      <c r="AX6834" s="7"/>
      <c r="AY6834" s="7"/>
    </row>
    <row r="6835" spans="50:51">
      <c r="AX6835" s="7"/>
      <c r="AY6835" s="7"/>
    </row>
    <row r="6836" spans="50:51">
      <c r="AX6836" s="7"/>
      <c r="AY6836" s="7"/>
    </row>
    <row r="6837" spans="50:51">
      <c r="AX6837" s="7"/>
      <c r="AY6837" s="7"/>
    </row>
    <row r="6838" spans="50:51">
      <c r="AX6838" s="7"/>
      <c r="AY6838" s="7"/>
    </row>
    <row r="6839" spans="50:51">
      <c r="AX6839" s="7"/>
      <c r="AY6839" s="7"/>
    </row>
    <row r="6840" spans="50:51">
      <c r="AX6840" s="7"/>
      <c r="AY6840" s="7"/>
    </row>
    <row r="6841" spans="50:51">
      <c r="AX6841" s="7"/>
      <c r="AY6841" s="7"/>
    </row>
    <row r="6842" spans="50:51">
      <c r="AX6842" s="7"/>
      <c r="AY6842" s="7"/>
    </row>
    <row r="6843" spans="50:51">
      <c r="AX6843" s="7"/>
      <c r="AY6843" s="7"/>
    </row>
    <row r="6844" spans="50:51">
      <c r="AX6844" s="7"/>
      <c r="AY6844" s="7"/>
    </row>
    <row r="6845" spans="50:51">
      <c r="AX6845" s="7"/>
      <c r="AY6845" s="7"/>
    </row>
    <row r="6846" spans="50:51">
      <c r="AX6846" s="7"/>
      <c r="AY6846" s="7"/>
    </row>
    <row r="6847" spans="50:51">
      <c r="AX6847" s="7"/>
      <c r="AY6847" s="7"/>
    </row>
    <row r="6848" spans="50:51">
      <c r="AX6848" s="7"/>
      <c r="AY6848" s="7"/>
    </row>
    <row r="6849" spans="50:51">
      <c r="AX6849" s="7"/>
      <c r="AY6849" s="7"/>
    </row>
    <row r="6850" spans="50:51">
      <c r="AX6850" s="7"/>
      <c r="AY6850" s="7"/>
    </row>
    <row r="6851" spans="50:51">
      <c r="AX6851" s="7"/>
      <c r="AY6851" s="7"/>
    </row>
    <row r="6852" spans="50:51">
      <c r="AX6852" s="7"/>
      <c r="AY6852" s="7"/>
    </row>
    <row r="6853" spans="50:51">
      <c r="AX6853" s="7"/>
      <c r="AY6853" s="7"/>
    </row>
    <row r="6854" spans="50:51">
      <c r="AX6854" s="7"/>
      <c r="AY6854" s="7"/>
    </row>
    <row r="6855" spans="50:51">
      <c r="AX6855" s="7"/>
      <c r="AY6855" s="7"/>
    </row>
    <row r="6856" spans="50:51">
      <c r="AX6856" s="7"/>
      <c r="AY6856" s="7"/>
    </row>
    <row r="6857" spans="50:51">
      <c r="AX6857" s="7"/>
      <c r="AY6857" s="7"/>
    </row>
    <row r="6858" spans="50:51">
      <c r="AX6858" s="7"/>
      <c r="AY6858" s="7"/>
    </row>
    <row r="6859" spans="50:51">
      <c r="AX6859" s="7"/>
      <c r="AY6859" s="7"/>
    </row>
    <row r="6860" spans="50:51">
      <c r="AX6860" s="7"/>
      <c r="AY6860" s="7"/>
    </row>
    <row r="6861" spans="50:51">
      <c r="AX6861" s="7"/>
      <c r="AY6861" s="7"/>
    </row>
    <row r="6862" spans="50:51">
      <c r="AX6862" s="7"/>
      <c r="AY6862" s="7"/>
    </row>
    <row r="6863" spans="50:51">
      <c r="AX6863" s="7"/>
      <c r="AY6863" s="7"/>
    </row>
    <row r="6864" spans="50:51">
      <c r="AX6864" s="7"/>
      <c r="AY6864" s="7"/>
    </row>
    <row r="6865" spans="50:51">
      <c r="AX6865" s="7"/>
      <c r="AY6865" s="7"/>
    </row>
    <row r="6866" spans="50:51">
      <c r="AX6866" s="7"/>
      <c r="AY6866" s="7"/>
    </row>
    <row r="6867" spans="50:51">
      <c r="AX6867" s="7"/>
      <c r="AY6867" s="7"/>
    </row>
    <row r="6868" spans="50:51">
      <c r="AX6868" s="7"/>
      <c r="AY6868" s="7"/>
    </row>
    <row r="6869" spans="50:51">
      <c r="AX6869" s="7"/>
      <c r="AY6869" s="7"/>
    </row>
    <row r="6870" spans="50:51">
      <c r="AX6870" s="7"/>
      <c r="AY6870" s="7"/>
    </row>
    <row r="6871" spans="50:51">
      <c r="AX6871" s="7"/>
      <c r="AY6871" s="7"/>
    </row>
    <row r="6872" spans="50:51">
      <c r="AX6872" s="7"/>
      <c r="AY6872" s="7"/>
    </row>
    <row r="6873" spans="50:51">
      <c r="AX6873" s="7"/>
      <c r="AY6873" s="7"/>
    </row>
    <row r="6874" spans="50:51">
      <c r="AX6874" s="7"/>
      <c r="AY6874" s="7"/>
    </row>
    <row r="6875" spans="50:51">
      <c r="AX6875" s="7"/>
      <c r="AY6875" s="7"/>
    </row>
    <row r="6876" spans="50:51">
      <c r="AX6876" s="7"/>
      <c r="AY6876" s="7"/>
    </row>
    <row r="6877" spans="50:51">
      <c r="AX6877" s="7"/>
      <c r="AY6877" s="7"/>
    </row>
    <row r="6878" spans="50:51">
      <c r="AX6878" s="7"/>
      <c r="AY6878" s="7"/>
    </row>
    <row r="6879" spans="50:51">
      <c r="AX6879" s="7"/>
      <c r="AY6879" s="7"/>
    </row>
    <row r="6880" spans="50:51">
      <c r="AX6880" s="7"/>
      <c r="AY6880" s="7"/>
    </row>
    <row r="6881" spans="50:51">
      <c r="AX6881" s="7"/>
      <c r="AY6881" s="7"/>
    </row>
    <row r="6882" spans="50:51">
      <c r="AX6882" s="7"/>
      <c r="AY6882" s="7"/>
    </row>
    <row r="6883" spans="50:51">
      <c r="AX6883" s="7"/>
      <c r="AY6883" s="7"/>
    </row>
    <row r="6884" spans="50:51">
      <c r="AX6884" s="7"/>
      <c r="AY6884" s="7"/>
    </row>
    <row r="6885" spans="50:51">
      <c r="AX6885" s="7"/>
      <c r="AY6885" s="7"/>
    </row>
    <row r="6886" spans="50:51">
      <c r="AX6886" s="7"/>
      <c r="AY6886" s="7"/>
    </row>
    <row r="6887" spans="50:51">
      <c r="AX6887" s="7"/>
      <c r="AY6887" s="7"/>
    </row>
    <row r="6888" spans="50:51">
      <c r="AX6888" s="7"/>
      <c r="AY6888" s="7"/>
    </row>
    <row r="6889" spans="50:51">
      <c r="AX6889" s="7"/>
      <c r="AY6889" s="7"/>
    </row>
    <row r="6890" spans="50:51">
      <c r="AX6890" s="7"/>
      <c r="AY6890" s="7"/>
    </row>
    <row r="6891" spans="50:51">
      <c r="AX6891" s="7"/>
      <c r="AY6891" s="7"/>
    </row>
    <row r="6892" spans="50:51">
      <c r="AX6892" s="7"/>
      <c r="AY6892" s="7"/>
    </row>
    <row r="6893" spans="50:51">
      <c r="AX6893" s="7"/>
      <c r="AY6893" s="7"/>
    </row>
    <row r="6894" spans="50:51">
      <c r="AX6894" s="7"/>
      <c r="AY6894" s="7"/>
    </row>
    <row r="6895" spans="50:51">
      <c r="AX6895" s="7"/>
      <c r="AY6895" s="7"/>
    </row>
    <row r="6896" spans="50:51">
      <c r="AX6896" s="7"/>
      <c r="AY6896" s="7"/>
    </row>
    <row r="6897" spans="50:51">
      <c r="AX6897" s="7"/>
      <c r="AY6897" s="7"/>
    </row>
    <row r="6898" spans="50:51">
      <c r="AX6898" s="7"/>
      <c r="AY6898" s="7"/>
    </row>
    <row r="6899" spans="50:51">
      <c r="AX6899" s="7"/>
      <c r="AY6899" s="7"/>
    </row>
    <row r="6900" spans="50:51">
      <c r="AX6900" s="7"/>
      <c r="AY6900" s="7"/>
    </row>
    <row r="6901" spans="50:51">
      <c r="AX6901" s="7"/>
      <c r="AY6901" s="7"/>
    </row>
    <row r="6902" spans="50:51">
      <c r="AX6902" s="7"/>
      <c r="AY6902" s="7"/>
    </row>
    <row r="6903" spans="50:51">
      <c r="AX6903" s="7"/>
      <c r="AY6903" s="7"/>
    </row>
    <row r="6904" spans="50:51">
      <c r="AX6904" s="7"/>
      <c r="AY6904" s="7"/>
    </row>
    <row r="6905" spans="50:51">
      <c r="AX6905" s="7"/>
      <c r="AY6905" s="7"/>
    </row>
    <row r="6906" spans="50:51">
      <c r="AX6906" s="7"/>
      <c r="AY6906" s="7"/>
    </row>
    <row r="6907" spans="50:51">
      <c r="AX6907" s="7"/>
      <c r="AY6907" s="7"/>
    </row>
    <row r="6908" spans="50:51">
      <c r="AX6908" s="7"/>
      <c r="AY6908" s="7"/>
    </row>
    <row r="6909" spans="50:51">
      <c r="AX6909" s="7"/>
      <c r="AY6909" s="7"/>
    </row>
    <row r="6910" spans="50:51">
      <c r="AX6910" s="7"/>
      <c r="AY6910" s="7"/>
    </row>
    <row r="6911" spans="50:51">
      <c r="AX6911" s="7"/>
      <c r="AY6911" s="7"/>
    </row>
    <row r="6912" spans="50:51">
      <c r="AX6912" s="7"/>
      <c r="AY6912" s="7"/>
    </row>
    <row r="6913" spans="50:51">
      <c r="AX6913" s="7"/>
      <c r="AY6913" s="7"/>
    </row>
    <row r="6914" spans="50:51">
      <c r="AX6914" s="7"/>
      <c r="AY6914" s="7"/>
    </row>
    <row r="6915" spans="50:51">
      <c r="AX6915" s="7"/>
      <c r="AY6915" s="7"/>
    </row>
    <row r="6916" spans="50:51">
      <c r="AX6916" s="7"/>
      <c r="AY6916" s="7"/>
    </row>
    <row r="6917" spans="50:51">
      <c r="AX6917" s="7"/>
      <c r="AY6917" s="7"/>
    </row>
    <row r="6918" spans="50:51">
      <c r="AX6918" s="7"/>
      <c r="AY6918" s="7"/>
    </row>
    <row r="6919" spans="50:51">
      <c r="AX6919" s="7"/>
      <c r="AY6919" s="7"/>
    </row>
    <row r="6920" spans="50:51">
      <c r="AX6920" s="7"/>
      <c r="AY6920" s="7"/>
    </row>
    <row r="6921" spans="50:51">
      <c r="AX6921" s="7"/>
      <c r="AY6921" s="7"/>
    </row>
    <row r="6922" spans="50:51">
      <c r="AX6922" s="7"/>
      <c r="AY6922" s="7"/>
    </row>
    <row r="6923" spans="50:51">
      <c r="AX6923" s="7"/>
      <c r="AY6923" s="7"/>
    </row>
    <row r="6924" spans="50:51">
      <c r="AX6924" s="7"/>
      <c r="AY6924" s="7"/>
    </row>
    <row r="6925" spans="50:51">
      <c r="AX6925" s="7"/>
      <c r="AY6925" s="7"/>
    </row>
    <row r="6926" spans="50:51">
      <c r="AX6926" s="7"/>
      <c r="AY6926" s="7"/>
    </row>
    <row r="6927" spans="50:51">
      <c r="AX6927" s="7"/>
      <c r="AY6927" s="7"/>
    </row>
    <row r="6928" spans="50:51">
      <c r="AX6928" s="7"/>
      <c r="AY6928" s="7"/>
    </row>
    <row r="6929" spans="50:51">
      <c r="AX6929" s="7"/>
      <c r="AY6929" s="7"/>
    </row>
    <row r="6930" spans="50:51">
      <c r="AX6930" s="7"/>
      <c r="AY6930" s="7"/>
    </row>
    <row r="6931" spans="50:51">
      <c r="AX6931" s="7"/>
      <c r="AY6931" s="7"/>
    </row>
    <row r="6932" spans="50:51">
      <c r="AX6932" s="7"/>
      <c r="AY6932" s="7"/>
    </row>
    <row r="6933" spans="50:51">
      <c r="AX6933" s="7"/>
      <c r="AY6933" s="7"/>
    </row>
    <row r="6934" spans="50:51">
      <c r="AX6934" s="7"/>
      <c r="AY6934" s="7"/>
    </row>
    <row r="6935" spans="50:51">
      <c r="AX6935" s="7"/>
      <c r="AY6935" s="7"/>
    </row>
    <row r="6936" spans="50:51">
      <c r="AX6936" s="7"/>
      <c r="AY6936" s="7"/>
    </row>
    <row r="6937" spans="50:51">
      <c r="AX6937" s="7"/>
      <c r="AY6937" s="7"/>
    </row>
    <row r="6938" spans="50:51">
      <c r="AX6938" s="7"/>
      <c r="AY6938" s="7"/>
    </row>
    <row r="6939" spans="50:51">
      <c r="AX6939" s="7"/>
      <c r="AY6939" s="7"/>
    </row>
    <row r="6940" spans="50:51">
      <c r="AX6940" s="7"/>
      <c r="AY6940" s="7"/>
    </row>
    <row r="6941" spans="50:51">
      <c r="AX6941" s="7"/>
      <c r="AY6941" s="7"/>
    </row>
    <row r="6942" spans="50:51">
      <c r="AX6942" s="7"/>
      <c r="AY6942" s="7"/>
    </row>
    <row r="6943" spans="50:51">
      <c r="AX6943" s="7"/>
      <c r="AY6943" s="7"/>
    </row>
    <row r="6944" spans="50:51">
      <c r="AX6944" s="7"/>
      <c r="AY6944" s="7"/>
    </row>
    <row r="6945" spans="50:51">
      <c r="AX6945" s="7"/>
      <c r="AY6945" s="7"/>
    </row>
    <row r="6946" spans="50:51">
      <c r="AX6946" s="7"/>
      <c r="AY6946" s="7"/>
    </row>
    <row r="6947" spans="50:51">
      <c r="AX6947" s="7"/>
      <c r="AY6947" s="7"/>
    </row>
    <row r="6948" spans="50:51">
      <c r="AX6948" s="7"/>
      <c r="AY6948" s="7"/>
    </row>
    <row r="6949" spans="50:51">
      <c r="AX6949" s="7"/>
      <c r="AY6949" s="7"/>
    </row>
    <row r="6950" spans="50:51">
      <c r="AX6950" s="7"/>
      <c r="AY6950" s="7"/>
    </row>
    <row r="6951" spans="50:51">
      <c r="AX6951" s="7"/>
      <c r="AY6951" s="7"/>
    </row>
    <row r="6952" spans="50:51">
      <c r="AX6952" s="7"/>
      <c r="AY6952" s="7"/>
    </row>
    <row r="6953" spans="50:51">
      <c r="AX6953" s="7"/>
      <c r="AY6953" s="7"/>
    </row>
    <row r="6954" spans="50:51">
      <c r="AX6954" s="7"/>
      <c r="AY6954" s="7"/>
    </row>
    <row r="6955" spans="50:51">
      <c r="AX6955" s="7"/>
      <c r="AY6955" s="7"/>
    </row>
    <row r="6956" spans="50:51">
      <c r="AX6956" s="7"/>
      <c r="AY6956" s="7"/>
    </row>
    <row r="6957" spans="50:51">
      <c r="AX6957" s="7"/>
      <c r="AY6957" s="7"/>
    </row>
    <row r="6958" spans="50:51">
      <c r="AX6958" s="7"/>
      <c r="AY6958" s="7"/>
    </row>
    <row r="6959" spans="50:51">
      <c r="AX6959" s="7"/>
      <c r="AY6959" s="7"/>
    </row>
    <row r="6960" spans="50:51">
      <c r="AX6960" s="7"/>
      <c r="AY6960" s="7"/>
    </row>
    <row r="6961" spans="50:51">
      <c r="AX6961" s="7"/>
      <c r="AY6961" s="7"/>
    </row>
    <row r="6962" spans="50:51">
      <c r="AX6962" s="7"/>
      <c r="AY6962" s="7"/>
    </row>
    <row r="6963" spans="50:51">
      <c r="AX6963" s="7"/>
      <c r="AY6963" s="7"/>
    </row>
    <row r="6964" spans="50:51">
      <c r="AX6964" s="7"/>
      <c r="AY6964" s="7"/>
    </row>
    <row r="6965" spans="50:51">
      <c r="AX6965" s="7"/>
      <c r="AY6965" s="7"/>
    </row>
    <row r="6966" spans="50:51">
      <c r="AX6966" s="7"/>
      <c r="AY6966" s="7"/>
    </row>
    <row r="6967" spans="50:51">
      <c r="AX6967" s="7"/>
      <c r="AY6967" s="7"/>
    </row>
    <row r="6968" spans="50:51">
      <c r="AX6968" s="7"/>
      <c r="AY6968" s="7"/>
    </row>
    <row r="6969" spans="50:51">
      <c r="AX6969" s="7"/>
      <c r="AY6969" s="7"/>
    </row>
    <row r="6970" spans="50:51">
      <c r="AX6970" s="7"/>
      <c r="AY6970" s="7"/>
    </row>
    <row r="6971" spans="50:51">
      <c r="AX6971" s="7"/>
      <c r="AY6971" s="7"/>
    </row>
    <row r="6972" spans="50:51">
      <c r="AX6972" s="7"/>
      <c r="AY6972" s="7"/>
    </row>
    <row r="6973" spans="50:51">
      <c r="AX6973" s="7"/>
      <c r="AY6973" s="7"/>
    </row>
    <row r="6974" spans="50:51">
      <c r="AX6974" s="7"/>
      <c r="AY6974" s="7"/>
    </row>
    <row r="6975" spans="50:51">
      <c r="AX6975" s="7"/>
      <c r="AY6975" s="7"/>
    </row>
    <row r="6976" spans="50:51">
      <c r="AX6976" s="7"/>
      <c r="AY6976" s="7"/>
    </row>
    <row r="6977" spans="50:51">
      <c r="AX6977" s="7"/>
      <c r="AY6977" s="7"/>
    </row>
    <row r="6978" spans="50:51">
      <c r="AX6978" s="7"/>
      <c r="AY6978" s="7"/>
    </row>
    <row r="6979" spans="50:51">
      <c r="AX6979" s="7"/>
      <c r="AY6979" s="7"/>
    </row>
    <row r="6980" spans="50:51">
      <c r="AX6980" s="7"/>
      <c r="AY6980" s="7"/>
    </row>
    <row r="6981" spans="50:51">
      <c r="AX6981" s="7"/>
      <c r="AY6981" s="7"/>
    </row>
    <row r="6982" spans="50:51">
      <c r="AX6982" s="7"/>
      <c r="AY6982" s="7"/>
    </row>
    <row r="6983" spans="50:51">
      <c r="AX6983" s="7"/>
      <c r="AY6983" s="7"/>
    </row>
    <row r="6984" spans="50:51">
      <c r="AX6984" s="7"/>
      <c r="AY6984" s="7"/>
    </row>
    <row r="6985" spans="50:51">
      <c r="AX6985" s="7"/>
      <c r="AY6985" s="7"/>
    </row>
    <row r="6986" spans="50:51">
      <c r="AX6986" s="7"/>
      <c r="AY6986" s="7"/>
    </row>
    <row r="6987" spans="50:51">
      <c r="AX6987" s="7"/>
      <c r="AY6987" s="7"/>
    </row>
    <row r="6988" spans="50:51">
      <c r="AX6988" s="7"/>
      <c r="AY6988" s="7"/>
    </row>
    <row r="6989" spans="50:51">
      <c r="AX6989" s="7"/>
      <c r="AY6989" s="7"/>
    </row>
    <row r="6990" spans="50:51">
      <c r="AX6990" s="7"/>
      <c r="AY6990" s="7"/>
    </row>
    <row r="6991" spans="50:51">
      <c r="AX6991" s="7"/>
      <c r="AY6991" s="7"/>
    </row>
    <row r="6992" spans="50:51">
      <c r="AX6992" s="7"/>
      <c r="AY6992" s="7"/>
    </row>
    <row r="6993" spans="50:51">
      <c r="AX6993" s="7"/>
      <c r="AY6993" s="7"/>
    </row>
    <row r="6994" spans="50:51">
      <c r="AX6994" s="7"/>
      <c r="AY6994" s="7"/>
    </row>
    <row r="6995" spans="50:51">
      <c r="AX6995" s="7"/>
      <c r="AY6995" s="7"/>
    </row>
    <row r="6996" spans="50:51">
      <c r="AX6996" s="7"/>
      <c r="AY6996" s="7"/>
    </row>
    <row r="6997" spans="50:51">
      <c r="AX6997" s="7"/>
      <c r="AY6997" s="7"/>
    </row>
    <row r="6998" spans="50:51">
      <c r="AX6998" s="7"/>
      <c r="AY6998" s="7"/>
    </row>
    <row r="6999" spans="50:51">
      <c r="AX6999" s="7"/>
      <c r="AY6999" s="7"/>
    </row>
    <row r="7000" spans="50:51">
      <c r="AX7000" s="7"/>
      <c r="AY7000" s="7"/>
    </row>
    <row r="7001" spans="50:51">
      <c r="AX7001" s="7"/>
      <c r="AY7001" s="7"/>
    </row>
    <row r="7002" spans="50:51">
      <c r="AX7002" s="7"/>
      <c r="AY7002" s="7"/>
    </row>
    <row r="7003" spans="50:51">
      <c r="AX7003" s="7"/>
      <c r="AY7003" s="7"/>
    </row>
    <row r="7004" spans="50:51">
      <c r="AX7004" s="7"/>
      <c r="AY7004" s="7"/>
    </row>
    <row r="7005" spans="50:51">
      <c r="AX7005" s="7"/>
      <c r="AY7005" s="7"/>
    </row>
    <row r="7006" spans="50:51">
      <c r="AX7006" s="7"/>
      <c r="AY7006" s="7"/>
    </row>
    <row r="7007" spans="50:51">
      <c r="AX7007" s="7"/>
      <c r="AY7007" s="7"/>
    </row>
    <row r="7008" spans="50:51">
      <c r="AX7008" s="7"/>
      <c r="AY7008" s="7"/>
    </row>
    <row r="7009" spans="50:51">
      <c r="AX7009" s="7"/>
      <c r="AY7009" s="7"/>
    </row>
    <row r="7010" spans="50:51">
      <c r="AX7010" s="7"/>
      <c r="AY7010" s="7"/>
    </row>
    <row r="7011" spans="50:51">
      <c r="AX7011" s="7"/>
      <c r="AY7011" s="7"/>
    </row>
    <row r="7012" spans="50:51">
      <c r="AX7012" s="7"/>
      <c r="AY7012" s="7"/>
    </row>
    <row r="7013" spans="50:51">
      <c r="AX7013" s="7"/>
      <c r="AY7013" s="7"/>
    </row>
    <row r="7014" spans="50:51">
      <c r="AX7014" s="7"/>
      <c r="AY7014" s="7"/>
    </row>
    <row r="7015" spans="50:51">
      <c r="AX7015" s="7"/>
      <c r="AY7015" s="7"/>
    </row>
    <row r="7016" spans="50:51">
      <c r="AX7016" s="7"/>
      <c r="AY7016" s="7"/>
    </row>
    <row r="7017" spans="50:51">
      <c r="AX7017" s="7"/>
      <c r="AY7017" s="7"/>
    </row>
    <row r="7018" spans="50:51">
      <c r="AX7018" s="7"/>
      <c r="AY7018" s="7"/>
    </row>
    <row r="7019" spans="50:51">
      <c r="AX7019" s="7"/>
      <c r="AY7019" s="7"/>
    </row>
    <row r="7020" spans="50:51">
      <c r="AX7020" s="7"/>
      <c r="AY7020" s="7"/>
    </row>
    <row r="7021" spans="50:51">
      <c r="AX7021" s="7"/>
      <c r="AY7021" s="7"/>
    </row>
    <row r="7022" spans="50:51">
      <c r="AX7022" s="7"/>
      <c r="AY7022" s="7"/>
    </row>
    <row r="7023" spans="50:51">
      <c r="AX7023" s="7"/>
      <c r="AY7023" s="7"/>
    </row>
    <row r="7024" spans="50:51">
      <c r="AX7024" s="7"/>
      <c r="AY7024" s="7"/>
    </row>
    <row r="7025" spans="50:51">
      <c r="AX7025" s="7"/>
      <c r="AY7025" s="7"/>
    </row>
    <row r="7026" spans="50:51">
      <c r="AX7026" s="7"/>
      <c r="AY7026" s="7"/>
    </row>
    <row r="7027" spans="50:51">
      <c r="AX7027" s="7"/>
      <c r="AY7027" s="7"/>
    </row>
    <row r="7028" spans="50:51">
      <c r="AX7028" s="7"/>
      <c r="AY7028" s="7"/>
    </row>
    <row r="7029" spans="50:51">
      <c r="AX7029" s="7"/>
      <c r="AY7029" s="7"/>
    </row>
    <row r="7030" spans="50:51">
      <c r="AX7030" s="7"/>
      <c r="AY7030" s="7"/>
    </row>
    <row r="7031" spans="50:51">
      <c r="AX7031" s="7"/>
      <c r="AY7031" s="7"/>
    </row>
    <row r="7032" spans="50:51">
      <c r="AX7032" s="7"/>
      <c r="AY7032" s="7"/>
    </row>
    <row r="7033" spans="50:51">
      <c r="AX7033" s="7"/>
      <c r="AY7033" s="7"/>
    </row>
    <row r="7034" spans="50:51">
      <c r="AX7034" s="7"/>
      <c r="AY7034" s="7"/>
    </row>
    <row r="7035" spans="50:51">
      <c r="AX7035" s="7"/>
      <c r="AY7035" s="7"/>
    </row>
    <row r="7036" spans="50:51">
      <c r="AX7036" s="7"/>
      <c r="AY7036" s="7"/>
    </row>
    <row r="7037" spans="50:51">
      <c r="AX7037" s="7"/>
      <c r="AY7037" s="7"/>
    </row>
    <row r="7038" spans="50:51">
      <c r="AX7038" s="7"/>
      <c r="AY7038" s="7"/>
    </row>
    <row r="7039" spans="50:51">
      <c r="AX7039" s="7"/>
      <c r="AY7039" s="7"/>
    </row>
    <row r="7040" spans="50:51">
      <c r="AX7040" s="7"/>
      <c r="AY7040" s="7"/>
    </row>
    <row r="7041" spans="50:51">
      <c r="AX7041" s="7"/>
      <c r="AY7041" s="7"/>
    </row>
    <row r="7042" spans="50:51">
      <c r="AX7042" s="7"/>
      <c r="AY7042" s="7"/>
    </row>
    <row r="7043" spans="50:51">
      <c r="AX7043" s="7"/>
      <c r="AY7043" s="7"/>
    </row>
    <row r="7044" spans="50:51">
      <c r="AX7044" s="7"/>
      <c r="AY7044" s="7"/>
    </row>
    <row r="7045" spans="50:51">
      <c r="AX7045" s="7"/>
      <c r="AY7045" s="7"/>
    </row>
    <row r="7046" spans="50:51">
      <c r="AX7046" s="7"/>
      <c r="AY7046" s="7"/>
    </row>
    <row r="7047" spans="50:51">
      <c r="AX7047" s="7"/>
      <c r="AY7047" s="7"/>
    </row>
    <row r="7048" spans="50:51">
      <c r="AX7048" s="7"/>
      <c r="AY7048" s="7"/>
    </row>
    <row r="7049" spans="50:51">
      <c r="AX7049" s="7"/>
      <c r="AY7049" s="7"/>
    </row>
    <row r="7050" spans="50:51">
      <c r="AX7050" s="7"/>
      <c r="AY7050" s="7"/>
    </row>
    <row r="7051" spans="50:51">
      <c r="AX7051" s="7"/>
      <c r="AY7051" s="7"/>
    </row>
    <row r="7052" spans="50:51">
      <c r="AX7052" s="7"/>
      <c r="AY7052" s="7"/>
    </row>
    <row r="7053" spans="50:51">
      <c r="AX7053" s="7"/>
      <c r="AY7053" s="7"/>
    </row>
    <row r="7054" spans="50:51">
      <c r="AX7054" s="7"/>
      <c r="AY7054" s="7"/>
    </row>
    <row r="7055" spans="50:51">
      <c r="AX7055" s="7"/>
      <c r="AY7055" s="7"/>
    </row>
    <row r="7056" spans="50:51">
      <c r="AX7056" s="7"/>
      <c r="AY7056" s="7"/>
    </row>
    <row r="7057" spans="50:51">
      <c r="AX7057" s="7"/>
      <c r="AY7057" s="7"/>
    </row>
    <row r="7058" spans="50:51">
      <c r="AX7058" s="7"/>
      <c r="AY7058" s="7"/>
    </row>
    <row r="7059" spans="50:51">
      <c r="AX7059" s="7"/>
      <c r="AY7059" s="7"/>
    </row>
    <row r="7060" spans="50:51">
      <c r="AX7060" s="7"/>
      <c r="AY7060" s="7"/>
    </row>
    <row r="7061" spans="50:51">
      <c r="AX7061" s="7"/>
      <c r="AY7061" s="7"/>
    </row>
    <row r="7062" spans="50:51">
      <c r="AX7062" s="7"/>
      <c r="AY7062" s="7"/>
    </row>
    <row r="7063" spans="50:51">
      <c r="AX7063" s="7"/>
      <c r="AY7063" s="7"/>
    </row>
    <row r="7064" spans="50:51">
      <c r="AX7064" s="7"/>
      <c r="AY7064" s="7"/>
    </row>
    <row r="7065" spans="50:51">
      <c r="AX7065" s="7"/>
      <c r="AY7065" s="7"/>
    </row>
    <row r="7066" spans="50:51">
      <c r="AX7066" s="7"/>
      <c r="AY7066" s="7"/>
    </row>
    <row r="7067" spans="50:51">
      <c r="AX7067" s="7"/>
      <c r="AY7067" s="7"/>
    </row>
    <row r="7068" spans="50:51">
      <c r="AX7068" s="7"/>
      <c r="AY7068" s="7"/>
    </row>
    <row r="7069" spans="50:51">
      <c r="AX7069" s="7"/>
      <c r="AY7069" s="7"/>
    </row>
    <row r="7070" spans="50:51">
      <c r="AX7070" s="7"/>
      <c r="AY7070" s="7"/>
    </row>
    <row r="7071" spans="50:51">
      <c r="AX7071" s="7"/>
      <c r="AY7071" s="7"/>
    </row>
    <row r="7072" spans="50:51">
      <c r="AX7072" s="7"/>
      <c r="AY7072" s="7"/>
    </row>
    <row r="7073" spans="50:51">
      <c r="AX7073" s="7"/>
      <c r="AY7073" s="7"/>
    </row>
    <row r="7074" spans="50:51">
      <c r="AX7074" s="7"/>
      <c r="AY7074" s="7"/>
    </row>
    <row r="7075" spans="50:51">
      <c r="AX7075" s="7"/>
      <c r="AY7075" s="7"/>
    </row>
    <row r="7076" spans="50:51">
      <c r="AX7076" s="7"/>
      <c r="AY7076" s="7"/>
    </row>
    <row r="7077" spans="50:51">
      <c r="AX7077" s="7"/>
      <c r="AY7077" s="7"/>
    </row>
    <row r="7078" spans="50:51">
      <c r="AX7078" s="7"/>
      <c r="AY7078" s="7"/>
    </row>
    <row r="7079" spans="50:51">
      <c r="AX7079" s="7"/>
      <c r="AY7079" s="7"/>
    </row>
    <row r="7080" spans="50:51">
      <c r="AX7080" s="7"/>
      <c r="AY7080" s="7"/>
    </row>
    <row r="7081" spans="50:51">
      <c r="AX7081" s="7"/>
      <c r="AY7081" s="7"/>
    </row>
    <row r="7082" spans="50:51">
      <c r="AX7082" s="7"/>
      <c r="AY7082" s="7"/>
    </row>
    <row r="7083" spans="50:51">
      <c r="AX7083" s="7"/>
      <c r="AY7083" s="7"/>
    </row>
    <row r="7084" spans="50:51">
      <c r="AX7084" s="7"/>
      <c r="AY7084" s="7"/>
    </row>
    <row r="7085" spans="50:51">
      <c r="AX7085" s="7"/>
      <c r="AY7085" s="7"/>
    </row>
    <row r="7086" spans="50:51">
      <c r="AX7086" s="7"/>
      <c r="AY7086" s="7"/>
    </row>
    <row r="7087" spans="50:51">
      <c r="AX7087" s="7"/>
      <c r="AY7087" s="7"/>
    </row>
    <row r="7088" spans="50:51">
      <c r="AX7088" s="7"/>
      <c r="AY7088" s="7"/>
    </row>
    <row r="7089" spans="50:51">
      <c r="AX7089" s="7"/>
      <c r="AY7089" s="7"/>
    </row>
    <row r="7090" spans="50:51">
      <c r="AX7090" s="7"/>
      <c r="AY7090" s="7"/>
    </row>
    <row r="7091" spans="50:51">
      <c r="AX7091" s="7"/>
      <c r="AY7091" s="7"/>
    </row>
    <row r="7092" spans="50:51">
      <c r="AX7092" s="7"/>
      <c r="AY7092" s="7"/>
    </row>
    <row r="7093" spans="50:51">
      <c r="AX7093" s="7"/>
      <c r="AY7093" s="7"/>
    </row>
    <row r="7094" spans="50:51">
      <c r="AX7094" s="7"/>
      <c r="AY7094" s="7"/>
    </row>
    <row r="7095" spans="50:51">
      <c r="AX7095" s="7"/>
      <c r="AY7095" s="7"/>
    </row>
    <row r="7096" spans="50:51">
      <c r="AX7096" s="7"/>
      <c r="AY7096" s="7"/>
    </row>
    <row r="7097" spans="50:51">
      <c r="AX7097" s="7"/>
      <c r="AY7097" s="7"/>
    </row>
    <row r="7098" spans="50:51">
      <c r="AX7098" s="7"/>
      <c r="AY7098" s="7"/>
    </row>
    <row r="7099" spans="50:51">
      <c r="AX7099" s="7"/>
      <c r="AY7099" s="7"/>
    </row>
    <row r="7100" spans="50:51">
      <c r="AX7100" s="7"/>
      <c r="AY7100" s="7"/>
    </row>
    <row r="7101" spans="50:51">
      <c r="AX7101" s="7"/>
      <c r="AY7101" s="7"/>
    </row>
    <row r="7102" spans="50:51">
      <c r="AX7102" s="7"/>
      <c r="AY7102" s="7"/>
    </row>
    <row r="7103" spans="50:51">
      <c r="AX7103" s="7"/>
      <c r="AY7103" s="7"/>
    </row>
    <row r="7104" spans="50:51">
      <c r="AX7104" s="7"/>
      <c r="AY7104" s="7"/>
    </row>
    <row r="7105" spans="50:51">
      <c r="AX7105" s="7"/>
      <c r="AY7105" s="7"/>
    </row>
    <row r="7106" spans="50:51">
      <c r="AX7106" s="7"/>
      <c r="AY7106" s="7"/>
    </row>
    <row r="7107" spans="50:51">
      <c r="AX7107" s="7"/>
      <c r="AY7107" s="7"/>
    </row>
    <row r="7108" spans="50:51">
      <c r="AX7108" s="7"/>
      <c r="AY7108" s="7"/>
    </row>
    <row r="7109" spans="50:51">
      <c r="AX7109" s="7"/>
      <c r="AY7109" s="7"/>
    </row>
    <row r="7110" spans="50:51">
      <c r="AX7110" s="7"/>
      <c r="AY7110" s="7"/>
    </row>
    <row r="7111" spans="50:51">
      <c r="AX7111" s="7"/>
      <c r="AY7111" s="7"/>
    </row>
    <row r="7112" spans="50:51">
      <c r="AX7112" s="7"/>
      <c r="AY7112" s="7"/>
    </row>
    <row r="7113" spans="50:51">
      <c r="AX7113" s="7"/>
      <c r="AY7113" s="7"/>
    </row>
    <row r="7114" spans="50:51">
      <c r="AX7114" s="7"/>
      <c r="AY7114" s="7"/>
    </row>
    <row r="7115" spans="50:51">
      <c r="AX7115" s="7"/>
      <c r="AY7115" s="7"/>
    </row>
    <row r="7116" spans="50:51">
      <c r="AX7116" s="7"/>
      <c r="AY7116" s="7"/>
    </row>
    <row r="7117" spans="50:51">
      <c r="AX7117" s="7"/>
      <c r="AY7117" s="7"/>
    </row>
    <row r="7118" spans="50:51">
      <c r="AX7118" s="7"/>
      <c r="AY7118" s="7"/>
    </row>
    <row r="7119" spans="50:51">
      <c r="AX7119" s="7"/>
      <c r="AY7119" s="7"/>
    </row>
    <row r="7120" spans="50:51">
      <c r="AX7120" s="7"/>
      <c r="AY7120" s="7"/>
    </row>
    <row r="7121" spans="50:51">
      <c r="AX7121" s="7"/>
      <c r="AY7121" s="7"/>
    </row>
    <row r="7122" spans="50:51">
      <c r="AX7122" s="7"/>
      <c r="AY7122" s="7"/>
    </row>
    <row r="7123" spans="50:51">
      <c r="AX7123" s="7"/>
      <c r="AY7123" s="7"/>
    </row>
    <row r="7124" spans="50:51">
      <c r="AX7124" s="7"/>
      <c r="AY7124" s="7"/>
    </row>
    <row r="7125" spans="50:51">
      <c r="AX7125" s="7"/>
      <c r="AY7125" s="7"/>
    </row>
    <row r="7126" spans="50:51">
      <c r="AX7126" s="7"/>
      <c r="AY7126" s="7"/>
    </row>
    <row r="7127" spans="50:51">
      <c r="AX7127" s="7"/>
      <c r="AY7127" s="7"/>
    </row>
    <row r="7128" spans="50:51">
      <c r="AX7128" s="7"/>
      <c r="AY7128" s="7"/>
    </row>
    <row r="7129" spans="50:51">
      <c r="AX7129" s="7"/>
      <c r="AY7129" s="7"/>
    </row>
    <row r="7130" spans="50:51">
      <c r="AX7130" s="7"/>
      <c r="AY7130" s="7"/>
    </row>
    <row r="7131" spans="50:51">
      <c r="AX7131" s="7"/>
      <c r="AY7131" s="7"/>
    </row>
    <row r="7132" spans="50:51">
      <c r="AX7132" s="7"/>
      <c r="AY7132" s="7"/>
    </row>
    <row r="7133" spans="50:51">
      <c r="AX7133" s="7"/>
      <c r="AY7133" s="7"/>
    </row>
    <row r="7134" spans="50:51">
      <c r="AX7134" s="7"/>
      <c r="AY7134" s="7"/>
    </row>
    <row r="7135" spans="50:51">
      <c r="AX7135" s="7"/>
      <c r="AY7135" s="7"/>
    </row>
    <row r="7136" spans="50:51">
      <c r="AX7136" s="7"/>
      <c r="AY7136" s="7"/>
    </row>
    <row r="7137" spans="50:51">
      <c r="AX7137" s="7"/>
      <c r="AY7137" s="7"/>
    </row>
    <row r="7138" spans="50:51">
      <c r="AX7138" s="7"/>
      <c r="AY7138" s="7"/>
    </row>
    <row r="7139" spans="50:51">
      <c r="AX7139" s="7"/>
      <c r="AY7139" s="7"/>
    </row>
    <row r="7140" spans="50:51">
      <c r="AX7140" s="7"/>
      <c r="AY7140" s="7"/>
    </row>
    <row r="7141" spans="50:51">
      <c r="AX7141" s="7"/>
      <c r="AY7141" s="7"/>
    </row>
    <row r="7142" spans="50:51">
      <c r="AX7142" s="7"/>
      <c r="AY7142" s="7"/>
    </row>
    <row r="7143" spans="50:51">
      <c r="AX7143" s="7"/>
      <c r="AY7143" s="7"/>
    </row>
    <row r="7144" spans="50:51">
      <c r="AX7144" s="7"/>
      <c r="AY7144" s="7"/>
    </row>
    <row r="7145" spans="50:51">
      <c r="AX7145" s="7"/>
      <c r="AY7145" s="7"/>
    </row>
    <row r="7146" spans="50:51">
      <c r="AX7146" s="7"/>
      <c r="AY7146" s="7"/>
    </row>
    <row r="7147" spans="50:51">
      <c r="AX7147" s="7"/>
      <c r="AY7147" s="7"/>
    </row>
    <row r="7148" spans="50:51">
      <c r="AX7148" s="7"/>
      <c r="AY7148" s="7"/>
    </row>
    <row r="7149" spans="50:51">
      <c r="AX7149" s="7"/>
      <c r="AY7149" s="7"/>
    </row>
    <row r="7150" spans="50:51">
      <c r="AX7150" s="7"/>
      <c r="AY7150" s="7"/>
    </row>
    <row r="7151" spans="50:51">
      <c r="AX7151" s="7"/>
      <c r="AY7151" s="7"/>
    </row>
    <row r="7152" spans="50:51">
      <c r="AX7152" s="7"/>
      <c r="AY7152" s="7"/>
    </row>
    <row r="7153" spans="50:51">
      <c r="AX7153" s="7"/>
      <c r="AY7153" s="7"/>
    </row>
    <row r="7154" spans="50:51">
      <c r="AX7154" s="7"/>
      <c r="AY7154" s="7"/>
    </row>
    <row r="7155" spans="50:51">
      <c r="AX7155" s="7"/>
      <c r="AY7155" s="7"/>
    </row>
    <row r="7156" spans="50:51">
      <c r="AX7156" s="7"/>
      <c r="AY7156" s="7"/>
    </row>
    <row r="7157" spans="50:51">
      <c r="AX7157" s="7"/>
      <c r="AY7157" s="7"/>
    </row>
    <row r="7158" spans="50:51">
      <c r="AX7158" s="7"/>
      <c r="AY7158" s="7"/>
    </row>
    <row r="7159" spans="50:51">
      <c r="AX7159" s="7"/>
      <c r="AY7159" s="7"/>
    </row>
    <row r="7160" spans="50:51">
      <c r="AX7160" s="7"/>
      <c r="AY7160" s="7"/>
    </row>
    <row r="7161" spans="50:51">
      <c r="AX7161" s="7"/>
      <c r="AY7161" s="7"/>
    </row>
    <row r="7162" spans="50:51">
      <c r="AX7162" s="7"/>
      <c r="AY7162" s="7"/>
    </row>
    <row r="7163" spans="50:51">
      <c r="AX7163" s="7"/>
      <c r="AY7163" s="7"/>
    </row>
    <row r="7164" spans="50:51">
      <c r="AX7164" s="7"/>
      <c r="AY7164" s="7"/>
    </row>
    <row r="7165" spans="50:51">
      <c r="AX7165" s="7"/>
      <c r="AY7165" s="7"/>
    </row>
    <row r="7166" spans="50:51">
      <c r="AX7166" s="7"/>
      <c r="AY7166" s="7"/>
    </row>
    <row r="7167" spans="50:51">
      <c r="AX7167" s="7"/>
      <c r="AY7167" s="7"/>
    </row>
    <row r="7168" spans="50:51">
      <c r="AX7168" s="7"/>
      <c r="AY7168" s="7"/>
    </row>
    <row r="7169" spans="50:51">
      <c r="AX7169" s="7"/>
      <c r="AY7169" s="7"/>
    </row>
    <row r="7170" spans="50:51">
      <c r="AX7170" s="7"/>
      <c r="AY7170" s="7"/>
    </row>
    <row r="7171" spans="50:51">
      <c r="AX7171" s="7"/>
      <c r="AY7171" s="7"/>
    </row>
    <row r="7172" spans="50:51">
      <c r="AX7172" s="7"/>
      <c r="AY7172" s="7"/>
    </row>
    <row r="7173" spans="50:51">
      <c r="AX7173" s="7"/>
      <c r="AY7173" s="7"/>
    </row>
    <row r="7174" spans="50:51">
      <c r="AX7174" s="7"/>
      <c r="AY7174" s="7"/>
    </row>
    <row r="7175" spans="50:51">
      <c r="AX7175" s="7"/>
      <c r="AY7175" s="7"/>
    </row>
    <row r="7176" spans="50:51">
      <c r="AX7176" s="7"/>
      <c r="AY7176" s="7"/>
    </row>
    <row r="7177" spans="50:51">
      <c r="AX7177" s="7"/>
      <c r="AY7177" s="7"/>
    </row>
    <row r="7178" spans="50:51">
      <c r="AX7178" s="7"/>
      <c r="AY7178" s="7"/>
    </row>
    <row r="7179" spans="50:51">
      <c r="AX7179" s="7"/>
      <c r="AY7179" s="7"/>
    </row>
    <row r="7180" spans="50:51">
      <c r="AX7180" s="7"/>
      <c r="AY7180" s="7"/>
    </row>
    <row r="7181" spans="50:51">
      <c r="AX7181" s="7"/>
      <c r="AY7181" s="7"/>
    </row>
    <row r="7182" spans="50:51">
      <c r="AX7182" s="7"/>
      <c r="AY7182" s="7"/>
    </row>
    <row r="7183" spans="50:51">
      <c r="AX7183" s="7"/>
      <c r="AY7183" s="7"/>
    </row>
    <row r="7184" spans="50:51">
      <c r="AX7184" s="7"/>
      <c r="AY7184" s="7"/>
    </row>
    <row r="7185" spans="50:51">
      <c r="AX7185" s="7"/>
      <c r="AY7185" s="7"/>
    </row>
    <row r="7186" spans="50:51">
      <c r="AX7186" s="7"/>
      <c r="AY7186" s="7"/>
    </row>
    <row r="7187" spans="50:51">
      <c r="AX7187" s="7"/>
      <c r="AY7187" s="7"/>
    </row>
    <row r="7188" spans="50:51">
      <c r="AX7188" s="7"/>
      <c r="AY7188" s="7"/>
    </row>
    <row r="7189" spans="50:51">
      <c r="AX7189" s="7"/>
      <c r="AY7189" s="7"/>
    </row>
    <row r="7190" spans="50:51">
      <c r="AX7190" s="7"/>
      <c r="AY7190" s="7"/>
    </row>
    <row r="7191" spans="50:51">
      <c r="AX7191" s="7"/>
      <c r="AY7191" s="7"/>
    </row>
    <row r="7192" spans="50:51">
      <c r="AX7192" s="7"/>
      <c r="AY7192" s="7"/>
    </row>
    <row r="7193" spans="50:51">
      <c r="AX7193" s="7"/>
      <c r="AY7193" s="7"/>
    </row>
    <row r="7194" spans="50:51">
      <c r="AX7194" s="7"/>
      <c r="AY7194" s="7"/>
    </row>
    <row r="7195" spans="50:51">
      <c r="AX7195" s="7"/>
      <c r="AY7195" s="7"/>
    </row>
    <row r="7196" spans="50:51">
      <c r="AX7196" s="7"/>
      <c r="AY7196" s="7"/>
    </row>
    <row r="7197" spans="50:51">
      <c r="AX7197" s="7"/>
      <c r="AY7197" s="7"/>
    </row>
    <row r="7198" spans="50:51">
      <c r="AX7198" s="7"/>
      <c r="AY7198" s="7"/>
    </row>
    <row r="7199" spans="50:51">
      <c r="AX7199" s="7"/>
      <c r="AY7199" s="7"/>
    </row>
    <row r="7200" spans="50:51">
      <c r="AX7200" s="7"/>
      <c r="AY7200" s="7"/>
    </row>
    <row r="7201" spans="50:51">
      <c r="AX7201" s="7"/>
      <c r="AY7201" s="7"/>
    </row>
    <row r="7202" spans="50:51">
      <c r="AX7202" s="7"/>
      <c r="AY7202" s="7"/>
    </row>
    <row r="7203" spans="50:51">
      <c r="AX7203" s="7"/>
      <c r="AY7203" s="7"/>
    </row>
    <row r="7204" spans="50:51">
      <c r="AX7204" s="7"/>
      <c r="AY7204" s="7"/>
    </row>
    <row r="7205" spans="50:51">
      <c r="AX7205" s="7"/>
      <c r="AY7205" s="7"/>
    </row>
    <row r="7206" spans="50:51">
      <c r="AX7206" s="7"/>
      <c r="AY7206" s="7"/>
    </row>
    <row r="7207" spans="50:51">
      <c r="AX7207" s="7"/>
      <c r="AY7207" s="7"/>
    </row>
    <row r="7208" spans="50:51">
      <c r="AX7208" s="7"/>
      <c r="AY7208" s="7"/>
    </row>
    <row r="7209" spans="50:51">
      <c r="AX7209" s="7"/>
      <c r="AY7209" s="7"/>
    </row>
    <row r="7210" spans="50:51">
      <c r="AX7210" s="7"/>
      <c r="AY7210" s="7"/>
    </row>
    <row r="7211" spans="50:51">
      <c r="AX7211" s="7"/>
      <c r="AY7211" s="7"/>
    </row>
    <row r="7212" spans="50:51">
      <c r="AX7212" s="7"/>
      <c r="AY7212" s="7"/>
    </row>
    <row r="7213" spans="50:51">
      <c r="AX7213" s="7"/>
      <c r="AY7213" s="7"/>
    </row>
    <row r="7214" spans="50:51">
      <c r="AX7214" s="7"/>
      <c r="AY7214" s="7"/>
    </row>
    <row r="7215" spans="50:51">
      <c r="AX7215" s="7"/>
      <c r="AY7215" s="7"/>
    </row>
    <row r="7216" spans="50:51">
      <c r="AX7216" s="7"/>
      <c r="AY7216" s="7"/>
    </row>
    <row r="7217" spans="50:51">
      <c r="AX7217" s="7"/>
      <c r="AY7217" s="7"/>
    </row>
    <row r="7218" spans="50:51">
      <c r="AX7218" s="7"/>
      <c r="AY7218" s="7"/>
    </row>
    <row r="7219" spans="50:51">
      <c r="AX7219" s="7"/>
      <c r="AY7219" s="7"/>
    </row>
    <row r="7220" spans="50:51">
      <c r="AX7220" s="7"/>
      <c r="AY7220" s="7"/>
    </row>
    <row r="7221" spans="50:51">
      <c r="AX7221" s="7"/>
      <c r="AY7221" s="7"/>
    </row>
    <row r="7222" spans="50:51">
      <c r="AX7222" s="7"/>
      <c r="AY7222" s="7"/>
    </row>
    <row r="7223" spans="50:51">
      <c r="AX7223" s="7"/>
      <c r="AY7223" s="7"/>
    </row>
    <row r="7224" spans="50:51">
      <c r="AX7224" s="7"/>
      <c r="AY7224" s="7"/>
    </row>
    <row r="7225" spans="50:51">
      <c r="AX7225" s="7"/>
      <c r="AY7225" s="7"/>
    </row>
    <row r="7226" spans="50:51">
      <c r="AX7226" s="7"/>
      <c r="AY7226" s="7"/>
    </row>
    <row r="7227" spans="50:51">
      <c r="AX7227" s="7"/>
      <c r="AY7227" s="7"/>
    </row>
    <row r="7228" spans="50:51">
      <c r="AX7228" s="7"/>
      <c r="AY7228" s="7"/>
    </row>
    <row r="7229" spans="50:51">
      <c r="AX7229" s="7"/>
      <c r="AY7229" s="7"/>
    </row>
    <row r="7230" spans="50:51">
      <c r="AX7230" s="7"/>
      <c r="AY7230" s="7"/>
    </row>
    <row r="7231" spans="50:51">
      <c r="AX7231" s="7"/>
      <c r="AY7231" s="7"/>
    </row>
    <row r="7232" spans="50:51">
      <c r="AX7232" s="7"/>
      <c r="AY7232" s="7"/>
    </row>
    <row r="7233" spans="50:51">
      <c r="AX7233" s="7"/>
      <c r="AY7233" s="7"/>
    </row>
    <row r="7234" spans="50:51">
      <c r="AX7234" s="7"/>
      <c r="AY7234" s="7"/>
    </row>
    <row r="7235" spans="50:51">
      <c r="AX7235" s="7"/>
      <c r="AY7235" s="7"/>
    </row>
    <row r="7236" spans="50:51">
      <c r="AX7236" s="7"/>
      <c r="AY7236" s="7"/>
    </row>
    <row r="7237" spans="50:51">
      <c r="AX7237" s="7"/>
      <c r="AY7237" s="7"/>
    </row>
    <row r="7238" spans="50:51">
      <c r="AX7238" s="7"/>
      <c r="AY7238" s="7"/>
    </row>
    <row r="7239" spans="50:51">
      <c r="AX7239" s="7"/>
      <c r="AY7239" s="7"/>
    </row>
    <row r="7240" spans="50:51">
      <c r="AX7240" s="7"/>
      <c r="AY7240" s="7"/>
    </row>
    <row r="7241" spans="50:51">
      <c r="AX7241" s="7"/>
      <c r="AY7241" s="7"/>
    </row>
    <row r="7242" spans="50:51">
      <c r="AX7242" s="7"/>
      <c r="AY7242" s="7"/>
    </row>
    <row r="7243" spans="50:51">
      <c r="AX7243" s="7"/>
      <c r="AY7243" s="7"/>
    </row>
    <row r="7244" spans="50:51">
      <c r="AX7244" s="7"/>
      <c r="AY7244" s="7"/>
    </row>
    <row r="7245" spans="50:51">
      <c r="AX7245" s="7"/>
      <c r="AY7245" s="7"/>
    </row>
    <row r="7246" spans="50:51">
      <c r="AX7246" s="7"/>
      <c r="AY7246" s="7"/>
    </row>
    <row r="7247" spans="50:51">
      <c r="AX7247" s="7"/>
      <c r="AY7247" s="7"/>
    </row>
    <row r="7248" spans="50:51">
      <c r="AX7248" s="7"/>
      <c r="AY7248" s="7"/>
    </row>
    <row r="7249" spans="50:51">
      <c r="AX7249" s="7"/>
      <c r="AY7249" s="7"/>
    </row>
    <row r="7250" spans="50:51">
      <c r="AX7250" s="7"/>
      <c r="AY7250" s="7"/>
    </row>
    <row r="7251" spans="50:51">
      <c r="AX7251" s="7"/>
      <c r="AY7251" s="7"/>
    </row>
    <row r="7252" spans="50:51">
      <c r="AX7252" s="7"/>
      <c r="AY7252" s="7"/>
    </row>
    <row r="7253" spans="50:51">
      <c r="AX7253" s="7"/>
      <c r="AY7253" s="7"/>
    </row>
    <row r="7254" spans="50:51">
      <c r="AX7254" s="7"/>
      <c r="AY7254" s="7"/>
    </row>
    <row r="7255" spans="50:51">
      <c r="AX7255" s="7"/>
      <c r="AY7255" s="7"/>
    </row>
    <row r="7256" spans="50:51">
      <c r="AX7256" s="7"/>
      <c r="AY7256" s="7"/>
    </row>
    <row r="7257" spans="50:51">
      <c r="AX7257" s="7"/>
      <c r="AY7257" s="7"/>
    </row>
    <row r="7258" spans="50:51">
      <c r="AX7258" s="7"/>
      <c r="AY7258" s="7"/>
    </row>
    <row r="7259" spans="50:51">
      <c r="AX7259" s="7"/>
      <c r="AY7259" s="7"/>
    </row>
    <row r="7260" spans="50:51">
      <c r="AX7260" s="7"/>
      <c r="AY7260" s="7"/>
    </row>
    <row r="7261" spans="50:51">
      <c r="AX7261" s="7"/>
      <c r="AY7261" s="7"/>
    </row>
    <row r="7262" spans="50:51">
      <c r="AX7262" s="7"/>
      <c r="AY7262" s="7"/>
    </row>
    <row r="7263" spans="50:51">
      <c r="AX7263" s="7"/>
      <c r="AY7263" s="7"/>
    </row>
    <row r="7264" spans="50:51">
      <c r="AX7264" s="7"/>
      <c r="AY7264" s="7"/>
    </row>
    <row r="7265" spans="50:51">
      <c r="AX7265" s="7"/>
      <c r="AY7265" s="7"/>
    </row>
    <row r="7266" spans="50:51">
      <c r="AX7266" s="7"/>
      <c r="AY7266" s="7"/>
    </row>
    <row r="7267" spans="50:51">
      <c r="AX7267" s="7"/>
      <c r="AY7267" s="7"/>
    </row>
    <row r="7268" spans="50:51">
      <c r="AX7268" s="7"/>
      <c r="AY7268" s="7"/>
    </row>
    <row r="7269" spans="50:51">
      <c r="AX7269" s="7"/>
      <c r="AY7269" s="7"/>
    </row>
    <row r="7270" spans="50:51">
      <c r="AX7270" s="7"/>
      <c r="AY7270" s="7"/>
    </row>
    <row r="7271" spans="50:51">
      <c r="AX7271" s="7"/>
      <c r="AY7271" s="7"/>
    </row>
    <row r="7272" spans="50:51">
      <c r="AX7272" s="7"/>
      <c r="AY7272" s="7"/>
    </row>
    <row r="7273" spans="50:51">
      <c r="AX7273" s="7"/>
      <c r="AY7273" s="7"/>
    </row>
    <row r="7274" spans="50:51">
      <c r="AX7274" s="7"/>
      <c r="AY7274" s="7"/>
    </row>
    <row r="7275" spans="50:51">
      <c r="AX7275" s="7"/>
      <c r="AY7275" s="7"/>
    </row>
    <row r="7276" spans="50:51">
      <c r="AX7276" s="7"/>
      <c r="AY7276" s="7"/>
    </row>
    <row r="7277" spans="50:51">
      <c r="AX7277" s="7"/>
      <c r="AY7277" s="7"/>
    </row>
    <row r="7278" spans="50:51">
      <c r="AX7278" s="7"/>
      <c r="AY7278" s="7"/>
    </row>
    <row r="7279" spans="50:51">
      <c r="AX7279" s="7"/>
      <c r="AY7279" s="7"/>
    </row>
    <row r="7280" spans="50:51">
      <c r="AX7280" s="7"/>
      <c r="AY7280" s="7"/>
    </row>
    <row r="7281" spans="50:51">
      <c r="AX7281" s="7"/>
      <c r="AY7281" s="7"/>
    </row>
    <row r="7282" spans="50:51">
      <c r="AX7282" s="7"/>
      <c r="AY7282" s="7"/>
    </row>
    <row r="7283" spans="50:51">
      <c r="AX7283" s="7"/>
      <c r="AY7283" s="7"/>
    </row>
    <row r="7284" spans="50:51">
      <c r="AX7284" s="7"/>
      <c r="AY7284" s="7"/>
    </row>
    <row r="7285" spans="50:51">
      <c r="AX7285" s="7"/>
      <c r="AY7285" s="7"/>
    </row>
    <row r="7286" spans="50:51">
      <c r="AX7286" s="7"/>
      <c r="AY7286" s="7"/>
    </row>
    <row r="7287" spans="50:51">
      <c r="AX7287" s="7"/>
      <c r="AY7287" s="7"/>
    </row>
    <row r="7288" spans="50:51">
      <c r="AX7288" s="7"/>
      <c r="AY7288" s="7"/>
    </row>
    <row r="7289" spans="50:51">
      <c r="AX7289" s="7"/>
      <c r="AY7289" s="7"/>
    </row>
    <row r="7290" spans="50:51">
      <c r="AX7290" s="7"/>
      <c r="AY7290" s="7"/>
    </row>
    <row r="7291" spans="50:51">
      <c r="AX7291" s="7"/>
      <c r="AY7291" s="7"/>
    </row>
    <row r="7292" spans="50:51">
      <c r="AX7292" s="7"/>
      <c r="AY7292" s="7"/>
    </row>
    <row r="7293" spans="50:51">
      <c r="AX7293" s="7"/>
      <c r="AY7293" s="7"/>
    </row>
    <row r="7294" spans="50:51">
      <c r="AX7294" s="7"/>
      <c r="AY7294" s="7"/>
    </row>
    <row r="7295" spans="50:51">
      <c r="AX7295" s="7"/>
      <c r="AY7295" s="7"/>
    </row>
    <row r="7296" spans="50:51">
      <c r="AX7296" s="7"/>
      <c r="AY7296" s="7"/>
    </row>
    <row r="7297" spans="50:51">
      <c r="AX7297" s="7"/>
      <c r="AY7297" s="7"/>
    </row>
    <row r="7298" spans="50:51">
      <c r="AX7298" s="7"/>
      <c r="AY7298" s="7"/>
    </row>
    <row r="7299" spans="50:51">
      <c r="AX7299" s="7"/>
      <c r="AY7299" s="7"/>
    </row>
    <row r="7300" spans="50:51">
      <c r="AX7300" s="7"/>
      <c r="AY7300" s="7"/>
    </row>
    <row r="7301" spans="50:51">
      <c r="AX7301" s="7"/>
      <c r="AY7301" s="7"/>
    </row>
    <row r="7302" spans="50:51">
      <c r="AX7302" s="7"/>
      <c r="AY7302" s="7"/>
    </row>
    <row r="7303" spans="50:51">
      <c r="AX7303" s="7"/>
      <c r="AY7303" s="7"/>
    </row>
    <row r="7304" spans="50:51">
      <c r="AX7304" s="7"/>
      <c r="AY7304" s="7"/>
    </row>
    <row r="7305" spans="50:51">
      <c r="AX7305" s="7"/>
      <c r="AY7305" s="7"/>
    </row>
    <row r="7306" spans="50:51">
      <c r="AX7306" s="7"/>
      <c r="AY7306" s="7"/>
    </row>
    <row r="7307" spans="50:51">
      <c r="AX7307" s="7"/>
      <c r="AY7307" s="7"/>
    </row>
    <row r="7308" spans="50:51">
      <c r="AX7308" s="7"/>
      <c r="AY7308" s="7"/>
    </row>
    <row r="7309" spans="50:51">
      <c r="AX7309" s="7"/>
      <c r="AY7309" s="7"/>
    </row>
    <row r="7310" spans="50:51">
      <c r="AX7310" s="7"/>
      <c r="AY7310" s="7"/>
    </row>
    <row r="7311" spans="50:51">
      <c r="AX7311" s="7"/>
      <c r="AY7311" s="7"/>
    </row>
    <row r="7312" spans="50:51">
      <c r="AX7312" s="7"/>
      <c r="AY7312" s="7"/>
    </row>
    <row r="7313" spans="50:51">
      <c r="AX7313" s="7"/>
      <c r="AY7313" s="7"/>
    </row>
    <row r="7314" spans="50:51">
      <c r="AX7314" s="7"/>
      <c r="AY7314" s="7"/>
    </row>
    <row r="7315" spans="50:51">
      <c r="AX7315" s="7"/>
      <c r="AY7315" s="7"/>
    </row>
    <row r="7316" spans="50:51">
      <c r="AX7316" s="7"/>
      <c r="AY7316" s="7"/>
    </row>
    <row r="7317" spans="50:51">
      <c r="AX7317" s="7"/>
      <c r="AY7317" s="7"/>
    </row>
    <row r="7318" spans="50:51">
      <c r="AX7318" s="7"/>
      <c r="AY7318" s="7"/>
    </row>
    <row r="7319" spans="50:51">
      <c r="AX7319" s="7"/>
      <c r="AY7319" s="7"/>
    </row>
    <row r="7320" spans="50:51">
      <c r="AX7320" s="7"/>
      <c r="AY7320" s="7"/>
    </row>
    <row r="7321" spans="50:51">
      <c r="AX7321" s="7"/>
      <c r="AY7321" s="7"/>
    </row>
    <row r="7322" spans="50:51">
      <c r="AX7322" s="7"/>
      <c r="AY7322" s="7"/>
    </row>
    <row r="7323" spans="50:51">
      <c r="AX7323" s="7"/>
      <c r="AY7323" s="7"/>
    </row>
    <row r="7324" spans="50:51">
      <c r="AX7324" s="7"/>
      <c r="AY7324" s="7"/>
    </row>
    <row r="7325" spans="50:51">
      <c r="AX7325" s="7"/>
      <c r="AY7325" s="7"/>
    </row>
    <row r="7326" spans="50:51">
      <c r="AX7326" s="7"/>
      <c r="AY7326" s="7"/>
    </row>
    <row r="7327" spans="50:51">
      <c r="AX7327" s="7"/>
      <c r="AY7327" s="7"/>
    </row>
    <row r="7328" spans="50:51">
      <c r="AX7328" s="7"/>
      <c r="AY7328" s="7"/>
    </row>
    <row r="7329" spans="50:51">
      <c r="AX7329" s="7"/>
      <c r="AY7329" s="7"/>
    </row>
    <row r="7330" spans="50:51">
      <c r="AX7330" s="7"/>
      <c r="AY7330" s="7"/>
    </row>
    <row r="7331" spans="50:51">
      <c r="AX7331" s="7"/>
      <c r="AY7331" s="7"/>
    </row>
    <row r="7332" spans="50:51">
      <c r="AX7332" s="7"/>
      <c r="AY7332" s="7"/>
    </row>
    <row r="7333" spans="50:51">
      <c r="AX7333" s="7"/>
      <c r="AY7333" s="7"/>
    </row>
    <row r="7334" spans="50:51">
      <c r="AX7334" s="7"/>
      <c r="AY7334" s="7"/>
    </row>
    <row r="7335" spans="50:51">
      <c r="AX7335" s="7"/>
      <c r="AY7335" s="7"/>
    </row>
    <row r="7336" spans="50:51">
      <c r="AX7336" s="7"/>
      <c r="AY7336" s="7"/>
    </row>
    <row r="7337" spans="50:51">
      <c r="AX7337" s="7"/>
      <c r="AY7337" s="7"/>
    </row>
    <row r="7338" spans="50:51">
      <c r="AX7338" s="7"/>
      <c r="AY7338" s="7"/>
    </row>
    <row r="7339" spans="50:51">
      <c r="AX7339" s="7"/>
      <c r="AY7339" s="7"/>
    </row>
    <row r="7340" spans="50:51">
      <c r="AX7340" s="7"/>
      <c r="AY7340" s="7"/>
    </row>
    <row r="7341" spans="50:51">
      <c r="AX7341" s="7"/>
      <c r="AY7341" s="7"/>
    </row>
    <row r="7342" spans="50:51">
      <c r="AX7342" s="7"/>
      <c r="AY7342" s="7"/>
    </row>
    <row r="7343" spans="50:51">
      <c r="AX7343" s="7"/>
      <c r="AY7343" s="7"/>
    </row>
    <row r="7344" spans="50:51">
      <c r="AX7344" s="7"/>
      <c r="AY7344" s="7"/>
    </row>
    <row r="7345" spans="50:51">
      <c r="AX7345" s="7"/>
      <c r="AY7345" s="7"/>
    </row>
    <row r="7346" spans="50:51">
      <c r="AX7346" s="7"/>
      <c r="AY7346" s="7"/>
    </row>
    <row r="7347" spans="50:51">
      <c r="AX7347" s="7"/>
      <c r="AY7347" s="7"/>
    </row>
    <row r="7348" spans="50:51">
      <c r="AX7348" s="7"/>
      <c r="AY7348" s="7"/>
    </row>
    <row r="7349" spans="50:51">
      <c r="AX7349" s="7"/>
      <c r="AY7349" s="7"/>
    </row>
    <row r="7350" spans="50:51">
      <c r="AX7350" s="7"/>
      <c r="AY7350" s="7"/>
    </row>
    <row r="7351" spans="50:51">
      <c r="AX7351" s="7"/>
      <c r="AY7351" s="7"/>
    </row>
    <row r="7352" spans="50:51">
      <c r="AX7352" s="7"/>
      <c r="AY7352" s="7"/>
    </row>
    <row r="7353" spans="50:51">
      <c r="AX7353" s="7"/>
      <c r="AY7353" s="7"/>
    </row>
    <row r="7354" spans="50:51">
      <c r="AX7354" s="7"/>
      <c r="AY7354" s="7"/>
    </row>
    <row r="7355" spans="50:51">
      <c r="AX7355" s="7"/>
      <c r="AY7355" s="7"/>
    </row>
    <row r="7356" spans="50:51">
      <c r="AX7356" s="7"/>
      <c r="AY7356" s="7"/>
    </row>
    <row r="7357" spans="50:51">
      <c r="AX7357" s="7"/>
      <c r="AY7357" s="7"/>
    </row>
    <row r="7358" spans="50:51">
      <c r="AX7358" s="7"/>
      <c r="AY7358" s="7"/>
    </row>
    <row r="7359" spans="50:51">
      <c r="AX7359" s="7"/>
      <c r="AY7359" s="7"/>
    </row>
    <row r="7360" spans="50:51">
      <c r="AX7360" s="7"/>
      <c r="AY7360" s="7"/>
    </row>
    <row r="7361" spans="50:51">
      <c r="AX7361" s="7"/>
      <c r="AY7361" s="7"/>
    </row>
    <row r="7362" spans="50:51">
      <c r="AX7362" s="7"/>
      <c r="AY7362" s="7"/>
    </row>
    <row r="7363" spans="50:51">
      <c r="AX7363" s="7"/>
      <c r="AY7363" s="7"/>
    </row>
    <row r="7364" spans="50:51">
      <c r="AX7364" s="7"/>
      <c r="AY7364" s="7"/>
    </row>
    <row r="7365" spans="50:51">
      <c r="AX7365" s="7"/>
      <c r="AY7365" s="7"/>
    </row>
    <row r="7366" spans="50:51">
      <c r="AX7366" s="7"/>
      <c r="AY7366" s="7"/>
    </row>
    <row r="7367" spans="50:51">
      <c r="AX7367" s="7"/>
      <c r="AY7367" s="7"/>
    </row>
    <row r="7368" spans="50:51">
      <c r="AX7368" s="7"/>
      <c r="AY7368" s="7"/>
    </row>
    <row r="7369" spans="50:51">
      <c r="AX7369" s="7"/>
      <c r="AY7369" s="7"/>
    </row>
    <row r="7370" spans="50:51">
      <c r="AX7370" s="7"/>
      <c r="AY7370" s="7"/>
    </row>
    <row r="7371" spans="50:51">
      <c r="AX7371" s="7"/>
      <c r="AY7371" s="7"/>
    </row>
    <row r="7372" spans="50:51">
      <c r="AX7372" s="7"/>
      <c r="AY7372" s="7"/>
    </row>
    <row r="7373" spans="50:51">
      <c r="AX7373" s="7"/>
      <c r="AY7373" s="7"/>
    </row>
    <row r="7374" spans="50:51">
      <c r="AX7374" s="7"/>
      <c r="AY7374" s="7"/>
    </row>
    <row r="7375" spans="50:51">
      <c r="AX7375" s="7"/>
      <c r="AY7375" s="7"/>
    </row>
    <row r="7376" spans="50:51">
      <c r="AX7376" s="7"/>
      <c r="AY7376" s="7"/>
    </row>
    <row r="7377" spans="50:51">
      <c r="AX7377" s="7"/>
      <c r="AY7377" s="7"/>
    </row>
    <row r="7378" spans="50:51">
      <c r="AX7378" s="7"/>
      <c r="AY7378" s="7"/>
    </row>
    <row r="7379" spans="50:51">
      <c r="AX7379" s="7"/>
      <c r="AY7379" s="7"/>
    </row>
    <row r="7380" spans="50:51">
      <c r="AX7380" s="7"/>
      <c r="AY7380" s="7"/>
    </row>
    <row r="7381" spans="50:51">
      <c r="AX7381" s="7"/>
      <c r="AY7381" s="7"/>
    </row>
    <row r="7382" spans="50:51">
      <c r="AX7382" s="7"/>
      <c r="AY7382" s="7"/>
    </row>
    <row r="7383" spans="50:51">
      <c r="AX7383" s="7"/>
      <c r="AY7383" s="7"/>
    </row>
    <row r="7384" spans="50:51">
      <c r="AX7384" s="7"/>
      <c r="AY7384" s="7"/>
    </row>
    <row r="7385" spans="50:51">
      <c r="AX7385" s="7"/>
      <c r="AY7385" s="7"/>
    </row>
    <row r="7386" spans="50:51">
      <c r="AX7386" s="7"/>
      <c r="AY7386" s="7"/>
    </row>
    <row r="7387" spans="50:51">
      <c r="AX7387" s="7"/>
      <c r="AY7387" s="7"/>
    </row>
    <row r="7388" spans="50:51">
      <c r="AX7388" s="7"/>
      <c r="AY7388" s="7"/>
    </row>
    <row r="7389" spans="50:51">
      <c r="AX7389" s="7"/>
      <c r="AY7389" s="7"/>
    </row>
    <row r="7390" spans="50:51">
      <c r="AX7390" s="7"/>
      <c r="AY7390" s="7"/>
    </row>
    <row r="7391" spans="50:51">
      <c r="AX7391" s="7"/>
      <c r="AY7391" s="7"/>
    </row>
    <row r="7392" spans="50:51">
      <c r="AX7392" s="7"/>
      <c r="AY7392" s="7"/>
    </row>
    <row r="7393" spans="50:51">
      <c r="AX7393" s="7"/>
      <c r="AY7393" s="7"/>
    </row>
    <row r="7394" spans="50:51">
      <c r="AX7394" s="7"/>
      <c r="AY7394" s="7"/>
    </row>
    <row r="7395" spans="50:51">
      <c r="AX7395" s="7"/>
      <c r="AY7395" s="7"/>
    </row>
    <row r="7396" spans="50:51">
      <c r="AX7396" s="7"/>
      <c r="AY7396" s="7"/>
    </row>
    <row r="7397" spans="50:51">
      <c r="AX7397" s="7"/>
      <c r="AY7397" s="7"/>
    </row>
    <row r="7398" spans="50:51">
      <c r="AX7398" s="7"/>
      <c r="AY7398" s="7"/>
    </row>
    <row r="7399" spans="50:51">
      <c r="AX7399" s="7"/>
      <c r="AY7399" s="7"/>
    </row>
    <row r="7400" spans="50:51">
      <c r="AX7400" s="7"/>
      <c r="AY7400" s="7"/>
    </row>
    <row r="7401" spans="50:51">
      <c r="AX7401" s="7"/>
      <c r="AY7401" s="7"/>
    </row>
    <row r="7402" spans="50:51">
      <c r="AX7402" s="7"/>
      <c r="AY7402" s="7"/>
    </row>
    <row r="7403" spans="50:51">
      <c r="AX7403" s="7"/>
      <c r="AY7403" s="7"/>
    </row>
    <row r="7404" spans="50:51">
      <c r="AX7404" s="7"/>
      <c r="AY7404" s="7"/>
    </row>
    <row r="7405" spans="50:51">
      <c r="AX7405" s="7"/>
      <c r="AY7405" s="7"/>
    </row>
    <row r="7406" spans="50:51">
      <c r="AX7406" s="7"/>
      <c r="AY7406" s="7"/>
    </row>
    <row r="7407" spans="50:51">
      <c r="AX7407" s="7"/>
      <c r="AY7407" s="7"/>
    </row>
    <row r="7408" spans="50:51">
      <c r="AX7408" s="7"/>
      <c r="AY7408" s="7"/>
    </row>
    <row r="7409" spans="50:51">
      <c r="AX7409" s="7"/>
      <c r="AY7409" s="7"/>
    </row>
    <row r="7410" spans="50:51">
      <c r="AX7410" s="7"/>
      <c r="AY7410" s="7"/>
    </row>
    <row r="7411" spans="50:51">
      <c r="AX7411" s="7"/>
      <c r="AY7411" s="7"/>
    </row>
    <row r="7412" spans="50:51">
      <c r="AX7412" s="7"/>
      <c r="AY7412" s="7"/>
    </row>
    <row r="7413" spans="50:51">
      <c r="AX7413" s="7"/>
      <c r="AY7413" s="7"/>
    </row>
    <row r="7414" spans="50:51">
      <c r="AX7414" s="7"/>
      <c r="AY7414" s="7"/>
    </row>
    <row r="7415" spans="50:51">
      <c r="AX7415" s="7"/>
      <c r="AY7415" s="7"/>
    </row>
    <row r="7416" spans="50:51">
      <c r="AX7416" s="7"/>
      <c r="AY7416" s="7"/>
    </row>
    <row r="7417" spans="50:51">
      <c r="AX7417" s="7"/>
      <c r="AY7417" s="7"/>
    </row>
    <row r="7418" spans="50:51">
      <c r="AX7418" s="7"/>
      <c r="AY7418" s="7"/>
    </row>
    <row r="7419" spans="50:51">
      <c r="AX7419" s="7"/>
      <c r="AY7419" s="7"/>
    </row>
    <row r="7420" spans="50:51">
      <c r="AX7420" s="7"/>
      <c r="AY7420" s="7"/>
    </row>
    <row r="7421" spans="50:51">
      <c r="AX7421" s="7"/>
      <c r="AY7421" s="7"/>
    </row>
    <row r="7422" spans="50:51">
      <c r="AX7422" s="7"/>
      <c r="AY7422" s="7"/>
    </row>
    <row r="7423" spans="50:51">
      <c r="AX7423" s="7"/>
      <c r="AY7423" s="7"/>
    </row>
    <row r="7424" spans="50:51">
      <c r="AX7424" s="7"/>
      <c r="AY7424" s="7"/>
    </row>
    <row r="7425" spans="50:51">
      <c r="AX7425" s="7"/>
      <c r="AY7425" s="7"/>
    </row>
    <row r="7426" spans="50:51">
      <c r="AX7426" s="7"/>
      <c r="AY7426" s="7"/>
    </row>
    <row r="7427" spans="50:51">
      <c r="AX7427" s="7"/>
      <c r="AY7427" s="7"/>
    </row>
    <row r="7428" spans="50:51">
      <c r="AX7428" s="7"/>
      <c r="AY7428" s="7"/>
    </row>
    <row r="7429" spans="50:51">
      <c r="AX7429" s="7"/>
      <c r="AY7429" s="7"/>
    </row>
    <row r="7430" spans="50:51">
      <c r="AX7430" s="7"/>
      <c r="AY7430" s="7"/>
    </row>
    <row r="7431" spans="50:51">
      <c r="AX7431" s="7"/>
      <c r="AY7431" s="7"/>
    </row>
    <row r="7432" spans="50:51">
      <c r="AX7432" s="7"/>
      <c r="AY7432" s="7"/>
    </row>
    <row r="7433" spans="50:51">
      <c r="AX7433" s="7"/>
      <c r="AY7433" s="7"/>
    </row>
    <row r="7434" spans="50:51">
      <c r="AX7434" s="7"/>
      <c r="AY7434" s="7"/>
    </row>
    <row r="7435" spans="50:51">
      <c r="AX7435" s="7"/>
      <c r="AY7435" s="7"/>
    </row>
    <row r="7436" spans="50:51">
      <c r="AX7436" s="7"/>
      <c r="AY7436" s="7"/>
    </row>
    <row r="7437" spans="50:51">
      <c r="AX7437" s="7"/>
      <c r="AY7437" s="7"/>
    </row>
    <row r="7438" spans="50:51">
      <c r="AX7438" s="7"/>
      <c r="AY7438" s="7"/>
    </row>
    <row r="7439" spans="50:51">
      <c r="AX7439" s="7"/>
      <c r="AY7439" s="7"/>
    </row>
    <row r="7440" spans="50:51">
      <c r="AX7440" s="7"/>
      <c r="AY7440" s="7"/>
    </row>
    <row r="7441" spans="50:51">
      <c r="AX7441" s="7"/>
      <c r="AY7441" s="7"/>
    </row>
    <row r="7442" spans="50:51">
      <c r="AX7442" s="7"/>
      <c r="AY7442" s="7"/>
    </row>
    <row r="7443" spans="50:51">
      <c r="AX7443" s="7"/>
      <c r="AY7443" s="7"/>
    </row>
    <row r="7444" spans="50:51">
      <c r="AX7444" s="7"/>
      <c r="AY7444" s="7"/>
    </row>
    <row r="7445" spans="50:51">
      <c r="AX7445" s="7"/>
      <c r="AY7445" s="7"/>
    </row>
    <row r="7446" spans="50:51">
      <c r="AX7446" s="7"/>
      <c r="AY7446" s="7"/>
    </row>
    <row r="7447" spans="50:51">
      <c r="AX7447" s="7"/>
      <c r="AY7447" s="7"/>
    </row>
    <row r="7448" spans="50:51">
      <c r="AX7448" s="7"/>
      <c r="AY7448" s="7"/>
    </row>
    <row r="7449" spans="50:51">
      <c r="AX7449" s="7"/>
      <c r="AY7449" s="7"/>
    </row>
    <row r="7450" spans="50:51">
      <c r="AX7450" s="7"/>
      <c r="AY7450" s="7"/>
    </row>
    <row r="7451" spans="50:51">
      <c r="AX7451" s="7"/>
      <c r="AY7451" s="7"/>
    </row>
    <row r="7452" spans="50:51">
      <c r="AX7452" s="7"/>
      <c r="AY7452" s="7"/>
    </row>
    <row r="7453" spans="50:51">
      <c r="AX7453" s="7"/>
      <c r="AY7453" s="7"/>
    </row>
    <row r="7454" spans="50:51">
      <c r="AX7454" s="7"/>
      <c r="AY7454" s="7"/>
    </row>
    <row r="7455" spans="50:51">
      <c r="AX7455" s="7"/>
      <c r="AY7455" s="7"/>
    </row>
    <row r="7456" spans="50:51">
      <c r="AX7456" s="7"/>
      <c r="AY7456" s="7"/>
    </row>
    <row r="7457" spans="50:51">
      <c r="AX7457" s="7"/>
      <c r="AY7457" s="7"/>
    </row>
    <row r="7458" spans="50:51">
      <c r="AX7458" s="7"/>
      <c r="AY7458" s="7"/>
    </row>
    <row r="7459" spans="50:51">
      <c r="AX7459" s="7"/>
      <c r="AY7459" s="7"/>
    </row>
    <row r="7460" spans="50:51">
      <c r="AX7460" s="7"/>
      <c r="AY7460" s="7"/>
    </row>
    <row r="7461" spans="50:51">
      <c r="AX7461" s="7"/>
      <c r="AY7461" s="7"/>
    </row>
    <row r="7462" spans="50:51">
      <c r="AX7462" s="7"/>
      <c r="AY7462" s="7"/>
    </row>
    <row r="7463" spans="50:51">
      <c r="AX7463" s="7"/>
      <c r="AY7463" s="7"/>
    </row>
    <row r="7464" spans="50:51">
      <c r="AX7464" s="7"/>
      <c r="AY7464" s="7"/>
    </row>
    <row r="7465" spans="50:51">
      <c r="AX7465" s="7"/>
      <c r="AY7465" s="7"/>
    </row>
    <row r="7466" spans="50:51">
      <c r="AX7466" s="7"/>
      <c r="AY7466" s="7"/>
    </row>
    <row r="7467" spans="50:51">
      <c r="AX7467" s="7"/>
      <c r="AY7467" s="7"/>
    </row>
    <row r="7468" spans="50:51">
      <c r="AX7468" s="7"/>
      <c r="AY7468" s="7"/>
    </row>
    <row r="7469" spans="50:51">
      <c r="AX7469" s="7"/>
      <c r="AY7469" s="7"/>
    </row>
    <row r="7470" spans="50:51">
      <c r="AX7470" s="7"/>
      <c r="AY7470" s="7"/>
    </row>
    <row r="7471" spans="50:51">
      <c r="AX7471" s="7"/>
      <c r="AY7471" s="7"/>
    </row>
    <row r="7472" spans="50:51">
      <c r="AX7472" s="7"/>
      <c r="AY7472" s="7"/>
    </row>
    <row r="7473" spans="50:51">
      <c r="AX7473" s="7"/>
      <c r="AY7473" s="7"/>
    </row>
    <row r="7474" spans="50:51">
      <c r="AX7474" s="7"/>
      <c r="AY7474" s="7"/>
    </row>
    <row r="7475" spans="50:51">
      <c r="AX7475" s="7"/>
      <c r="AY7475" s="7"/>
    </row>
    <row r="7476" spans="50:51">
      <c r="AX7476" s="7"/>
      <c r="AY7476" s="7"/>
    </row>
    <row r="7477" spans="50:51">
      <c r="AX7477" s="7"/>
      <c r="AY7477" s="7"/>
    </row>
    <row r="7478" spans="50:51">
      <c r="AX7478" s="7"/>
      <c r="AY7478" s="7"/>
    </row>
    <row r="7479" spans="50:51">
      <c r="AX7479" s="7"/>
      <c r="AY7479" s="7"/>
    </row>
    <row r="7480" spans="50:51">
      <c r="AX7480" s="7"/>
      <c r="AY7480" s="7"/>
    </row>
    <row r="7481" spans="50:51">
      <c r="AX7481" s="7"/>
      <c r="AY7481" s="7"/>
    </row>
    <row r="7482" spans="50:51">
      <c r="AX7482" s="7"/>
      <c r="AY7482" s="7"/>
    </row>
    <row r="7483" spans="50:51">
      <c r="AX7483" s="7"/>
      <c r="AY7483" s="7"/>
    </row>
    <row r="7484" spans="50:51">
      <c r="AX7484" s="7"/>
      <c r="AY7484" s="7"/>
    </row>
    <row r="7485" spans="50:51">
      <c r="AX7485" s="7"/>
      <c r="AY7485" s="7"/>
    </row>
    <row r="7486" spans="50:51">
      <c r="AX7486" s="7"/>
      <c r="AY7486" s="7"/>
    </row>
    <row r="7487" spans="50:51">
      <c r="AX7487" s="7"/>
      <c r="AY7487" s="7"/>
    </row>
    <row r="7488" spans="50:51">
      <c r="AX7488" s="7"/>
      <c r="AY7488" s="7"/>
    </row>
    <row r="7489" spans="50:51">
      <c r="AX7489" s="7"/>
      <c r="AY7489" s="7"/>
    </row>
    <row r="7490" spans="50:51">
      <c r="AX7490" s="7"/>
      <c r="AY7490" s="7"/>
    </row>
    <row r="7491" spans="50:51">
      <c r="AX7491" s="7"/>
      <c r="AY7491" s="7"/>
    </row>
    <row r="7492" spans="50:51">
      <c r="AX7492" s="7"/>
      <c r="AY7492" s="7"/>
    </row>
    <row r="7493" spans="50:51">
      <c r="AX7493" s="7"/>
      <c r="AY7493" s="7"/>
    </row>
    <row r="7494" spans="50:51">
      <c r="AX7494" s="7"/>
      <c r="AY7494" s="7"/>
    </row>
    <row r="7495" spans="50:51">
      <c r="AX7495" s="7"/>
      <c r="AY7495" s="7"/>
    </row>
    <row r="7496" spans="50:51">
      <c r="AX7496" s="7"/>
      <c r="AY7496" s="7"/>
    </row>
    <row r="7497" spans="50:51">
      <c r="AX7497" s="7"/>
      <c r="AY7497" s="7"/>
    </row>
    <row r="7498" spans="50:51">
      <c r="AX7498" s="7"/>
      <c r="AY7498" s="7"/>
    </row>
    <row r="7499" spans="50:51">
      <c r="AX7499" s="7"/>
      <c r="AY7499" s="7"/>
    </row>
    <row r="7500" spans="50:51">
      <c r="AX7500" s="7"/>
      <c r="AY7500" s="7"/>
    </row>
    <row r="7501" spans="50:51">
      <c r="AX7501" s="7"/>
      <c r="AY7501" s="7"/>
    </row>
    <row r="7502" spans="50:51">
      <c r="AX7502" s="7"/>
      <c r="AY7502" s="7"/>
    </row>
    <row r="7503" spans="50:51">
      <c r="AX7503" s="7"/>
      <c r="AY7503" s="7"/>
    </row>
    <row r="7504" spans="50:51">
      <c r="AX7504" s="7"/>
      <c r="AY7504" s="7"/>
    </row>
    <row r="7505" spans="50:51">
      <c r="AX7505" s="7"/>
      <c r="AY7505" s="7"/>
    </row>
    <row r="7506" spans="50:51">
      <c r="AX7506" s="7"/>
      <c r="AY7506" s="7"/>
    </row>
    <row r="7507" spans="50:51">
      <c r="AX7507" s="7"/>
      <c r="AY7507" s="7"/>
    </row>
    <row r="7508" spans="50:51">
      <c r="AX7508" s="7"/>
      <c r="AY7508" s="7"/>
    </row>
    <row r="7509" spans="50:51">
      <c r="AX7509" s="7"/>
      <c r="AY7509" s="7"/>
    </row>
    <row r="7510" spans="50:51">
      <c r="AX7510" s="7"/>
      <c r="AY7510" s="7"/>
    </row>
    <row r="7511" spans="50:51">
      <c r="AX7511" s="7"/>
      <c r="AY7511" s="7"/>
    </row>
    <row r="7512" spans="50:51">
      <c r="AX7512" s="7"/>
      <c r="AY7512" s="7"/>
    </row>
    <row r="7513" spans="50:51">
      <c r="AX7513" s="7"/>
      <c r="AY7513" s="7"/>
    </row>
    <row r="7514" spans="50:51">
      <c r="AX7514" s="7"/>
      <c r="AY7514" s="7"/>
    </row>
    <row r="7515" spans="50:51">
      <c r="AX7515" s="7"/>
      <c r="AY7515" s="7"/>
    </row>
    <row r="7516" spans="50:51">
      <c r="AX7516" s="7"/>
      <c r="AY7516" s="7"/>
    </row>
    <row r="7517" spans="50:51">
      <c r="AX7517" s="7"/>
      <c r="AY7517" s="7"/>
    </row>
    <row r="7518" spans="50:51">
      <c r="AX7518" s="7"/>
      <c r="AY7518" s="7"/>
    </row>
    <row r="7519" spans="50:51">
      <c r="AX7519" s="7"/>
      <c r="AY7519" s="7"/>
    </row>
    <row r="7520" spans="50:51">
      <c r="AX7520" s="7"/>
      <c r="AY7520" s="7"/>
    </row>
    <row r="7521" spans="50:51">
      <c r="AX7521" s="7"/>
      <c r="AY7521" s="7"/>
    </row>
    <row r="7522" spans="50:51">
      <c r="AX7522" s="7"/>
      <c r="AY7522" s="7"/>
    </row>
    <row r="7523" spans="50:51">
      <c r="AX7523" s="7"/>
      <c r="AY7523" s="7"/>
    </row>
    <row r="7524" spans="50:51">
      <c r="AX7524" s="7"/>
      <c r="AY7524" s="7"/>
    </row>
    <row r="7525" spans="50:51">
      <c r="AX7525" s="7"/>
      <c r="AY7525" s="7"/>
    </row>
    <row r="7526" spans="50:51">
      <c r="AX7526" s="7"/>
      <c r="AY7526" s="7"/>
    </row>
    <row r="7527" spans="50:51">
      <c r="AX7527" s="7"/>
      <c r="AY7527" s="7"/>
    </row>
    <row r="7528" spans="50:51">
      <c r="AX7528" s="7"/>
      <c r="AY7528" s="7"/>
    </row>
    <row r="7529" spans="50:51">
      <c r="AX7529" s="7"/>
      <c r="AY7529" s="7"/>
    </row>
    <row r="7530" spans="50:51">
      <c r="AX7530" s="7"/>
      <c r="AY7530" s="7"/>
    </row>
    <row r="7531" spans="50:51">
      <c r="AX7531" s="7"/>
      <c r="AY7531" s="7"/>
    </row>
    <row r="7532" spans="50:51">
      <c r="AX7532" s="7"/>
      <c r="AY7532" s="7"/>
    </row>
    <row r="7533" spans="50:51">
      <c r="AX7533" s="7"/>
      <c r="AY7533" s="7"/>
    </row>
    <row r="7534" spans="50:51">
      <c r="AX7534" s="7"/>
      <c r="AY7534" s="7"/>
    </row>
    <row r="7535" spans="50:51">
      <c r="AX7535" s="7"/>
      <c r="AY7535" s="7"/>
    </row>
    <row r="7536" spans="50:51">
      <c r="AX7536" s="7"/>
      <c r="AY7536" s="7"/>
    </row>
    <row r="7537" spans="50:51">
      <c r="AX7537" s="7"/>
      <c r="AY7537" s="7"/>
    </row>
    <row r="7538" spans="50:51">
      <c r="AX7538" s="7"/>
      <c r="AY7538" s="7"/>
    </row>
    <row r="7539" spans="50:51">
      <c r="AX7539" s="7"/>
      <c r="AY7539" s="7"/>
    </row>
    <row r="7540" spans="50:51">
      <c r="AX7540" s="7"/>
      <c r="AY7540" s="7"/>
    </row>
    <row r="7541" spans="50:51">
      <c r="AX7541" s="7"/>
      <c r="AY7541" s="7"/>
    </row>
    <row r="7542" spans="50:51">
      <c r="AX7542" s="7"/>
      <c r="AY7542" s="7"/>
    </row>
    <row r="7543" spans="50:51">
      <c r="AX7543" s="7"/>
      <c r="AY7543" s="7"/>
    </row>
    <row r="7544" spans="50:51">
      <c r="AX7544" s="7"/>
      <c r="AY7544" s="7"/>
    </row>
    <row r="7545" spans="50:51">
      <c r="AX7545" s="7"/>
      <c r="AY7545" s="7"/>
    </row>
    <row r="7546" spans="50:51">
      <c r="AX7546" s="7"/>
      <c r="AY7546" s="7"/>
    </row>
    <row r="7547" spans="50:51">
      <c r="AX7547" s="7"/>
      <c r="AY7547" s="7"/>
    </row>
    <row r="7548" spans="50:51">
      <c r="AX7548" s="7"/>
      <c r="AY7548" s="7"/>
    </row>
    <row r="7549" spans="50:51">
      <c r="AX7549" s="7"/>
      <c r="AY7549" s="7"/>
    </row>
    <row r="7550" spans="50:51">
      <c r="AX7550" s="7"/>
      <c r="AY7550" s="7"/>
    </row>
    <row r="7551" spans="50:51">
      <c r="AX7551" s="7"/>
      <c r="AY7551" s="7"/>
    </row>
    <row r="7552" spans="50:51">
      <c r="AX7552" s="7"/>
      <c r="AY7552" s="7"/>
    </row>
    <row r="7553" spans="50:51">
      <c r="AX7553" s="7"/>
      <c r="AY7553" s="7"/>
    </row>
    <row r="7554" spans="50:51">
      <c r="AX7554" s="7"/>
      <c r="AY7554" s="7"/>
    </row>
    <row r="7555" spans="50:51">
      <c r="AX7555" s="7"/>
      <c r="AY7555" s="7"/>
    </row>
    <row r="7556" spans="50:51">
      <c r="AX7556" s="7"/>
      <c r="AY7556" s="7"/>
    </row>
    <row r="7557" spans="50:51">
      <c r="AX7557" s="7"/>
      <c r="AY7557" s="7"/>
    </row>
    <row r="7558" spans="50:51">
      <c r="AX7558" s="7"/>
      <c r="AY7558" s="7"/>
    </row>
    <row r="7559" spans="50:51">
      <c r="AX7559" s="7"/>
      <c r="AY7559" s="7"/>
    </row>
    <row r="7560" spans="50:51">
      <c r="AX7560" s="7"/>
      <c r="AY7560" s="7"/>
    </row>
    <row r="7561" spans="50:51">
      <c r="AX7561" s="7"/>
      <c r="AY7561" s="7"/>
    </row>
    <row r="7562" spans="50:51">
      <c r="AX7562" s="7"/>
      <c r="AY7562" s="7"/>
    </row>
    <row r="7563" spans="50:51">
      <c r="AX7563" s="7"/>
      <c r="AY7563" s="7"/>
    </row>
    <row r="7564" spans="50:51">
      <c r="AX7564" s="7"/>
      <c r="AY7564" s="7"/>
    </row>
    <row r="7565" spans="50:51">
      <c r="AX7565" s="7"/>
      <c r="AY7565" s="7"/>
    </row>
    <row r="7566" spans="50:51">
      <c r="AX7566" s="7"/>
      <c r="AY7566" s="7"/>
    </row>
    <row r="7567" spans="50:51">
      <c r="AX7567" s="7"/>
      <c r="AY7567" s="7"/>
    </row>
    <row r="7568" spans="50:51">
      <c r="AX7568" s="7"/>
      <c r="AY7568" s="7"/>
    </row>
    <row r="7569" spans="50:51">
      <c r="AX7569" s="7"/>
      <c r="AY7569" s="7"/>
    </row>
    <row r="7570" spans="50:51">
      <c r="AX7570" s="7"/>
      <c r="AY7570" s="7"/>
    </row>
    <row r="7571" spans="50:51">
      <c r="AX7571" s="7"/>
      <c r="AY7571" s="7"/>
    </row>
    <row r="7572" spans="50:51">
      <c r="AX7572" s="7"/>
      <c r="AY7572" s="7"/>
    </row>
    <row r="7573" spans="50:51">
      <c r="AX7573" s="7"/>
      <c r="AY7573" s="7"/>
    </row>
    <row r="7574" spans="50:51">
      <c r="AX7574" s="7"/>
      <c r="AY7574" s="7"/>
    </row>
    <row r="7575" spans="50:51">
      <c r="AX7575" s="7"/>
      <c r="AY7575" s="7"/>
    </row>
    <row r="7576" spans="50:51">
      <c r="AX7576" s="7"/>
      <c r="AY7576" s="7"/>
    </row>
    <row r="7577" spans="50:51">
      <c r="AX7577" s="7"/>
      <c r="AY7577" s="7"/>
    </row>
    <row r="7578" spans="50:51">
      <c r="AX7578" s="7"/>
      <c r="AY7578" s="7"/>
    </row>
    <row r="7579" spans="50:51">
      <c r="AX7579" s="7"/>
      <c r="AY7579" s="7"/>
    </row>
    <row r="7580" spans="50:51">
      <c r="AX7580" s="7"/>
      <c r="AY7580" s="7"/>
    </row>
    <row r="7581" spans="50:51">
      <c r="AX7581" s="7"/>
      <c r="AY7581" s="7"/>
    </row>
    <row r="7582" spans="50:51">
      <c r="AX7582" s="7"/>
      <c r="AY7582" s="7"/>
    </row>
    <row r="7583" spans="50:51">
      <c r="AX7583" s="7"/>
      <c r="AY7583" s="7"/>
    </row>
    <row r="7584" spans="50:51">
      <c r="AX7584" s="7"/>
      <c r="AY7584" s="7"/>
    </row>
    <row r="7585" spans="50:51">
      <c r="AX7585" s="7"/>
      <c r="AY7585" s="7"/>
    </row>
    <row r="7586" spans="50:51">
      <c r="AX7586" s="7"/>
      <c r="AY7586" s="7"/>
    </row>
    <row r="7587" spans="50:51">
      <c r="AX7587" s="7"/>
      <c r="AY7587" s="7"/>
    </row>
    <row r="7588" spans="50:51">
      <c r="AX7588" s="7"/>
      <c r="AY7588" s="7"/>
    </row>
    <row r="7589" spans="50:51">
      <c r="AX7589" s="7"/>
      <c r="AY7589" s="7"/>
    </row>
    <row r="7590" spans="50:51">
      <c r="AX7590" s="7"/>
      <c r="AY7590" s="7"/>
    </row>
    <row r="7591" spans="50:51">
      <c r="AX7591" s="7"/>
      <c r="AY7591" s="7"/>
    </row>
    <row r="7592" spans="50:51">
      <c r="AX7592" s="7"/>
      <c r="AY7592" s="7"/>
    </row>
    <row r="7593" spans="50:51">
      <c r="AX7593" s="7"/>
      <c r="AY7593" s="7"/>
    </row>
    <row r="7594" spans="50:51">
      <c r="AX7594" s="7"/>
      <c r="AY7594" s="7"/>
    </row>
    <row r="7595" spans="50:51">
      <c r="AX7595" s="7"/>
      <c r="AY7595" s="7"/>
    </row>
    <row r="7596" spans="50:51">
      <c r="AX7596" s="7"/>
      <c r="AY7596" s="7"/>
    </row>
    <row r="7597" spans="50:51">
      <c r="AX7597" s="7"/>
      <c r="AY7597" s="7"/>
    </row>
    <row r="7598" spans="50:51">
      <c r="AX7598" s="7"/>
      <c r="AY7598" s="7"/>
    </row>
    <row r="7599" spans="50:51">
      <c r="AX7599" s="7"/>
      <c r="AY7599" s="7"/>
    </row>
    <row r="7600" spans="50:51">
      <c r="AX7600" s="7"/>
      <c r="AY7600" s="7"/>
    </row>
    <row r="7601" spans="50:51">
      <c r="AX7601" s="7"/>
      <c r="AY7601" s="7"/>
    </row>
    <row r="7602" spans="50:51">
      <c r="AX7602" s="7"/>
      <c r="AY7602" s="7"/>
    </row>
    <row r="7603" spans="50:51">
      <c r="AX7603" s="7"/>
      <c r="AY7603" s="7"/>
    </row>
    <row r="7604" spans="50:51">
      <c r="AX7604" s="7"/>
      <c r="AY7604" s="7"/>
    </row>
    <row r="7605" spans="50:51">
      <c r="AX7605" s="7"/>
      <c r="AY7605" s="7"/>
    </row>
    <row r="7606" spans="50:51">
      <c r="AX7606" s="7"/>
      <c r="AY7606" s="7"/>
    </row>
    <row r="7607" spans="50:51">
      <c r="AX7607" s="7"/>
      <c r="AY7607" s="7"/>
    </row>
    <row r="7608" spans="50:51">
      <c r="AX7608" s="7"/>
      <c r="AY7608" s="7"/>
    </row>
    <row r="7609" spans="50:51">
      <c r="AX7609" s="7"/>
      <c r="AY7609" s="7"/>
    </row>
    <row r="7610" spans="50:51">
      <c r="AX7610" s="7"/>
      <c r="AY7610" s="7"/>
    </row>
    <row r="7611" spans="50:51">
      <c r="AX7611" s="7"/>
      <c r="AY7611" s="7"/>
    </row>
    <row r="7612" spans="50:51">
      <c r="AX7612" s="7"/>
      <c r="AY7612" s="7"/>
    </row>
    <row r="7613" spans="50:51">
      <c r="AX7613" s="7"/>
      <c r="AY7613" s="7"/>
    </row>
    <row r="7614" spans="50:51">
      <c r="AX7614" s="7"/>
      <c r="AY7614" s="7"/>
    </row>
    <row r="7615" spans="50:51">
      <c r="AX7615" s="7"/>
      <c r="AY7615" s="7"/>
    </row>
    <row r="7616" spans="50:51">
      <c r="AX7616" s="7"/>
      <c r="AY7616" s="7"/>
    </row>
    <row r="7617" spans="50:51">
      <c r="AX7617" s="7"/>
      <c r="AY7617" s="7"/>
    </row>
    <row r="7618" spans="50:51">
      <c r="AX7618" s="7"/>
      <c r="AY7618" s="7"/>
    </row>
    <row r="7619" spans="50:51">
      <c r="AX7619" s="7"/>
      <c r="AY7619" s="7"/>
    </row>
    <row r="7620" spans="50:51">
      <c r="AX7620" s="7"/>
      <c r="AY7620" s="7"/>
    </row>
    <row r="7621" spans="50:51">
      <c r="AX7621" s="7"/>
      <c r="AY7621" s="7"/>
    </row>
    <row r="7622" spans="50:51">
      <c r="AX7622" s="7"/>
      <c r="AY7622" s="7"/>
    </row>
    <row r="7623" spans="50:51">
      <c r="AX7623" s="7"/>
      <c r="AY7623" s="7"/>
    </row>
    <row r="7624" spans="50:51">
      <c r="AX7624" s="7"/>
      <c r="AY7624" s="7"/>
    </row>
    <row r="7625" spans="50:51">
      <c r="AX7625" s="7"/>
      <c r="AY7625" s="7"/>
    </row>
    <row r="7626" spans="50:51">
      <c r="AX7626" s="7"/>
      <c r="AY7626" s="7"/>
    </row>
    <row r="7627" spans="50:51">
      <c r="AX7627" s="7"/>
      <c r="AY7627" s="7"/>
    </row>
    <row r="7628" spans="50:51">
      <c r="AX7628" s="7"/>
      <c r="AY7628" s="7"/>
    </row>
    <row r="7629" spans="50:51">
      <c r="AX7629" s="7"/>
      <c r="AY7629" s="7"/>
    </row>
    <row r="7630" spans="50:51">
      <c r="AX7630" s="7"/>
      <c r="AY7630" s="7"/>
    </row>
    <row r="7631" spans="50:51">
      <c r="AX7631" s="7"/>
      <c r="AY7631" s="7"/>
    </row>
    <row r="7632" spans="50:51">
      <c r="AX7632" s="7"/>
      <c r="AY7632" s="7"/>
    </row>
    <row r="7633" spans="50:51">
      <c r="AX7633" s="7"/>
      <c r="AY7633" s="7"/>
    </row>
    <row r="7634" spans="50:51">
      <c r="AX7634" s="7"/>
      <c r="AY7634" s="7"/>
    </row>
    <row r="7635" spans="50:51">
      <c r="AX7635" s="7"/>
      <c r="AY7635" s="7"/>
    </row>
    <row r="7636" spans="50:51">
      <c r="AX7636" s="7"/>
      <c r="AY7636" s="7"/>
    </row>
    <row r="7637" spans="50:51">
      <c r="AX7637" s="7"/>
      <c r="AY7637" s="7"/>
    </row>
    <row r="7638" spans="50:51">
      <c r="AX7638" s="7"/>
      <c r="AY7638" s="7"/>
    </row>
    <row r="7639" spans="50:51">
      <c r="AX7639" s="7"/>
      <c r="AY7639" s="7"/>
    </row>
    <row r="7640" spans="50:51">
      <c r="AX7640" s="7"/>
      <c r="AY7640" s="7"/>
    </row>
    <row r="7641" spans="50:51">
      <c r="AX7641" s="7"/>
      <c r="AY7641" s="7"/>
    </row>
    <row r="7642" spans="50:51">
      <c r="AX7642" s="7"/>
      <c r="AY7642" s="7"/>
    </row>
    <row r="7643" spans="50:51">
      <c r="AX7643" s="7"/>
      <c r="AY7643" s="7"/>
    </row>
    <row r="7644" spans="50:51">
      <c r="AX7644" s="7"/>
      <c r="AY7644" s="7"/>
    </row>
    <row r="7645" spans="50:51">
      <c r="AX7645" s="7"/>
      <c r="AY7645" s="7"/>
    </row>
    <row r="7646" spans="50:51">
      <c r="AX7646" s="7"/>
      <c r="AY7646" s="7"/>
    </row>
    <row r="7647" spans="50:51">
      <c r="AX7647" s="7"/>
      <c r="AY7647" s="7"/>
    </row>
    <row r="7648" spans="50:51">
      <c r="AX7648" s="7"/>
      <c r="AY7648" s="7"/>
    </row>
    <row r="7649" spans="50:51">
      <c r="AX7649" s="7"/>
      <c r="AY7649" s="7"/>
    </row>
    <row r="7650" spans="50:51">
      <c r="AX7650" s="7"/>
      <c r="AY7650" s="7"/>
    </row>
    <row r="7651" spans="50:51">
      <c r="AX7651" s="7"/>
      <c r="AY7651" s="7"/>
    </row>
    <row r="7652" spans="50:51">
      <c r="AX7652" s="7"/>
      <c r="AY7652" s="7"/>
    </row>
    <row r="7653" spans="50:51">
      <c r="AX7653" s="7"/>
      <c r="AY7653" s="7"/>
    </row>
    <row r="7654" spans="50:51">
      <c r="AX7654" s="7"/>
      <c r="AY7654" s="7"/>
    </row>
    <row r="7655" spans="50:51">
      <c r="AX7655" s="7"/>
      <c r="AY7655" s="7"/>
    </row>
    <row r="7656" spans="50:51">
      <c r="AX7656" s="7"/>
      <c r="AY7656" s="7"/>
    </row>
    <row r="7657" spans="50:51">
      <c r="AX7657" s="7"/>
      <c r="AY7657" s="7"/>
    </row>
    <row r="7658" spans="50:51">
      <c r="AX7658" s="7"/>
      <c r="AY7658" s="7"/>
    </row>
    <row r="7659" spans="50:51">
      <c r="AX7659" s="7"/>
      <c r="AY7659" s="7"/>
    </row>
    <row r="7660" spans="50:51">
      <c r="AX7660" s="7"/>
      <c r="AY7660" s="7"/>
    </row>
    <row r="7661" spans="50:51">
      <c r="AX7661" s="7"/>
      <c r="AY7661" s="7"/>
    </row>
    <row r="7662" spans="50:51">
      <c r="AX7662" s="7"/>
      <c r="AY7662" s="7"/>
    </row>
    <row r="7663" spans="50:51">
      <c r="AX7663" s="7"/>
      <c r="AY7663" s="7"/>
    </row>
    <row r="7664" spans="50:51">
      <c r="AX7664" s="7"/>
      <c r="AY7664" s="7"/>
    </row>
    <row r="7665" spans="50:51">
      <c r="AX7665" s="7"/>
      <c r="AY7665" s="7"/>
    </row>
    <row r="7666" spans="50:51">
      <c r="AX7666" s="7"/>
      <c r="AY7666" s="7"/>
    </row>
    <row r="7667" spans="50:51">
      <c r="AX7667" s="7"/>
      <c r="AY7667" s="7"/>
    </row>
    <row r="7668" spans="50:51">
      <c r="AX7668" s="7"/>
      <c r="AY7668" s="7"/>
    </row>
    <row r="7669" spans="50:51">
      <c r="AX7669" s="7"/>
      <c r="AY7669" s="7"/>
    </row>
    <row r="7670" spans="50:51">
      <c r="AX7670" s="7"/>
      <c r="AY7670" s="7"/>
    </row>
    <row r="7671" spans="50:51">
      <c r="AX7671" s="7"/>
      <c r="AY7671" s="7"/>
    </row>
    <row r="7672" spans="50:51">
      <c r="AX7672" s="7"/>
      <c r="AY7672" s="7"/>
    </row>
    <row r="7673" spans="50:51">
      <c r="AX7673" s="7"/>
      <c r="AY7673" s="7"/>
    </row>
    <row r="7674" spans="50:51">
      <c r="AX7674" s="7"/>
      <c r="AY7674" s="7"/>
    </row>
    <row r="7675" spans="50:51">
      <c r="AX7675" s="7"/>
      <c r="AY7675" s="7"/>
    </row>
    <row r="7676" spans="50:51">
      <c r="AX7676" s="7"/>
      <c r="AY7676" s="7"/>
    </row>
    <row r="7677" spans="50:51">
      <c r="AX7677" s="7"/>
      <c r="AY7677" s="7"/>
    </row>
    <row r="7678" spans="50:51">
      <c r="AX7678" s="7"/>
      <c r="AY7678" s="7"/>
    </row>
    <row r="7679" spans="50:51">
      <c r="AX7679" s="7"/>
      <c r="AY7679" s="7"/>
    </row>
    <row r="7680" spans="50:51">
      <c r="AX7680" s="7"/>
      <c r="AY7680" s="7"/>
    </row>
    <row r="7681" spans="50:51">
      <c r="AX7681" s="7"/>
      <c r="AY7681" s="7"/>
    </row>
    <row r="7682" spans="50:51">
      <c r="AX7682" s="7"/>
      <c r="AY7682" s="7"/>
    </row>
    <row r="7683" spans="50:51">
      <c r="AX7683" s="7"/>
      <c r="AY7683" s="7"/>
    </row>
    <row r="7684" spans="50:51">
      <c r="AX7684" s="7"/>
      <c r="AY7684" s="7"/>
    </row>
    <row r="7685" spans="50:51">
      <c r="AX7685" s="7"/>
      <c r="AY7685" s="7"/>
    </row>
    <row r="7686" spans="50:51">
      <c r="AX7686" s="7"/>
      <c r="AY7686" s="7"/>
    </row>
    <row r="7687" spans="50:51">
      <c r="AX7687" s="7"/>
      <c r="AY7687" s="7"/>
    </row>
    <row r="7688" spans="50:51">
      <c r="AX7688" s="7"/>
      <c r="AY7688" s="7"/>
    </row>
    <row r="7689" spans="50:51">
      <c r="AX7689" s="7"/>
      <c r="AY7689" s="7"/>
    </row>
    <row r="7690" spans="50:51">
      <c r="AX7690" s="7"/>
      <c r="AY7690" s="7"/>
    </row>
    <row r="7691" spans="50:51">
      <c r="AX7691" s="7"/>
      <c r="AY7691" s="7"/>
    </row>
    <row r="7692" spans="50:51">
      <c r="AX7692" s="7"/>
      <c r="AY7692" s="7"/>
    </row>
    <row r="7693" spans="50:51">
      <c r="AX7693" s="7"/>
      <c r="AY7693" s="7"/>
    </row>
    <row r="7694" spans="50:51">
      <c r="AX7694" s="7"/>
      <c r="AY7694" s="7"/>
    </row>
    <row r="7695" spans="50:51">
      <c r="AX7695" s="7"/>
      <c r="AY7695" s="7"/>
    </row>
    <row r="7696" spans="50:51">
      <c r="AX7696" s="7"/>
      <c r="AY7696" s="7"/>
    </row>
    <row r="7697" spans="50:51">
      <c r="AX7697" s="7"/>
      <c r="AY7697" s="7"/>
    </row>
    <row r="7698" spans="50:51">
      <c r="AX7698" s="7"/>
      <c r="AY7698" s="7"/>
    </row>
    <row r="7699" spans="50:51">
      <c r="AX7699" s="7"/>
      <c r="AY7699" s="7"/>
    </row>
    <row r="7700" spans="50:51">
      <c r="AX7700" s="7"/>
      <c r="AY7700" s="7"/>
    </row>
    <row r="7701" spans="50:51">
      <c r="AX7701" s="7"/>
      <c r="AY7701" s="7"/>
    </row>
    <row r="7702" spans="50:51">
      <c r="AX7702" s="7"/>
      <c r="AY7702" s="7"/>
    </row>
    <row r="7703" spans="50:51">
      <c r="AX7703" s="7"/>
      <c r="AY7703" s="7"/>
    </row>
    <row r="7704" spans="50:51">
      <c r="AX7704" s="7"/>
      <c r="AY7704" s="7"/>
    </row>
    <row r="7705" spans="50:51">
      <c r="AX7705" s="7"/>
      <c r="AY7705" s="7"/>
    </row>
    <row r="7706" spans="50:51">
      <c r="AX7706" s="7"/>
      <c r="AY7706" s="7"/>
    </row>
    <row r="7707" spans="50:51">
      <c r="AX7707" s="7"/>
      <c r="AY7707" s="7"/>
    </row>
    <row r="7708" spans="50:51">
      <c r="AX7708" s="7"/>
      <c r="AY7708" s="7"/>
    </row>
    <row r="7709" spans="50:51">
      <c r="AX7709" s="7"/>
      <c r="AY7709" s="7"/>
    </row>
    <row r="7710" spans="50:51">
      <c r="AX7710" s="7"/>
      <c r="AY7710" s="7"/>
    </row>
    <row r="7711" spans="50:51">
      <c r="AX7711" s="7"/>
      <c r="AY7711" s="7"/>
    </row>
    <row r="7712" spans="50:51">
      <c r="AX7712" s="7"/>
      <c r="AY7712" s="7"/>
    </row>
    <row r="7713" spans="50:51">
      <c r="AX7713" s="7"/>
      <c r="AY7713" s="7"/>
    </row>
    <row r="7714" spans="50:51">
      <c r="AX7714" s="7"/>
      <c r="AY7714" s="7"/>
    </row>
    <row r="7715" spans="50:51">
      <c r="AX7715" s="7"/>
      <c r="AY7715" s="7"/>
    </row>
    <row r="7716" spans="50:51">
      <c r="AX7716" s="7"/>
      <c r="AY7716" s="7"/>
    </row>
    <row r="7717" spans="50:51">
      <c r="AX7717" s="7"/>
      <c r="AY7717" s="7"/>
    </row>
    <row r="7718" spans="50:51">
      <c r="AX7718" s="7"/>
      <c r="AY7718" s="7"/>
    </row>
    <row r="7719" spans="50:51">
      <c r="AX7719" s="7"/>
      <c r="AY7719" s="7"/>
    </row>
    <row r="7720" spans="50:51">
      <c r="AX7720" s="7"/>
      <c r="AY7720" s="7"/>
    </row>
    <row r="7721" spans="50:51">
      <c r="AX7721" s="7"/>
      <c r="AY7721" s="7"/>
    </row>
    <row r="7722" spans="50:51">
      <c r="AX7722" s="7"/>
      <c r="AY7722" s="7"/>
    </row>
    <row r="7723" spans="50:51">
      <c r="AX7723" s="7"/>
      <c r="AY7723" s="7"/>
    </row>
    <row r="7724" spans="50:51">
      <c r="AX7724" s="7"/>
      <c r="AY7724" s="7"/>
    </row>
    <row r="7725" spans="50:51">
      <c r="AX7725" s="7"/>
      <c r="AY7725" s="7"/>
    </row>
    <row r="7726" spans="50:51">
      <c r="AX7726" s="7"/>
      <c r="AY7726" s="7"/>
    </row>
    <row r="7727" spans="50:51">
      <c r="AX7727" s="7"/>
      <c r="AY7727" s="7"/>
    </row>
    <row r="7728" spans="50:51">
      <c r="AX7728" s="7"/>
      <c r="AY7728" s="7"/>
    </row>
    <row r="7729" spans="50:51">
      <c r="AX7729" s="7"/>
      <c r="AY7729" s="7"/>
    </row>
    <row r="7730" spans="50:51">
      <c r="AX7730" s="7"/>
      <c r="AY7730" s="7"/>
    </row>
    <row r="7731" spans="50:51">
      <c r="AX7731" s="7"/>
      <c r="AY7731" s="7"/>
    </row>
    <row r="7732" spans="50:51">
      <c r="AX7732" s="7"/>
      <c r="AY7732" s="7"/>
    </row>
    <row r="7733" spans="50:51">
      <c r="AX7733" s="7"/>
      <c r="AY7733" s="7"/>
    </row>
    <row r="7734" spans="50:51">
      <c r="AX7734" s="7"/>
      <c r="AY7734" s="7"/>
    </row>
    <row r="7735" spans="50:51">
      <c r="AX7735" s="7"/>
      <c r="AY7735" s="7"/>
    </row>
    <row r="7736" spans="50:51">
      <c r="AX7736" s="7"/>
      <c r="AY7736" s="7"/>
    </row>
    <row r="7737" spans="50:51">
      <c r="AX7737" s="7"/>
      <c r="AY7737" s="7"/>
    </row>
    <row r="7738" spans="50:51">
      <c r="AX7738" s="7"/>
      <c r="AY7738" s="7"/>
    </row>
    <row r="7739" spans="50:51">
      <c r="AX7739" s="7"/>
      <c r="AY7739" s="7"/>
    </row>
    <row r="7740" spans="50:51">
      <c r="AX7740" s="7"/>
      <c r="AY7740" s="7"/>
    </row>
    <row r="7741" spans="50:51">
      <c r="AX7741" s="7"/>
      <c r="AY7741" s="7"/>
    </row>
    <row r="7742" spans="50:51">
      <c r="AX7742" s="7"/>
      <c r="AY7742" s="7"/>
    </row>
    <row r="7743" spans="50:51">
      <c r="AX7743" s="7"/>
      <c r="AY7743" s="7"/>
    </row>
    <row r="7744" spans="50:51">
      <c r="AX7744" s="7"/>
      <c r="AY7744" s="7"/>
    </row>
    <row r="7745" spans="50:51">
      <c r="AX7745" s="7"/>
      <c r="AY7745" s="7"/>
    </row>
    <row r="7746" spans="50:51">
      <c r="AX7746" s="7"/>
      <c r="AY7746" s="7"/>
    </row>
    <row r="7747" spans="50:51">
      <c r="AX7747" s="7"/>
      <c r="AY7747" s="7"/>
    </row>
    <row r="7748" spans="50:51">
      <c r="AX7748" s="7"/>
      <c r="AY7748" s="7"/>
    </row>
    <row r="7749" spans="50:51">
      <c r="AX7749" s="7"/>
      <c r="AY7749" s="7"/>
    </row>
    <row r="7750" spans="50:51">
      <c r="AX7750" s="7"/>
      <c r="AY7750" s="7"/>
    </row>
    <row r="7751" spans="50:51">
      <c r="AX7751" s="7"/>
      <c r="AY7751" s="7"/>
    </row>
    <row r="7752" spans="50:51">
      <c r="AX7752" s="7"/>
      <c r="AY7752" s="7"/>
    </row>
    <row r="7753" spans="50:51">
      <c r="AX7753" s="7"/>
      <c r="AY7753" s="7"/>
    </row>
    <row r="7754" spans="50:51">
      <c r="AX7754" s="7"/>
      <c r="AY7754" s="7"/>
    </row>
    <row r="7755" spans="50:51">
      <c r="AX7755" s="7"/>
      <c r="AY7755" s="7"/>
    </row>
    <row r="7756" spans="50:51">
      <c r="AX7756" s="7"/>
      <c r="AY7756" s="7"/>
    </row>
    <row r="7757" spans="50:51">
      <c r="AX7757" s="7"/>
      <c r="AY7757" s="7"/>
    </row>
    <row r="7758" spans="50:51">
      <c r="AX7758" s="7"/>
      <c r="AY7758" s="7"/>
    </row>
    <row r="7759" spans="50:51">
      <c r="AX7759" s="7"/>
      <c r="AY7759" s="7"/>
    </row>
    <row r="7760" spans="50:51">
      <c r="AX7760" s="7"/>
      <c r="AY7760" s="7"/>
    </row>
    <row r="7761" spans="50:51">
      <c r="AX7761" s="7"/>
      <c r="AY7761" s="7"/>
    </row>
    <row r="7762" spans="50:51">
      <c r="AX7762" s="7"/>
      <c r="AY7762" s="7"/>
    </row>
    <row r="7763" spans="50:51">
      <c r="AX7763" s="7"/>
      <c r="AY7763" s="7"/>
    </row>
    <row r="7764" spans="50:51">
      <c r="AX7764" s="7"/>
      <c r="AY7764" s="7"/>
    </row>
    <row r="7765" spans="50:51">
      <c r="AX7765" s="7"/>
      <c r="AY7765" s="7"/>
    </row>
    <row r="7766" spans="50:51">
      <c r="AX7766" s="7"/>
      <c r="AY7766" s="7"/>
    </row>
    <row r="7767" spans="50:51">
      <c r="AX7767" s="7"/>
      <c r="AY7767" s="7"/>
    </row>
    <row r="7768" spans="50:51">
      <c r="AX7768" s="7"/>
      <c r="AY7768" s="7"/>
    </row>
    <row r="7769" spans="50:51">
      <c r="AX7769" s="7"/>
      <c r="AY7769" s="7"/>
    </row>
    <row r="7770" spans="50:51">
      <c r="AX7770" s="7"/>
      <c r="AY7770" s="7"/>
    </row>
    <row r="7771" spans="50:51">
      <c r="AX7771" s="7"/>
      <c r="AY7771" s="7"/>
    </row>
    <row r="7772" spans="50:51">
      <c r="AX7772" s="7"/>
      <c r="AY7772" s="7"/>
    </row>
    <row r="7773" spans="50:51">
      <c r="AX7773" s="7"/>
      <c r="AY7773" s="7"/>
    </row>
    <row r="7774" spans="50:51">
      <c r="AX7774" s="7"/>
      <c r="AY7774" s="7"/>
    </row>
    <row r="7775" spans="50:51">
      <c r="AX7775" s="7"/>
      <c r="AY7775" s="7"/>
    </row>
    <row r="7776" spans="50:51">
      <c r="AX7776" s="7"/>
      <c r="AY7776" s="7"/>
    </row>
    <row r="7777" spans="50:51">
      <c r="AX7777" s="7"/>
      <c r="AY7777" s="7"/>
    </row>
    <row r="7778" spans="50:51">
      <c r="AX7778" s="7"/>
      <c r="AY7778" s="7"/>
    </row>
    <row r="7779" spans="50:51">
      <c r="AX7779" s="7"/>
      <c r="AY7779" s="7"/>
    </row>
    <row r="7780" spans="50:51">
      <c r="AX7780" s="7"/>
      <c r="AY7780" s="7"/>
    </row>
    <row r="7781" spans="50:51">
      <c r="AX7781" s="7"/>
      <c r="AY7781" s="7"/>
    </row>
    <row r="7782" spans="50:51">
      <c r="AX7782" s="7"/>
      <c r="AY7782" s="7"/>
    </row>
    <row r="7783" spans="50:51">
      <c r="AX7783" s="7"/>
      <c r="AY7783" s="7"/>
    </row>
    <row r="7784" spans="50:51">
      <c r="AX7784" s="7"/>
      <c r="AY7784" s="7"/>
    </row>
    <row r="7785" spans="50:51">
      <c r="AX7785" s="7"/>
      <c r="AY7785" s="7"/>
    </row>
    <row r="7786" spans="50:51">
      <c r="AX7786" s="7"/>
      <c r="AY7786" s="7"/>
    </row>
    <row r="7787" spans="50:51">
      <c r="AX7787" s="7"/>
      <c r="AY7787" s="7"/>
    </row>
    <row r="7788" spans="50:51">
      <c r="AX7788" s="7"/>
      <c r="AY7788" s="7"/>
    </row>
    <row r="7789" spans="50:51">
      <c r="AX7789" s="7"/>
      <c r="AY7789" s="7"/>
    </row>
    <row r="7790" spans="50:51">
      <c r="AX7790" s="7"/>
      <c r="AY7790" s="7"/>
    </row>
    <row r="7791" spans="50:51">
      <c r="AX7791" s="7"/>
      <c r="AY7791" s="7"/>
    </row>
    <row r="7792" spans="50:51">
      <c r="AX7792" s="7"/>
      <c r="AY7792" s="7"/>
    </row>
    <row r="7793" spans="50:51">
      <c r="AX7793" s="7"/>
      <c r="AY7793" s="7"/>
    </row>
    <row r="7794" spans="50:51">
      <c r="AX7794" s="7"/>
      <c r="AY7794" s="7"/>
    </row>
    <row r="7795" spans="50:51">
      <c r="AX7795" s="7"/>
      <c r="AY7795" s="7"/>
    </row>
    <row r="7796" spans="50:51">
      <c r="AX7796" s="7"/>
      <c r="AY7796" s="7"/>
    </row>
    <row r="7797" spans="50:51">
      <c r="AX7797" s="7"/>
      <c r="AY7797" s="7"/>
    </row>
    <row r="7798" spans="50:51">
      <c r="AX7798" s="7"/>
      <c r="AY7798" s="7"/>
    </row>
    <row r="7799" spans="50:51">
      <c r="AX7799" s="7"/>
      <c r="AY7799" s="7"/>
    </row>
    <row r="7800" spans="50:51">
      <c r="AX7800" s="7"/>
      <c r="AY7800" s="7"/>
    </row>
    <row r="7801" spans="50:51">
      <c r="AX7801" s="7"/>
      <c r="AY7801" s="7"/>
    </row>
    <row r="7802" spans="50:51">
      <c r="AX7802" s="7"/>
      <c r="AY7802" s="7"/>
    </row>
    <row r="7803" spans="50:51">
      <c r="AX7803" s="7"/>
      <c r="AY7803" s="7"/>
    </row>
    <row r="7804" spans="50:51">
      <c r="AX7804" s="7"/>
      <c r="AY7804" s="7"/>
    </row>
    <row r="7805" spans="50:51">
      <c r="AX7805" s="7"/>
      <c r="AY7805" s="7"/>
    </row>
    <row r="7806" spans="50:51">
      <c r="AX7806" s="7"/>
      <c r="AY7806" s="7"/>
    </row>
    <row r="7807" spans="50:51">
      <c r="AX7807" s="7"/>
      <c r="AY7807" s="7"/>
    </row>
    <row r="7808" spans="50:51">
      <c r="AX7808" s="7"/>
      <c r="AY7808" s="7"/>
    </row>
    <row r="7809" spans="50:51">
      <c r="AX7809" s="7"/>
      <c r="AY7809" s="7"/>
    </row>
    <row r="7810" spans="50:51">
      <c r="AX7810" s="7"/>
      <c r="AY7810" s="7"/>
    </row>
    <row r="7811" spans="50:51">
      <c r="AX7811" s="7"/>
      <c r="AY7811" s="7"/>
    </row>
    <row r="7812" spans="50:51">
      <c r="AX7812" s="7"/>
      <c r="AY7812" s="7"/>
    </row>
    <row r="7813" spans="50:51">
      <c r="AX7813" s="7"/>
      <c r="AY7813" s="7"/>
    </row>
    <row r="7814" spans="50:51">
      <c r="AX7814" s="7"/>
      <c r="AY7814" s="7"/>
    </row>
    <row r="7815" spans="50:51">
      <c r="AX7815" s="7"/>
      <c r="AY7815" s="7"/>
    </row>
    <row r="7816" spans="50:51">
      <c r="AX7816" s="7"/>
      <c r="AY7816" s="7"/>
    </row>
    <row r="7817" spans="50:51">
      <c r="AX7817" s="7"/>
      <c r="AY7817" s="7"/>
    </row>
    <row r="7818" spans="50:51">
      <c r="AX7818" s="7"/>
      <c r="AY7818" s="7"/>
    </row>
    <row r="7819" spans="50:51">
      <c r="AX7819" s="7"/>
      <c r="AY7819" s="7"/>
    </row>
    <row r="7820" spans="50:51">
      <c r="AX7820" s="7"/>
      <c r="AY7820" s="7"/>
    </row>
    <row r="7821" spans="50:51">
      <c r="AX7821" s="7"/>
      <c r="AY7821" s="7"/>
    </row>
    <row r="7822" spans="50:51">
      <c r="AX7822" s="7"/>
      <c r="AY7822" s="7"/>
    </row>
    <row r="7823" spans="50:51">
      <c r="AX7823" s="7"/>
      <c r="AY7823" s="7"/>
    </row>
    <row r="7824" spans="50:51">
      <c r="AX7824" s="7"/>
      <c r="AY7824" s="7"/>
    </row>
    <row r="7825" spans="50:51">
      <c r="AX7825" s="7"/>
      <c r="AY7825" s="7"/>
    </row>
    <row r="7826" spans="50:51">
      <c r="AX7826" s="7"/>
      <c r="AY7826" s="7"/>
    </row>
    <row r="7827" spans="50:51">
      <c r="AX7827" s="7"/>
      <c r="AY7827" s="7"/>
    </row>
    <row r="7828" spans="50:51">
      <c r="AX7828" s="7"/>
      <c r="AY7828" s="7"/>
    </row>
    <row r="7829" spans="50:51">
      <c r="AX7829" s="7"/>
      <c r="AY7829" s="7"/>
    </row>
    <row r="7830" spans="50:51">
      <c r="AX7830" s="7"/>
      <c r="AY7830" s="7"/>
    </row>
    <row r="7831" spans="50:51">
      <c r="AX7831" s="7"/>
      <c r="AY7831" s="7"/>
    </row>
    <row r="7832" spans="50:51">
      <c r="AX7832" s="7"/>
      <c r="AY7832" s="7"/>
    </row>
    <row r="7833" spans="50:51">
      <c r="AX7833" s="7"/>
      <c r="AY7833" s="7"/>
    </row>
    <row r="7834" spans="50:51">
      <c r="AX7834" s="7"/>
      <c r="AY7834" s="7"/>
    </row>
    <row r="7835" spans="50:51">
      <c r="AX7835" s="7"/>
      <c r="AY7835" s="7"/>
    </row>
    <row r="7836" spans="50:51">
      <c r="AX7836" s="7"/>
      <c r="AY7836" s="7"/>
    </row>
    <row r="7837" spans="50:51">
      <c r="AX7837" s="7"/>
      <c r="AY7837" s="7"/>
    </row>
    <row r="7838" spans="50:51">
      <c r="AX7838" s="7"/>
      <c r="AY7838" s="7"/>
    </row>
    <row r="7839" spans="50:51">
      <c r="AX7839" s="7"/>
      <c r="AY7839" s="7"/>
    </row>
    <row r="7840" spans="50:51">
      <c r="AX7840" s="7"/>
      <c r="AY7840" s="7"/>
    </row>
    <row r="7841" spans="50:51">
      <c r="AX7841" s="7"/>
      <c r="AY7841" s="7"/>
    </row>
    <row r="7842" spans="50:51">
      <c r="AX7842" s="7"/>
      <c r="AY7842" s="7"/>
    </row>
    <row r="7843" spans="50:51">
      <c r="AX7843" s="7"/>
      <c r="AY7843" s="7"/>
    </row>
    <row r="7844" spans="50:51">
      <c r="AX7844" s="7"/>
      <c r="AY7844" s="7"/>
    </row>
    <row r="7845" spans="50:51">
      <c r="AX7845" s="7"/>
      <c r="AY7845" s="7"/>
    </row>
    <row r="7846" spans="50:51">
      <c r="AX7846" s="7"/>
      <c r="AY7846" s="7"/>
    </row>
    <row r="7847" spans="50:51">
      <c r="AX7847" s="7"/>
      <c r="AY7847" s="7"/>
    </row>
    <row r="7848" spans="50:51">
      <c r="AX7848" s="7"/>
      <c r="AY7848" s="7"/>
    </row>
    <row r="7849" spans="50:51">
      <c r="AX7849" s="7"/>
      <c r="AY7849" s="7"/>
    </row>
    <row r="7850" spans="50:51">
      <c r="AX7850" s="7"/>
      <c r="AY7850" s="7"/>
    </row>
    <row r="7851" spans="50:51">
      <c r="AX7851" s="7"/>
      <c r="AY7851" s="7"/>
    </row>
    <row r="7852" spans="50:51">
      <c r="AX7852" s="7"/>
      <c r="AY7852" s="7"/>
    </row>
    <row r="7853" spans="50:51">
      <c r="AX7853" s="7"/>
      <c r="AY7853" s="7"/>
    </row>
    <row r="7854" spans="50:51">
      <c r="AX7854" s="7"/>
      <c r="AY7854" s="7"/>
    </row>
    <row r="7855" spans="50:51">
      <c r="AX7855" s="7"/>
      <c r="AY7855" s="7"/>
    </row>
    <row r="7856" spans="50:51">
      <c r="AX7856" s="7"/>
      <c r="AY7856" s="7"/>
    </row>
    <row r="7857" spans="50:51">
      <c r="AX7857" s="7"/>
      <c r="AY7857" s="7"/>
    </row>
    <row r="7858" spans="50:51">
      <c r="AX7858" s="7"/>
      <c r="AY7858" s="7"/>
    </row>
    <row r="7859" spans="50:51">
      <c r="AX7859" s="7"/>
      <c r="AY7859" s="7"/>
    </row>
    <row r="7860" spans="50:51">
      <c r="AX7860" s="7"/>
      <c r="AY7860" s="7"/>
    </row>
    <row r="7861" spans="50:51">
      <c r="AX7861" s="7"/>
      <c r="AY7861" s="7"/>
    </row>
    <row r="7862" spans="50:51">
      <c r="AX7862" s="7"/>
      <c r="AY7862" s="7"/>
    </row>
    <row r="7863" spans="50:51">
      <c r="AX7863" s="7"/>
      <c r="AY7863" s="7"/>
    </row>
    <row r="7864" spans="50:51">
      <c r="AX7864" s="7"/>
      <c r="AY7864" s="7"/>
    </row>
    <row r="7865" spans="50:51">
      <c r="AX7865" s="7"/>
      <c r="AY7865" s="7"/>
    </row>
    <row r="7866" spans="50:51">
      <c r="AX7866" s="7"/>
      <c r="AY7866" s="7"/>
    </row>
    <row r="7867" spans="50:51">
      <c r="AX7867" s="7"/>
      <c r="AY7867" s="7"/>
    </row>
    <row r="7868" spans="50:51">
      <c r="AX7868" s="7"/>
      <c r="AY7868" s="7"/>
    </row>
    <row r="7869" spans="50:51">
      <c r="AX7869" s="7"/>
      <c r="AY7869" s="7"/>
    </row>
    <row r="7870" spans="50:51">
      <c r="AX7870" s="7"/>
      <c r="AY7870" s="7"/>
    </row>
    <row r="7871" spans="50:51">
      <c r="AX7871" s="7"/>
      <c r="AY7871" s="7"/>
    </row>
    <row r="7872" spans="50:51">
      <c r="AX7872" s="7"/>
      <c r="AY7872" s="7"/>
    </row>
    <row r="7873" spans="50:51">
      <c r="AX7873" s="7"/>
      <c r="AY7873" s="7"/>
    </row>
    <row r="7874" spans="50:51">
      <c r="AX7874" s="7"/>
      <c r="AY7874" s="7"/>
    </row>
    <row r="7875" spans="50:51">
      <c r="AX7875" s="7"/>
      <c r="AY7875" s="7"/>
    </row>
    <row r="7876" spans="50:51">
      <c r="AX7876" s="7"/>
      <c r="AY7876" s="7"/>
    </row>
    <row r="7877" spans="50:51">
      <c r="AX7877" s="7"/>
      <c r="AY7877" s="7"/>
    </row>
    <row r="7878" spans="50:51">
      <c r="AX7878" s="7"/>
      <c r="AY7878" s="7"/>
    </row>
    <row r="7879" spans="50:51">
      <c r="AX7879" s="7"/>
      <c r="AY7879" s="7"/>
    </row>
    <row r="7880" spans="50:51">
      <c r="AX7880" s="7"/>
      <c r="AY7880" s="7"/>
    </row>
    <row r="7881" spans="50:51">
      <c r="AX7881" s="7"/>
      <c r="AY7881" s="7"/>
    </row>
    <row r="7882" spans="50:51">
      <c r="AX7882" s="7"/>
      <c r="AY7882" s="7"/>
    </row>
    <row r="7883" spans="50:51">
      <c r="AX7883" s="7"/>
      <c r="AY7883" s="7"/>
    </row>
    <row r="7884" spans="50:51">
      <c r="AX7884" s="7"/>
      <c r="AY7884" s="7"/>
    </row>
    <row r="7885" spans="50:51">
      <c r="AX7885" s="7"/>
      <c r="AY7885" s="7"/>
    </row>
    <row r="7886" spans="50:51">
      <c r="AX7886" s="7"/>
      <c r="AY7886" s="7"/>
    </row>
    <row r="7887" spans="50:51">
      <c r="AX7887" s="7"/>
      <c r="AY7887" s="7"/>
    </row>
    <row r="7888" spans="50:51">
      <c r="AX7888" s="7"/>
      <c r="AY7888" s="7"/>
    </row>
    <row r="7889" spans="50:51">
      <c r="AX7889" s="7"/>
      <c r="AY7889" s="7"/>
    </row>
    <row r="7890" spans="50:51">
      <c r="AX7890" s="7"/>
      <c r="AY7890" s="7"/>
    </row>
    <row r="7891" spans="50:51">
      <c r="AX7891" s="7"/>
      <c r="AY7891" s="7"/>
    </row>
    <row r="7892" spans="50:51">
      <c r="AX7892" s="7"/>
      <c r="AY7892" s="7"/>
    </row>
    <row r="7893" spans="50:51">
      <c r="AX7893" s="7"/>
      <c r="AY7893" s="7"/>
    </row>
    <row r="7894" spans="50:51">
      <c r="AX7894" s="7"/>
      <c r="AY7894" s="7"/>
    </row>
    <row r="7895" spans="50:51">
      <c r="AX7895" s="7"/>
      <c r="AY7895" s="7"/>
    </row>
    <row r="7896" spans="50:51">
      <c r="AX7896" s="7"/>
      <c r="AY7896" s="7"/>
    </row>
    <row r="7897" spans="50:51">
      <c r="AX7897" s="7"/>
      <c r="AY7897" s="7"/>
    </row>
    <row r="7898" spans="50:51">
      <c r="AX7898" s="7"/>
      <c r="AY7898" s="7"/>
    </row>
    <row r="7899" spans="50:51">
      <c r="AX7899" s="7"/>
      <c r="AY7899" s="7"/>
    </row>
    <row r="7900" spans="50:51">
      <c r="AX7900" s="7"/>
      <c r="AY7900" s="7"/>
    </row>
    <row r="7901" spans="50:51">
      <c r="AX7901" s="7"/>
      <c r="AY7901" s="7"/>
    </row>
    <row r="7902" spans="50:51">
      <c r="AX7902" s="7"/>
      <c r="AY7902" s="7"/>
    </row>
    <row r="7903" spans="50:51">
      <c r="AX7903" s="7"/>
      <c r="AY7903" s="7"/>
    </row>
    <row r="7904" spans="50:51">
      <c r="AX7904" s="7"/>
      <c r="AY7904" s="7"/>
    </row>
    <row r="7905" spans="50:51">
      <c r="AX7905" s="7"/>
      <c r="AY7905" s="7"/>
    </row>
    <row r="7906" spans="50:51">
      <c r="AX7906" s="7"/>
      <c r="AY7906" s="7"/>
    </row>
    <row r="7907" spans="50:51">
      <c r="AX7907" s="7"/>
      <c r="AY7907" s="7"/>
    </row>
    <row r="7908" spans="50:51">
      <c r="AX7908" s="7"/>
      <c r="AY7908" s="7"/>
    </row>
    <row r="7909" spans="50:51">
      <c r="AX7909" s="7"/>
      <c r="AY7909" s="7"/>
    </row>
    <row r="7910" spans="50:51">
      <c r="AX7910" s="7"/>
      <c r="AY7910" s="7"/>
    </row>
    <row r="7911" spans="50:51">
      <c r="AX7911" s="7"/>
      <c r="AY7911" s="7"/>
    </row>
    <row r="7912" spans="50:51">
      <c r="AX7912" s="7"/>
      <c r="AY7912" s="7"/>
    </row>
    <row r="7913" spans="50:51">
      <c r="AX7913" s="7"/>
      <c r="AY7913" s="7"/>
    </row>
    <row r="7914" spans="50:51">
      <c r="AX7914" s="7"/>
      <c r="AY7914" s="7"/>
    </row>
    <row r="7915" spans="50:51">
      <c r="AX7915" s="7"/>
      <c r="AY7915" s="7"/>
    </row>
    <row r="7916" spans="50:51">
      <c r="AX7916" s="7"/>
      <c r="AY7916" s="7"/>
    </row>
    <row r="7917" spans="50:51">
      <c r="AX7917" s="7"/>
      <c r="AY7917" s="7"/>
    </row>
    <row r="7918" spans="50:51">
      <c r="AX7918" s="7"/>
      <c r="AY7918" s="7"/>
    </row>
    <row r="7919" spans="50:51">
      <c r="AX7919" s="7"/>
      <c r="AY7919" s="7"/>
    </row>
    <row r="7920" spans="50:51">
      <c r="AX7920" s="7"/>
      <c r="AY7920" s="7"/>
    </row>
    <row r="7921" spans="50:51">
      <c r="AX7921" s="7"/>
      <c r="AY7921" s="7"/>
    </row>
    <row r="7922" spans="50:51">
      <c r="AX7922" s="7"/>
      <c r="AY7922" s="7"/>
    </row>
    <row r="7923" spans="50:51">
      <c r="AX7923" s="7"/>
      <c r="AY7923" s="7"/>
    </row>
    <row r="7924" spans="50:51">
      <c r="AX7924" s="7"/>
      <c r="AY7924" s="7"/>
    </row>
    <row r="7925" spans="50:51">
      <c r="AX7925" s="7"/>
      <c r="AY7925" s="7"/>
    </row>
    <row r="7926" spans="50:51">
      <c r="AX7926" s="7"/>
      <c r="AY7926" s="7"/>
    </row>
    <row r="7927" spans="50:51">
      <c r="AX7927" s="7"/>
      <c r="AY7927" s="7"/>
    </row>
    <row r="7928" spans="50:51">
      <c r="AX7928" s="7"/>
      <c r="AY7928" s="7"/>
    </row>
    <row r="7929" spans="50:51">
      <c r="AX7929" s="7"/>
      <c r="AY7929" s="7"/>
    </row>
    <row r="7930" spans="50:51">
      <c r="AX7930" s="7"/>
      <c r="AY7930" s="7"/>
    </row>
    <row r="7931" spans="50:51">
      <c r="AX7931" s="7"/>
      <c r="AY7931" s="7"/>
    </row>
    <row r="7932" spans="50:51">
      <c r="AX7932" s="7"/>
      <c r="AY7932" s="7"/>
    </row>
    <row r="7933" spans="50:51">
      <c r="AX7933" s="7"/>
      <c r="AY7933" s="7"/>
    </row>
    <row r="7934" spans="50:51">
      <c r="AX7934" s="7"/>
      <c r="AY7934" s="7"/>
    </row>
    <row r="7935" spans="50:51">
      <c r="AX7935" s="7"/>
      <c r="AY7935" s="7"/>
    </row>
    <row r="7936" spans="50:51">
      <c r="AX7936" s="7"/>
      <c r="AY7936" s="7"/>
    </row>
    <row r="7937" spans="50:51">
      <c r="AX7937" s="7"/>
      <c r="AY7937" s="7"/>
    </row>
    <row r="7938" spans="50:51">
      <c r="AX7938" s="7"/>
      <c r="AY7938" s="7"/>
    </row>
    <row r="7939" spans="50:51">
      <c r="AX7939" s="7"/>
      <c r="AY7939" s="7"/>
    </row>
    <row r="7940" spans="50:51">
      <c r="AX7940" s="7"/>
      <c r="AY7940" s="7"/>
    </row>
    <row r="7941" spans="50:51">
      <c r="AX7941" s="7"/>
      <c r="AY7941" s="7"/>
    </row>
    <row r="7942" spans="50:51">
      <c r="AX7942" s="7"/>
      <c r="AY7942" s="7"/>
    </row>
    <row r="7943" spans="50:51">
      <c r="AX7943" s="7"/>
      <c r="AY7943" s="7"/>
    </row>
    <row r="7944" spans="50:51">
      <c r="AX7944" s="7"/>
      <c r="AY7944" s="7"/>
    </row>
    <row r="7945" spans="50:51">
      <c r="AX7945" s="7"/>
      <c r="AY7945" s="7"/>
    </row>
    <row r="7946" spans="50:51">
      <c r="AX7946" s="7"/>
      <c r="AY7946" s="7"/>
    </row>
    <row r="7947" spans="50:51">
      <c r="AX7947" s="7"/>
      <c r="AY7947" s="7"/>
    </row>
    <row r="7948" spans="50:51">
      <c r="AX7948" s="7"/>
      <c r="AY7948" s="7"/>
    </row>
    <row r="7949" spans="50:51">
      <c r="AX7949" s="7"/>
      <c r="AY7949" s="7"/>
    </row>
    <row r="7950" spans="50:51">
      <c r="AX7950" s="7"/>
      <c r="AY7950" s="7"/>
    </row>
    <row r="7951" spans="50:51">
      <c r="AX7951" s="7"/>
      <c r="AY7951" s="7"/>
    </row>
    <row r="7952" spans="50:51">
      <c r="AX7952" s="7"/>
      <c r="AY7952" s="7"/>
    </row>
    <row r="7953" spans="50:51">
      <c r="AX7953" s="7"/>
      <c r="AY7953" s="7"/>
    </row>
    <row r="7954" spans="50:51">
      <c r="AX7954" s="7"/>
      <c r="AY7954" s="7"/>
    </row>
    <row r="7955" spans="50:51">
      <c r="AX7955" s="7"/>
      <c r="AY7955" s="7"/>
    </row>
    <row r="7956" spans="50:51">
      <c r="AX7956" s="7"/>
      <c r="AY7956" s="7"/>
    </row>
    <row r="7957" spans="50:51">
      <c r="AX7957" s="7"/>
      <c r="AY7957" s="7"/>
    </row>
    <row r="7958" spans="50:51">
      <c r="AX7958" s="7"/>
      <c r="AY7958" s="7"/>
    </row>
    <row r="7959" spans="50:51">
      <c r="AX7959" s="7"/>
      <c r="AY7959" s="7"/>
    </row>
    <row r="7960" spans="50:51">
      <c r="AX7960" s="7"/>
      <c r="AY7960" s="7"/>
    </row>
    <row r="7961" spans="50:51">
      <c r="AX7961" s="7"/>
      <c r="AY7961" s="7"/>
    </row>
    <row r="7962" spans="50:51">
      <c r="AX7962" s="7"/>
      <c r="AY7962" s="7"/>
    </row>
    <row r="7963" spans="50:51">
      <c r="AX7963" s="7"/>
      <c r="AY7963" s="7"/>
    </row>
    <row r="7964" spans="50:51">
      <c r="AX7964" s="7"/>
      <c r="AY7964" s="7"/>
    </row>
    <row r="7965" spans="50:51">
      <c r="AX7965" s="7"/>
      <c r="AY7965" s="7"/>
    </row>
    <row r="7966" spans="50:51">
      <c r="AX7966" s="7"/>
      <c r="AY7966" s="7"/>
    </row>
    <row r="7967" spans="50:51">
      <c r="AX7967" s="7"/>
      <c r="AY7967" s="7"/>
    </row>
    <row r="7968" spans="50:51">
      <c r="AX7968" s="7"/>
      <c r="AY7968" s="7"/>
    </row>
    <row r="7969" spans="50:51">
      <c r="AX7969" s="7"/>
      <c r="AY7969" s="7"/>
    </row>
    <row r="7970" spans="50:51">
      <c r="AX7970" s="7"/>
      <c r="AY7970" s="7"/>
    </row>
    <row r="7971" spans="50:51">
      <c r="AX7971" s="7"/>
      <c r="AY7971" s="7"/>
    </row>
    <row r="7972" spans="50:51">
      <c r="AX7972" s="7"/>
      <c r="AY7972" s="7"/>
    </row>
    <row r="7973" spans="50:51">
      <c r="AX7973" s="7"/>
      <c r="AY7973" s="7"/>
    </row>
    <row r="7974" spans="50:51">
      <c r="AX7974" s="7"/>
      <c r="AY7974" s="7"/>
    </row>
    <row r="7975" spans="50:51">
      <c r="AX7975" s="7"/>
      <c r="AY7975" s="7"/>
    </row>
    <row r="7976" spans="50:51">
      <c r="AX7976" s="7"/>
      <c r="AY7976" s="7"/>
    </row>
    <row r="7977" spans="50:51">
      <c r="AX7977" s="7"/>
      <c r="AY7977" s="7"/>
    </row>
    <row r="7978" spans="50:51">
      <c r="AX7978" s="7"/>
      <c r="AY7978" s="7"/>
    </row>
    <row r="7979" spans="50:51">
      <c r="AX7979" s="7"/>
      <c r="AY7979" s="7"/>
    </row>
    <row r="7980" spans="50:51">
      <c r="AX7980" s="7"/>
      <c r="AY7980" s="7"/>
    </row>
    <row r="7981" spans="50:51">
      <c r="AX7981" s="7"/>
      <c r="AY7981" s="7"/>
    </row>
    <row r="7982" spans="50:51">
      <c r="AX7982" s="7"/>
      <c r="AY7982" s="7"/>
    </row>
    <row r="7983" spans="50:51">
      <c r="AX7983" s="7"/>
      <c r="AY7983" s="7"/>
    </row>
    <row r="7984" spans="50:51">
      <c r="AX7984" s="7"/>
      <c r="AY7984" s="7"/>
    </row>
    <row r="7985" spans="50:51">
      <c r="AX7985" s="7"/>
      <c r="AY7985" s="7"/>
    </row>
    <row r="7986" spans="50:51">
      <c r="AX7986" s="7"/>
      <c r="AY7986" s="7"/>
    </row>
    <row r="7987" spans="50:51">
      <c r="AX7987" s="7"/>
      <c r="AY7987" s="7"/>
    </row>
    <row r="7988" spans="50:51">
      <c r="AX7988" s="7"/>
      <c r="AY7988" s="7"/>
    </row>
    <row r="7989" spans="50:51">
      <c r="AX7989" s="7"/>
      <c r="AY7989" s="7"/>
    </row>
    <row r="7990" spans="50:51">
      <c r="AX7990" s="7"/>
      <c r="AY7990" s="7"/>
    </row>
    <row r="7991" spans="50:51">
      <c r="AX7991" s="7"/>
      <c r="AY7991" s="7"/>
    </row>
    <row r="7992" spans="50:51">
      <c r="AX7992" s="7"/>
      <c r="AY7992" s="7"/>
    </row>
    <row r="7993" spans="50:51">
      <c r="AX7993" s="7"/>
      <c r="AY7993" s="7"/>
    </row>
    <row r="7994" spans="50:51">
      <c r="AX7994" s="7"/>
      <c r="AY7994" s="7"/>
    </row>
    <row r="7995" spans="50:51">
      <c r="AX7995" s="7"/>
      <c r="AY7995" s="7"/>
    </row>
    <row r="7996" spans="50:51">
      <c r="AX7996" s="7"/>
      <c r="AY7996" s="7"/>
    </row>
    <row r="7997" spans="50:51">
      <c r="AX7997" s="7"/>
      <c r="AY7997" s="7"/>
    </row>
    <row r="7998" spans="50:51">
      <c r="AX7998" s="7"/>
      <c r="AY7998" s="7"/>
    </row>
    <row r="7999" spans="50:51">
      <c r="AX7999" s="7"/>
      <c r="AY7999" s="7"/>
    </row>
    <row r="8000" spans="50:51">
      <c r="AX8000" s="7"/>
      <c r="AY8000" s="7"/>
    </row>
    <row r="8001" spans="50:51">
      <c r="AX8001" s="7"/>
      <c r="AY8001" s="7"/>
    </row>
    <row r="8002" spans="50:51">
      <c r="AX8002" s="7"/>
      <c r="AY8002" s="7"/>
    </row>
    <row r="8003" spans="50:51">
      <c r="AX8003" s="7"/>
      <c r="AY8003" s="7"/>
    </row>
    <row r="8004" spans="50:51">
      <c r="AX8004" s="7"/>
      <c r="AY8004" s="7"/>
    </row>
    <row r="8005" spans="50:51">
      <c r="AX8005" s="7"/>
      <c r="AY8005" s="7"/>
    </row>
    <row r="8006" spans="50:51">
      <c r="AX8006" s="7"/>
      <c r="AY8006" s="7"/>
    </row>
    <row r="8007" spans="50:51">
      <c r="AX8007" s="7"/>
      <c r="AY8007" s="7"/>
    </row>
    <row r="8008" spans="50:51">
      <c r="AX8008" s="7"/>
      <c r="AY8008" s="7"/>
    </row>
    <row r="8009" spans="50:51">
      <c r="AX8009" s="7"/>
      <c r="AY8009" s="7"/>
    </row>
    <row r="8010" spans="50:51">
      <c r="AX8010" s="7"/>
      <c r="AY8010" s="7"/>
    </row>
    <row r="8011" spans="50:51">
      <c r="AX8011" s="7"/>
      <c r="AY8011" s="7"/>
    </row>
    <row r="8012" spans="50:51">
      <c r="AX8012" s="7"/>
      <c r="AY8012" s="7"/>
    </row>
    <row r="8013" spans="50:51">
      <c r="AX8013" s="7"/>
      <c r="AY8013" s="7"/>
    </row>
    <row r="8014" spans="50:51">
      <c r="AX8014" s="7"/>
      <c r="AY8014" s="7"/>
    </row>
    <row r="8015" spans="50:51">
      <c r="AX8015" s="7"/>
      <c r="AY8015" s="7"/>
    </row>
    <row r="8016" spans="50:51">
      <c r="AX8016" s="7"/>
      <c r="AY8016" s="7"/>
    </row>
    <row r="8017" spans="50:51">
      <c r="AX8017" s="7"/>
      <c r="AY8017" s="7"/>
    </row>
    <row r="8018" spans="50:51">
      <c r="AX8018" s="7"/>
      <c r="AY8018" s="7"/>
    </row>
    <row r="8019" spans="50:51">
      <c r="AX8019" s="7"/>
      <c r="AY8019" s="7"/>
    </row>
    <row r="8020" spans="50:51">
      <c r="AX8020" s="7"/>
      <c r="AY8020" s="7"/>
    </row>
    <row r="8021" spans="50:51">
      <c r="AX8021" s="7"/>
      <c r="AY8021" s="7"/>
    </row>
    <row r="8022" spans="50:51">
      <c r="AX8022" s="7"/>
      <c r="AY8022" s="7"/>
    </row>
    <row r="8023" spans="50:51">
      <c r="AX8023" s="7"/>
      <c r="AY8023" s="7"/>
    </row>
    <row r="8024" spans="50:51">
      <c r="AX8024" s="7"/>
      <c r="AY8024" s="7"/>
    </row>
    <row r="8025" spans="50:51">
      <c r="AX8025" s="7"/>
      <c r="AY8025" s="7"/>
    </row>
    <row r="8026" spans="50:51">
      <c r="AX8026" s="7"/>
      <c r="AY8026" s="7"/>
    </row>
    <row r="8027" spans="50:51">
      <c r="AX8027" s="7"/>
      <c r="AY8027" s="7"/>
    </row>
    <row r="8028" spans="50:51">
      <c r="AX8028" s="7"/>
      <c r="AY8028" s="7"/>
    </row>
    <row r="8029" spans="50:51">
      <c r="AX8029" s="7"/>
      <c r="AY8029" s="7"/>
    </row>
    <row r="8030" spans="50:51">
      <c r="AX8030" s="7"/>
      <c r="AY8030" s="7"/>
    </row>
    <row r="8031" spans="50:51">
      <c r="AX8031" s="7"/>
      <c r="AY8031" s="7"/>
    </row>
    <row r="8032" spans="50:51">
      <c r="AX8032" s="7"/>
      <c r="AY8032" s="7"/>
    </row>
    <row r="8033" spans="50:51">
      <c r="AX8033" s="7"/>
      <c r="AY8033" s="7"/>
    </row>
    <row r="8034" spans="50:51">
      <c r="AX8034" s="7"/>
      <c r="AY8034" s="7"/>
    </row>
    <row r="8035" spans="50:51">
      <c r="AX8035" s="7"/>
      <c r="AY8035" s="7"/>
    </row>
    <row r="8036" spans="50:51">
      <c r="AX8036" s="7"/>
      <c r="AY8036" s="7"/>
    </row>
    <row r="8037" spans="50:51">
      <c r="AX8037" s="7"/>
      <c r="AY8037" s="7"/>
    </row>
    <row r="8038" spans="50:51">
      <c r="AX8038" s="7"/>
      <c r="AY8038" s="7"/>
    </row>
    <row r="8039" spans="50:51">
      <c r="AX8039" s="7"/>
      <c r="AY8039" s="7"/>
    </row>
    <row r="8040" spans="50:51">
      <c r="AX8040" s="7"/>
      <c r="AY8040" s="7"/>
    </row>
    <row r="8041" spans="50:51">
      <c r="AX8041" s="7"/>
      <c r="AY8041" s="7"/>
    </row>
    <row r="8042" spans="50:51">
      <c r="AX8042" s="7"/>
      <c r="AY8042" s="7"/>
    </row>
    <row r="8043" spans="50:51">
      <c r="AX8043" s="7"/>
      <c r="AY8043" s="7"/>
    </row>
    <row r="8044" spans="50:51">
      <c r="AX8044" s="7"/>
      <c r="AY8044" s="7"/>
    </row>
    <row r="8045" spans="50:51">
      <c r="AX8045" s="7"/>
      <c r="AY8045" s="7"/>
    </row>
    <row r="8046" spans="50:51">
      <c r="AX8046" s="7"/>
      <c r="AY8046" s="7"/>
    </row>
    <row r="8047" spans="50:51">
      <c r="AX8047" s="7"/>
      <c r="AY8047" s="7"/>
    </row>
    <row r="8048" spans="50:51">
      <c r="AX8048" s="7"/>
      <c r="AY8048" s="7"/>
    </row>
    <row r="8049" spans="50:51">
      <c r="AX8049" s="7"/>
      <c r="AY8049" s="7"/>
    </row>
    <row r="8050" spans="50:51">
      <c r="AX8050" s="7"/>
      <c r="AY8050" s="7"/>
    </row>
    <row r="8051" spans="50:51">
      <c r="AX8051" s="7"/>
      <c r="AY8051" s="7"/>
    </row>
    <row r="8052" spans="50:51">
      <c r="AX8052" s="7"/>
      <c r="AY8052" s="7"/>
    </row>
    <row r="8053" spans="50:51">
      <c r="AX8053" s="7"/>
      <c r="AY8053" s="7"/>
    </row>
    <row r="8054" spans="50:51">
      <c r="AX8054" s="7"/>
      <c r="AY8054" s="7"/>
    </row>
    <row r="8055" spans="50:51">
      <c r="AX8055" s="7"/>
      <c r="AY8055" s="7"/>
    </row>
    <row r="8056" spans="50:51">
      <c r="AX8056" s="7"/>
      <c r="AY8056" s="7"/>
    </row>
    <row r="8057" spans="50:51">
      <c r="AX8057" s="7"/>
      <c r="AY8057" s="7"/>
    </row>
    <row r="8058" spans="50:51">
      <c r="AX8058" s="7"/>
      <c r="AY8058" s="7"/>
    </row>
    <row r="8059" spans="50:51">
      <c r="AX8059" s="7"/>
      <c r="AY8059" s="7"/>
    </row>
    <row r="8060" spans="50:51">
      <c r="AX8060" s="7"/>
      <c r="AY8060" s="7"/>
    </row>
    <row r="8061" spans="50:51">
      <c r="AX8061" s="7"/>
      <c r="AY8061" s="7"/>
    </row>
    <row r="8062" spans="50:51">
      <c r="AX8062" s="7"/>
      <c r="AY8062" s="7"/>
    </row>
    <row r="8063" spans="50:51">
      <c r="AX8063" s="7"/>
      <c r="AY8063" s="7"/>
    </row>
    <row r="8064" spans="50:51">
      <c r="AX8064" s="7"/>
      <c r="AY8064" s="7"/>
    </row>
    <row r="8065" spans="50:51">
      <c r="AX8065" s="7"/>
      <c r="AY8065" s="7"/>
    </row>
    <row r="8066" spans="50:51">
      <c r="AX8066" s="7"/>
      <c r="AY8066" s="7"/>
    </row>
    <row r="8067" spans="50:51">
      <c r="AX8067" s="7"/>
      <c r="AY8067" s="7"/>
    </row>
    <row r="8068" spans="50:51">
      <c r="AX8068" s="7"/>
      <c r="AY8068" s="7"/>
    </row>
    <row r="8069" spans="50:51">
      <c r="AX8069" s="7"/>
      <c r="AY8069" s="7"/>
    </row>
    <row r="8070" spans="50:51">
      <c r="AX8070" s="7"/>
      <c r="AY8070" s="7"/>
    </row>
    <row r="8071" spans="50:51">
      <c r="AX8071" s="7"/>
      <c r="AY8071" s="7"/>
    </row>
    <row r="8072" spans="50:51">
      <c r="AX8072" s="7"/>
      <c r="AY8072" s="7"/>
    </row>
    <row r="8073" spans="50:51">
      <c r="AX8073" s="7"/>
      <c r="AY8073" s="7"/>
    </row>
    <row r="8074" spans="50:51">
      <c r="AX8074" s="7"/>
      <c r="AY8074" s="7"/>
    </row>
    <row r="8075" spans="50:51">
      <c r="AX8075" s="7"/>
      <c r="AY8075" s="7"/>
    </row>
    <row r="8076" spans="50:51">
      <c r="AX8076" s="7"/>
      <c r="AY8076" s="7"/>
    </row>
    <row r="8077" spans="50:51">
      <c r="AX8077" s="7"/>
      <c r="AY8077" s="7"/>
    </row>
    <row r="8078" spans="50:51">
      <c r="AX8078" s="7"/>
      <c r="AY8078" s="7"/>
    </row>
    <row r="8079" spans="50:51">
      <c r="AX8079" s="7"/>
      <c r="AY8079" s="7"/>
    </row>
    <row r="8080" spans="50:51">
      <c r="AX8080" s="7"/>
      <c r="AY8080" s="7"/>
    </row>
    <row r="8081" spans="50:51">
      <c r="AX8081" s="7"/>
      <c r="AY8081" s="7"/>
    </row>
    <row r="8082" spans="50:51">
      <c r="AX8082" s="7"/>
      <c r="AY8082" s="7"/>
    </row>
    <row r="8083" spans="50:51">
      <c r="AX8083" s="7"/>
      <c r="AY8083" s="7"/>
    </row>
    <row r="8084" spans="50:51">
      <c r="AX8084" s="7"/>
      <c r="AY8084" s="7"/>
    </row>
    <row r="8085" spans="50:51">
      <c r="AX8085" s="7"/>
      <c r="AY8085" s="7"/>
    </row>
    <row r="8086" spans="50:51">
      <c r="AX8086" s="7"/>
      <c r="AY8086" s="7"/>
    </row>
    <row r="8087" spans="50:51">
      <c r="AX8087" s="7"/>
      <c r="AY8087" s="7"/>
    </row>
    <row r="8088" spans="50:51">
      <c r="AX8088" s="7"/>
      <c r="AY8088" s="7"/>
    </row>
    <row r="8089" spans="50:51">
      <c r="AX8089" s="7"/>
      <c r="AY8089" s="7"/>
    </row>
    <row r="8090" spans="50:51">
      <c r="AX8090" s="7"/>
      <c r="AY8090" s="7"/>
    </row>
    <row r="8091" spans="50:51">
      <c r="AX8091" s="7"/>
      <c r="AY8091" s="7"/>
    </row>
    <row r="8092" spans="50:51">
      <c r="AX8092" s="7"/>
      <c r="AY8092" s="7"/>
    </row>
    <row r="8093" spans="50:51">
      <c r="AX8093" s="7"/>
      <c r="AY8093" s="7"/>
    </row>
    <row r="8094" spans="50:51">
      <c r="AX8094" s="7"/>
      <c r="AY8094" s="7"/>
    </row>
    <row r="8095" spans="50:51">
      <c r="AX8095" s="7"/>
      <c r="AY8095" s="7"/>
    </row>
    <row r="8096" spans="50:51">
      <c r="AX8096" s="7"/>
      <c r="AY8096" s="7"/>
    </row>
    <row r="8097" spans="50:51">
      <c r="AX8097" s="7"/>
      <c r="AY8097" s="7"/>
    </row>
    <row r="8098" spans="50:51">
      <c r="AX8098" s="7"/>
      <c r="AY8098" s="7"/>
    </row>
    <row r="8099" spans="50:51">
      <c r="AX8099" s="7"/>
      <c r="AY8099" s="7"/>
    </row>
    <row r="8100" spans="50:51">
      <c r="AX8100" s="7"/>
      <c r="AY8100" s="7"/>
    </row>
    <row r="8101" spans="50:51">
      <c r="AX8101" s="7"/>
      <c r="AY8101" s="7"/>
    </row>
    <row r="8102" spans="50:51">
      <c r="AX8102" s="7"/>
      <c r="AY8102" s="7"/>
    </row>
    <row r="8103" spans="50:51">
      <c r="AX8103" s="7"/>
      <c r="AY8103" s="7"/>
    </row>
    <row r="8104" spans="50:51">
      <c r="AX8104" s="7"/>
      <c r="AY8104" s="7"/>
    </row>
    <row r="8105" spans="50:51">
      <c r="AX8105" s="7"/>
      <c r="AY8105" s="7"/>
    </row>
    <row r="8106" spans="50:51">
      <c r="AX8106" s="7"/>
      <c r="AY8106" s="7"/>
    </row>
    <row r="8107" spans="50:51">
      <c r="AX8107" s="7"/>
      <c r="AY8107" s="7"/>
    </row>
    <row r="8108" spans="50:51">
      <c r="AX8108" s="7"/>
      <c r="AY8108" s="7"/>
    </row>
    <row r="8109" spans="50:51">
      <c r="AX8109" s="7"/>
      <c r="AY8109" s="7"/>
    </row>
    <row r="8110" spans="50:51">
      <c r="AX8110" s="7"/>
      <c r="AY8110" s="7"/>
    </row>
    <row r="8111" spans="50:51">
      <c r="AX8111" s="7"/>
      <c r="AY8111" s="7"/>
    </row>
    <row r="8112" spans="50:51">
      <c r="AX8112" s="7"/>
      <c r="AY8112" s="7"/>
    </row>
    <row r="8113" spans="50:51">
      <c r="AX8113" s="7"/>
      <c r="AY8113" s="7"/>
    </row>
    <row r="8114" spans="50:51">
      <c r="AX8114" s="7"/>
      <c r="AY8114" s="7"/>
    </row>
    <row r="8115" spans="50:51">
      <c r="AX8115" s="7"/>
      <c r="AY8115" s="7"/>
    </row>
    <row r="8116" spans="50:51">
      <c r="AX8116" s="7"/>
      <c r="AY8116" s="7"/>
    </row>
    <row r="8117" spans="50:51">
      <c r="AX8117" s="7"/>
      <c r="AY8117" s="7"/>
    </row>
    <row r="8118" spans="50:51">
      <c r="AX8118" s="7"/>
      <c r="AY8118" s="7"/>
    </row>
    <row r="8119" spans="50:51">
      <c r="AX8119" s="7"/>
      <c r="AY8119" s="7"/>
    </row>
    <row r="8120" spans="50:51">
      <c r="AX8120" s="7"/>
      <c r="AY8120" s="7"/>
    </row>
    <row r="8121" spans="50:51">
      <c r="AX8121" s="7"/>
      <c r="AY8121" s="7"/>
    </row>
    <row r="8122" spans="50:51">
      <c r="AX8122" s="7"/>
      <c r="AY8122" s="7"/>
    </row>
    <row r="8123" spans="50:51">
      <c r="AX8123" s="7"/>
      <c r="AY8123" s="7"/>
    </row>
    <row r="8124" spans="50:51">
      <c r="AX8124" s="7"/>
      <c r="AY8124" s="7"/>
    </row>
    <row r="8125" spans="50:51">
      <c r="AX8125" s="7"/>
      <c r="AY8125" s="7"/>
    </row>
    <row r="8126" spans="50:51">
      <c r="AX8126" s="7"/>
      <c r="AY8126" s="7"/>
    </row>
    <row r="8127" spans="50:51">
      <c r="AX8127" s="7"/>
      <c r="AY8127" s="7"/>
    </row>
    <row r="8128" spans="50:51">
      <c r="AX8128" s="7"/>
      <c r="AY8128" s="7"/>
    </row>
    <row r="8129" spans="50:51">
      <c r="AX8129" s="7"/>
      <c r="AY8129" s="7"/>
    </row>
    <row r="8130" spans="50:51">
      <c r="AX8130" s="7"/>
      <c r="AY8130" s="7"/>
    </row>
    <row r="8131" spans="50:51">
      <c r="AX8131" s="7"/>
      <c r="AY8131" s="7"/>
    </row>
    <row r="8132" spans="50:51">
      <c r="AX8132" s="7"/>
      <c r="AY8132" s="7"/>
    </row>
    <row r="8133" spans="50:51">
      <c r="AX8133" s="7"/>
      <c r="AY8133" s="7"/>
    </row>
    <row r="8134" spans="50:51">
      <c r="AX8134" s="7"/>
      <c r="AY8134" s="7"/>
    </row>
    <row r="8135" spans="50:51">
      <c r="AX8135" s="7"/>
      <c r="AY8135" s="7"/>
    </row>
    <row r="8136" spans="50:51">
      <c r="AX8136" s="7"/>
      <c r="AY8136" s="7"/>
    </row>
    <row r="8137" spans="50:51">
      <c r="AX8137" s="7"/>
      <c r="AY8137" s="7"/>
    </row>
    <row r="8138" spans="50:51">
      <c r="AX8138" s="7"/>
      <c r="AY8138" s="7"/>
    </row>
    <row r="8139" spans="50:51">
      <c r="AX8139" s="7"/>
      <c r="AY8139" s="7"/>
    </row>
    <row r="8140" spans="50:51">
      <c r="AX8140" s="7"/>
      <c r="AY8140" s="7"/>
    </row>
    <row r="8141" spans="50:51">
      <c r="AX8141" s="7"/>
      <c r="AY8141" s="7"/>
    </row>
    <row r="8142" spans="50:51">
      <c r="AX8142" s="7"/>
      <c r="AY8142" s="7"/>
    </row>
    <row r="8143" spans="50:51">
      <c r="AX8143" s="7"/>
      <c r="AY8143" s="7"/>
    </row>
    <row r="8144" spans="50:51">
      <c r="AX8144" s="7"/>
      <c r="AY8144" s="7"/>
    </row>
    <row r="8145" spans="50:51">
      <c r="AX8145" s="7"/>
      <c r="AY8145" s="7"/>
    </row>
    <row r="8146" spans="50:51">
      <c r="AX8146" s="7"/>
      <c r="AY8146" s="7"/>
    </row>
    <row r="8147" spans="50:51">
      <c r="AX8147" s="7"/>
      <c r="AY8147" s="7"/>
    </row>
    <row r="8148" spans="50:51">
      <c r="AX8148" s="7"/>
      <c r="AY8148" s="7"/>
    </row>
    <row r="8149" spans="50:51">
      <c r="AX8149" s="7"/>
      <c r="AY8149" s="7"/>
    </row>
    <row r="8150" spans="50:51">
      <c r="AX8150" s="7"/>
      <c r="AY8150" s="7"/>
    </row>
    <row r="8151" spans="50:51">
      <c r="AX8151" s="7"/>
      <c r="AY8151" s="7"/>
    </row>
    <row r="8152" spans="50:51">
      <c r="AX8152" s="7"/>
      <c r="AY8152" s="7"/>
    </row>
    <row r="8153" spans="50:51">
      <c r="AX8153" s="7"/>
      <c r="AY8153" s="7"/>
    </row>
    <row r="8154" spans="50:51">
      <c r="AX8154" s="7"/>
      <c r="AY8154" s="7"/>
    </row>
    <row r="8155" spans="50:51">
      <c r="AX8155" s="7"/>
      <c r="AY8155" s="7"/>
    </row>
    <row r="8156" spans="50:51">
      <c r="AX8156" s="7"/>
      <c r="AY8156" s="7"/>
    </row>
    <row r="8157" spans="50:51">
      <c r="AX8157" s="7"/>
      <c r="AY8157" s="7"/>
    </row>
    <row r="8158" spans="50:51">
      <c r="AX8158" s="7"/>
      <c r="AY8158" s="7"/>
    </row>
    <row r="8159" spans="50:51">
      <c r="AX8159" s="7"/>
      <c r="AY8159" s="7"/>
    </row>
    <row r="8160" spans="50:51">
      <c r="AX8160" s="7"/>
      <c r="AY8160" s="7"/>
    </row>
    <row r="8161" spans="50:51">
      <c r="AX8161" s="7"/>
      <c r="AY8161" s="7"/>
    </row>
    <row r="8162" spans="50:51">
      <c r="AX8162" s="7"/>
      <c r="AY8162" s="7"/>
    </row>
    <row r="8163" spans="50:51">
      <c r="AX8163" s="7"/>
      <c r="AY8163" s="7"/>
    </row>
    <row r="8164" spans="50:51">
      <c r="AX8164" s="7"/>
      <c r="AY8164" s="7"/>
    </row>
    <row r="8165" spans="50:51">
      <c r="AX8165" s="7"/>
      <c r="AY8165" s="7"/>
    </row>
    <row r="8166" spans="50:51">
      <c r="AX8166" s="7"/>
      <c r="AY8166" s="7"/>
    </row>
    <row r="8167" spans="50:51">
      <c r="AX8167" s="7"/>
      <c r="AY8167" s="7"/>
    </row>
    <row r="8168" spans="50:51">
      <c r="AX8168" s="7"/>
      <c r="AY8168" s="7"/>
    </row>
    <row r="8169" spans="50:51">
      <c r="AX8169" s="7"/>
      <c r="AY8169" s="7"/>
    </row>
    <row r="8170" spans="50:51">
      <c r="AX8170" s="7"/>
      <c r="AY8170" s="7"/>
    </row>
    <row r="8171" spans="50:51">
      <c r="AX8171" s="7"/>
      <c r="AY8171" s="7"/>
    </row>
    <row r="8172" spans="50:51">
      <c r="AX8172" s="7"/>
      <c r="AY8172" s="7"/>
    </row>
    <row r="8173" spans="50:51">
      <c r="AX8173" s="7"/>
      <c r="AY8173" s="7"/>
    </row>
    <row r="8174" spans="50:51">
      <c r="AX8174" s="7"/>
      <c r="AY8174" s="7"/>
    </row>
    <row r="8175" spans="50:51">
      <c r="AX8175" s="7"/>
      <c r="AY8175" s="7"/>
    </row>
    <row r="8176" spans="50:51">
      <c r="AX8176" s="7"/>
      <c r="AY8176" s="7"/>
    </row>
    <row r="8177" spans="50:51">
      <c r="AX8177" s="7"/>
      <c r="AY8177" s="7"/>
    </row>
    <row r="8178" spans="50:51">
      <c r="AX8178" s="7"/>
      <c r="AY8178" s="7"/>
    </row>
    <row r="8179" spans="50:51">
      <c r="AX8179" s="7"/>
      <c r="AY8179" s="7"/>
    </row>
    <row r="8180" spans="50:51">
      <c r="AX8180" s="7"/>
      <c r="AY8180" s="7"/>
    </row>
    <row r="8181" spans="50:51">
      <c r="AX8181" s="7"/>
      <c r="AY8181" s="7"/>
    </row>
    <row r="8182" spans="50:51">
      <c r="AX8182" s="7"/>
      <c r="AY8182" s="7"/>
    </row>
    <row r="8183" spans="50:51">
      <c r="AX8183" s="7"/>
      <c r="AY8183" s="7"/>
    </row>
    <row r="8184" spans="50:51">
      <c r="AX8184" s="7"/>
      <c r="AY8184" s="7"/>
    </row>
    <row r="8185" spans="50:51">
      <c r="AX8185" s="7"/>
      <c r="AY8185" s="7"/>
    </row>
    <row r="8186" spans="50:51">
      <c r="AX8186" s="7"/>
      <c r="AY8186" s="7"/>
    </row>
    <row r="8187" spans="50:51">
      <c r="AX8187" s="7"/>
      <c r="AY8187" s="7"/>
    </row>
    <row r="8188" spans="50:51">
      <c r="AX8188" s="7"/>
      <c r="AY8188" s="7"/>
    </row>
    <row r="8189" spans="50:51">
      <c r="AX8189" s="7"/>
      <c r="AY8189" s="7"/>
    </row>
    <row r="8190" spans="50:51">
      <c r="AX8190" s="7"/>
      <c r="AY8190" s="7"/>
    </row>
    <row r="8191" spans="50:51">
      <c r="AX8191" s="7"/>
      <c r="AY8191" s="7"/>
    </row>
    <row r="8192" spans="50:51">
      <c r="AX8192" s="7"/>
      <c r="AY8192" s="7"/>
    </row>
    <row r="8193" spans="50:51">
      <c r="AX8193" s="7"/>
      <c r="AY8193" s="7"/>
    </row>
    <row r="8194" spans="50:51">
      <c r="AX8194" s="7"/>
      <c r="AY8194" s="7"/>
    </row>
    <row r="8195" spans="50:51">
      <c r="AX8195" s="7"/>
      <c r="AY8195" s="7"/>
    </row>
    <row r="8196" spans="50:51">
      <c r="AX8196" s="7"/>
      <c r="AY8196" s="7"/>
    </row>
    <row r="8197" spans="50:51">
      <c r="AX8197" s="7"/>
      <c r="AY8197" s="7"/>
    </row>
    <row r="8198" spans="50:51">
      <c r="AX8198" s="7"/>
      <c r="AY8198" s="7"/>
    </row>
    <row r="8199" spans="50:51">
      <c r="AX8199" s="7"/>
      <c r="AY8199" s="7"/>
    </row>
    <row r="8200" spans="50:51">
      <c r="AX8200" s="7"/>
      <c r="AY8200" s="7"/>
    </row>
    <row r="8201" spans="50:51">
      <c r="AX8201" s="7"/>
      <c r="AY8201" s="7"/>
    </row>
    <row r="8202" spans="50:51">
      <c r="AX8202" s="7"/>
      <c r="AY8202" s="7"/>
    </row>
    <row r="8203" spans="50:51">
      <c r="AX8203" s="7"/>
      <c r="AY8203" s="7"/>
    </row>
    <row r="8204" spans="50:51">
      <c r="AX8204" s="7"/>
      <c r="AY8204" s="7"/>
    </row>
    <row r="8205" spans="50:51">
      <c r="AX8205" s="7"/>
      <c r="AY8205" s="7"/>
    </row>
    <row r="8206" spans="50:51">
      <c r="AX8206" s="7"/>
      <c r="AY8206" s="7"/>
    </row>
    <row r="8207" spans="50:51">
      <c r="AX8207" s="7"/>
      <c r="AY8207" s="7"/>
    </row>
    <row r="8208" spans="50:51">
      <c r="AX8208" s="7"/>
      <c r="AY8208" s="7"/>
    </row>
    <row r="8209" spans="50:51">
      <c r="AX8209" s="7"/>
      <c r="AY8209" s="7"/>
    </row>
    <row r="8210" spans="50:51">
      <c r="AX8210" s="7"/>
      <c r="AY8210" s="7"/>
    </row>
    <row r="8211" spans="50:51">
      <c r="AX8211" s="7"/>
      <c r="AY8211" s="7"/>
    </row>
    <row r="8212" spans="50:51">
      <c r="AX8212" s="7"/>
      <c r="AY8212" s="7"/>
    </row>
    <row r="8213" spans="50:51">
      <c r="AX8213" s="7"/>
      <c r="AY8213" s="7"/>
    </row>
    <row r="8214" spans="50:51">
      <c r="AX8214" s="7"/>
      <c r="AY8214" s="7"/>
    </row>
    <row r="8215" spans="50:51">
      <c r="AX8215" s="7"/>
      <c r="AY8215" s="7"/>
    </row>
    <row r="8216" spans="50:51">
      <c r="AX8216" s="7"/>
      <c r="AY8216" s="7"/>
    </row>
    <row r="8217" spans="50:51">
      <c r="AX8217" s="7"/>
      <c r="AY8217" s="7"/>
    </row>
    <row r="8218" spans="50:51">
      <c r="AX8218" s="7"/>
      <c r="AY8218" s="7"/>
    </row>
    <row r="8219" spans="50:51">
      <c r="AX8219" s="7"/>
      <c r="AY8219" s="7"/>
    </row>
    <row r="8220" spans="50:51">
      <c r="AX8220" s="7"/>
      <c r="AY8220" s="7"/>
    </row>
    <row r="8221" spans="50:51">
      <c r="AX8221" s="7"/>
      <c r="AY8221" s="7"/>
    </row>
    <row r="8222" spans="50:51">
      <c r="AX8222" s="7"/>
      <c r="AY8222" s="7"/>
    </row>
    <row r="8223" spans="50:51">
      <c r="AX8223" s="7"/>
      <c r="AY8223" s="7"/>
    </row>
    <row r="8224" spans="50:51">
      <c r="AX8224" s="7"/>
      <c r="AY8224" s="7"/>
    </row>
    <row r="8225" spans="50:51">
      <c r="AX8225" s="7"/>
      <c r="AY8225" s="7"/>
    </row>
    <row r="8226" spans="50:51">
      <c r="AX8226" s="7"/>
      <c r="AY8226" s="7"/>
    </row>
    <row r="8227" spans="50:51">
      <c r="AX8227" s="7"/>
      <c r="AY8227" s="7"/>
    </row>
    <row r="8228" spans="50:51">
      <c r="AX8228" s="7"/>
      <c r="AY8228" s="7"/>
    </row>
    <row r="8229" spans="50:51">
      <c r="AX8229" s="7"/>
      <c r="AY8229" s="7"/>
    </row>
    <row r="8230" spans="50:51">
      <c r="AX8230" s="7"/>
      <c r="AY8230" s="7"/>
    </row>
    <row r="8231" spans="50:51">
      <c r="AX8231" s="7"/>
      <c r="AY8231" s="7"/>
    </row>
    <row r="8232" spans="50:51">
      <c r="AX8232" s="7"/>
      <c r="AY8232" s="7"/>
    </row>
    <row r="8233" spans="50:51">
      <c r="AX8233" s="7"/>
      <c r="AY8233" s="7"/>
    </row>
    <row r="8234" spans="50:51">
      <c r="AX8234" s="7"/>
      <c r="AY8234" s="7"/>
    </row>
    <row r="8235" spans="50:51">
      <c r="AX8235" s="7"/>
      <c r="AY8235" s="7"/>
    </row>
    <row r="8236" spans="50:51">
      <c r="AX8236" s="7"/>
      <c r="AY8236" s="7"/>
    </row>
    <row r="8237" spans="50:51">
      <c r="AX8237" s="7"/>
      <c r="AY8237" s="7"/>
    </row>
    <row r="8238" spans="50:51">
      <c r="AX8238" s="7"/>
      <c r="AY8238" s="7"/>
    </row>
    <row r="8239" spans="50:51">
      <c r="AX8239" s="7"/>
      <c r="AY8239" s="7"/>
    </row>
    <row r="8240" spans="50:51">
      <c r="AX8240" s="7"/>
      <c r="AY8240" s="7"/>
    </row>
    <row r="8241" spans="50:51">
      <c r="AX8241" s="7"/>
      <c r="AY8241" s="7"/>
    </row>
    <row r="8242" spans="50:51">
      <c r="AX8242" s="7"/>
      <c r="AY8242" s="7"/>
    </row>
    <row r="8243" spans="50:51">
      <c r="AX8243" s="7"/>
      <c r="AY8243" s="7"/>
    </row>
    <row r="8244" spans="50:51">
      <c r="AX8244" s="7"/>
      <c r="AY8244" s="7"/>
    </row>
    <row r="8245" spans="50:51">
      <c r="AX8245" s="7"/>
      <c r="AY8245" s="7"/>
    </row>
    <row r="8246" spans="50:51">
      <c r="AX8246" s="7"/>
      <c r="AY8246" s="7"/>
    </row>
    <row r="8247" spans="50:51">
      <c r="AX8247" s="7"/>
      <c r="AY8247" s="7"/>
    </row>
    <row r="8248" spans="50:51">
      <c r="AX8248" s="7"/>
      <c r="AY8248" s="7"/>
    </row>
    <row r="8249" spans="50:51">
      <c r="AX8249" s="7"/>
      <c r="AY8249" s="7"/>
    </row>
    <row r="8250" spans="50:51">
      <c r="AX8250" s="7"/>
      <c r="AY8250" s="7"/>
    </row>
    <row r="8251" spans="50:51">
      <c r="AX8251" s="7"/>
      <c r="AY8251" s="7"/>
    </row>
    <row r="8252" spans="50:51">
      <c r="AX8252" s="7"/>
      <c r="AY8252" s="7"/>
    </row>
    <row r="8253" spans="50:51">
      <c r="AX8253" s="7"/>
      <c r="AY8253" s="7"/>
    </row>
    <row r="8254" spans="50:51">
      <c r="AX8254" s="7"/>
      <c r="AY8254" s="7"/>
    </row>
    <row r="8255" spans="50:51">
      <c r="AX8255" s="7"/>
      <c r="AY8255" s="7"/>
    </row>
    <row r="8256" spans="50:51">
      <c r="AX8256" s="7"/>
      <c r="AY8256" s="7"/>
    </row>
    <row r="8257" spans="50:51">
      <c r="AX8257" s="7"/>
      <c r="AY8257" s="7"/>
    </row>
    <row r="8258" spans="50:51">
      <c r="AX8258" s="7"/>
      <c r="AY8258" s="7"/>
    </row>
    <row r="8259" spans="50:51">
      <c r="AX8259" s="7"/>
      <c r="AY8259" s="7"/>
    </row>
    <row r="8260" spans="50:51">
      <c r="AX8260" s="7"/>
      <c r="AY8260" s="7"/>
    </row>
    <row r="8261" spans="50:51">
      <c r="AX8261" s="7"/>
      <c r="AY8261" s="7"/>
    </row>
    <row r="8262" spans="50:51">
      <c r="AX8262" s="7"/>
      <c r="AY8262" s="7"/>
    </row>
    <row r="8263" spans="50:51">
      <c r="AX8263" s="7"/>
      <c r="AY8263" s="7"/>
    </row>
    <row r="8264" spans="50:51">
      <c r="AX8264" s="7"/>
      <c r="AY8264" s="7"/>
    </row>
    <row r="8265" spans="50:51">
      <c r="AX8265" s="7"/>
      <c r="AY8265" s="7"/>
    </row>
    <row r="8266" spans="50:51">
      <c r="AX8266" s="7"/>
      <c r="AY8266" s="7"/>
    </row>
    <row r="8267" spans="50:51">
      <c r="AX8267" s="7"/>
      <c r="AY8267" s="7"/>
    </row>
    <row r="8268" spans="50:51">
      <c r="AX8268" s="7"/>
      <c r="AY8268" s="7"/>
    </row>
    <row r="8269" spans="50:51">
      <c r="AX8269" s="7"/>
      <c r="AY8269" s="7"/>
    </row>
    <row r="8270" spans="50:51">
      <c r="AX8270" s="7"/>
      <c r="AY8270" s="7"/>
    </row>
    <row r="8271" spans="50:51">
      <c r="AX8271" s="7"/>
      <c r="AY8271" s="7"/>
    </row>
    <row r="8272" spans="50:51">
      <c r="AX8272" s="7"/>
      <c r="AY8272" s="7"/>
    </row>
    <row r="8273" spans="50:51">
      <c r="AX8273" s="7"/>
      <c r="AY8273" s="7"/>
    </row>
    <row r="8274" spans="50:51">
      <c r="AX8274" s="7"/>
      <c r="AY8274" s="7"/>
    </row>
    <row r="8275" spans="50:51">
      <c r="AX8275" s="7"/>
      <c r="AY8275" s="7"/>
    </row>
    <row r="8276" spans="50:51">
      <c r="AX8276" s="7"/>
      <c r="AY8276" s="7"/>
    </row>
    <row r="8277" spans="50:51">
      <c r="AX8277" s="7"/>
      <c r="AY8277" s="7"/>
    </row>
    <row r="8278" spans="50:51">
      <c r="AX8278" s="7"/>
      <c r="AY8278" s="7"/>
    </row>
    <row r="8279" spans="50:51">
      <c r="AX8279" s="7"/>
      <c r="AY8279" s="7"/>
    </row>
    <row r="8280" spans="50:51">
      <c r="AX8280" s="7"/>
      <c r="AY8280" s="7"/>
    </row>
    <row r="8281" spans="50:51">
      <c r="AX8281" s="7"/>
      <c r="AY8281" s="7"/>
    </row>
    <row r="8282" spans="50:51">
      <c r="AX8282" s="7"/>
      <c r="AY8282" s="7"/>
    </row>
    <row r="8283" spans="50:51">
      <c r="AX8283" s="7"/>
      <c r="AY8283" s="7"/>
    </row>
    <row r="8284" spans="50:51">
      <c r="AX8284" s="7"/>
      <c r="AY8284" s="7"/>
    </row>
    <row r="8285" spans="50:51">
      <c r="AX8285" s="7"/>
      <c r="AY8285" s="7"/>
    </row>
    <row r="8286" spans="50:51">
      <c r="AX8286" s="7"/>
      <c r="AY8286" s="7"/>
    </row>
    <row r="8287" spans="50:51">
      <c r="AX8287" s="7"/>
      <c r="AY8287" s="7"/>
    </row>
    <row r="8288" spans="50:51">
      <c r="AX8288" s="7"/>
      <c r="AY8288" s="7"/>
    </row>
    <row r="8289" spans="50:51">
      <c r="AX8289" s="7"/>
      <c r="AY8289" s="7"/>
    </row>
    <row r="8290" spans="50:51">
      <c r="AX8290" s="7"/>
      <c r="AY8290" s="7"/>
    </row>
    <row r="8291" spans="50:51">
      <c r="AX8291" s="7"/>
      <c r="AY8291" s="7"/>
    </row>
    <row r="8292" spans="50:51">
      <c r="AX8292" s="7"/>
      <c r="AY8292" s="7"/>
    </row>
    <row r="8293" spans="50:51">
      <c r="AX8293" s="7"/>
      <c r="AY8293" s="7"/>
    </row>
    <row r="8294" spans="50:51">
      <c r="AX8294" s="7"/>
      <c r="AY8294" s="7"/>
    </row>
    <row r="8295" spans="50:51">
      <c r="AX8295" s="7"/>
      <c r="AY8295" s="7"/>
    </row>
    <row r="8296" spans="50:51">
      <c r="AX8296" s="7"/>
      <c r="AY8296" s="7"/>
    </row>
    <row r="8297" spans="50:51">
      <c r="AX8297" s="7"/>
      <c r="AY8297" s="7"/>
    </row>
    <row r="8298" spans="50:51">
      <c r="AX8298" s="7"/>
      <c r="AY8298" s="7"/>
    </row>
    <row r="8299" spans="50:51">
      <c r="AX8299" s="7"/>
      <c r="AY8299" s="7"/>
    </row>
    <row r="8300" spans="50:51">
      <c r="AX8300" s="7"/>
      <c r="AY8300" s="7"/>
    </row>
    <row r="8301" spans="50:51">
      <c r="AX8301" s="7"/>
      <c r="AY8301" s="7"/>
    </row>
    <row r="8302" spans="50:51">
      <c r="AX8302" s="7"/>
      <c r="AY8302" s="7"/>
    </row>
    <row r="8303" spans="50:51">
      <c r="AX8303" s="7"/>
      <c r="AY8303" s="7"/>
    </row>
    <row r="8304" spans="50:51">
      <c r="AX8304" s="7"/>
      <c r="AY8304" s="7"/>
    </row>
    <row r="8305" spans="50:51">
      <c r="AX8305" s="7"/>
      <c r="AY8305" s="7"/>
    </row>
    <row r="8306" spans="50:51">
      <c r="AX8306" s="7"/>
      <c r="AY8306" s="7"/>
    </row>
    <row r="8307" spans="50:51">
      <c r="AX8307" s="7"/>
      <c r="AY8307" s="7"/>
    </row>
    <row r="8308" spans="50:51">
      <c r="AX8308" s="7"/>
      <c r="AY8308" s="7"/>
    </row>
    <row r="8309" spans="50:51">
      <c r="AX8309" s="7"/>
      <c r="AY8309" s="7"/>
    </row>
    <row r="8310" spans="50:51">
      <c r="AX8310" s="7"/>
      <c r="AY8310" s="7"/>
    </row>
    <row r="8311" spans="50:51">
      <c r="AX8311" s="7"/>
      <c r="AY8311" s="7"/>
    </row>
    <row r="8312" spans="50:51">
      <c r="AX8312" s="7"/>
      <c r="AY8312" s="7"/>
    </row>
    <row r="8313" spans="50:51">
      <c r="AX8313" s="7"/>
      <c r="AY8313" s="7"/>
    </row>
    <row r="8314" spans="50:51">
      <c r="AX8314" s="7"/>
      <c r="AY8314" s="7"/>
    </row>
    <row r="8315" spans="50:51">
      <c r="AX8315" s="7"/>
      <c r="AY8315" s="7"/>
    </row>
    <row r="8316" spans="50:51">
      <c r="AX8316" s="7"/>
      <c r="AY8316" s="7"/>
    </row>
    <row r="8317" spans="50:51">
      <c r="AX8317" s="7"/>
      <c r="AY8317" s="7"/>
    </row>
    <row r="8318" spans="50:51">
      <c r="AX8318" s="7"/>
      <c r="AY8318" s="7"/>
    </row>
    <row r="8319" spans="50:51">
      <c r="AX8319" s="7"/>
      <c r="AY8319" s="7"/>
    </row>
    <row r="8320" spans="50:51">
      <c r="AX8320" s="7"/>
      <c r="AY8320" s="7"/>
    </row>
    <row r="8321" spans="50:51">
      <c r="AX8321" s="7"/>
      <c r="AY8321" s="7"/>
    </row>
    <row r="8322" spans="50:51">
      <c r="AX8322" s="7"/>
      <c r="AY8322" s="7"/>
    </row>
    <row r="8323" spans="50:51">
      <c r="AX8323" s="7"/>
      <c r="AY8323" s="7"/>
    </row>
    <row r="8324" spans="50:51">
      <c r="AX8324" s="7"/>
      <c r="AY8324" s="7"/>
    </row>
    <row r="8325" spans="50:51">
      <c r="AX8325" s="7"/>
      <c r="AY8325" s="7"/>
    </row>
    <row r="8326" spans="50:51">
      <c r="AX8326" s="7"/>
      <c r="AY8326" s="7"/>
    </row>
    <row r="8327" spans="50:51">
      <c r="AX8327" s="7"/>
      <c r="AY8327" s="7"/>
    </row>
    <row r="8328" spans="50:51">
      <c r="AX8328" s="7"/>
      <c r="AY8328" s="7"/>
    </row>
    <row r="8329" spans="50:51">
      <c r="AX8329" s="7"/>
      <c r="AY8329" s="7"/>
    </row>
    <row r="8330" spans="50:51">
      <c r="AX8330" s="7"/>
      <c r="AY8330" s="7"/>
    </row>
    <row r="8331" spans="50:51">
      <c r="AX8331" s="7"/>
      <c r="AY8331" s="7"/>
    </row>
    <row r="8332" spans="50:51">
      <c r="AX8332" s="7"/>
      <c r="AY8332" s="7"/>
    </row>
    <row r="8333" spans="50:51">
      <c r="AX8333" s="7"/>
      <c r="AY8333" s="7"/>
    </row>
    <row r="8334" spans="50:51">
      <c r="AX8334" s="7"/>
      <c r="AY8334" s="7"/>
    </row>
    <row r="8335" spans="50:51">
      <c r="AX8335" s="7"/>
      <c r="AY8335" s="7"/>
    </row>
    <row r="8336" spans="50:51">
      <c r="AX8336" s="7"/>
      <c r="AY8336" s="7"/>
    </row>
    <row r="8337" spans="50:51">
      <c r="AX8337" s="7"/>
      <c r="AY8337" s="7"/>
    </row>
    <row r="8338" spans="50:51">
      <c r="AX8338" s="7"/>
      <c r="AY8338" s="7"/>
    </row>
    <row r="8339" spans="50:51">
      <c r="AX8339" s="7"/>
      <c r="AY8339" s="7"/>
    </row>
    <row r="8340" spans="50:51">
      <c r="AX8340" s="7"/>
      <c r="AY8340" s="7"/>
    </row>
    <row r="8341" spans="50:51">
      <c r="AX8341" s="7"/>
      <c r="AY8341" s="7"/>
    </row>
    <row r="8342" spans="50:51">
      <c r="AX8342" s="7"/>
      <c r="AY8342" s="7"/>
    </row>
    <row r="8343" spans="50:51">
      <c r="AX8343" s="7"/>
      <c r="AY8343" s="7"/>
    </row>
    <row r="8344" spans="50:51">
      <c r="AX8344" s="7"/>
      <c r="AY8344" s="7"/>
    </row>
    <row r="8345" spans="50:51">
      <c r="AX8345" s="7"/>
      <c r="AY8345" s="7"/>
    </row>
    <row r="8346" spans="50:51">
      <c r="AX8346" s="7"/>
      <c r="AY8346" s="7"/>
    </row>
    <row r="8347" spans="50:51">
      <c r="AX8347" s="7"/>
      <c r="AY8347" s="7"/>
    </row>
    <row r="8348" spans="50:51">
      <c r="AX8348" s="7"/>
      <c r="AY8348" s="7"/>
    </row>
    <row r="8349" spans="50:51">
      <c r="AX8349" s="7"/>
      <c r="AY8349" s="7"/>
    </row>
    <row r="8350" spans="50:51">
      <c r="AX8350" s="7"/>
      <c r="AY8350" s="7"/>
    </row>
    <row r="8351" spans="50:51">
      <c r="AX8351" s="7"/>
      <c r="AY8351" s="7"/>
    </row>
    <row r="8352" spans="50:51">
      <c r="AX8352" s="7"/>
      <c r="AY8352" s="7"/>
    </row>
    <row r="8353" spans="50:51">
      <c r="AX8353" s="7"/>
      <c r="AY8353" s="7"/>
    </row>
    <row r="8354" spans="50:51">
      <c r="AX8354" s="7"/>
      <c r="AY8354" s="7"/>
    </row>
    <row r="8355" spans="50:51">
      <c r="AX8355" s="7"/>
      <c r="AY8355" s="7"/>
    </row>
    <row r="8356" spans="50:51">
      <c r="AX8356" s="7"/>
      <c r="AY8356" s="7"/>
    </row>
    <row r="8357" spans="50:51">
      <c r="AX8357" s="7"/>
      <c r="AY8357" s="7"/>
    </row>
    <row r="8358" spans="50:51">
      <c r="AX8358" s="7"/>
      <c r="AY8358" s="7"/>
    </row>
    <row r="8359" spans="50:51">
      <c r="AX8359" s="7"/>
      <c r="AY8359" s="7"/>
    </row>
    <row r="8360" spans="50:51">
      <c r="AX8360" s="7"/>
      <c r="AY8360" s="7"/>
    </row>
    <row r="8361" spans="50:51">
      <c r="AX8361" s="7"/>
      <c r="AY8361" s="7"/>
    </row>
    <row r="8362" spans="50:51">
      <c r="AX8362" s="7"/>
      <c r="AY8362" s="7"/>
    </row>
    <row r="8363" spans="50:51">
      <c r="AX8363" s="7"/>
      <c r="AY8363" s="7"/>
    </row>
    <row r="8364" spans="50:51">
      <c r="AX8364" s="7"/>
      <c r="AY8364" s="7"/>
    </row>
    <row r="8365" spans="50:51">
      <c r="AX8365" s="7"/>
      <c r="AY8365" s="7"/>
    </row>
    <row r="8366" spans="50:51">
      <c r="AX8366" s="7"/>
      <c r="AY8366" s="7"/>
    </row>
    <row r="8367" spans="50:51">
      <c r="AX8367" s="7"/>
      <c r="AY8367" s="7"/>
    </row>
    <row r="8368" spans="50:51">
      <c r="AX8368" s="7"/>
      <c r="AY8368" s="7"/>
    </row>
    <row r="8369" spans="50:51">
      <c r="AX8369" s="7"/>
      <c r="AY8369" s="7"/>
    </row>
    <row r="8370" spans="50:51">
      <c r="AX8370" s="7"/>
      <c r="AY8370" s="7"/>
    </row>
    <row r="8371" spans="50:51">
      <c r="AX8371" s="7"/>
      <c r="AY8371" s="7"/>
    </row>
    <row r="8372" spans="50:51">
      <c r="AX8372" s="7"/>
      <c r="AY8372" s="7"/>
    </row>
    <row r="8373" spans="50:51">
      <c r="AX8373" s="7"/>
      <c r="AY8373" s="7"/>
    </row>
    <row r="8374" spans="50:51">
      <c r="AX8374" s="7"/>
      <c r="AY8374" s="7"/>
    </row>
    <row r="8375" spans="50:51">
      <c r="AX8375" s="7"/>
      <c r="AY8375" s="7"/>
    </row>
    <row r="8376" spans="50:51">
      <c r="AX8376" s="7"/>
      <c r="AY8376" s="7"/>
    </row>
    <row r="8377" spans="50:51">
      <c r="AX8377" s="7"/>
      <c r="AY8377" s="7"/>
    </row>
    <row r="8378" spans="50:51">
      <c r="AX8378" s="7"/>
      <c r="AY8378" s="7"/>
    </row>
    <row r="8379" spans="50:51">
      <c r="AX8379" s="7"/>
      <c r="AY8379" s="7"/>
    </row>
    <row r="8380" spans="50:51">
      <c r="AX8380" s="7"/>
      <c r="AY8380" s="7"/>
    </row>
    <row r="8381" spans="50:51">
      <c r="AX8381" s="7"/>
      <c r="AY8381" s="7"/>
    </row>
    <row r="8382" spans="50:51">
      <c r="AX8382" s="7"/>
      <c r="AY8382" s="7"/>
    </row>
    <row r="8383" spans="50:51">
      <c r="AX8383" s="7"/>
      <c r="AY8383" s="7"/>
    </row>
    <row r="8384" spans="50:51">
      <c r="AX8384" s="7"/>
      <c r="AY8384" s="7"/>
    </row>
    <row r="8385" spans="50:51">
      <c r="AX8385" s="7"/>
      <c r="AY8385" s="7"/>
    </row>
    <row r="8386" spans="50:51">
      <c r="AX8386" s="7"/>
      <c r="AY8386" s="7"/>
    </row>
    <row r="8387" spans="50:51">
      <c r="AX8387" s="7"/>
      <c r="AY8387" s="7"/>
    </row>
    <row r="8388" spans="50:51">
      <c r="AX8388" s="7"/>
      <c r="AY8388" s="7"/>
    </row>
    <row r="8389" spans="50:51">
      <c r="AX8389" s="7"/>
      <c r="AY8389" s="7"/>
    </row>
    <row r="8390" spans="50:51">
      <c r="AX8390" s="7"/>
      <c r="AY8390" s="7"/>
    </row>
    <row r="8391" spans="50:51">
      <c r="AX8391" s="7"/>
      <c r="AY8391" s="7"/>
    </row>
    <row r="8392" spans="50:51">
      <c r="AX8392" s="7"/>
      <c r="AY8392" s="7"/>
    </row>
    <row r="8393" spans="50:51">
      <c r="AX8393" s="7"/>
      <c r="AY8393" s="7"/>
    </row>
    <row r="8394" spans="50:51">
      <c r="AX8394" s="7"/>
      <c r="AY8394" s="7"/>
    </row>
    <row r="8395" spans="50:51">
      <c r="AX8395" s="7"/>
      <c r="AY8395" s="7"/>
    </row>
    <row r="8396" spans="50:51">
      <c r="AX8396" s="7"/>
      <c r="AY8396" s="7"/>
    </row>
    <row r="8397" spans="50:51">
      <c r="AX8397" s="7"/>
      <c r="AY8397" s="7"/>
    </row>
    <row r="8398" spans="50:51">
      <c r="AX8398" s="7"/>
      <c r="AY8398" s="7"/>
    </row>
    <row r="8399" spans="50:51">
      <c r="AX8399" s="7"/>
      <c r="AY8399" s="7"/>
    </row>
    <row r="8400" spans="50:51">
      <c r="AX8400" s="7"/>
      <c r="AY8400" s="7"/>
    </row>
    <row r="8401" spans="50:51">
      <c r="AX8401" s="7"/>
      <c r="AY8401" s="7"/>
    </row>
    <row r="8402" spans="50:51">
      <c r="AX8402" s="7"/>
      <c r="AY8402" s="7"/>
    </row>
    <row r="8403" spans="50:51">
      <c r="AX8403" s="7"/>
      <c r="AY8403" s="7"/>
    </row>
    <row r="8404" spans="50:51">
      <c r="AX8404" s="7"/>
      <c r="AY8404" s="7"/>
    </row>
    <row r="8405" spans="50:51">
      <c r="AX8405" s="7"/>
      <c r="AY8405" s="7"/>
    </row>
    <row r="8406" spans="50:51">
      <c r="AX8406" s="7"/>
      <c r="AY8406" s="7"/>
    </row>
    <row r="8407" spans="50:51">
      <c r="AX8407" s="7"/>
      <c r="AY8407" s="7"/>
    </row>
    <row r="8408" spans="50:51">
      <c r="AX8408" s="7"/>
      <c r="AY8408" s="7"/>
    </row>
    <row r="8409" spans="50:51">
      <c r="AX8409" s="7"/>
      <c r="AY8409" s="7"/>
    </row>
    <row r="8410" spans="50:51">
      <c r="AX8410" s="7"/>
      <c r="AY8410" s="7"/>
    </row>
    <row r="8411" spans="50:51">
      <c r="AX8411" s="7"/>
      <c r="AY8411" s="7"/>
    </row>
    <row r="8412" spans="50:51">
      <c r="AX8412" s="7"/>
      <c r="AY8412" s="7"/>
    </row>
    <row r="8413" spans="50:51">
      <c r="AX8413" s="7"/>
      <c r="AY8413" s="7"/>
    </row>
    <row r="8414" spans="50:51">
      <c r="AX8414" s="7"/>
      <c r="AY8414" s="7"/>
    </row>
    <row r="8415" spans="50:51">
      <c r="AX8415" s="7"/>
      <c r="AY8415" s="7"/>
    </row>
    <row r="8416" spans="50:51">
      <c r="AX8416" s="7"/>
      <c r="AY8416" s="7"/>
    </row>
    <row r="8417" spans="50:51">
      <c r="AX8417" s="7"/>
      <c r="AY8417" s="7"/>
    </row>
    <row r="8418" spans="50:51">
      <c r="AX8418" s="7"/>
      <c r="AY8418" s="7"/>
    </row>
    <row r="8419" spans="50:51">
      <c r="AX8419" s="7"/>
      <c r="AY8419" s="7"/>
    </row>
    <row r="8420" spans="50:51">
      <c r="AX8420" s="7"/>
      <c r="AY8420" s="7"/>
    </row>
    <row r="8421" spans="50:51">
      <c r="AX8421" s="7"/>
      <c r="AY8421" s="7"/>
    </row>
    <row r="8422" spans="50:51">
      <c r="AX8422" s="7"/>
      <c r="AY8422" s="7"/>
    </row>
    <row r="8423" spans="50:51">
      <c r="AX8423" s="7"/>
      <c r="AY8423" s="7"/>
    </row>
    <row r="8424" spans="50:51">
      <c r="AX8424" s="7"/>
      <c r="AY8424" s="7"/>
    </row>
    <row r="8425" spans="50:51">
      <c r="AX8425" s="7"/>
      <c r="AY8425" s="7"/>
    </row>
    <row r="8426" spans="50:51">
      <c r="AX8426" s="7"/>
      <c r="AY8426" s="7"/>
    </row>
    <row r="8427" spans="50:51">
      <c r="AX8427" s="7"/>
      <c r="AY8427" s="7"/>
    </row>
    <row r="8428" spans="50:51">
      <c r="AX8428" s="7"/>
      <c r="AY8428" s="7"/>
    </row>
    <row r="8429" spans="50:51">
      <c r="AX8429" s="7"/>
      <c r="AY8429" s="7"/>
    </row>
    <row r="8430" spans="50:51">
      <c r="AX8430" s="7"/>
      <c r="AY8430" s="7"/>
    </row>
    <row r="8431" spans="50:51">
      <c r="AX8431" s="7"/>
      <c r="AY8431" s="7"/>
    </row>
    <row r="8432" spans="50:51">
      <c r="AX8432" s="7"/>
      <c r="AY8432" s="7"/>
    </row>
    <row r="8433" spans="50:51">
      <c r="AX8433" s="7"/>
      <c r="AY8433" s="7"/>
    </row>
    <row r="8434" spans="50:51">
      <c r="AX8434" s="7"/>
      <c r="AY8434" s="7"/>
    </row>
    <row r="8435" spans="50:51">
      <c r="AX8435" s="7"/>
      <c r="AY8435" s="7"/>
    </row>
    <row r="8436" spans="50:51">
      <c r="AX8436" s="7"/>
      <c r="AY8436" s="7"/>
    </row>
    <row r="8437" spans="50:51">
      <c r="AX8437" s="7"/>
      <c r="AY8437" s="7"/>
    </row>
    <row r="8438" spans="50:51">
      <c r="AX8438" s="7"/>
      <c r="AY8438" s="7"/>
    </row>
    <row r="8439" spans="50:51">
      <c r="AX8439" s="7"/>
      <c r="AY8439" s="7"/>
    </row>
    <row r="8440" spans="50:51">
      <c r="AX8440" s="7"/>
      <c r="AY8440" s="7"/>
    </row>
    <row r="8441" spans="50:51">
      <c r="AX8441" s="7"/>
      <c r="AY8441" s="7"/>
    </row>
    <row r="8442" spans="50:51">
      <c r="AX8442" s="7"/>
      <c r="AY8442" s="7"/>
    </row>
    <row r="8443" spans="50:51">
      <c r="AX8443" s="7"/>
      <c r="AY8443" s="7"/>
    </row>
    <row r="8444" spans="50:51">
      <c r="AX8444" s="7"/>
      <c r="AY8444" s="7"/>
    </row>
    <row r="8445" spans="50:51">
      <c r="AX8445" s="7"/>
      <c r="AY8445" s="7"/>
    </row>
    <row r="8446" spans="50:51">
      <c r="AX8446" s="7"/>
      <c r="AY8446" s="7"/>
    </row>
    <row r="8447" spans="50:51">
      <c r="AX8447" s="7"/>
      <c r="AY8447" s="7"/>
    </row>
    <row r="8448" spans="50:51">
      <c r="AX8448" s="7"/>
      <c r="AY8448" s="7"/>
    </row>
    <row r="8449" spans="50:51">
      <c r="AX8449" s="7"/>
      <c r="AY8449" s="7"/>
    </row>
    <row r="8450" spans="50:51">
      <c r="AX8450" s="7"/>
      <c r="AY8450" s="7"/>
    </row>
    <row r="8451" spans="50:51">
      <c r="AX8451" s="7"/>
      <c r="AY8451" s="7"/>
    </row>
    <row r="8452" spans="50:51">
      <c r="AX8452" s="7"/>
      <c r="AY8452" s="7"/>
    </row>
    <row r="8453" spans="50:51">
      <c r="AX8453" s="7"/>
      <c r="AY8453" s="7"/>
    </row>
    <row r="8454" spans="50:51">
      <c r="AX8454" s="7"/>
      <c r="AY8454" s="7"/>
    </row>
    <row r="8455" spans="50:51">
      <c r="AX8455" s="7"/>
      <c r="AY8455" s="7"/>
    </row>
    <row r="8456" spans="50:51">
      <c r="AX8456" s="7"/>
      <c r="AY8456" s="7"/>
    </row>
    <row r="8457" spans="50:51">
      <c r="AX8457" s="7"/>
      <c r="AY8457" s="7"/>
    </row>
    <row r="8458" spans="50:51">
      <c r="AX8458" s="7"/>
      <c r="AY8458" s="7"/>
    </row>
    <row r="8459" spans="50:51">
      <c r="AX8459" s="7"/>
      <c r="AY8459" s="7"/>
    </row>
    <row r="8460" spans="50:51">
      <c r="AX8460" s="7"/>
      <c r="AY8460" s="7"/>
    </row>
    <row r="8461" spans="50:51">
      <c r="AX8461" s="7"/>
      <c r="AY8461" s="7"/>
    </row>
    <row r="8462" spans="50:51">
      <c r="AX8462" s="7"/>
      <c r="AY8462" s="7"/>
    </row>
    <row r="8463" spans="50:51">
      <c r="AX8463" s="7"/>
      <c r="AY8463" s="7"/>
    </row>
    <row r="8464" spans="50:51">
      <c r="AX8464" s="7"/>
      <c r="AY8464" s="7"/>
    </row>
    <row r="8465" spans="50:51">
      <c r="AX8465" s="7"/>
      <c r="AY8465" s="7"/>
    </row>
    <row r="8466" spans="50:51">
      <c r="AX8466" s="7"/>
      <c r="AY8466" s="7"/>
    </row>
    <row r="8467" spans="50:51">
      <c r="AX8467" s="7"/>
      <c r="AY8467" s="7"/>
    </row>
    <row r="8468" spans="50:51">
      <c r="AX8468" s="7"/>
      <c r="AY8468" s="7"/>
    </row>
    <row r="8469" spans="50:51">
      <c r="AX8469" s="7"/>
      <c r="AY8469" s="7"/>
    </row>
    <row r="8470" spans="50:51">
      <c r="AX8470" s="7"/>
      <c r="AY8470" s="7"/>
    </row>
    <row r="8471" spans="50:51">
      <c r="AX8471" s="7"/>
      <c r="AY8471" s="7"/>
    </row>
    <row r="8472" spans="50:51">
      <c r="AX8472" s="7"/>
      <c r="AY8472" s="7"/>
    </row>
    <row r="8473" spans="50:51">
      <c r="AX8473" s="7"/>
      <c r="AY8473" s="7"/>
    </row>
    <row r="8474" spans="50:51">
      <c r="AX8474" s="7"/>
      <c r="AY8474" s="7"/>
    </row>
    <row r="8475" spans="50:51">
      <c r="AX8475" s="7"/>
      <c r="AY8475" s="7"/>
    </row>
    <row r="8476" spans="50:51">
      <c r="AX8476" s="7"/>
      <c r="AY8476" s="7"/>
    </row>
    <row r="8477" spans="50:51">
      <c r="AX8477" s="7"/>
      <c r="AY8477" s="7"/>
    </row>
    <row r="8478" spans="50:51">
      <c r="AX8478" s="7"/>
      <c r="AY8478" s="7"/>
    </row>
    <row r="8479" spans="50:51">
      <c r="AX8479" s="7"/>
      <c r="AY8479" s="7"/>
    </row>
    <row r="8480" spans="50:51">
      <c r="AX8480" s="7"/>
      <c r="AY8480" s="7"/>
    </row>
    <row r="8481" spans="50:51">
      <c r="AX8481" s="7"/>
      <c r="AY8481" s="7"/>
    </row>
    <row r="8482" spans="50:51">
      <c r="AX8482" s="7"/>
      <c r="AY8482" s="7"/>
    </row>
    <row r="8483" spans="50:51">
      <c r="AX8483" s="7"/>
      <c r="AY8483" s="7"/>
    </row>
    <row r="8484" spans="50:51">
      <c r="AX8484" s="7"/>
      <c r="AY8484" s="7"/>
    </row>
    <row r="8485" spans="50:51">
      <c r="AX8485" s="7"/>
      <c r="AY8485" s="7"/>
    </row>
    <row r="8486" spans="50:51">
      <c r="AX8486" s="7"/>
      <c r="AY8486" s="7"/>
    </row>
    <row r="8487" spans="50:51">
      <c r="AX8487" s="7"/>
      <c r="AY8487" s="7"/>
    </row>
    <row r="8488" spans="50:51">
      <c r="AX8488" s="7"/>
      <c r="AY8488" s="7"/>
    </row>
    <row r="8489" spans="50:51">
      <c r="AX8489" s="7"/>
      <c r="AY8489" s="7"/>
    </row>
    <row r="8490" spans="50:51">
      <c r="AX8490" s="7"/>
      <c r="AY8490" s="7"/>
    </row>
    <row r="8491" spans="50:51">
      <c r="AX8491" s="7"/>
      <c r="AY8491" s="7"/>
    </row>
    <row r="8492" spans="50:51">
      <c r="AX8492" s="7"/>
      <c r="AY8492" s="7"/>
    </row>
    <row r="8493" spans="50:51">
      <c r="AX8493" s="7"/>
      <c r="AY8493" s="7"/>
    </row>
    <row r="8494" spans="50:51">
      <c r="AX8494" s="7"/>
      <c r="AY8494" s="7"/>
    </row>
    <row r="8495" spans="50:51">
      <c r="AX8495" s="7"/>
      <c r="AY8495" s="7"/>
    </row>
    <row r="8496" spans="50:51">
      <c r="AX8496" s="7"/>
      <c r="AY8496" s="7"/>
    </row>
    <row r="8497" spans="50:51">
      <c r="AX8497" s="7"/>
      <c r="AY8497" s="7"/>
    </row>
    <row r="8498" spans="50:51">
      <c r="AX8498" s="7"/>
      <c r="AY8498" s="7"/>
    </row>
    <row r="8499" spans="50:51">
      <c r="AX8499" s="7"/>
      <c r="AY8499" s="7"/>
    </row>
    <row r="8500" spans="50:51">
      <c r="AX8500" s="7"/>
      <c r="AY8500" s="7"/>
    </row>
    <row r="8501" spans="50:51">
      <c r="AX8501" s="7"/>
      <c r="AY8501" s="7"/>
    </row>
    <row r="8502" spans="50:51">
      <c r="AX8502" s="7"/>
      <c r="AY8502" s="7"/>
    </row>
    <row r="8503" spans="50:51">
      <c r="AX8503" s="7"/>
      <c r="AY8503" s="7"/>
    </row>
    <row r="8504" spans="50:51">
      <c r="AX8504" s="7"/>
      <c r="AY8504" s="7"/>
    </row>
    <row r="8505" spans="50:51">
      <c r="AX8505" s="7"/>
      <c r="AY8505" s="7"/>
    </row>
    <row r="8506" spans="50:51">
      <c r="AX8506" s="7"/>
      <c r="AY8506" s="7"/>
    </row>
    <row r="8507" spans="50:51">
      <c r="AX8507" s="7"/>
      <c r="AY8507" s="7"/>
    </row>
    <row r="8508" spans="50:51">
      <c r="AX8508" s="7"/>
      <c r="AY8508" s="7"/>
    </row>
    <row r="8509" spans="50:51">
      <c r="AX8509" s="7"/>
      <c r="AY8509" s="7"/>
    </row>
    <row r="8510" spans="50:51">
      <c r="AX8510" s="7"/>
      <c r="AY8510" s="7"/>
    </row>
    <row r="8511" spans="50:51">
      <c r="AX8511" s="7"/>
      <c r="AY8511" s="7"/>
    </row>
    <row r="8512" spans="50:51">
      <c r="AX8512" s="7"/>
      <c r="AY8512" s="7"/>
    </row>
    <row r="8513" spans="50:51">
      <c r="AX8513" s="7"/>
      <c r="AY8513" s="7"/>
    </row>
    <row r="8514" spans="50:51">
      <c r="AX8514" s="7"/>
      <c r="AY8514" s="7"/>
    </row>
    <row r="8515" spans="50:51">
      <c r="AX8515" s="7"/>
      <c r="AY8515" s="7"/>
    </row>
    <row r="8516" spans="50:51">
      <c r="AX8516" s="7"/>
      <c r="AY8516" s="7"/>
    </row>
    <row r="8517" spans="50:51">
      <c r="AX8517" s="7"/>
      <c r="AY8517" s="7"/>
    </row>
    <row r="8518" spans="50:51">
      <c r="AX8518" s="7"/>
      <c r="AY8518" s="7"/>
    </row>
    <row r="8519" spans="50:51">
      <c r="AX8519" s="7"/>
      <c r="AY8519" s="7"/>
    </row>
    <row r="8520" spans="50:51">
      <c r="AX8520" s="7"/>
      <c r="AY8520" s="7"/>
    </row>
    <row r="8521" spans="50:51">
      <c r="AX8521" s="7"/>
      <c r="AY8521" s="7"/>
    </row>
    <row r="8522" spans="50:51">
      <c r="AX8522" s="7"/>
      <c r="AY8522" s="7"/>
    </row>
    <row r="8523" spans="50:51">
      <c r="AX8523" s="7"/>
      <c r="AY8523" s="7"/>
    </row>
    <row r="8524" spans="50:51">
      <c r="AX8524" s="7"/>
      <c r="AY8524" s="7"/>
    </row>
    <row r="8525" spans="50:51">
      <c r="AX8525" s="7"/>
      <c r="AY8525" s="7"/>
    </row>
    <row r="8526" spans="50:51">
      <c r="AX8526" s="7"/>
      <c r="AY8526" s="7"/>
    </row>
    <row r="8527" spans="50:51">
      <c r="AX8527" s="7"/>
      <c r="AY8527" s="7"/>
    </row>
    <row r="8528" spans="50:51">
      <c r="AX8528" s="7"/>
      <c r="AY8528" s="7"/>
    </row>
    <row r="8529" spans="50:51">
      <c r="AX8529" s="7"/>
      <c r="AY8529" s="7"/>
    </row>
    <row r="8530" spans="50:51">
      <c r="AX8530" s="7"/>
      <c r="AY8530" s="7"/>
    </row>
    <row r="8531" spans="50:51">
      <c r="AX8531" s="7"/>
      <c r="AY8531" s="7"/>
    </row>
    <row r="8532" spans="50:51">
      <c r="AX8532" s="7"/>
      <c r="AY8532" s="7"/>
    </row>
    <row r="8533" spans="50:51">
      <c r="AX8533" s="7"/>
      <c r="AY8533" s="7"/>
    </row>
    <row r="8534" spans="50:51">
      <c r="AX8534" s="7"/>
      <c r="AY8534" s="7"/>
    </row>
    <row r="8535" spans="50:51">
      <c r="AX8535" s="7"/>
      <c r="AY8535" s="7"/>
    </row>
    <row r="8536" spans="50:51">
      <c r="AX8536" s="7"/>
      <c r="AY8536" s="7"/>
    </row>
    <row r="8537" spans="50:51">
      <c r="AX8537" s="7"/>
      <c r="AY8537" s="7"/>
    </row>
    <row r="8538" spans="50:51">
      <c r="AX8538" s="7"/>
      <c r="AY8538" s="7"/>
    </row>
    <row r="8539" spans="50:51">
      <c r="AX8539" s="7"/>
      <c r="AY8539" s="7"/>
    </row>
    <row r="8540" spans="50:51">
      <c r="AX8540" s="7"/>
      <c r="AY8540" s="7"/>
    </row>
    <row r="8541" spans="50:51">
      <c r="AX8541" s="7"/>
      <c r="AY8541" s="7"/>
    </row>
    <row r="8542" spans="50:51">
      <c r="AX8542" s="7"/>
      <c r="AY8542" s="7"/>
    </row>
    <row r="8543" spans="50:51">
      <c r="AX8543" s="7"/>
      <c r="AY8543" s="7"/>
    </row>
    <row r="8544" spans="50:51">
      <c r="AX8544" s="7"/>
      <c r="AY8544" s="7"/>
    </row>
    <row r="8545" spans="50:51">
      <c r="AX8545" s="7"/>
      <c r="AY8545" s="7"/>
    </row>
    <row r="8546" spans="50:51">
      <c r="AX8546" s="7"/>
      <c r="AY8546" s="7"/>
    </row>
    <row r="8547" spans="50:51">
      <c r="AX8547" s="7"/>
      <c r="AY8547" s="7"/>
    </row>
    <row r="8548" spans="50:51">
      <c r="AX8548" s="7"/>
      <c r="AY8548" s="7"/>
    </row>
    <row r="8549" spans="50:51">
      <c r="AX8549" s="7"/>
      <c r="AY8549" s="7"/>
    </row>
    <row r="8550" spans="50:51">
      <c r="AX8550" s="7"/>
      <c r="AY8550" s="7"/>
    </row>
    <row r="8551" spans="50:51">
      <c r="AX8551" s="7"/>
      <c r="AY8551" s="7"/>
    </row>
    <row r="8552" spans="50:51">
      <c r="AX8552" s="7"/>
      <c r="AY8552" s="7"/>
    </row>
    <row r="8553" spans="50:51">
      <c r="AX8553" s="7"/>
      <c r="AY8553" s="7"/>
    </row>
    <row r="8554" spans="50:51">
      <c r="AX8554" s="7"/>
      <c r="AY8554" s="7"/>
    </row>
    <row r="8555" spans="50:51">
      <c r="AX8555" s="7"/>
      <c r="AY8555" s="7"/>
    </row>
    <row r="8556" spans="50:51">
      <c r="AX8556" s="7"/>
      <c r="AY8556" s="7"/>
    </row>
    <row r="8557" spans="50:51">
      <c r="AX8557" s="7"/>
      <c r="AY8557" s="7"/>
    </row>
    <row r="8558" spans="50:51">
      <c r="AX8558" s="7"/>
      <c r="AY8558" s="7"/>
    </row>
    <row r="8559" spans="50:51">
      <c r="AX8559" s="7"/>
      <c r="AY8559" s="7"/>
    </row>
    <row r="8560" spans="50:51">
      <c r="AX8560" s="7"/>
      <c r="AY8560" s="7"/>
    </row>
    <row r="8561" spans="50:51">
      <c r="AX8561" s="7"/>
      <c r="AY8561" s="7"/>
    </row>
    <row r="8562" spans="50:51">
      <c r="AX8562" s="7"/>
      <c r="AY8562" s="7"/>
    </row>
    <row r="8563" spans="50:51">
      <c r="AX8563" s="7"/>
      <c r="AY8563" s="7"/>
    </row>
    <row r="8564" spans="50:51">
      <c r="AX8564" s="7"/>
      <c r="AY8564" s="7"/>
    </row>
    <row r="8565" spans="50:51">
      <c r="AX8565" s="7"/>
      <c r="AY8565" s="7"/>
    </row>
    <row r="8566" spans="50:51">
      <c r="AX8566" s="7"/>
      <c r="AY8566" s="7"/>
    </row>
    <row r="8567" spans="50:51">
      <c r="AX8567" s="7"/>
      <c r="AY8567" s="7"/>
    </row>
    <row r="8568" spans="50:51">
      <c r="AX8568" s="7"/>
      <c r="AY8568" s="7"/>
    </row>
    <row r="8569" spans="50:51">
      <c r="AX8569" s="7"/>
      <c r="AY8569" s="7"/>
    </row>
    <row r="8570" spans="50:51">
      <c r="AX8570" s="7"/>
      <c r="AY8570" s="7"/>
    </row>
    <row r="8571" spans="50:51">
      <c r="AX8571" s="7"/>
      <c r="AY8571" s="7"/>
    </row>
    <row r="8572" spans="50:51">
      <c r="AX8572" s="7"/>
      <c r="AY8572" s="7"/>
    </row>
    <row r="8573" spans="50:51">
      <c r="AX8573" s="7"/>
      <c r="AY8573" s="7"/>
    </row>
    <row r="8574" spans="50:51">
      <c r="AX8574" s="7"/>
      <c r="AY8574" s="7"/>
    </row>
    <row r="8575" spans="50:51">
      <c r="AX8575" s="7"/>
      <c r="AY8575" s="7"/>
    </row>
    <row r="8576" spans="50:51">
      <c r="AX8576" s="7"/>
      <c r="AY8576" s="7"/>
    </row>
    <row r="8577" spans="50:51">
      <c r="AX8577" s="7"/>
      <c r="AY8577" s="7"/>
    </row>
    <row r="8578" spans="50:51">
      <c r="AX8578" s="7"/>
      <c r="AY8578" s="7"/>
    </row>
    <row r="8579" spans="50:51">
      <c r="AX8579" s="7"/>
      <c r="AY8579" s="7"/>
    </row>
    <row r="8580" spans="50:51">
      <c r="AX8580" s="7"/>
      <c r="AY8580" s="7"/>
    </row>
    <row r="8581" spans="50:51">
      <c r="AX8581" s="7"/>
      <c r="AY8581" s="7"/>
    </row>
    <row r="8582" spans="50:51">
      <c r="AX8582" s="7"/>
      <c r="AY8582" s="7"/>
    </row>
    <row r="8583" spans="50:51">
      <c r="AX8583" s="7"/>
      <c r="AY8583" s="7"/>
    </row>
    <row r="8584" spans="50:51">
      <c r="AX8584" s="7"/>
      <c r="AY8584" s="7"/>
    </row>
    <row r="8585" spans="50:51">
      <c r="AX8585" s="7"/>
      <c r="AY8585" s="7"/>
    </row>
    <row r="8586" spans="50:51">
      <c r="AX8586" s="7"/>
      <c r="AY8586" s="7"/>
    </row>
    <row r="8587" spans="50:51">
      <c r="AX8587" s="7"/>
      <c r="AY8587" s="7"/>
    </row>
    <row r="8588" spans="50:51">
      <c r="AX8588" s="7"/>
      <c r="AY8588" s="7"/>
    </row>
    <row r="8589" spans="50:51">
      <c r="AX8589" s="7"/>
      <c r="AY8589" s="7"/>
    </row>
    <row r="8590" spans="50:51">
      <c r="AX8590" s="7"/>
      <c r="AY8590" s="7"/>
    </row>
    <row r="8591" spans="50:51">
      <c r="AX8591" s="7"/>
      <c r="AY8591" s="7"/>
    </row>
    <row r="8592" spans="50:51">
      <c r="AX8592" s="7"/>
      <c r="AY8592" s="7"/>
    </row>
    <row r="8593" spans="50:51">
      <c r="AX8593" s="7"/>
      <c r="AY8593" s="7"/>
    </row>
    <row r="8594" spans="50:51">
      <c r="AX8594" s="7"/>
      <c r="AY8594" s="7"/>
    </row>
    <row r="8595" spans="50:51">
      <c r="AX8595" s="7"/>
      <c r="AY8595" s="7"/>
    </row>
    <row r="8596" spans="50:51">
      <c r="AX8596" s="7"/>
      <c r="AY8596" s="7"/>
    </row>
    <row r="8597" spans="50:51">
      <c r="AX8597" s="7"/>
      <c r="AY8597" s="7"/>
    </row>
    <row r="8598" spans="50:51">
      <c r="AX8598" s="7"/>
      <c r="AY8598" s="7"/>
    </row>
    <row r="8599" spans="50:51">
      <c r="AX8599" s="7"/>
      <c r="AY8599" s="7"/>
    </row>
    <row r="8600" spans="50:51">
      <c r="AX8600" s="7"/>
      <c r="AY8600" s="7"/>
    </row>
    <row r="8601" spans="50:51">
      <c r="AX8601" s="7"/>
      <c r="AY8601" s="7"/>
    </row>
    <row r="8602" spans="50:51">
      <c r="AX8602" s="7"/>
      <c r="AY8602" s="7"/>
    </row>
    <row r="8603" spans="50:51">
      <c r="AX8603" s="7"/>
      <c r="AY8603" s="7"/>
    </row>
    <row r="8604" spans="50:51">
      <c r="AX8604" s="7"/>
      <c r="AY8604" s="7"/>
    </row>
    <row r="8605" spans="50:51">
      <c r="AX8605" s="7"/>
      <c r="AY8605" s="7"/>
    </row>
    <row r="8606" spans="50:51">
      <c r="AX8606" s="7"/>
      <c r="AY8606" s="7"/>
    </row>
    <row r="8607" spans="50:51">
      <c r="AX8607" s="7"/>
      <c r="AY8607" s="7"/>
    </row>
    <row r="8608" spans="50:51">
      <c r="AX8608" s="7"/>
      <c r="AY8608" s="7"/>
    </row>
    <row r="8609" spans="50:51">
      <c r="AX8609" s="7"/>
      <c r="AY8609" s="7"/>
    </row>
    <row r="8610" spans="50:51">
      <c r="AX8610" s="7"/>
      <c r="AY8610" s="7"/>
    </row>
    <row r="8611" spans="50:51">
      <c r="AX8611" s="7"/>
      <c r="AY8611" s="7"/>
    </row>
    <row r="8612" spans="50:51">
      <c r="AX8612" s="7"/>
      <c r="AY8612" s="7"/>
    </row>
    <row r="8613" spans="50:51">
      <c r="AX8613" s="7"/>
      <c r="AY8613" s="7"/>
    </row>
    <row r="8614" spans="50:51">
      <c r="AX8614" s="7"/>
      <c r="AY8614" s="7"/>
    </row>
    <row r="8615" spans="50:51">
      <c r="AX8615" s="7"/>
      <c r="AY8615" s="7"/>
    </row>
    <row r="8616" spans="50:51">
      <c r="AX8616" s="7"/>
      <c r="AY8616" s="7"/>
    </row>
    <row r="8617" spans="50:51">
      <c r="AX8617" s="7"/>
      <c r="AY8617" s="7"/>
    </row>
    <row r="8618" spans="50:51">
      <c r="AX8618" s="7"/>
      <c r="AY8618" s="7"/>
    </row>
    <row r="8619" spans="50:51">
      <c r="AX8619" s="7"/>
      <c r="AY8619" s="7"/>
    </row>
    <row r="8620" spans="50:51">
      <c r="AX8620" s="7"/>
      <c r="AY8620" s="7"/>
    </row>
    <row r="8621" spans="50:51">
      <c r="AX8621" s="7"/>
      <c r="AY8621" s="7"/>
    </row>
    <row r="8622" spans="50:51">
      <c r="AX8622" s="7"/>
      <c r="AY8622" s="7"/>
    </row>
    <row r="8623" spans="50:51">
      <c r="AX8623" s="7"/>
      <c r="AY8623" s="7"/>
    </row>
    <row r="8624" spans="50:51">
      <c r="AX8624" s="7"/>
      <c r="AY8624" s="7"/>
    </row>
    <row r="8625" spans="50:51">
      <c r="AX8625" s="7"/>
      <c r="AY8625" s="7"/>
    </row>
    <row r="8626" spans="50:51">
      <c r="AX8626" s="7"/>
      <c r="AY8626" s="7"/>
    </row>
    <row r="8627" spans="50:51">
      <c r="AX8627" s="7"/>
      <c r="AY8627" s="7"/>
    </row>
    <row r="8628" spans="50:51">
      <c r="AX8628" s="7"/>
      <c r="AY8628" s="7"/>
    </row>
    <row r="8629" spans="50:51">
      <c r="AX8629" s="7"/>
      <c r="AY8629" s="7"/>
    </row>
    <row r="8630" spans="50:51">
      <c r="AX8630" s="7"/>
      <c r="AY8630" s="7"/>
    </row>
    <row r="8631" spans="50:51">
      <c r="AX8631" s="7"/>
      <c r="AY8631" s="7"/>
    </row>
    <row r="8632" spans="50:51">
      <c r="AX8632" s="7"/>
      <c r="AY8632" s="7"/>
    </row>
    <row r="8633" spans="50:51">
      <c r="AX8633" s="7"/>
      <c r="AY8633" s="7"/>
    </row>
    <row r="8634" spans="50:51">
      <c r="AX8634" s="7"/>
      <c r="AY8634" s="7"/>
    </row>
    <row r="8635" spans="50:51">
      <c r="AX8635" s="7"/>
      <c r="AY8635" s="7"/>
    </row>
    <row r="8636" spans="50:51">
      <c r="AX8636" s="7"/>
      <c r="AY8636" s="7"/>
    </row>
    <row r="8637" spans="50:51">
      <c r="AX8637" s="7"/>
      <c r="AY8637" s="7"/>
    </row>
    <row r="8638" spans="50:51">
      <c r="AX8638" s="7"/>
      <c r="AY8638" s="7"/>
    </row>
    <row r="8639" spans="50:51">
      <c r="AX8639" s="7"/>
      <c r="AY8639" s="7"/>
    </row>
    <row r="8640" spans="50:51">
      <c r="AX8640" s="7"/>
      <c r="AY8640" s="7"/>
    </row>
    <row r="8641" spans="50:51">
      <c r="AX8641" s="7"/>
      <c r="AY8641" s="7"/>
    </row>
    <row r="8642" spans="50:51">
      <c r="AX8642" s="7"/>
      <c r="AY8642" s="7"/>
    </row>
    <row r="8643" spans="50:51">
      <c r="AX8643" s="7"/>
      <c r="AY8643" s="7"/>
    </row>
    <row r="8644" spans="50:51">
      <c r="AX8644" s="7"/>
      <c r="AY8644" s="7"/>
    </row>
    <row r="8645" spans="50:51">
      <c r="AX8645" s="7"/>
      <c r="AY8645" s="7"/>
    </row>
    <row r="8646" spans="50:51">
      <c r="AX8646" s="7"/>
      <c r="AY8646" s="7"/>
    </row>
    <row r="8647" spans="50:51">
      <c r="AX8647" s="7"/>
      <c r="AY8647" s="7"/>
    </row>
    <row r="8648" spans="50:51">
      <c r="AX8648" s="7"/>
      <c r="AY8648" s="7"/>
    </row>
    <row r="8649" spans="50:51">
      <c r="AX8649" s="7"/>
      <c r="AY8649" s="7"/>
    </row>
    <row r="8650" spans="50:51">
      <c r="AX8650" s="7"/>
      <c r="AY8650" s="7"/>
    </row>
    <row r="8651" spans="50:51">
      <c r="AX8651" s="7"/>
      <c r="AY8651" s="7"/>
    </row>
    <row r="8652" spans="50:51">
      <c r="AX8652" s="7"/>
      <c r="AY8652" s="7"/>
    </row>
    <row r="8653" spans="50:51">
      <c r="AX8653" s="7"/>
      <c r="AY8653" s="7"/>
    </row>
    <row r="8654" spans="50:51">
      <c r="AX8654" s="7"/>
      <c r="AY8654" s="7"/>
    </row>
    <row r="8655" spans="50:51">
      <c r="AX8655" s="7"/>
      <c r="AY8655" s="7"/>
    </row>
    <row r="8656" spans="50:51">
      <c r="AX8656" s="7"/>
      <c r="AY8656" s="7"/>
    </row>
    <row r="8657" spans="50:51">
      <c r="AX8657" s="7"/>
      <c r="AY8657" s="7"/>
    </row>
    <row r="8658" spans="50:51">
      <c r="AX8658" s="7"/>
      <c r="AY8658" s="7"/>
    </row>
    <row r="8659" spans="50:51">
      <c r="AX8659" s="7"/>
      <c r="AY8659" s="7"/>
    </row>
    <row r="8660" spans="50:51">
      <c r="AX8660" s="7"/>
      <c r="AY8660" s="7"/>
    </row>
    <row r="8661" spans="50:51">
      <c r="AX8661" s="7"/>
      <c r="AY8661" s="7"/>
    </row>
    <row r="8662" spans="50:51">
      <c r="AX8662" s="7"/>
      <c r="AY8662" s="7"/>
    </row>
    <row r="8663" spans="50:51">
      <c r="AX8663" s="7"/>
      <c r="AY8663" s="7"/>
    </row>
    <row r="8664" spans="50:51">
      <c r="AX8664" s="7"/>
      <c r="AY8664" s="7"/>
    </row>
    <row r="8665" spans="50:51">
      <c r="AX8665" s="7"/>
      <c r="AY8665" s="7"/>
    </row>
    <row r="8666" spans="50:51">
      <c r="AX8666" s="7"/>
      <c r="AY8666" s="7"/>
    </row>
    <row r="8667" spans="50:51">
      <c r="AX8667" s="7"/>
      <c r="AY8667" s="7"/>
    </row>
    <row r="8668" spans="50:51">
      <c r="AX8668" s="7"/>
      <c r="AY8668" s="7"/>
    </row>
    <row r="8669" spans="50:51">
      <c r="AX8669" s="7"/>
      <c r="AY8669" s="7"/>
    </row>
    <row r="8670" spans="50:51">
      <c r="AX8670" s="7"/>
      <c r="AY8670" s="7"/>
    </row>
    <row r="8671" spans="50:51">
      <c r="AX8671" s="7"/>
      <c r="AY8671" s="7"/>
    </row>
    <row r="8672" spans="50:51">
      <c r="AX8672" s="7"/>
      <c r="AY8672" s="7"/>
    </row>
    <row r="8673" spans="50:51">
      <c r="AX8673" s="7"/>
      <c r="AY8673" s="7"/>
    </row>
    <row r="8674" spans="50:51">
      <c r="AX8674" s="7"/>
      <c r="AY8674" s="7"/>
    </row>
    <row r="8675" spans="50:51">
      <c r="AX8675" s="7"/>
      <c r="AY8675" s="7"/>
    </row>
    <row r="8676" spans="50:51">
      <c r="AX8676" s="7"/>
      <c r="AY8676" s="7"/>
    </row>
    <row r="8677" spans="50:51">
      <c r="AX8677" s="7"/>
      <c r="AY8677" s="7"/>
    </row>
    <row r="8678" spans="50:51">
      <c r="AX8678" s="7"/>
      <c r="AY8678" s="7"/>
    </row>
    <row r="8679" spans="50:51">
      <c r="AX8679" s="7"/>
      <c r="AY8679" s="7"/>
    </row>
    <row r="8680" spans="50:51">
      <c r="AX8680" s="7"/>
      <c r="AY8680" s="7"/>
    </row>
    <row r="8681" spans="50:51">
      <c r="AX8681" s="7"/>
      <c r="AY8681" s="7"/>
    </row>
    <row r="8682" spans="50:51">
      <c r="AX8682" s="7"/>
      <c r="AY8682" s="7"/>
    </row>
    <row r="8683" spans="50:51">
      <c r="AX8683" s="7"/>
      <c r="AY8683" s="7"/>
    </row>
    <row r="8684" spans="50:51">
      <c r="AX8684" s="7"/>
      <c r="AY8684" s="7"/>
    </row>
    <row r="8685" spans="50:51">
      <c r="AX8685" s="7"/>
      <c r="AY8685" s="7"/>
    </row>
    <row r="8686" spans="50:51">
      <c r="AX8686" s="7"/>
      <c r="AY8686" s="7"/>
    </row>
    <row r="8687" spans="50:51">
      <c r="AX8687" s="7"/>
      <c r="AY8687" s="7"/>
    </row>
    <row r="8688" spans="50:51">
      <c r="AX8688" s="7"/>
      <c r="AY8688" s="7"/>
    </row>
    <row r="8689" spans="50:51">
      <c r="AX8689" s="7"/>
      <c r="AY8689" s="7"/>
    </row>
    <row r="8690" spans="50:51">
      <c r="AX8690" s="7"/>
      <c r="AY8690" s="7"/>
    </row>
    <row r="8691" spans="50:51">
      <c r="AX8691" s="7"/>
      <c r="AY8691" s="7"/>
    </row>
    <row r="8692" spans="50:51">
      <c r="AX8692" s="7"/>
      <c r="AY8692" s="7"/>
    </row>
    <row r="8693" spans="50:51">
      <c r="AX8693" s="7"/>
      <c r="AY8693" s="7"/>
    </row>
    <row r="8694" spans="50:51">
      <c r="AX8694" s="7"/>
      <c r="AY8694" s="7"/>
    </row>
    <row r="8695" spans="50:51">
      <c r="AX8695" s="7"/>
      <c r="AY8695" s="7"/>
    </row>
    <row r="8696" spans="50:51">
      <c r="AX8696" s="7"/>
      <c r="AY8696" s="7"/>
    </row>
    <row r="8697" spans="50:51">
      <c r="AX8697" s="7"/>
      <c r="AY8697" s="7"/>
    </row>
    <row r="8698" spans="50:51">
      <c r="AX8698" s="7"/>
      <c r="AY8698" s="7"/>
    </row>
    <row r="8699" spans="50:51">
      <c r="AX8699" s="7"/>
      <c r="AY8699" s="7"/>
    </row>
    <row r="8700" spans="50:51">
      <c r="AX8700" s="7"/>
      <c r="AY8700" s="7"/>
    </row>
    <row r="8701" spans="50:51">
      <c r="AX8701" s="7"/>
      <c r="AY8701" s="7"/>
    </row>
    <row r="8702" spans="50:51">
      <c r="AX8702" s="7"/>
      <c r="AY8702" s="7"/>
    </row>
    <row r="8703" spans="50:51">
      <c r="AX8703" s="7"/>
      <c r="AY8703" s="7"/>
    </row>
    <row r="8704" spans="50:51">
      <c r="AX8704" s="7"/>
      <c r="AY8704" s="7"/>
    </row>
    <row r="8705" spans="50:51">
      <c r="AX8705" s="7"/>
      <c r="AY8705" s="7"/>
    </row>
    <row r="8706" spans="50:51">
      <c r="AX8706" s="7"/>
      <c r="AY8706" s="7"/>
    </row>
    <row r="8707" spans="50:51">
      <c r="AX8707" s="7"/>
      <c r="AY8707" s="7"/>
    </row>
    <row r="8708" spans="50:51">
      <c r="AX8708" s="7"/>
      <c r="AY8708" s="7"/>
    </row>
    <row r="8709" spans="50:51">
      <c r="AX8709" s="7"/>
      <c r="AY8709" s="7"/>
    </row>
    <row r="8710" spans="50:51">
      <c r="AX8710" s="7"/>
      <c r="AY8710" s="7"/>
    </row>
    <row r="8711" spans="50:51">
      <c r="AX8711" s="7"/>
      <c r="AY8711" s="7"/>
    </row>
    <row r="8712" spans="50:51">
      <c r="AX8712" s="7"/>
      <c r="AY8712" s="7"/>
    </row>
    <row r="8713" spans="50:51">
      <c r="AX8713" s="7"/>
      <c r="AY8713" s="7"/>
    </row>
    <row r="8714" spans="50:51">
      <c r="AX8714" s="7"/>
      <c r="AY8714" s="7"/>
    </row>
    <row r="8715" spans="50:51">
      <c r="AX8715" s="7"/>
      <c r="AY8715" s="7"/>
    </row>
    <row r="8716" spans="50:51">
      <c r="AX8716" s="7"/>
      <c r="AY8716" s="7"/>
    </row>
    <row r="8717" spans="50:51">
      <c r="AX8717" s="7"/>
      <c r="AY8717" s="7"/>
    </row>
    <row r="8718" spans="50:51">
      <c r="AX8718" s="7"/>
      <c r="AY8718" s="7"/>
    </row>
    <row r="8719" spans="50:51">
      <c r="AX8719" s="7"/>
      <c r="AY8719" s="7"/>
    </row>
    <row r="8720" spans="50:51">
      <c r="AX8720" s="7"/>
      <c r="AY8720" s="7"/>
    </row>
    <row r="8721" spans="50:51">
      <c r="AX8721" s="7"/>
      <c r="AY8721" s="7"/>
    </row>
    <row r="8722" spans="50:51">
      <c r="AX8722" s="7"/>
      <c r="AY8722" s="7"/>
    </row>
    <row r="8723" spans="50:51">
      <c r="AX8723" s="7"/>
      <c r="AY8723" s="7"/>
    </row>
    <row r="8724" spans="50:51">
      <c r="AX8724" s="7"/>
      <c r="AY8724" s="7"/>
    </row>
    <row r="8725" spans="50:51">
      <c r="AX8725" s="7"/>
      <c r="AY8725" s="7"/>
    </row>
    <row r="8726" spans="50:51">
      <c r="AX8726" s="7"/>
      <c r="AY8726" s="7"/>
    </row>
    <row r="8727" spans="50:51">
      <c r="AX8727" s="7"/>
      <c r="AY8727" s="7"/>
    </row>
    <row r="8728" spans="50:51">
      <c r="AX8728" s="7"/>
      <c r="AY8728" s="7"/>
    </row>
    <row r="8729" spans="50:51">
      <c r="AX8729" s="7"/>
      <c r="AY8729" s="7"/>
    </row>
    <row r="8730" spans="50:51">
      <c r="AX8730" s="7"/>
      <c r="AY8730" s="7"/>
    </row>
    <row r="8731" spans="50:51">
      <c r="AX8731" s="7"/>
      <c r="AY8731" s="7"/>
    </row>
    <row r="8732" spans="50:51">
      <c r="AX8732" s="7"/>
      <c r="AY8732" s="7"/>
    </row>
    <row r="8733" spans="50:51">
      <c r="AX8733" s="7"/>
      <c r="AY8733" s="7"/>
    </row>
    <row r="8734" spans="50:51">
      <c r="AX8734" s="7"/>
      <c r="AY8734" s="7"/>
    </row>
    <row r="8735" spans="50:51">
      <c r="AX8735" s="7"/>
      <c r="AY8735" s="7"/>
    </row>
    <row r="8736" spans="50:51">
      <c r="AX8736" s="7"/>
      <c r="AY8736" s="7"/>
    </row>
    <row r="8737" spans="50:51">
      <c r="AX8737" s="7"/>
      <c r="AY8737" s="7"/>
    </row>
    <row r="8738" spans="50:51">
      <c r="AX8738" s="7"/>
      <c r="AY8738" s="7"/>
    </row>
    <row r="8739" spans="50:51">
      <c r="AX8739" s="7"/>
      <c r="AY8739" s="7"/>
    </row>
    <row r="8740" spans="50:51">
      <c r="AX8740" s="7"/>
      <c r="AY8740" s="7"/>
    </row>
    <row r="8741" spans="50:51">
      <c r="AX8741" s="7"/>
      <c r="AY8741" s="7"/>
    </row>
    <row r="8742" spans="50:51">
      <c r="AX8742" s="7"/>
      <c r="AY8742" s="7"/>
    </row>
    <row r="8743" spans="50:51">
      <c r="AX8743" s="7"/>
      <c r="AY8743" s="7"/>
    </row>
    <row r="8744" spans="50:51">
      <c r="AX8744" s="7"/>
      <c r="AY8744" s="7"/>
    </row>
    <row r="8745" spans="50:51">
      <c r="AX8745" s="7"/>
      <c r="AY8745" s="7"/>
    </row>
    <row r="8746" spans="50:51">
      <c r="AX8746" s="7"/>
      <c r="AY8746" s="7"/>
    </row>
    <row r="8747" spans="50:51">
      <c r="AX8747" s="7"/>
      <c r="AY8747" s="7"/>
    </row>
    <row r="8748" spans="50:51">
      <c r="AX8748" s="7"/>
      <c r="AY8748" s="7"/>
    </row>
    <row r="8749" spans="50:51">
      <c r="AX8749" s="7"/>
      <c r="AY8749" s="7"/>
    </row>
    <row r="8750" spans="50:51">
      <c r="AX8750" s="7"/>
      <c r="AY8750" s="7"/>
    </row>
    <row r="8751" spans="50:51">
      <c r="AX8751" s="7"/>
      <c r="AY8751" s="7"/>
    </row>
    <row r="8752" spans="50:51">
      <c r="AX8752" s="7"/>
      <c r="AY8752" s="7"/>
    </row>
    <row r="8753" spans="50:51">
      <c r="AX8753" s="7"/>
      <c r="AY8753" s="7"/>
    </row>
    <row r="8754" spans="50:51">
      <c r="AX8754" s="7"/>
      <c r="AY8754" s="7"/>
    </row>
    <row r="8755" spans="50:51">
      <c r="AX8755" s="7"/>
      <c r="AY8755" s="7"/>
    </row>
    <row r="8756" spans="50:51">
      <c r="AX8756" s="7"/>
      <c r="AY8756" s="7"/>
    </row>
    <row r="8757" spans="50:51">
      <c r="AX8757" s="7"/>
      <c r="AY8757" s="7"/>
    </row>
    <row r="8758" spans="50:51">
      <c r="AX8758" s="7"/>
      <c r="AY8758" s="7"/>
    </row>
    <row r="8759" spans="50:51">
      <c r="AX8759" s="7"/>
      <c r="AY8759" s="7"/>
    </row>
    <row r="8760" spans="50:51">
      <c r="AX8760" s="7"/>
      <c r="AY8760" s="7"/>
    </row>
    <row r="8761" spans="50:51">
      <c r="AX8761" s="7"/>
      <c r="AY8761" s="7"/>
    </row>
    <row r="8762" spans="50:51">
      <c r="AX8762" s="7"/>
      <c r="AY8762" s="7"/>
    </row>
    <row r="8763" spans="50:51">
      <c r="AX8763" s="7"/>
      <c r="AY8763" s="7"/>
    </row>
    <row r="8764" spans="50:51">
      <c r="AX8764" s="7"/>
      <c r="AY8764" s="7"/>
    </row>
    <row r="8765" spans="50:51">
      <c r="AX8765" s="7"/>
      <c r="AY8765" s="7"/>
    </row>
    <row r="8766" spans="50:51">
      <c r="AX8766" s="7"/>
      <c r="AY8766" s="7"/>
    </row>
    <row r="8767" spans="50:51">
      <c r="AX8767" s="7"/>
      <c r="AY8767" s="7"/>
    </row>
    <row r="8768" spans="50:51">
      <c r="AX8768" s="7"/>
      <c r="AY8768" s="7"/>
    </row>
    <row r="8769" spans="50:51">
      <c r="AX8769" s="7"/>
      <c r="AY8769" s="7"/>
    </row>
    <row r="8770" spans="50:51">
      <c r="AX8770" s="7"/>
      <c r="AY8770" s="7"/>
    </row>
    <row r="8771" spans="50:51">
      <c r="AX8771" s="7"/>
      <c r="AY8771" s="7"/>
    </row>
    <row r="8772" spans="50:51">
      <c r="AX8772" s="7"/>
      <c r="AY8772" s="7"/>
    </row>
    <row r="8773" spans="50:51">
      <c r="AX8773" s="7"/>
      <c r="AY8773" s="7"/>
    </row>
    <row r="8774" spans="50:51">
      <c r="AX8774" s="7"/>
      <c r="AY8774" s="7"/>
    </row>
    <row r="8775" spans="50:51">
      <c r="AX8775" s="7"/>
      <c r="AY8775" s="7"/>
    </row>
    <row r="8776" spans="50:51">
      <c r="AX8776" s="7"/>
      <c r="AY8776" s="7"/>
    </row>
    <row r="8777" spans="50:51">
      <c r="AX8777" s="7"/>
      <c r="AY8777" s="7"/>
    </row>
    <row r="8778" spans="50:51">
      <c r="AX8778" s="7"/>
      <c r="AY8778" s="7"/>
    </row>
    <row r="8779" spans="50:51">
      <c r="AX8779" s="7"/>
      <c r="AY8779" s="7"/>
    </row>
    <row r="8780" spans="50:51">
      <c r="AX8780" s="7"/>
      <c r="AY8780" s="7"/>
    </row>
    <row r="8781" spans="50:51">
      <c r="AX8781" s="7"/>
      <c r="AY8781" s="7"/>
    </row>
    <row r="8782" spans="50:51">
      <c r="AX8782" s="7"/>
      <c r="AY8782" s="7"/>
    </row>
    <row r="8783" spans="50:51">
      <c r="AX8783" s="7"/>
      <c r="AY8783" s="7"/>
    </row>
    <row r="8784" spans="50:51">
      <c r="AX8784" s="7"/>
      <c r="AY8784" s="7"/>
    </row>
    <row r="8785" spans="50:51">
      <c r="AX8785" s="7"/>
      <c r="AY8785" s="7"/>
    </row>
    <row r="8786" spans="50:51">
      <c r="AX8786" s="7"/>
      <c r="AY8786" s="7"/>
    </row>
    <row r="8787" spans="50:51">
      <c r="AX8787" s="7"/>
      <c r="AY8787" s="7"/>
    </row>
    <row r="8788" spans="50:51">
      <c r="AX8788" s="7"/>
      <c r="AY8788" s="7"/>
    </row>
    <row r="8789" spans="50:51">
      <c r="AX8789" s="7"/>
      <c r="AY8789" s="7"/>
    </row>
    <row r="8790" spans="50:51">
      <c r="AX8790" s="7"/>
      <c r="AY8790" s="7"/>
    </row>
    <row r="8791" spans="50:51">
      <c r="AX8791" s="7"/>
      <c r="AY8791" s="7"/>
    </row>
    <row r="8792" spans="50:51">
      <c r="AX8792" s="7"/>
      <c r="AY8792" s="7"/>
    </row>
    <row r="8793" spans="50:51">
      <c r="AX8793" s="7"/>
      <c r="AY8793" s="7"/>
    </row>
    <row r="8794" spans="50:51">
      <c r="AX8794" s="7"/>
      <c r="AY8794" s="7"/>
    </row>
    <row r="8795" spans="50:51">
      <c r="AX8795" s="7"/>
      <c r="AY8795" s="7"/>
    </row>
    <row r="8796" spans="50:51">
      <c r="AX8796" s="7"/>
      <c r="AY8796" s="7"/>
    </row>
    <row r="8797" spans="50:51">
      <c r="AX8797" s="7"/>
      <c r="AY8797" s="7"/>
    </row>
    <row r="8798" spans="50:51">
      <c r="AX8798" s="7"/>
      <c r="AY8798" s="7"/>
    </row>
    <row r="8799" spans="50:51">
      <c r="AX8799" s="7"/>
      <c r="AY8799" s="7"/>
    </row>
    <row r="8800" spans="50:51">
      <c r="AX8800" s="7"/>
      <c r="AY8800" s="7"/>
    </row>
    <row r="8801" spans="50:51">
      <c r="AX8801" s="7"/>
      <c r="AY8801" s="7"/>
    </row>
    <row r="8802" spans="50:51">
      <c r="AX8802" s="7"/>
      <c r="AY8802" s="7"/>
    </row>
    <row r="8803" spans="50:51">
      <c r="AX8803" s="7"/>
      <c r="AY8803" s="7"/>
    </row>
    <row r="8804" spans="50:51">
      <c r="AX8804" s="7"/>
      <c r="AY8804" s="7"/>
    </row>
    <row r="8805" spans="50:51">
      <c r="AX8805" s="7"/>
      <c r="AY8805" s="7"/>
    </row>
    <row r="8806" spans="50:51">
      <c r="AX8806" s="7"/>
      <c r="AY8806" s="7"/>
    </row>
    <row r="8807" spans="50:51">
      <c r="AX8807" s="7"/>
      <c r="AY8807" s="7"/>
    </row>
    <row r="8808" spans="50:51">
      <c r="AX8808" s="7"/>
      <c r="AY8808" s="7"/>
    </row>
    <row r="8809" spans="50:51">
      <c r="AX8809" s="7"/>
      <c r="AY8809" s="7"/>
    </row>
    <row r="8810" spans="50:51">
      <c r="AX8810" s="7"/>
      <c r="AY8810" s="7"/>
    </row>
    <row r="8811" spans="50:51">
      <c r="AX8811" s="7"/>
      <c r="AY8811" s="7"/>
    </row>
    <row r="8812" spans="50:51">
      <c r="AX8812" s="7"/>
      <c r="AY8812" s="7"/>
    </row>
    <row r="8813" spans="50:51">
      <c r="AX8813" s="7"/>
      <c r="AY8813" s="7"/>
    </row>
    <row r="8814" spans="50:51">
      <c r="AX8814" s="7"/>
      <c r="AY8814" s="7"/>
    </row>
    <row r="8815" spans="50:51">
      <c r="AX8815" s="7"/>
      <c r="AY8815" s="7"/>
    </row>
    <row r="8816" spans="50:51">
      <c r="AX8816" s="7"/>
      <c r="AY8816" s="7"/>
    </row>
    <row r="8817" spans="50:51">
      <c r="AX8817" s="7"/>
      <c r="AY8817" s="7"/>
    </row>
    <row r="8818" spans="50:51">
      <c r="AX8818" s="7"/>
      <c r="AY8818" s="7"/>
    </row>
    <row r="8819" spans="50:51">
      <c r="AX8819" s="7"/>
      <c r="AY8819" s="7"/>
    </row>
    <row r="8820" spans="50:51">
      <c r="AX8820" s="7"/>
      <c r="AY8820" s="7"/>
    </row>
    <row r="8821" spans="50:51">
      <c r="AX8821" s="7"/>
      <c r="AY8821" s="7"/>
    </row>
    <row r="8822" spans="50:51">
      <c r="AX8822" s="7"/>
      <c r="AY8822" s="7"/>
    </row>
    <row r="8823" spans="50:51">
      <c r="AX8823" s="7"/>
      <c r="AY8823" s="7"/>
    </row>
    <row r="8824" spans="50:51">
      <c r="AX8824" s="7"/>
      <c r="AY8824" s="7"/>
    </row>
    <row r="8825" spans="50:51">
      <c r="AX8825" s="7"/>
      <c r="AY8825" s="7"/>
    </row>
    <row r="8826" spans="50:51">
      <c r="AX8826" s="7"/>
      <c r="AY8826" s="7"/>
    </row>
    <row r="8827" spans="50:51">
      <c r="AX8827" s="7"/>
      <c r="AY8827" s="7"/>
    </row>
    <row r="8828" spans="50:51">
      <c r="AX8828" s="7"/>
      <c r="AY8828" s="7"/>
    </row>
    <row r="8829" spans="50:51">
      <c r="AX8829" s="7"/>
      <c r="AY8829" s="7"/>
    </row>
    <row r="8830" spans="50:51">
      <c r="AX8830" s="7"/>
      <c r="AY8830" s="7"/>
    </row>
    <row r="8831" spans="50:51">
      <c r="AX8831" s="7"/>
      <c r="AY8831" s="7"/>
    </row>
    <row r="8832" spans="50:51">
      <c r="AX8832" s="7"/>
      <c r="AY8832" s="7"/>
    </row>
    <row r="8833" spans="50:51">
      <c r="AX8833" s="7"/>
      <c r="AY8833" s="7"/>
    </row>
    <row r="8834" spans="50:51">
      <c r="AX8834" s="7"/>
      <c r="AY8834" s="7"/>
    </row>
    <row r="8835" spans="50:51">
      <c r="AX8835" s="7"/>
      <c r="AY8835" s="7"/>
    </row>
    <row r="8836" spans="50:51">
      <c r="AX8836" s="7"/>
      <c r="AY8836" s="7"/>
    </row>
    <row r="8837" spans="50:51">
      <c r="AX8837" s="7"/>
      <c r="AY8837" s="7"/>
    </row>
    <row r="8838" spans="50:51">
      <c r="AX8838" s="7"/>
      <c r="AY8838" s="7"/>
    </row>
    <row r="8839" spans="50:51">
      <c r="AX8839" s="7"/>
      <c r="AY8839" s="7"/>
    </row>
    <row r="8840" spans="50:51">
      <c r="AX8840" s="7"/>
      <c r="AY8840" s="7"/>
    </row>
    <row r="8841" spans="50:51">
      <c r="AX8841" s="7"/>
      <c r="AY8841" s="7"/>
    </row>
    <row r="8842" spans="50:51">
      <c r="AX8842" s="7"/>
      <c r="AY8842" s="7"/>
    </row>
    <row r="8843" spans="50:51">
      <c r="AX8843" s="7"/>
      <c r="AY8843" s="7"/>
    </row>
    <row r="8844" spans="50:51">
      <c r="AX8844" s="7"/>
      <c r="AY8844" s="7"/>
    </row>
    <row r="8845" spans="50:51">
      <c r="AX8845" s="7"/>
      <c r="AY8845" s="7"/>
    </row>
    <row r="8846" spans="50:51">
      <c r="AX8846" s="7"/>
      <c r="AY8846" s="7"/>
    </row>
    <row r="8847" spans="50:51">
      <c r="AX8847" s="7"/>
      <c r="AY8847" s="7"/>
    </row>
    <row r="8848" spans="50:51">
      <c r="AX8848" s="7"/>
      <c r="AY8848" s="7"/>
    </row>
    <row r="8849" spans="50:51">
      <c r="AX8849" s="7"/>
      <c r="AY8849" s="7"/>
    </row>
    <row r="8850" spans="50:51">
      <c r="AX8850" s="7"/>
      <c r="AY8850" s="7"/>
    </row>
    <row r="8851" spans="50:51">
      <c r="AX8851" s="7"/>
      <c r="AY8851" s="7"/>
    </row>
    <row r="8852" spans="50:51">
      <c r="AX8852" s="7"/>
      <c r="AY8852" s="7"/>
    </row>
    <row r="8853" spans="50:51">
      <c r="AX8853" s="7"/>
      <c r="AY8853" s="7"/>
    </row>
    <row r="8854" spans="50:51">
      <c r="AX8854" s="7"/>
      <c r="AY8854" s="7"/>
    </row>
    <row r="8855" spans="50:51">
      <c r="AX8855" s="7"/>
      <c r="AY8855" s="7"/>
    </row>
    <row r="8856" spans="50:51">
      <c r="AX8856" s="7"/>
      <c r="AY8856" s="7"/>
    </row>
    <row r="8857" spans="50:51">
      <c r="AX8857" s="7"/>
      <c r="AY8857" s="7"/>
    </row>
    <row r="8858" spans="50:51">
      <c r="AX8858" s="7"/>
      <c r="AY8858" s="7"/>
    </row>
    <row r="8859" spans="50:51">
      <c r="AX8859" s="7"/>
      <c r="AY8859" s="7"/>
    </row>
    <row r="8860" spans="50:51">
      <c r="AX8860" s="7"/>
      <c r="AY8860" s="7"/>
    </row>
    <row r="8861" spans="50:51">
      <c r="AX8861" s="7"/>
      <c r="AY8861" s="7"/>
    </row>
    <row r="8862" spans="50:51">
      <c r="AX8862" s="7"/>
      <c r="AY8862" s="7"/>
    </row>
    <row r="8863" spans="50:51">
      <c r="AX8863" s="7"/>
      <c r="AY8863" s="7"/>
    </row>
    <row r="8864" spans="50:51">
      <c r="AX8864" s="7"/>
      <c r="AY8864" s="7"/>
    </row>
    <row r="8865" spans="50:51">
      <c r="AX8865" s="7"/>
      <c r="AY8865" s="7"/>
    </row>
    <row r="8866" spans="50:51">
      <c r="AX8866" s="7"/>
      <c r="AY8866" s="7"/>
    </row>
    <row r="8867" spans="50:51">
      <c r="AX8867" s="7"/>
      <c r="AY8867" s="7"/>
    </row>
    <row r="8868" spans="50:51">
      <c r="AX8868" s="7"/>
      <c r="AY8868" s="7"/>
    </row>
    <row r="8869" spans="50:51">
      <c r="AX8869" s="7"/>
      <c r="AY8869" s="7"/>
    </row>
    <row r="8870" spans="50:51">
      <c r="AX8870" s="7"/>
      <c r="AY8870" s="7"/>
    </row>
    <row r="8871" spans="50:51">
      <c r="AX8871" s="7"/>
      <c r="AY8871" s="7"/>
    </row>
    <row r="8872" spans="50:51">
      <c r="AX8872" s="7"/>
      <c r="AY8872" s="7"/>
    </row>
    <row r="8873" spans="50:51">
      <c r="AX8873" s="7"/>
      <c r="AY8873" s="7"/>
    </row>
    <row r="8874" spans="50:51">
      <c r="AX8874" s="7"/>
      <c r="AY8874" s="7"/>
    </row>
    <row r="8875" spans="50:51">
      <c r="AX8875" s="7"/>
      <c r="AY8875" s="7"/>
    </row>
    <row r="8876" spans="50:51">
      <c r="AX8876" s="7"/>
      <c r="AY8876" s="7"/>
    </row>
    <row r="8877" spans="50:51">
      <c r="AX8877" s="7"/>
      <c r="AY8877" s="7"/>
    </row>
    <row r="8878" spans="50:51">
      <c r="AX8878" s="7"/>
      <c r="AY8878" s="7"/>
    </row>
    <row r="8879" spans="50:51">
      <c r="AX8879" s="7"/>
      <c r="AY8879" s="7"/>
    </row>
    <row r="8880" spans="50:51">
      <c r="AX8880" s="7"/>
      <c r="AY8880" s="7"/>
    </row>
    <row r="8881" spans="50:51">
      <c r="AX8881" s="7"/>
      <c r="AY8881" s="7"/>
    </row>
    <row r="8882" spans="50:51">
      <c r="AX8882" s="7"/>
      <c r="AY8882" s="7"/>
    </row>
    <row r="8883" spans="50:51">
      <c r="AX8883" s="7"/>
      <c r="AY8883" s="7"/>
    </row>
    <row r="8884" spans="50:51">
      <c r="AX8884" s="7"/>
      <c r="AY8884" s="7"/>
    </row>
    <row r="8885" spans="50:51">
      <c r="AX8885" s="7"/>
      <c r="AY8885" s="7"/>
    </row>
    <row r="8886" spans="50:51">
      <c r="AX8886" s="7"/>
      <c r="AY8886" s="7"/>
    </row>
    <row r="8887" spans="50:51">
      <c r="AX8887" s="7"/>
      <c r="AY8887" s="7"/>
    </row>
    <row r="8888" spans="50:51">
      <c r="AX8888" s="7"/>
      <c r="AY8888" s="7"/>
    </row>
    <row r="8889" spans="50:51">
      <c r="AX8889" s="7"/>
      <c r="AY8889" s="7"/>
    </row>
    <row r="8890" spans="50:51">
      <c r="AX8890" s="7"/>
      <c r="AY8890" s="7"/>
    </row>
    <row r="8891" spans="50:51">
      <c r="AX8891" s="7"/>
      <c r="AY8891" s="7"/>
    </row>
    <row r="8892" spans="50:51">
      <c r="AX8892" s="7"/>
      <c r="AY8892" s="7"/>
    </row>
    <row r="8893" spans="50:51">
      <c r="AX8893" s="7"/>
      <c r="AY8893" s="7"/>
    </row>
    <row r="8894" spans="50:51">
      <c r="AX8894" s="7"/>
      <c r="AY8894" s="7"/>
    </row>
    <row r="8895" spans="50:51">
      <c r="AX8895" s="7"/>
      <c r="AY8895" s="7"/>
    </row>
    <row r="8896" spans="50:51">
      <c r="AX8896" s="7"/>
      <c r="AY8896" s="7"/>
    </row>
    <row r="8897" spans="50:51">
      <c r="AX8897" s="7"/>
      <c r="AY8897" s="7"/>
    </row>
    <row r="8898" spans="50:51">
      <c r="AX8898" s="7"/>
      <c r="AY8898" s="7"/>
    </row>
    <row r="8899" spans="50:51">
      <c r="AX8899" s="7"/>
      <c r="AY8899" s="7"/>
    </row>
    <row r="8900" spans="50:51">
      <c r="AX8900" s="7"/>
      <c r="AY8900" s="7"/>
    </row>
    <row r="8901" spans="50:51">
      <c r="AX8901" s="7"/>
      <c r="AY8901" s="7"/>
    </row>
    <row r="8902" spans="50:51">
      <c r="AX8902" s="7"/>
      <c r="AY8902" s="7"/>
    </row>
    <row r="8903" spans="50:51">
      <c r="AX8903" s="7"/>
      <c r="AY8903" s="7"/>
    </row>
    <row r="8904" spans="50:51">
      <c r="AX8904" s="7"/>
      <c r="AY8904" s="7"/>
    </row>
    <row r="8905" spans="50:51">
      <c r="AX8905" s="7"/>
      <c r="AY8905" s="7"/>
    </row>
    <row r="8906" spans="50:51">
      <c r="AX8906" s="7"/>
      <c r="AY8906" s="7"/>
    </row>
    <row r="8907" spans="50:51">
      <c r="AX8907" s="7"/>
      <c r="AY8907" s="7"/>
    </row>
    <row r="8908" spans="50:51">
      <c r="AX8908" s="7"/>
      <c r="AY8908" s="7"/>
    </row>
    <row r="8909" spans="50:51">
      <c r="AX8909" s="7"/>
      <c r="AY8909" s="7"/>
    </row>
    <row r="8910" spans="50:51">
      <c r="AX8910" s="7"/>
      <c r="AY8910" s="7"/>
    </row>
    <row r="8911" spans="50:51">
      <c r="AX8911" s="7"/>
      <c r="AY8911" s="7"/>
    </row>
    <row r="8912" spans="50:51">
      <c r="AX8912" s="7"/>
      <c r="AY8912" s="7"/>
    </row>
    <row r="8913" spans="50:51">
      <c r="AX8913" s="7"/>
      <c r="AY8913" s="7"/>
    </row>
    <row r="8914" spans="50:51">
      <c r="AX8914" s="7"/>
      <c r="AY8914" s="7"/>
    </row>
    <row r="8915" spans="50:51">
      <c r="AX8915" s="7"/>
      <c r="AY8915" s="7"/>
    </row>
    <row r="8916" spans="50:51">
      <c r="AX8916" s="7"/>
      <c r="AY8916" s="7"/>
    </row>
    <row r="8917" spans="50:51">
      <c r="AX8917" s="7"/>
      <c r="AY8917" s="7"/>
    </row>
    <row r="8918" spans="50:51">
      <c r="AX8918" s="7"/>
      <c r="AY8918" s="7"/>
    </row>
    <row r="8919" spans="50:51">
      <c r="AX8919" s="7"/>
      <c r="AY8919" s="7"/>
    </row>
    <row r="8920" spans="50:51">
      <c r="AX8920" s="7"/>
      <c r="AY8920" s="7"/>
    </row>
    <row r="8921" spans="50:51">
      <c r="AX8921" s="7"/>
      <c r="AY8921" s="7"/>
    </row>
    <row r="8922" spans="50:51">
      <c r="AX8922" s="7"/>
      <c r="AY8922" s="7"/>
    </row>
    <row r="8923" spans="50:51">
      <c r="AX8923" s="7"/>
      <c r="AY8923" s="7"/>
    </row>
    <row r="8924" spans="50:51">
      <c r="AX8924" s="7"/>
      <c r="AY8924" s="7"/>
    </row>
    <row r="8925" spans="50:51">
      <c r="AX8925" s="7"/>
      <c r="AY8925" s="7"/>
    </row>
    <row r="8926" spans="50:51">
      <c r="AX8926" s="7"/>
      <c r="AY8926" s="7"/>
    </row>
    <row r="8927" spans="50:51">
      <c r="AX8927" s="7"/>
      <c r="AY8927" s="7"/>
    </row>
    <row r="8928" spans="50:51">
      <c r="AX8928" s="7"/>
      <c r="AY8928" s="7"/>
    </row>
    <row r="8929" spans="50:51">
      <c r="AX8929" s="7"/>
      <c r="AY8929" s="7"/>
    </row>
    <row r="8930" spans="50:51">
      <c r="AX8930" s="7"/>
      <c r="AY8930" s="7"/>
    </row>
    <row r="8931" spans="50:51">
      <c r="AX8931" s="7"/>
      <c r="AY8931" s="7"/>
    </row>
    <row r="8932" spans="50:51">
      <c r="AX8932" s="7"/>
      <c r="AY8932" s="7"/>
    </row>
    <row r="8933" spans="50:51">
      <c r="AX8933" s="7"/>
      <c r="AY8933" s="7"/>
    </row>
    <row r="8934" spans="50:51">
      <c r="AX8934" s="7"/>
      <c r="AY8934" s="7"/>
    </row>
    <row r="8935" spans="50:51">
      <c r="AX8935" s="7"/>
      <c r="AY8935" s="7"/>
    </row>
    <row r="8936" spans="50:51">
      <c r="AX8936" s="7"/>
      <c r="AY8936" s="7"/>
    </row>
    <row r="8937" spans="50:51">
      <c r="AX8937" s="7"/>
      <c r="AY8937" s="7"/>
    </row>
    <row r="8938" spans="50:51">
      <c r="AX8938" s="7"/>
      <c r="AY8938" s="7"/>
    </row>
    <row r="8939" spans="50:51">
      <c r="AX8939" s="7"/>
      <c r="AY8939" s="7"/>
    </row>
    <row r="8940" spans="50:51">
      <c r="AX8940" s="7"/>
      <c r="AY8940" s="7"/>
    </row>
    <row r="8941" spans="50:51">
      <c r="AX8941" s="7"/>
      <c r="AY8941" s="7"/>
    </row>
    <row r="8942" spans="50:51">
      <c r="AX8942" s="7"/>
      <c r="AY8942" s="7"/>
    </row>
    <row r="8943" spans="50:51">
      <c r="AX8943" s="7"/>
      <c r="AY8943" s="7"/>
    </row>
    <row r="8944" spans="50:51">
      <c r="AX8944" s="7"/>
      <c r="AY8944" s="7"/>
    </row>
    <row r="8945" spans="50:51">
      <c r="AX8945" s="7"/>
      <c r="AY8945" s="7"/>
    </row>
    <row r="8946" spans="50:51">
      <c r="AX8946" s="7"/>
      <c r="AY8946" s="7"/>
    </row>
    <row r="8947" spans="50:51">
      <c r="AX8947" s="7"/>
      <c r="AY8947" s="7"/>
    </row>
    <row r="8948" spans="50:51">
      <c r="AX8948" s="7"/>
      <c r="AY8948" s="7"/>
    </row>
    <row r="8949" spans="50:51">
      <c r="AX8949" s="7"/>
      <c r="AY8949" s="7"/>
    </row>
    <row r="8950" spans="50:51">
      <c r="AX8950" s="7"/>
      <c r="AY8950" s="7"/>
    </row>
    <row r="8951" spans="50:51">
      <c r="AX8951" s="7"/>
      <c r="AY8951" s="7"/>
    </row>
    <row r="8952" spans="50:51">
      <c r="AX8952" s="7"/>
      <c r="AY8952" s="7"/>
    </row>
    <row r="8953" spans="50:51">
      <c r="AX8953" s="7"/>
      <c r="AY8953" s="7"/>
    </row>
    <row r="8954" spans="50:51">
      <c r="AX8954" s="7"/>
      <c r="AY8954" s="7"/>
    </row>
    <row r="8955" spans="50:51">
      <c r="AX8955" s="7"/>
      <c r="AY8955" s="7"/>
    </row>
    <row r="8956" spans="50:51">
      <c r="AX8956" s="7"/>
      <c r="AY8956" s="7"/>
    </row>
    <row r="8957" spans="50:51">
      <c r="AX8957" s="7"/>
      <c r="AY8957" s="7"/>
    </row>
    <row r="8958" spans="50:51">
      <c r="AX8958" s="7"/>
      <c r="AY8958" s="7"/>
    </row>
    <row r="8959" spans="50:51">
      <c r="AX8959" s="7"/>
      <c r="AY8959" s="7"/>
    </row>
    <row r="8960" spans="50:51">
      <c r="AX8960" s="7"/>
      <c r="AY8960" s="7"/>
    </row>
    <row r="8961" spans="50:51">
      <c r="AX8961" s="7"/>
      <c r="AY8961" s="7"/>
    </row>
    <row r="8962" spans="50:51">
      <c r="AX8962" s="7"/>
      <c r="AY8962" s="7"/>
    </row>
    <row r="8963" spans="50:51">
      <c r="AX8963" s="7"/>
      <c r="AY8963" s="7"/>
    </row>
    <row r="8964" spans="50:51">
      <c r="AX8964" s="7"/>
      <c r="AY8964" s="7"/>
    </row>
    <row r="8965" spans="50:51">
      <c r="AX8965" s="7"/>
      <c r="AY8965" s="7"/>
    </row>
    <row r="8966" spans="50:51">
      <c r="AX8966" s="7"/>
      <c r="AY8966" s="7"/>
    </row>
    <row r="8967" spans="50:51">
      <c r="AX8967" s="7"/>
      <c r="AY8967" s="7"/>
    </row>
    <row r="8968" spans="50:51">
      <c r="AX8968" s="7"/>
      <c r="AY8968" s="7"/>
    </row>
    <row r="8969" spans="50:51">
      <c r="AX8969" s="7"/>
      <c r="AY8969" s="7"/>
    </row>
    <row r="8970" spans="50:51">
      <c r="AX8970" s="7"/>
      <c r="AY8970" s="7"/>
    </row>
    <row r="8971" spans="50:51">
      <c r="AX8971" s="7"/>
      <c r="AY8971" s="7"/>
    </row>
    <row r="8972" spans="50:51">
      <c r="AX8972" s="7"/>
      <c r="AY8972" s="7"/>
    </row>
    <row r="8973" spans="50:51">
      <c r="AX8973" s="7"/>
      <c r="AY8973" s="7"/>
    </row>
    <row r="8974" spans="50:51">
      <c r="AX8974" s="7"/>
      <c r="AY8974" s="7"/>
    </row>
    <row r="8975" spans="50:51">
      <c r="AX8975" s="7"/>
      <c r="AY8975" s="7"/>
    </row>
    <row r="8976" spans="50:51">
      <c r="AX8976" s="7"/>
      <c r="AY8976" s="7"/>
    </row>
    <row r="8977" spans="50:51">
      <c r="AX8977" s="7"/>
      <c r="AY8977" s="7"/>
    </row>
    <row r="8978" spans="50:51">
      <c r="AX8978" s="7"/>
      <c r="AY8978" s="7"/>
    </row>
    <row r="8979" spans="50:51">
      <c r="AX8979" s="7"/>
      <c r="AY8979" s="7"/>
    </row>
    <row r="8980" spans="50:51">
      <c r="AX8980" s="7"/>
      <c r="AY8980" s="7"/>
    </row>
    <row r="8981" spans="50:51">
      <c r="AX8981" s="7"/>
      <c r="AY8981" s="7"/>
    </row>
    <row r="8982" spans="50:51">
      <c r="AX8982" s="7"/>
      <c r="AY8982" s="7"/>
    </row>
    <row r="8983" spans="50:51">
      <c r="AX8983" s="7"/>
      <c r="AY8983" s="7"/>
    </row>
    <row r="8984" spans="50:51">
      <c r="AX8984" s="7"/>
      <c r="AY8984" s="7"/>
    </row>
    <row r="8985" spans="50:51">
      <c r="AX8985" s="7"/>
      <c r="AY8985" s="7"/>
    </row>
    <row r="8986" spans="50:51">
      <c r="AX8986" s="7"/>
      <c r="AY8986" s="7"/>
    </row>
    <row r="8987" spans="50:51">
      <c r="AX8987" s="7"/>
      <c r="AY8987" s="7"/>
    </row>
    <row r="8988" spans="50:51">
      <c r="AX8988" s="7"/>
      <c r="AY8988" s="7"/>
    </row>
    <row r="8989" spans="50:51">
      <c r="AX8989" s="7"/>
      <c r="AY8989" s="7"/>
    </row>
    <row r="8990" spans="50:51">
      <c r="AX8990" s="7"/>
      <c r="AY8990" s="7"/>
    </row>
    <row r="8991" spans="50:51">
      <c r="AX8991" s="7"/>
      <c r="AY8991" s="7"/>
    </row>
    <row r="8992" spans="50:51">
      <c r="AX8992" s="7"/>
      <c r="AY8992" s="7"/>
    </row>
    <row r="8993" spans="50:51">
      <c r="AX8993" s="7"/>
      <c r="AY8993" s="7"/>
    </row>
    <row r="8994" spans="50:51">
      <c r="AX8994" s="7"/>
      <c r="AY8994" s="7"/>
    </row>
    <row r="8995" spans="50:51">
      <c r="AX8995" s="7"/>
      <c r="AY8995" s="7"/>
    </row>
    <row r="8996" spans="50:51">
      <c r="AX8996" s="7"/>
      <c r="AY8996" s="7"/>
    </row>
    <row r="8997" spans="50:51">
      <c r="AX8997" s="7"/>
      <c r="AY8997" s="7"/>
    </row>
    <row r="8998" spans="50:51">
      <c r="AX8998" s="7"/>
      <c r="AY8998" s="7"/>
    </row>
    <row r="8999" spans="50:51">
      <c r="AX8999" s="7"/>
      <c r="AY8999" s="7"/>
    </row>
    <row r="9000" spans="50:51">
      <c r="AX9000" s="7"/>
      <c r="AY9000" s="7"/>
    </row>
    <row r="9001" spans="50:51">
      <c r="AX9001" s="7"/>
      <c r="AY9001" s="7"/>
    </row>
    <row r="9002" spans="50:51">
      <c r="AX9002" s="7"/>
      <c r="AY9002" s="7"/>
    </row>
    <row r="9003" spans="50:51">
      <c r="AX9003" s="7"/>
      <c r="AY9003" s="7"/>
    </row>
    <row r="9004" spans="50:51">
      <c r="AX9004" s="7"/>
      <c r="AY9004" s="7"/>
    </row>
    <row r="9005" spans="50:51">
      <c r="AX9005" s="7"/>
      <c r="AY9005" s="7"/>
    </row>
    <row r="9006" spans="50:51">
      <c r="AX9006" s="7"/>
      <c r="AY9006" s="7"/>
    </row>
    <row r="9007" spans="50:51">
      <c r="AX9007" s="7"/>
      <c r="AY9007" s="7"/>
    </row>
    <row r="9008" spans="50:51">
      <c r="AX9008" s="7"/>
      <c r="AY9008" s="7"/>
    </row>
    <row r="9009" spans="50:51">
      <c r="AX9009" s="7"/>
      <c r="AY9009" s="7"/>
    </row>
    <row r="9010" spans="50:51">
      <c r="AX9010" s="7"/>
      <c r="AY9010" s="7"/>
    </row>
    <row r="9011" spans="50:51">
      <c r="AX9011" s="7"/>
      <c r="AY9011" s="7"/>
    </row>
    <row r="9012" spans="50:51">
      <c r="AX9012" s="7"/>
      <c r="AY9012" s="7"/>
    </row>
    <row r="9013" spans="50:51">
      <c r="AX9013" s="7"/>
      <c r="AY9013" s="7"/>
    </row>
    <row r="9014" spans="50:51">
      <c r="AX9014" s="7"/>
      <c r="AY9014" s="7"/>
    </row>
    <row r="9015" spans="50:51">
      <c r="AX9015" s="7"/>
      <c r="AY9015" s="7"/>
    </row>
    <row r="9016" spans="50:51">
      <c r="AX9016" s="7"/>
      <c r="AY9016" s="7"/>
    </row>
    <row r="9017" spans="50:51">
      <c r="AX9017" s="7"/>
      <c r="AY9017" s="7"/>
    </row>
    <row r="9018" spans="50:51">
      <c r="AX9018" s="7"/>
      <c r="AY9018" s="7"/>
    </row>
    <row r="9019" spans="50:51">
      <c r="AX9019" s="7"/>
      <c r="AY9019" s="7"/>
    </row>
    <row r="9020" spans="50:51">
      <c r="AX9020" s="7"/>
      <c r="AY9020" s="7"/>
    </row>
    <row r="9021" spans="50:51">
      <c r="AX9021" s="7"/>
      <c r="AY9021" s="7"/>
    </row>
    <row r="9022" spans="50:51">
      <c r="AX9022" s="7"/>
      <c r="AY9022" s="7"/>
    </row>
    <row r="9023" spans="50:51">
      <c r="AX9023" s="7"/>
      <c r="AY9023" s="7"/>
    </row>
    <row r="9024" spans="50:51">
      <c r="AX9024" s="7"/>
      <c r="AY9024" s="7"/>
    </row>
    <row r="9025" spans="50:51">
      <c r="AX9025" s="7"/>
      <c r="AY9025" s="7"/>
    </row>
    <row r="9026" spans="50:51">
      <c r="AX9026" s="7"/>
      <c r="AY9026" s="7"/>
    </row>
    <row r="9027" spans="50:51">
      <c r="AX9027" s="7"/>
      <c r="AY9027" s="7"/>
    </row>
    <row r="9028" spans="50:51">
      <c r="AX9028" s="7"/>
      <c r="AY9028" s="7"/>
    </row>
    <row r="9029" spans="50:51">
      <c r="AX9029" s="7"/>
      <c r="AY9029" s="7"/>
    </row>
    <row r="9030" spans="50:51">
      <c r="AX9030" s="7"/>
      <c r="AY9030" s="7"/>
    </row>
    <row r="9031" spans="50:51">
      <c r="AX9031" s="7"/>
      <c r="AY9031" s="7"/>
    </row>
    <row r="9032" spans="50:51">
      <c r="AX9032" s="7"/>
      <c r="AY9032" s="7"/>
    </row>
    <row r="9033" spans="50:51">
      <c r="AX9033" s="7"/>
      <c r="AY9033" s="7"/>
    </row>
    <row r="9034" spans="50:51">
      <c r="AX9034" s="7"/>
      <c r="AY9034" s="7"/>
    </row>
    <row r="9035" spans="50:51">
      <c r="AX9035" s="7"/>
      <c r="AY9035" s="7"/>
    </row>
    <row r="9036" spans="50:51">
      <c r="AX9036" s="7"/>
      <c r="AY9036" s="7"/>
    </row>
    <row r="9037" spans="50:51">
      <c r="AX9037" s="7"/>
      <c r="AY9037" s="7"/>
    </row>
    <row r="9038" spans="50:51">
      <c r="AX9038" s="7"/>
      <c r="AY9038" s="7"/>
    </row>
    <row r="9039" spans="50:51">
      <c r="AX9039" s="7"/>
      <c r="AY9039" s="7"/>
    </row>
    <row r="9040" spans="50:51">
      <c r="AX9040" s="7"/>
      <c r="AY9040" s="7"/>
    </row>
    <row r="9041" spans="50:51">
      <c r="AX9041" s="7"/>
      <c r="AY9041" s="7"/>
    </row>
    <row r="9042" spans="50:51">
      <c r="AX9042" s="7"/>
      <c r="AY9042" s="7"/>
    </row>
    <row r="9043" spans="50:51">
      <c r="AX9043" s="7"/>
      <c r="AY9043" s="7"/>
    </row>
    <row r="9044" spans="50:51">
      <c r="AX9044" s="7"/>
      <c r="AY9044" s="7"/>
    </row>
    <row r="9045" spans="50:51">
      <c r="AX9045" s="7"/>
      <c r="AY9045" s="7"/>
    </row>
    <row r="9046" spans="50:51">
      <c r="AX9046" s="7"/>
      <c r="AY9046" s="7"/>
    </row>
    <row r="9047" spans="50:51">
      <c r="AX9047" s="7"/>
      <c r="AY9047" s="7"/>
    </row>
    <row r="9048" spans="50:51">
      <c r="AX9048" s="7"/>
      <c r="AY9048" s="7"/>
    </row>
    <row r="9049" spans="50:51">
      <c r="AX9049" s="7"/>
      <c r="AY9049" s="7"/>
    </row>
    <row r="9050" spans="50:51">
      <c r="AX9050" s="7"/>
      <c r="AY9050" s="7"/>
    </row>
    <row r="9051" spans="50:51">
      <c r="AX9051" s="7"/>
      <c r="AY9051" s="7"/>
    </row>
    <row r="9052" spans="50:51">
      <c r="AX9052" s="7"/>
      <c r="AY9052" s="7"/>
    </row>
    <row r="9053" spans="50:51">
      <c r="AX9053" s="7"/>
      <c r="AY9053" s="7"/>
    </row>
    <row r="9054" spans="50:51">
      <c r="AX9054" s="7"/>
      <c r="AY9054" s="7"/>
    </row>
    <row r="9055" spans="50:51">
      <c r="AX9055" s="7"/>
      <c r="AY9055" s="7"/>
    </row>
    <row r="9056" spans="50:51">
      <c r="AX9056" s="7"/>
      <c r="AY9056" s="7"/>
    </row>
    <row r="9057" spans="50:51">
      <c r="AX9057" s="7"/>
      <c r="AY9057" s="7"/>
    </row>
    <row r="9058" spans="50:51">
      <c r="AX9058" s="7"/>
      <c r="AY9058" s="7"/>
    </row>
    <row r="9059" spans="50:51">
      <c r="AX9059" s="7"/>
      <c r="AY9059" s="7"/>
    </row>
    <row r="9060" spans="50:51">
      <c r="AX9060" s="7"/>
      <c r="AY9060" s="7"/>
    </row>
    <row r="9061" spans="50:51">
      <c r="AX9061" s="7"/>
      <c r="AY9061" s="7"/>
    </row>
    <row r="9062" spans="50:51">
      <c r="AX9062" s="7"/>
      <c r="AY9062" s="7"/>
    </row>
    <row r="9063" spans="50:51">
      <c r="AX9063" s="7"/>
      <c r="AY9063" s="7"/>
    </row>
    <row r="9064" spans="50:51">
      <c r="AX9064" s="7"/>
      <c r="AY9064" s="7"/>
    </row>
    <row r="9065" spans="50:51">
      <c r="AX9065" s="7"/>
      <c r="AY9065" s="7"/>
    </row>
    <row r="9066" spans="50:51">
      <c r="AX9066" s="7"/>
      <c r="AY9066" s="7"/>
    </row>
    <row r="9067" spans="50:51">
      <c r="AX9067" s="7"/>
      <c r="AY9067" s="7"/>
    </row>
    <row r="9068" spans="50:51">
      <c r="AX9068" s="7"/>
      <c r="AY9068" s="7"/>
    </row>
    <row r="9069" spans="50:51">
      <c r="AX9069" s="7"/>
      <c r="AY9069" s="7"/>
    </row>
    <row r="9070" spans="50:51">
      <c r="AX9070" s="7"/>
      <c r="AY9070" s="7"/>
    </row>
    <row r="9071" spans="50:51">
      <c r="AX9071" s="7"/>
      <c r="AY9071" s="7"/>
    </row>
    <row r="9072" spans="50:51">
      <c r="AX9072" s="7"/>
      <c r="AY9072" s="7"/>
    </row>
    <row r="9073" spans="50:51">
      <c r="AX9073" s="7"/>
      <c r="AY9073" s="7"/>
    </row>
    <row r="9074" spans="50:51">
      <c r="AX9074" s="7"/>
      <c r="AY9074" s="7"/>
    </row>
    <row r="9075" spans="50:51">
      <c r="AX9075" s="7"/>
      <c r="AY9075" s="7"/>
    </row>
    <row r="9076" spans="50:51">
      <c r="AX9076" s="7"/>
      <c r="AY9076" s="7"/>
    </row>
    <row r="9077" spans="50:51">
      <c r="AX9077" s="7"/>
      <c r="AY9077" s="7"/>
    </row>
    <row r="9078" spans="50:51">
      <c r="AX9078" s="7"/>
      <c r="AY9078" s="7"/>
    </row>
    <row r="9079" spans="50:51">
      <c r="AX9079" s="7"/>
      <c r="AY9079" s="7"/>
    </row>
    <row r="9080" spans="50:51">
      <c r="AX9080" s="7"/>
      <c r="AY9080" s="7"/>
    </row>
    <row r="9081" spans="50:51">
      <c r="AX9081" s="7"/>
      <c r="AY9081" s="7"/>
    </row>
    <row r="9082" spans="50:51">
      <c r="AX9082" s="7"/>
      <c r="AY9082" s="7"/>
    </row>
    <row r="9083" spans="50:51">
      <c r="AX9083" s="7"/>
      <c r="AY9083" s="7"/>
    </row>
    <row r="9084" spans="50:51">
      <c r="AX9084" s="7"/>
      <c r="AY9084" s="7"/>
    </row>
    <row r="9085" spans="50:51">
      <c r="AX9085" s="7"/>
      <c r="AY9085" s="7"/>
    </row>
    <row r="9086" spans="50:51">
      <c r="AX9086" s="7"/>
      <c r="AY9086" s="7"/>
    </row>
    <row r="9087" spans="50:51">
      <c r="AX9087" s="7"/>
      <c r="AY9087" s="7"/>
    </row>
    <row r="9088" spans="50:51">
      <c r="AX9088" s="7"/>
      <c r="AY9088" s="7"/>
    </row>
    <row r="9089" spans="50:51">
      <c r="AX9089" s="7"/>
      <c r="AY9089" s="7"/>
    </row>
    <row r="9090" spans="50:51">
      <c r="AX9090" s="7"/>
      <c r="AY9090" s="7"/>
    </row>
    <row r="9091" spans="50:51">
      <c r="AX9091" s="7"/>
      <c r="AY9091" s="7"/>
    </row>
    <row r="9092" spans="50:51">
      <c r="AX9092" s="7"/>
      <c r="AY9092" s="7"/>
    </row>
    <row r="9093" spans="50:51">
      <c r="AX9093" s="7"/>
      <c r="AY9093" s="7"/>
    </row>
    <row r="9094" spans="50:51">
      <c r="AX9094" s="7"/>
      <c r="AY9094" s="7"/>
    </row>
    <row r="9095" spans="50:51">
      <c r="AX9095" s="7"/>
      <c r="AY9095" s="7"/>
    </row>
    <row r="9096" spans="50:51">
      <c r="AX9096" s="7"/>
      <c r="AY9096" s="7"/>
    </row>
    <row r="9097" spans="50:51">
      <c r="AX9097" s="7"/>
      <c r="AY9097" s="7"/>
    </row>
    <row r="9098" spans="50:51">
      <c r="AX9098" s="7"/>
      <c r="AY9098" s="7"/>
    </row>
    <row r="9099" spans="50:51">
      <c r="AX9099" s="7"/>
      <c r="AY9099" s="7"/>
    </row>
    <row r="9100" spans="50:51">
      <c r="AX9100" s="7"/>
      <c r="AY9100" s="7"/>
    </row>
    <row r="9101" spans="50:51">
      <c r="AX9101" s="7"/>
      <c r="AY9101" s="7"/>
    </row>
    <row r="9102" spans="50:51">
      <c r="AX9102" s="7"/>
      <c r="AY9102" s="7"/>
    </row>
    <row r="9103" spans="50:51">
      <c r="AX9103" s="7"/>
      <c r="AY9103" s="7"/>
    </row>
    <row r="9104" spans="50:51">
      <c r="AX9104" s="7"/>
      <c r="AY9104" s="7"/>
    </row>
    <row r="9105" spans="50:51">
      <c r="AX9105" s="7"/>
      <c r="AY9105" s="7"/>
    </row>
    <row r="9106" spans="50:51">
      <c r="AX9106" s="7"/>
      <c r="AY9106" s="7"/>
    </row>
    <row r="9107" spans="50:51">
      <c r="AX9107" s="7"/>
      <c r="AY9107" s="7"/>
    </row>
    <row r="9108" spans="50:51">
      <c r="AX9108" s="7"/>
      <c r="AY9108" s="7"/>
    </row>
    <row r="9109" spans="50:51">
      <c r="AX9109" s="7"/>
      <c r="AY9109" s="7"/>
    </row>
    <row r="9110" spans="50:51">
      <c r="AX9110" s="7"/>
      <c r="AY9110" s="7"/>
    </row>
    <row r="9111" spans="50:51">
      <c r="AX9111" s="7"/>
      <c r="AY9111" s="7"/>
    </row>
    <row r="9112" spans="50:51">
      <c r="AX9112" s="7"/>
      <c r="AY9112" s="7"/>
    </row>
    <row r="9113" spans="50:51">
      <c r="AX9113" s="7"/>
      <c r="AY9113" s="7"/>
    </row>
    <row r="9114" spans="50:51">
      <c r="AX9114" s="7"/>
      <c r="AY9114" s="7"/>
    </row>
    <row r="9115" spans="50:51">
      <c r="AX9115" s="7"/>
      <c r="AY9115" s="7"/>
    </row>
    <row r="9116" spans="50:51">
      <c r="AX9116" s="7"/>
      <c r="AY9116" s="7"/>
    </row>
    <row r="9117" spans="50:51">
      <c r="AX9117" s="7"/>
      <c r="AY9117" s="7"/>
    </row>
    <row r="9118" spans="50:51">
      <c r="AX9118" s="7"/>
      <c r="AY9118" s="7"/>
    </row>
    <row r="9119" spans="50:51">
      <c r="AX9119" s="7"/>
      <c r="AY9119" s="7"/>
    </row>
    <row r="9120" spans="50:51">
      <c r="AX9120" s="7"/>
      <c r="AY9120" s="7"/>
    </row>
    <row r="9121" spans="50:51">
      <c r="AX9121" s="7"/>
      <c r="AY9121" s="7"/>
    </row>
    <row r="9122" spans="50:51">
      <c r="AX9122" s="7"/>
      <c r="AY9122" s="7"/>
    </row>
    <row r="9123" spans="50:51">
      <c r="AX9123" s="7"/>
      <c r="AY9123" s="7"/>
    </row>
    <row r="9124" spans="50:51">
      <c r="AX9124" s="7"/>
      <c r="AY9124" s="7"/>
    </row>
    <row r="9125" spans="50:51">
      <c r="AX9125" s="7"/>
      <c r="AY9125" s="7"/>
    </row>
    <row r="9126" spans="50:51">
      <c r="AX9126" s="7"/>
      <c r="AY9126" s="7"/>
    </row>
    <row r="9127" spans="50:51">
      <c r="AX9127" s="7"/>
      <c r="AY9127" s="7"/>
    </row>
    <row r="9128" spans="50:51">
      <c r="AX9128" s="7"/>
      <c r="AY9128" s="7"/>
    </row>
    <row r="9129" spans="50:51">
      <c r="AX9129" s="7"/>
      <c r="AY9129" s="7"/>
    </row>
    <row r="9130" spans="50:51">
      <c r="AX9130" s="7"/>
      <c r="AY9130" s="7"/>
    </row>
    <row r="9131" spans="50:51">
      <c r="AX9131" s="7"/>
      <c r="AY9131" s="7"/>
    </row>
    <row r="9132" spans="50:51">
      <c r="AX9132" s="7"/>
      <c r="AY9132" s="7"/>
    </row>
    <row r="9133" spans="50:51">
      <c r="AX9133" s="7"/>
      <c r="AY9133" s="7"/>
    </row>
    <row r="9134" spans="50:51">
      <c r="AX9134" s="7"/>
      <c r="AY9134" s="7"/>
    </row>
    <row r="9135" spans="50:51">
      <c r="AX9135" s="7"/>
      <c r="AY9135" s="7"/>
    </row>
    <row r="9136" spans="50:51">
      <c r="AX9136" s="7"/>
      <c r="AY9136" s="7"/>
    </row>
    <row r="9137" spans="50:51">
      <c r="AX9137" s="7"/>
      <c r="AY9137" s="7"/>
    </row>
    <row r="9138" spans="50:51">
      <c r="AX9138" s="7"/>
      <c r="AY9138" s="7"/>
    </row>
    <row r="9139" spans="50:51">
      <c r="AX9139" s="7"/>
      <c r="AY9139" s="7"/>
    </row>
    <row r="9140" spans="50:51">
      <c r="AX9140" s="7"/>
      <c r="AY9140" s="7"/>
    </row>
    <row r="9141" spans="50:51">
      <c r="AX9141" s="7"/>
      <c r="AY9141" s="7"/>
    </row>
    <row r="9142" spans="50:51">
      <c r="AX9142" s="7"/>
      <c r="AY9142" s="7"/>
    </row>
    <row r="9143" spans="50:51">
      <c r="AX9143" s="7"/>
      <c r="AY9143" s="7"/>
    </row>
    <row r="9144" spans="50:51">
      <c r="AX9144" s="7"/>
      <c r="AY9144" s="7"/>
    </row>
    <row r="9145" spans="50:51">
      <c r="AX9145" s="7"/>
      <c r="AY9145" s="7"/>
    </row>
    <row r="9146" spans="50:51">
      <c r="AX9146" s="7"/>
      <c r="AY9146" s="7"/>
    </row>
    <row r="9147" spans="50:51">
      <c r="AX9147" s="7"/>
      <c r="AY9147" s="7"/>
    </row>
    <row r="9148" spans="50:51">
      <c r="AX9148" s="7"/>
      <c r="AY9148" s="7"/>
    </row>
    <row r="9149" spans="50:51">
      <c r="AX9149" s="7"/>
      <c r="AY9149" s="7"/>
    </row>
    <row r="9150" spans="50:51">
      <c r="AX9150" s="7"/>
      <c r="AY9150" s="7"/>
    </row>
    <row r="9151" spans="50:51">
      <c r="AX9151" s="7"/>
      <c r="AY9151" s="7"/>
    </row>
    <row r="9152" spans="50:51">
      <c r="AX9152" s="7"/>
      <c r="AY9152" s="7"/>
    </row>
    <row r="9153" spans="50:51">
      <c r="AX9153" s="7"/>
      <c r="AY9153" s="7"/>
    </row>
    <row r="9154" spans="50:51">
      <c r="AX9154" s="7"/>
      <c r="AY9154" s="7"/>
    </row>
    <row r="9155" spans="50:51">
      <c r="AX9155" s="7"/>
      <c r="AY9155" s="7"/>
    </row>
    <row r="9156" spans="50:51">
      <c r="AX9156" s="7"/>
      <c r="AY9156" s="7"/>
    </row>
    <row r="9157" spans="50:51">
      <c r="AX9157" s="7"/>
      <c r="AY9157" s="7"/>
    </row>
    <row r="9158" spans="50:51">
      <c r="AX9158" s="7"/>
      <c r="AY9158" s="7"/>
    </row>
    <row r="9159" spans="50:51">
      <c r="AX9159" s="7"/>
      <c r="AY9159" s="7"/>
    </row>
    <row r="9160" spans="50:51">
      <c r="AX9160" s="7"/>
      <c r="AY9160" s="7"/>
    </row>
    <row r="9161" spans="50:51">
      <c r="AX9161" s="7"/>
      <c r="AY9161" s="7"/>
    </row>
    <row r="9162" spans="50:51">
      <c r="AX9162" s="7"/>
      <c r="AY9162" s="7"/>
    </row>
    <row r="9163" spans="50:51">
      <c r="AX9163" s="7"/>
      <c r="AY9163" s="7"/>
    </row>
    <row r="9164" spans="50:51">
      <c r="AX9164" s="7"/>
      <c r="AY9164" s="7"/>
    </row>
    <row r="9165" spans="50:51">
      <c r="AX9165" s="7"/>
      <c r="AY9165" s="7"/>
    </row>
    <row r="9166" spans="50:51">
      <c r="AX9166" s="7"/>
      <c r="AY9166" s="7"/>
    </row>
    <row r="9167" spans="50:51">
      <c r="AX9167" s="7"/>
      <c r="AY9167" s="7"/>
    </row>
    <row r="9168" spans="50:51">
      <c r="AX9168" s="7"/>
      <c r="AY9168" s="7"/>
    </row>
    <row r="9169" spans="50:51">
      <c r="AX9169" s="7"/>
      <c r="AY9169" s="7"/>
    </row>
    <row r="9170" spans="50:51">
      <c r="AX9170" s="7"/>
      <c r="AY9170" s="7"/>
    </row>
    <row r="9171" spans="50:51">
      <c r="AX9171" s="7"/>
      <c r="AY9171" s="7"/>
    </row>
    <row r="9172" spans="50:51">
      <c r="AX9172" s="7"/>
      <c r="AY9172" s="7"/>
    </row>
    <row r="9173" spans="50:51">
      <c r="AX9173" s="7"/>
      <c r="AY9173" s="7"/>
    </row>
    <row r="9174" spans="50:51">
      <c r="AX9174" s="7"/>
      <c r="AY9174" s="7"/>
    </row>
    <row r="9175" spans="50:51">
      <c r="AX9175" s="7"/>
      <c r="AY9175" s="7"/>
    </row>
    <row r="9176" spans="50:51">
      <c r="AX9176" s="7"/>
      <c r="AY9176" s="7"/>
    </row>
    <row r="9177" spans="50:51">
      <c r="AX9177" s="7"/>
      <c r="AY9177" s="7"/>
    </row>
    <row r="9178" spans="50:51">
      <c r="AX9178" s="7"/>
      <c r="AY9178" s="7"/>
    </row>
    <row r="9179" spans="50:51">
      <c r="AX9179" s="7"/>
      <c r="AY9179" s="7"/>
    </row>
    <row r="9180" spans="50:51">
      <c r="AX9180" s="7"/>
      <c r="AY9180" s="7"/>
    </row>
    <row r="9181" spans="50:51">
      <c r="AX9181" s="7"/>
      <c r="AY9181" s="7"/>
    </row>
    <row r="9182" spans="50:51">
      <c r="AX9182" s="7"/>
      <c r="AY9182" s="7"/>
    </row>
    <row r="9183" spans="50:51">
      <c r="AX9183" s="7"/>
      <c r="AY9183" s="7"/>
    </row>
    <row r="9184" spans="50:51">
      <c r="AX9184" s="7"/>
      <c r="AY9184" s="7"/>
    </row>
    <row r="9185" spans="50:51">
      <c r="AX9185" s="7"/>
      <c r="AY9185" s="7"/>
    </row>
    <row r="9186" spans="50:51">
      <c r="AX9186" s="7"/>
      <c r="AY9186" s="7"/>
    </row>
    <row r="9187" spans="50:51">
      <c r="AX9187" s="7"/>
      <c r="AY9187" s="7"/>
    </row>
    <row r="9188" spans="50:51">
      <c r="AX9188" s="7"/>
      <c r="AY9188" s="7"/>
    </row>
    <row r="9189" spans="50:51">
      <c r="AX9189" s="7"/>
      <c r="AY9189" s="7"/>
    </row>
    <row r="9190" spans="50:51">
      <c r="AX9190" s="7"/>
      <c r="AY9190" s="7"/>
    </row>
    <row r="9191" spans="50:51">
      <c r="AX9191" s="7"/>
      <c r="AY9191" s="7"/>
    </row>
    <row r="9192" spans="50:51">
      <c r="AX9192" s="7"/>
      <c r="AY9192" s="7"/>
    </row>
    <row r="9193" spans="50:51">
      <c r="AX9193" s="7"/>
      <c r="AY9193" s="7"/>
    </row>
    <row r="9194" spans="50:51">
      <c r="AX9194" s="7"/>
      <c r="AY9194" s="7"/>
    </row>
    <row r="9195" spans="50:51">
      <c r="AX9195" s="7"/>
      <c r="AY9195" s="7"/>
    </row>
    <row r="9196" spans="50:51">
      <c r="AX9196" s="7"/>
      <c r="AY9196" s="7"/>
    </row>
    <row r="9197" spans="50:51">
      <c r="AX9197" s="7"/>
      <c r="AY9197" s="7"/>
    </row>
    <row r="9198" spans="50:51">
      <c r="AX9198" s="7"/>
      <c r="AY9198" s="7"/>
    </row>
    <row r="9199" spans="50:51">
      <c r="AX9199" s="7"/>
      <c r="AY9199" s="7"/>
    </row>
    <row r="9200" spans="50:51">
      <c r="AX9200" s="7"/>
      <c r="AY9200" s="7"/>
    </row>
    <row r="9201" spans="50:51">
      <c r="AX9201" s="7"/>
      <c r="AY9201" s="7"/>
    </row>
    <row r="9202" spans="50:51">
      <c r="AX9202" s="7"/>
      <c r="AY9202" s="7"/>
    </row>
    <row r="9203" spans="50:51">
      <c r="AX9203" s="7"/>
      <c r="AY9203" s="7"/>
    </row>
    <row r="9204" spans="50:51">
      <c r="AX9204" s="7"/>
      <c r="AY9204" s="7"/>
    </row>
    <row r="9205" spans="50:51">
      <c r="AX9205" s="7"/>
      <c r="AY9205" s="7"/>
    </row>
    <row r="9206" spans="50:51">
      <c r="AX9206" s="7"/>
      <c r="AY9206" s="7"/>
    </row>
    <row r="9207" spans="50:51">
      <c r="AX9207" s="7"/>
      <c r="AY9207" s="7"/>
    </row>
    <row r="9208" spans="50:51">
      <c r="AX9208" s="7"/>
      <c r="AY9208" s="7"/>
    </row>
    <row r="9209" spans="50:51">
      <c r="AX9209" s="7"/>
      <c r="AY9209" s="7"/>
    </row>
    <row r="9210" spans="50:51">
      <c r="AX9210" s="7"/>
      <c r="AY9210" s="7"/>
    </row>
    <row r="9211" spans="50:51">
      <c r="AX9211" s="7"/>
      <c r="AY9211" s="7"/>
    </row>
    <row r="9212" spans="50:51">
      <c r="AX9212" s="7"/>
      <c r="AY9212" s="7"/>
    </row>
    <row r="9213" spans="50:51">
      <c r="AX9213" s="7"/>
      <c r="AY9213" s="7"/>
    </row>
    <row r="9214" spans="50:51">
      <c r="AX9214" s="7"/>
      <c r="AY9214" s="7"/>
    </row>
    <row r="9215" spans="50:51">
      <c r="AX9215" s="7"/>
      <c r="AY9215" s="7"/>
    </row>
    <row r="9216" spans="50:51">
      <c r="AX9216" s="7"/>
      <c r="AY9216" s="7"/>
    </row>
    <row r="9217" spans="50:51">
      <c r="AX9217" s="7"/>
      <c r="AY9217" s="7"/>
    </row>
    <row r="9218" spans="50:51">
      <c r="AX9218" s="7"/>
      <c r="AY9218" s="7"/>
    </row>
    <row r="9219" spans="50:51">
      <c r="AX9219" s="7"/>
      <c r="AY9219" s="7"/>
    </row>
    <row r="9220" spans="50:51">
      <c r="AX9220" s="7"/>
      <c r="AY9220" s="7"/>
    </row>
    <row r="9221" spans="50:51">
      <c r="AX9221" s="7"/>
      <c r="AY9221" s="7"/>
    </row>
    <row r="9222" spans="50:51">
      <c r="AX9222" s="7"/>
      <c r="AY9222" s="7"/>
    </row>
    <row r="9223" spans="50:51">
      <c r="AX9223" s="7"/>
      <c r="AY9223" s="7"/>
    </row>
    <row r="9224" spans="50:51">
      <c r="AX9224" s="7"/>
      <c r="AY9224" s="7"/>
    </row>
    <row r="9225" spans="50:51">
      <c r="AX9225" s="7"/>
      <c r="AY9225" s="7"/>
    </row>
    <row r="9226" spans="50:51">
      <c r="AX9226" s="7"/>
      <c r="AY9226" s="7"/>
    </row>
    <row r="9227" spans="50:51">
      <c r="AX9227" s="7"/>
      <c r="AY9227" s="7"/>
    </row>
    <row r="9228" spans="50:51">
      <c r="AX9228" s="7"/>
      <c r="AY9228" s="7"/>
    </row>
    <row r="9229" spans="50:51">
      <c r="AX9229" s="7"/>
      <c r="AY9229" s="7"/>
    </row>
    <row r="9230" spans="50:51">
      <c r="AX9230" s="7"/>
      <c r="AY9230" s="7"/>
    </row>
    <row r="9231" spans="50:51">
      <c r="AX9231" s="7"/>
      <c r="AY9231" s="7"/>
    </row>
    <row r="9232" spans="50:51">
      <c r="AX9232" s="7"/>
      <c r="AY9232" s="7"/>
    </row>
    <row r="9233" spans="50:51">
      <c r="AX9233" s="7"/>
      <c r="AY9233" s="7"/>
    </row>
    <row r="9234" spans="50:51">
      <c r="AX9234" s="7"/>
      <c r="AY9234" s="7"/>
    </row>
    <row r="9235" spans="50:51">
      <c r="AX9235" s="7"/>
      <c r="AY9235" s="7"/>
    </row>
    <row r="9236" spans="50:51">
      <c r="AX9236" s="7"/>
      <c r="AY9236" s="7"/>
    </row>
    <row r="9237" spans="50:51">
      <c r="AX9237" s="7"/>
      <c r="AY9237" s="7"/>
    </row>
    <row r="9238" spans="50:51">
      <c r="AX9238" s="7"/>
      <c r="AY9238" s="7"/>
    </row>
    <row r="9239" spans="50:51">
      <c r="AX9239" s="7"/>
      <c r="AY9239" s="7"/>
    </row>
    <row r="9240" spans="50:51">
      <c r="AX9240" s="7"/>
      <c r="AY9240" s="7"/>
    </row>
    <row r="9241" spans="50:51">
      <c r="AX9241" s="7"/>
      <c r="AY9241" s="7"/>
    </row>
    <row r="9242" spans="50:51">
      <c r="AX9242" s="7"/>
      <c r="AY9242" s="7"/>
    </row>
    <row r="9243" spans="50:51">
      <c r="AX9243" s="7"/>
      <c r="AY9243" s="7"/>
    </row>
    <row r="9244" spans="50:51">
      <c r="AX9244" s="7"/>
      <c r="AY9244" s="7"/>
    </row>
    <row r="9245" spans="50:51">
      <c r="AX9245" s="7"/>
      <c r="AY9245" s="7"/>
    </row>
    <row r="9246" spans="50:51">
      <c r="AX9246" s="7"/>
      <c r="AY9246" s="7"/>
    </row>
    <row r="9247" spans="50:51">
      <c r="AX9247" s="7"/>
      <c r="AY9247" s="7"/>
    </row>
    <row r="9248" spans="50:51">
      <c r="AX9248" s="7"/>
      <c r="AY9248" s="7"/>
    </row>
    <row r="9249" spans="50:51">
      <c r="AX9249" s="7"/>
      <c r="AY9249" s="7"/>
    </row>
    <row r="9250" spans="50:51">
      <c r="AX9250" s="7"/>
      <c r="AY9250" s="7"/>
    </row>
    <row r="9251" spans="50:51">
      <c r="AX9251" s="7"/>
      <c r="AY9251" s="7"/>
    </row>
    <row r="9252" spans="50:51">
      <c r="AX9252" s="7"/>
      <c r="AY9252" s="7"/>
    </row>
    <row r="9253" spans="50:51">
      <c r="AX9253" s="7"/>
      <c r="AY9253" s="7"/>
    </row>
    <row r="9254" spans="50:51">
      <c r="AX9254" s="7"/>
      <c r="AY9254" s="7"/>
    </row>
    <row r="9255" spans="50:51">
      <c r="AX9255" s="7"/>
      <c r="AY9255" s="7"/>
    </row>
    <row r="9256" spans="50:51">
      <c r="AX9256" s="7"/>
      <c r="AY9256" s="7"/>
    </row>
    <row r="9257" spans="50:51">
      <c r="AX9257" s="7"/>
      <c r="AY9257" s="7"/>
    </row>
    <row r="9258" spans="50:51">
      <c r="AX9258" s="7"/>
      <c r="AY9258" s="7"/>
    </row>
    <row r="9259" spans="50:51">
      <c r="AX9259" s="7"/>
      <c r="AY9259" s="7"/>
    </row>
    <row r="9260" spans="50:51">
      <c r="AX9260" s="7"/>
      <c r="AY9260" s="7"/>
    </row>
    <row r="9261" spans="50:51">
      <c r="AX9261" s="7"/>
      <c r="AY9261" s="7"/>
    </row>
    <row r="9262" spans="50:51">
      <c r="AX9262" s="7"/>
      <c r="AY9262" s="7"/>
    </row>
    <row r="9263" spans="50:51">
      <c r="AX9263" s="7"/>
      <c r="AY9263" s="7"/>
    </row>
    <row r="9264" spans="50:51">
      <c r="AX9264" s="7"/>
      <c r="AY9264" s="7"/>
    </row>
    <row r="9265" spans="50:51">
      <c r="AX9265" s="7"/>
      <c r="AY9265" s="7"/>
    </row>
    <row r="9266" spans="50:51">
      <c r="AX9266" s="7"/>
      <c r="AY9266" s="7"/>
    </row>
    <row r="9267" spans="50:51">
      <c r="AX9267" s="7"/>
      <c r="AY9267" s="7"/>
    </row>
    <row r="9268" spans="50:51">
      <c r="AX9268" s="7"/>
      <c r="AY9268" s="7"/>
    </row>
    <row r="9269" spans="50:51">
      <c r="AX9269" s="7"/>
      <c r="AY9269" s="7"/>
    </row>
    <row r="9270" spans="50:51">
      <c r="AX9270" s="7"/>
      <c r="AY9270" s="7"/>
    </row>
    <row r="9271" spans="50:51">
      <c r="AX9271" s="7"/>
      <c r="AY9271" s="7"/>
    </row>
    <row r="9272" spans="50:51">
      <c r="AX9272" s="7"/>
      <c r="AY9272" s="7"/>
    </row>
    <row r="9273" spans="50:51">
      <c r="AX9273" s="7"/>
      <c r="AY9273" s="7"/>
    </row>
    <row r="9274" spans="50:51">
      <c r="AX9274" s="7"/>
      <c r="AY9274" s="7"/>
    </row>
    <row r="9275" spans="50:51">
      <c r="AX9275" s="7"/>
      <c r="AY9275" s="7"/>
    </row>
    <row r="9276" spans="50:51">
      <c r="AX9276" s="7"/>
      <c r="AY9276" s="7"/>
    </row>
    <row r="9277" spans="50:51">
      <c r="AX9277" s="7"/>
      <c r="AY9277" s="7"/>
    </row>
    <row r="9278" spans="50:51">
      <c r="AX9278" s="7"/>
      <c r="AY9278" s="7"/>
    </row>
    <row r="9279" spans="50:51">
      <c r="AX9279" s="7"/>
      <c r="AY9279" s="7"/>
    </row>
    <row r="9280" spans="50:51">
      <c r="AX9280" s="7"/>
      <c r="AY9280" s="7"/>
    </row>
    <row r="9281" spans="50:51">
      <c r="AX9281" s="7"/>
      <c r="AY9281" s="7"/>
    </row>
    <row r="9282" spans="50:51">
      <c r="AX9282" s="7"/>
      <c r="AY9282" s="7"/>
    </row>
    <row r="9283" spans="50:51">
      <c r="AX9283" s="7"/>
      <c r="AY9283" s="7"/>
    </row>
    <row r="9284" spans="50:51">
      <c r="AX9284" s="7"/>
      <c r="AY9284" s="7"/>
    </row>
    <row r="9285" spans="50:51">
      <c r="AX9285" s="7"/>
      <c r="AY9285" s="7"/>
    </row>
    <row r="9286" spans="50:51">
      <c r="AX9286" s="7"/>
      <c r="AY9286" s="7"/>
    </row>
    <row r="9287" spans="50:51">
      <c r="AX9287" s="7"/>
      <c r="AY9287" s="7"/>
    </row>
    <row r="9288" spans="50:51">
      <c r="AX9288" s="7"/>
      <c r="AY9288" s="7"/>
    </row>
    <row r="9289" spans="50:51">
      <c r="AX9289" s="7"/>
      <c r="AY9289" s="7"/>
    </row>
    <row r="9290" spans="50:51">
      <c r="AX9290" s="7"/>
      <c r="AY9290" s="7"/>
    </row>
    <row r="9291" spans="50:51">
      <c r="AX9291" s="7"/>
      <c r="AY9291" s="7"/>
    </row>
    <row r="9292" spans="50:51">
      <c r="AX9292" s="7"/>
      <c r="AY9292" s="7"/>
    </row>
    <row r="9293" spans="50:51">
      <c r="AX9293" s="7"/>
      <c r="AY9293" s="7"/>
    </row>
    <row r="9294" spans="50:51">
      <c r="AX9294" s="7"/>
      <c r="AY9294" s="7"/>
    </row>
    <row r="9295" spans="50:51">
      <c r="AX9295" s="7"/>
      <c r="AY9295" s="7"/>
    </row>
    <row r="9296" spans="50:51">
      <c r="AX9296" s="7"/>
      <c r="AY9296" s="7"/>
    </row>
    <row r="9297" spans="50:51">
      <c r="AX9297" s="7"/>
      <c r="AY9297" s="7"/>
    </row>
    <row r="9298" spans="50:51">
      <c r="AX9298" s="7"/>
      <c r="AY9298" s="7"/>
    </row>
    <row r="9299" spans="50:51">
      <c r="AX9299" s="7"/>
      <c r="AY9299" s="7"/>
    </row>
    <row r="9300" spans="50:51">
      <c r="AX9300" s="7"/>
      <c r="AY9300" s="7"/>
    </row>
    <row r="9301" spans="50:51">
      <c r="AX9301" s="7"/>
      <c r="AY9301" s="7"/>
    </row>
    <row r="9302" spans="50:51">
      <c r="AX9302" s="7"/>
      <c r="AY9302" s="7"/>
    </row>
    <row r="9303" spans="50:51">
      <c r="AX9303" s="7"/>
      <c r="AY9303" s="7"/>
    </row>
    <row r="9304" spans="50:51">
      <c r="AX9304" s="7"/>
      <c r="AY9304" s="7"/>
    </row>
    <row r="9305" spans="50:51">
      <c r="AX9305" s="7"/>
      <c r="AY9305" s="7"/>
    </row>
    <row r="9306" spans="50:51">
      <c r="AX9306" s="7"/>
      <c r="AY9306" s="7"/>
    </row>
    <row r="9307" spans="50:51">
      <c r="AX9307" s="7"/>
      <c r="AY9307" s="7"/>
    </row>
    <row r="9308" spans="50:51">
      <c r="AX9308" s="7"/>
      <c r="AY9308" s="7"/>
    </row>
    <row r="9309" spans="50:51">
      <c r="AX9309" s="7"/>
      <c r="AY9309" s="7"/>
    </row>
    <row r="9310" spans="50:51">
      <c r="AX9310" s="7"/>
      <c r="AY9310" s="7"/>
    </row>
    <row r="9311" spans="50:51">
      <c r="AX9311" s="7"/>
      <c r="AY9311" s="7"/>
    </row>
    <row r="9312" spans="50:51">
      <c r="AX9312" s="7"/>
      <c r="AY9312" s="7"/>
    </row>
    <row r="9313" spans="50:51">
      <c r="AX9313" s="7"/>
      <c r="AY9313" s="7"/>
    </row>
    <row r="9314" spans="50:51">
      <c r="AX9314" s="7"/>
      <c r="AY9314" s="7"/>
    </row>
    <row r="9315" spans="50:51">
      <c r="AX9315" s="7"/>
      <c r="AY9315" s="7"/>
    </row>
    <row r="9316" spans="50:51">
      <c r="AX9316" s="7"/>
      <c r="AY9316" s="7"/>
    </row>
    <row r="9317" spans="50:51">
      <c r="AX9317" s="7"/>
      <c r="AY9317" s="7"/>
    </row>
    <row r="9318" spans="50:51">
      <c r="AX9318" s="7"/>
      <c r="AY9318" s="7"/>
    </row>
    <row r="9319" spans="50:51">
      <c r="AX9319" s="7"/>
      <c r="AY9319" s="7"/>
    </row>
    <row r="9320" spans="50:51">
      <c r="AX9320" s="7"/>
      <c r="AY9320" s="7"/>
    </row>
    <row r="9321" spans="50:51">
      <c r="AX9321" s="7"/>
      <c r="AY9321" s="7"/>
    </row>
    <row r="9322" spans="50:51">
      <c r="AX9322" s="7"/>
      <c r="AY9322" s="7"/>
    </row>
    <row r="9323" spans="50:51">
      <c r="AX9323" s="7"/>
      <c r="AY9323" s="7"/>
    </row>
    <row r="9324" spans="50:51">
      <c r="AX9324" s="7"/>
      <c r="AY9324" s="7"/>
    </row>
    <row r="9325" spans="50:51">
      <c r="AX9325" s="7"/>
      <c r="AY9325" s="7"/>
    </row>
    <row r="9326" spans="50:51">
      <c r="AX9326" s="7"/>
      <c r="AY9326" s="7"/>
    </row>
    <row r="9327" spans="50:51">
      <c r="AX9327" s="7"/>
      <c r="AY9327" s="7"/>
    </row>
    <row r="9328" spans="50:51">
      <c r="AX9328" s="7"/>
      <c r="AY9328" s="7"/>
    </row>
    <row r="9329" spans="50:51">
      <c r="AX9329" s="7"/>
      <c r="AY9329" s="7"/>
    </row>
    <row r="9330" spans="50:51">
      <c r="AX9330" s="7"/>
      <c r="AY9330" s="7"/>
    </row>
    <row r="9331" spans="50:51">
      <c r="AX9331" s="7"/>
      <c r="AY9331" s="7"/>
    </row>
    <row r="9332" spans="50:51">
      <c r="AX9332" s="7"/>
      <c r="AY9332" s="7"/>
    </row>
    <row r="9333" spans="50:51">
      <c r="AX9333" s="7"/>
      <c r="AY9333" s="7"/>
    </row>
    <row r="9334" spans="50:51">
      <c r="AX9334" s="7"/>
      <c r="AY9334" s="7"/>
    </row>
    <row r="9335" spans="50:51">
      <c r="AX9335" s="7"/>
      <c r="AY9335" s="7"/>
    </row>
    <row r="9336" spans="50:51">
      <c r="AX9336" s="7"/>
      <c r="AY9336" s="7"/>
    </row>
    <row r="9337" spans="50:51">
      <c r="AX9337" s="7"/>
      <c r="AY9337" s="7"/>
    </row>
    <row r="9338" spans="50:51">
      <c r="AX9338" s="7"/>
      <c r="AY9338" s="7"/>
    </row>
    <row r="9339" spans="50:51">
      <c r="AX9339" s="7"/>
      <c r="AY9339" s="7"/>
    </row>
    <row r="9340" spans="50:51">
      <c r="AX9340" s="7"/>
      <c r="AY9340" s="7"/>
    </row>
    <row r="9341" spans="50:51">
      <c r="AX9341" s="7"/>
      <c r="AY9341" s="7"/>
    </row>
    <row r="9342" spans="50:51">
      <c r="AX9342" s="7"/>
      <c r="AY9342" s="7"/>
    </row>
    <row r="9343" spans="50:51">
      <c r="AX9343" s="7"/>
      <c r="AY9343" s="7"/>
    </row>
    <row r="9344" spans="50:51">
      <c r="AX9344" s="7"/>
      <c r="AY9344" s="7"/>
    </row>
    <row r="9345" spans="50:51">
      <c r="AX9345" s="7"/>
      <c r="AY9345" s="7"/>
    </row>
    <row r="9346" spans="50:51">
      <c r="AX9346" s="7"/>
      <c r="AY9346" s="7"/>
    </row>
    <row r="9347" spans="50:51">
      <c r="AX9347" s="7"/>
      <c r="AY9347" s="7"/>
    </row>
    <row r="9348" spans="50:51">
      <c r="AX9348" s="7"/>
      <c r="AY9348" s="7"/>
    </row>
    <row r="9349" spans="50:51">
      <c r="AX9349" s="7"/>
      <c r="AY9349" s="7"/>
    </row>
    <row r="9350" spans="50:51">
      <c r="AX9350" s="7"/>
      <c r="AY9350" s="7"/>
    </row>
    <row r="9351" spans="50:51">
      <c r="AX9351" s="7"/>
      <c r="AY9351" s="7"/>
    </row>
    <row r="9352" spans="50:51">
      <c r="AX9352" s="7"/>
      <c r="AY9352" s="7"/>
    </row>
    <row r="9353" spans="50:51">
      <c r="AX9353" s="7"/>
      <c r="AY9353" s="7"/>
    </row>
    <row r="9354" spans="50:51">
      <c r="AX9354" s="7"/>
      <c r="AY9354" s="7"/>
    </row>
    <row r="9355" spans="50:51">
      <c r="AX9355" s="7"/>
      <c r="AY9355" s="7"/>
    </row>
    <row r="9356" spans="50:51">
      <c r="AX9356" s="7"/>
      <c r="AY9356" s="7"/>
    </row>
    <row r="9357" spans="50:51">
      <c r="AX9357" s="7"/>
      <c r="AY9357" s="7"/>
    </row>
    <row r="9358" spans="50:51">
      <c r="AX9358" s="7"/>
      <c r="AY9358" s="7"/>
    </row>
    <row r="9359" spans="50:51">
      <c r="AX9359" s="7"/>
      <c r="AY9359" s="7"/>
    </row>
    <row r="9360" spans="50:51">
      <c r="AX9360" s="7"/>
      <c r="AY9360" s="7"/>
    </row>
    <row r="9361" spans="50:51">
      <c r="AX9361" s="7"/>
      <c r="AY9361" s="7"/>
    </row>
    <row r="9362" spans="50:51">
      <c r="AX9362" s="7"/>
      <c r="AY9362" s="7"/>
    </row>
    <row r="9363" spans="50:51">
      <c r="AX9363" s="7"/>
      <c r="AY9363" s="7"/>
    </row>
    <row r="9364" spans="50:51">
      <c r="AX9364" s="7"/>
      <c r="AY9364" s="7"/>
    </row>
    <row r="9365" spans="50:51">
      <c r="AX9365" s="7"/>
      <c r="AY9365" s="7"/>
    </row>
    <row r="9366" spans="50:51">
      <c r="AX9366" s="7"/>
      <c r="AY9366" s="7"/>
    </row>
    <row r="9367" spans="50:51">
      <c r="AX9367" s="7"/>
      <c r="AY9367" s="7"/>
    </row>
    <row r="9368" spans="50:51">
      <c r="AX9368" s="7"/>
      <c r="AY9368" s="7"/>
    </row>
    <row r="9369" spans="50:51">
      <c r="AX9369" s="7"/>
      <c r="AY9369" s="7"/>
    </row>
    <row r="9370" spans="50:51">
      <c r="AX9370" s="7"/>
      <c r="AY9370" s="7"/>
    </row>
    <row r="9371" spans="50:51">
      <c r="AX9371" s="7"/>
      <c r="AY9371" s="7"/>
    </row>
    <row r="9372" spans="50:51">
      <c r="AX9372" s="7"/>
      <c r="AY9372" s="7"/>
    </row>
    <row r="9373" spans="50:51">
      <c r="AX9373" s="7"/>
      <c r="AY9373" s="7"/>
    </row>
    <row r="9374" spans="50:51">
      <c r="AX9374" s="7"/>
      <c r="AY9374" s="7"/>
    </row>
    <row r="9375" spans="50:51">
      <c r="AX9375" s="7"/>
      <c r="AY9375" s="7"/>
    </row>
    <row r="9376" spans="50:51">
      <c r="AX9376" s="7"/>
      <c r="AY9376" s="7"/>
    </row>
    <row r="9377" spans="50:51">
      <c r="AX9377" s="7"/>
      <c r="AY9377" s="7"/>
    </row>
    <row r="9378" spans="50:51">
      <c r="AX9378" s="7"/>
      <c r="AY9378" s="7"/>
    </row>
    <row r="9379" spans="50:51">
      <c r="AX9379" s="7"/>
      <c r="AY9379" s="7"/>
    </row>
    <row r="9380" spans="50:51">
      <c r="AX9380" s="7"/>
      <c r="AY9380" s="7"/>
    </row>
    <row r="9381" spans="50:51">
      <c r="AX9381" s="7"/>
      <c r="AY9381" s="7"/>
    </row>
    <row r="9382" spans="50:51">
      <c r="AX9382" s="7"/>
      <c r="AY9382" s="7"/>
    </row>
    <row r="9383" spans="50:51">
      <c r="AX9383" s="7"/>
      <c r="AY9383" s="7"/>
    </row>
    <row r="9384" spans="50:51">
      <c r="AX9384" s="7"/>
      <c r="AY9384" s="7"/>
    </row>
    <row r="9385" spans="50:51">
      <c r="AX9385" s="7"/>
      <c r="AY9385" s="7"/>
    </row>
    <row r="9386" spans="50:51">
      <c r="AX9386" s="7"/>
      <c r="AY9386" s="7"/>
    </row>
    <row r="9387" spans="50:51">
      <c r="AX9387" s="7"/>
      <c r="AY9387" s="7"/>
    </row>
    <row r="9388" spans="50:51">
      <c r="AX9388" s="7"/>
      <c r="AY9388" s="7"/>
    </row>
    <row r="9389" spans="50:51">
      <c r="AX9389" s="7"/>
      <c r="AY9389" s="7"/>
    </row>
    <row r="9390" spans="50:51">
      <c r="AX9390" s="7"/>
      <c r="AY9390" s="7"/>
    </row>
    <row r="9391" spans="50:51">
      <c r="AX9391" s="7"/>
      <c r="AY9391" s="7"/>
    </row>
    <row r="9392" spans="50:51">
      <c r="AX9392" s="7"/>
      <c r="AY9392" s="7"/>
    </row>
    <row r="9393" spans="50:51">
      <c r="AX9393" s="7"/>
      <c r="AY9393" s="7"/>
    </row>
    <row r="9394" spans="50:51">
      <c r="AX9394" s="7"/>
      <c r="AY9394" s="7"/>
    </row>
    <row r="9395" spans="50:51">
      <c r="AX9395" s="7"/>
      <c r="AY9395" s="7"/>
    </row>
    <row r="9396" spans="50:51">
      <c r="AX9396" s="7"/>
      <c r="AY9396" s="7"/>
    </row>
    <row r="9397" spans="50:51">
      <c r="AX9397" s="7"/>
      <c r="AY9397" s="7"/>
    </row>
    <row r="9398" spans="50:51">
      <c r="AX9398" s="7"/>
      <c r="AY9398" s="7"/>
    </row>
    <row r="9399" spans="50:51">
      <c r="AX9399" s="7"/>
      <c r="AY9399" s="7"/>
    </row>
    <row r="9400" spans="50:51">
      <c r="AX9400" s="7"/>
      <c r="AY9400" s="7"/>
    </row>
    <row r="9401" spans="50:51">
      <c r="AX9401" s="7"/>
      <c r="AY9401" s="7"/>
    </row>
    <row r="9402" spans="50:51">
      <c r="AX9402" s="7"/>
      <c r="AY9402" s="7"/>
    </row>
    <row r="9403" spans="50:51">
      <c r="AX9403" s="7"/>
      <c r="AY9403" s="7"/>
    </row>
    <row r="9404" spans="50:51">
      <c r="AX9404" s="7"/>
      <c r="AY9404" s="7"/>
    </row>
    <row r="9405" spans="50:51">
      <c r="AX9405" s="7"/>
      <c r="AY9405" s="7"/>
    </row>
    <row r="9406" spans="50:51">
      <c r="AX9406" s="7"/>
      <c r="AY9406" s="7"/>
    </row>
    <row r="9407" spans="50:51">
      <c r="AX9407" s="7"/>
      <c r="AY9407" s="7"/>
    </row>
    <row r="9408" spans="50:51">
      <c r="AX9408" s="7"/>
      <c r="AY9408" s="7"/>
    </row>
    <row r="9409" spans="50:51">
      <c r="AX9409" s="7"/>
      <c r="AY9409" s="7"/>
    </row>
    <row r="9410" spans="50:51">
      <c r="AX9410" s="7"/>
      <c r="AY9410" s="7"/>
    </row>
    <row r="9411" spans="50:51">
      <c r="AX9411" s="7"/>
      <c r="AY9411" s="7"/>
    </row>
    <row r="9412" spans="50:51">
      <c r="AX9412" s="7"/>
      <c r="AY9412" s="7"/>
    </row>
    <row r="9413" spans="50:51">
      <c r="AX9413" s="7"/>
      <c r="AY9413" s="7"/>
    </row>
    <row r="9414" spans="50:51">
      <c r="AX9414" s="7"/>
      <c r="AY9414" s="7"/>
    </row>
    <row r="9415" spans="50:51">
      <c r="AX9415" s="7"/>
      <c r="AY9415" s="7"/>
    </row>
    <row r="9416" spans="50:51">
      <c r="AX9416" s="7"/>
      <c r="AY9416" s="7"/>
    </row>
    <row r="9417" spans="50:51">
      <c r="AX9417" s="7"/>
      <c r="AY9417" s="7"/>
    </row>
    <row r="9418" spans="50:51">
      <c r="AX9418" s="7"/>
      <c r="AY9418" s="7"/>
    </row>
    <row r="9419" spans="50:51">
      <c r="AX9419" s="7"/>
      <c r="AY9419" s="7"/>
    </row>
    <row r="9420" spans="50:51">
      <c r="AX9420" s="7"/>
      <c r="AY9420" s="7"/>
    </row>
    <row r="9421" spans="50:51">
      <c r="AX9421" s="7"/>
      <c r="AY9421" s="7"/>
    </row>
    <row r="9422" spans="50:51">
      <c r="AX9422" s="7"/>
      <c r="AY9422" s="7"/>
    </row>
    <row r="9423" spans="50:51">
      <c r="AX9423" s="7"/>
      <c r="AY9423" s="7"/>
    </row>
    <row r="9424" spans="50:51">
      <c r="AX9424" s="7"/>
      <c r="AY9424" s="7"/>
    </row>
    <row r="9425" spans="50:51">
      <c r="AX9425" s="7"/>
      <c r="AY9425" s="7"/>
    </row>
    <row r="9426" spans="50:51">
      <c r="AX9426" s="7"/>
      <c r="AY9426" s="7"/>
    </row>
    <row r="9427" spans="50:51">
      <c r="AX9427" s="7"/>
      <c r="AY9427" s="7"/>
    </row>
    <row r="9428" spans="50:51">
      <c r="AX9428" s="7"/>
      <c r="AY9428" s="7"/>
    </row>
    <row r="9429" spans="50:51">
      <c r="AX9429" s="7"/>
      <c r="AY9429" s="7"/>
    </row>
    <row r="9430" spans="50:51">
      <c r="AX9430" s="7"/>
      <c r="AY9430" s="7"/>
    </row>
    <row r="9431" spans="50:51">
      <c r="AX9431" s="7"/>
      <c r="AY9431" s="7"/>
    </row>
    <row r="9432" spans="50:51">
      <c r="AX9432" s="7"/>
      <c r="AY9432" s="7"/>
    </row>
    <row r="9433" spans="50:51">
      <c r="AX9433" s="7"/>
      <c r="AY9433" s="7"/>
    </row>
    <row r="9434" spans="50:51">
      <c r="AX9434" s="7"/>
      <c r="AY9434" s="7"/>
    </row>
    <row r="9435" spans="50:51">
      <c r="AX9435" s="7"/>
      <c r="AY9435" s="7"/>
    </row>
    <row r="9436" spans="50:51">
      <c r="AX9436" s="7"/>
      <c r="AY9436" s="7"/>
    </row>
    <row r="9437" spans="50:51">
      <c r="AX9437" s="7"/>
      <c r="AY9437" s="7"/>
    </row>
    <row r="9438" spans="50:51">
      <c r="AX9438" s="7"/>
      <c r="AY9438" s="7"/>
    </row>
    <row r="9439" spans="50:51">
      <c r="AX9439" s="7"/>
      <c r="AY9439" s="7"/>
    </row>
    <row r="9440" spans="50:51">
      <c r="AX9440" s="7"/>
      <c r="AY9440" s="7"/>
    </row>
    <row r="9441" spans="50:51">
      <c r="AX9441" s="7"/>
      <c r="AY9441" s="7"/>
    </row>
    <row r="9442" spans="50:51">
      <c r="AX9442" s="7"/>
      <c r="AY9442" s="7"/>
    </row>
    <row r="9443" spans="50:51">
      <c r="AX9443" s="7"/>
      <c r="AY9443" s="7"/>
    </row>
    <row r="9444" spans="50:51">
      <c r="AX9444" s="7"/>
      <c r="AY9444" s="7"/>
    </row>
    <row r="9445" spans="50:51">
      <c r="AX9445" s="7"/>
      <c r="AY9445" s="7"/>
    </row>
    <row r="9446" spans="50:51">
      <c r="AX9446" s="7"/>
      <c r="AY9446" s="7"/>
    </row>
    <row r="9447" spans="50:51">
      <c r="AX9447" s="7"/>
      <c r="AY9447" s="7"/>
    </row>
    <row r="9448" spans="50:51">
      <c r="AX9448" s="7"/>
      <c r="AY9448" s="7"/>
    </row>
    <row r="9449" spans="50:51">
      <c r="AX9449" s="7"/>
      <c r="AY9449" s="7"/>
    </row>
    <row r="9450" spans="50:51">
      <c r="AX9450" s="7"/>
      <c r="AY9450" s="7"/>
    </row>
    <row r="9451" spans="50:51">
      <c r="AX9451" s="7"/>
      <c r="AY9451" s="7"/>
    </row>
    <row r="9452" spans="50:51">
      <c r="AX9452" s="7"/>
      <c r="AY9452" s="7"/>
    </row>
    <row r="9453" spans="50:51">
      <c r="AX9453" s="7"/>
      <c r="AY9453" s="7"/>
    </row>
    <row r="9454" spans="50:51">
      <c r="AX9454" s="7"/>
      <c r="AY9454" s="7"/>
    </row>
    <row r="9455" spans="50:51">
      <c r="AX9455" s="7"/>
      <c r="AY9455" s="7"/>
    </row>
    <row r="9456" spans="50:51">
      <c r="AX9456" s="7"/>
      <c r="AY9456" s="7"/>
    </row>
    <row r="9457" spans="50:51">
      <c r="AX9457" s="7"/>
      <c r="AY9457" s="7"/>
    </row>
    <row r="9458" spans="50:51">
      <c r="AX9458" s="7"/>
      <c r="AY9458" s="7"/>
    </row>
    <row r="9459" spans="50:51">
      <c r="AX9459" s="7"/>
      <c r="AY9459" s="7"/>
    </row>
    <row r="9460" spans="50:51">
      <c r="AX9460" s="7"/>
      <c r="AY9460" s="7"/>
    </row>
    <row r="9461" spans="50:51">
      <c r="AX9461" s="7"/>
      <c r="AY9461" s="7"/>
    </row>
    <row r="9462" spans="50:51">
      <c r="AX9462" s="7"/>
      <c r="AY9462" s="7"/>
    </row>
    <row r="9463" spans="50:51">
      <c r="AX9463" s="7"/>
      <c r="AY9463" s="7"/>
    </row>
    <row r="9464" spans="50:51">
      <c r="AX9464" s="7"/>
      <c r="AY9464" s="7"/>
    </row>
    <row r="9465" spans="50:51">
      <c r="AX9465" s="7"/>
      <c r="AY9465" s="7"/>
    </row>
    <row r="9466" spans="50:51">
      <c r="AX9466" s="7"/>
      <c r="AY9466" s="7"/>
    </row>
    <row r="9467" spans="50:51">
      <c r="AX9467" s="7"/>
      <c r="AY9467" s="7"/>
    </row>
    <row r="9468" spans="50:51">
      <c r="AX9468" s="7"/>
      <c r="AY9468" s="7"/>
    </row>
    <row r="9469" spans="50:51">
      <c r="AX9469" s="7"/>
      <c r="AY9469" s="7"/>
    </row>
    <row r="9470" spans="50:51">
      <c r="AX9470" s="7"/>
      <c r="AY9470" s="7"/>
    </row>
    <row r="9471" spans="50:51">
      <c r="AX9471" s="7"/>
      <c r="AY9471" s="7"/>
    </row>
    <row r="9472" spans="50:51">
      <c r="AX9472" s="7"/>
      <c r="AY9472" s="7"/>
    </row>
    <row r="9473" spans="50:51">
      <c r="AX9473" s="7"/>
      <c r="AY9473" s="7"/>
    </row>
    <row r="9474" spans="50:51">
      <c r="AX9474" s="7"/>
      <c r="AY9474" s="7"/>
    </row>
    <row r="9475" spans="50:51">
      <c r="AX9475" s="7"/>
      <c r="AY9475" s="7"/>
    </row>
    <row r="9476" spans="50:51">
      <c r="AX9476" s="7"/>
      <c r="AY9476" s="7"/>
    </row>
    <row r="9477" spans="50:51">
      <c r="AX9477" s="7"/>
      <c r="AY9477" s="7"/>
    </row>
    <row r="9478" spans="50:51">
      <c r="AX9478" s="7"/>
      <c r="AY9478" s="7"/>
    </row>
    <row r="9479" spans="50:51">
      <c r="AX9479" s="7"/>
      <c r="AY9479" s="7"/>
    </row>
    <row r="9480" spans="50:51">
      <c r="AX9480" s="7"/>
      <c r="AY9480" s="7"/>
    </row>
    <row r="9481" spans="50:51">
      <c r="AX9481" s="7"/>
      <c r="AY9481" s="7"/>
    </row>
    <row r="9482" spans="50:51">
      <c r="AX9482" s="7"/>
      <c r="AY9482" s="7"/>
    </row>
    <row r="9483" spans="50:51">
      <c r="AX9483" s="7"/>
      <c r="AY9483" s="7"/>
    </row>
    <row r="9484" spans="50:51">
      <c r="AX9484" s="7"/>
      <c r="AY9484" s="7"/>
    </row>
    <row r="9485" spans="50:51">
      <c r="AX9485" s="7"/>
      <c r="AY9485" s="7"/>
    </row>
    <row r="9486" spans="50:51">
      <c r="AX9486" s="7"/>
      <c r="AY9486" s="7"/>
    </row>
    <row r="9487" spans="50:51">
      <c r="AX9487" s="7"/>
      <c r="AY9487" s="7"/>
    </row>
    <row r="9488" spans="50:51">
      <c r="AX9488" s="7"/>
      <c r="AY9488" s="7"/>
    </row>
    <row r="9489" spans="50:51">
      <c r="AX9489" s="7"/>
      <c r="AY9489" s="7"/>
    </row>
    <row r="9490" spans="50:51">
      <c r="AX9490" s="7"/>
      <c r="AY9490" s="7"/>
    </row>
    <row r="9491" spans="50:51">
      <c r="AX9491" s="7"/>
      <c r="AY9491" s="7"/>
    </row>
    <row r="9492" spans="50:51">
      <c r="AX9492" s="7"/>
      <c r="AY9492" s="7"/>
    </row>
    <row r="9493" spans="50:51">
      <c r="AX9493" s="7"/>
      <c r="AY9493" s="7"/>
    </row>
    <row r="9494" spans="50:51">
      <c r="AX9494" s="7"/>
      <c r="AY9494" s="7"/>
    </row>
    <row r="9495" spans="50:51">
      <c r="AX9495" s="7"/>
      <c r="AY9495" s="7"/>
    </row>
    <row r="9496" spans="50:51">
      <c r="AX9496" s="7"/>
      <c r="AY9496" s="7"/>
    </row>
    <row r="9497" spans="50:51">
      <c r="AX9497" s="7"/>
      <c r="AY9497" s="7"/>
    </row>
    <row r="9498" spans="50:51">
      <c r="AX9498" s="7"/>
      <c r="AY9498" s="7"/>
    </row>
    <row r="9499" spans="50:51">
      <c r="AX9499" s="7"/>
      <c r="AY9499" s="7"/>
    </row>
    <row r="9500" spans="50:51">
      <c r="AX9500" s="7"/>
      <c r="AY9500" s="7"/>
    </row>
    <row r="9501" spans="50:51">
      <c r="AX9501" s="7"/>
      <c r="AY9501" s="7"/>
    </row>
    <row r="9502" spans="50:51">
      <c r="AX9502" s="7"/>
      <c r="AY9502" s="7"/>
    </row>
    <row r="9503" spans="50:51">
      <c r="AX9503" s="7"/>
      <c r="AY9503" s="7"/>
    </row>
    <row r="9504" spans="50:51">
      <c r="AX9504" s="7"/>
      <c r="AY9504" s="7"/>
    </row>
    <row r="9505" spans="50:51">
      <c r="AX9505" s="7"/>
      <c r="AY9505" s="7"/>
    </row>
    <row r="9506" spans="50:51">
      <c r="AX9506" s="7"/>
      <c r="AY9506" s="7"/>
    </row>
    <row r="9507" spans="50:51">
      <c r="AX9507" s="7"/>
      <c r="AY9507" s="7"/>
    </row>
    <row r="9508" spans="50:51">
      <c r="AX9508" s="7"/>
      <c r="AY9508" s="7"/>
    </row>
    <row r="9509" spans="50:51">
      <c r="AX9509" s="7"/>
      <c r="AY9509" s="7"/>
    </row>
    <row r="9510" spans="50:51">
      <c r="AX9510" s="7"/>
      <c r="AY9510" s="7"/>
    </row>
    <row r="9511" spans="50:51">
      <c r="AX9511" s="7"/>
      <c r="AY9511" s="7"/>
    </row>
    <row r="9512" spans="50:51">
      <c r="AX9512" s="7"/>
      <c r="AY9512" s="7"/>
    </row>
    <row r="9513" spans="50:51">
      <c r="AX9513" s="7"/>
      <c r="AY9513" s="7"/>
    </row>
    <row r="9514" spans="50:51">
      <c r="AX9514" s="7"/>
      <c r="AY9514" s="7"/>
    </row>
    <row r="9515" spans="50:51">
      <c r="AX9515" s="7"/>
      <c r="AY9515" s="7"/>
    </row>
    <row r="9516" spans="50:51">
      <c r="AX9516" s="7"/>
      <c r="AY9516" s="7"/>
    </row>
    <row r="9517" spans="50:51">
      <c r="AX9517" s="7"/>
      <c r="AY9517" s="7"/>
    </row>
    <row r="9518" spans="50:51">
      <c r="AX9518" s="7"/>
      <c r="AY9518" s="7"/>
    </row>
    <row r="9519" spans="50:51">
      <c r="AX9519" s="7"/>
      <c r="AY9519" s="7"/>
    </row>
    <row r="9520" spans="50:51">
      <c r="AX9520" s="7"/>
      <c r="AY9520" s="7"/>
    </row>
    <row r="9521" spans="50:51">
      <c r="AX9521" s="7"/>
      <c r="AY9521" s="7"/>
    </row>
    <row r="9522" spans="50:51">
      <c r="AX9522" s="7"/>
      <c r="AY9522" s="7"/>
    </row>
    <row r="9523" spans="50:51">
      <c r="AX9523" s="7"/>
      <c r="AY9523" s="7"/>
    </row>
    <row r="9524" spans="50:51">
      <c r="AX9524" s="7"/>
      <c r="AY9524" s="7"/>
    </row>
    <row r="9525" spans="50:51">
      <c r="AX9525" s="7"/>
      <c r="AY9525" s="7"/>
    </row>
    <row r="9526" spans="50:51">
      <c r="AX9526" s="7"/>
      <c r="AY9526" s="7"/>
    </row>
    <row r="9527" spans="50:51">
      <c r="AX9527" s="7"/>
      <c r="AY9527" s="7"/>
    </row>
    <row r="9528" spans="50:51">
      <c r="AX9528" s="7"/>
      <c r="AY9528" s="7"/>
    </row>
    <row r="9529" spans="50:51">
      <c r="AX9529" s="7"/>
      <c r="AY9529" s="7"/>
    </row>
    <row r="9530" spans="50:51">
      <c r="AX9530" s="7"/>
      <c r="AY9530" s="7"/>
    </row>
    <row r="9531" spans="50:51">
      <c r="AX9531" s="7"/>
      <c r="AY9531" s="7"/>
    </row>
    <row r="9532" spans="50:51">
      <c r="AX9532" s="7"/>
      <c r="AY9532" s="7"/>
    </row>
    <row r="9533" spans="50:51">
      <c r="AX9533" s="7"/>
      <c r="AY9533" s="7"/>
    </row>
    <row r="9534" spans="50:51">
      <c r="AX9534" s="7"/>
      <c r="AY9534" s="7"/>
    </row>
    <row r="9535" spans="50:51">
      <c r="AX9535" s="7"/>
      <c r="AY9535" s="7"/>
    </row>
    <row r="9536" spans="50:51">
      <c r="AX9536" s="7"/>
      <c r="AY9536" s="7"/>
    </row>
    <row r="9537" spans="50:51">
      <c r="AX9537" s="7"/>
      <c r="AY9537" s="7"/>
    </row>
    <row r="9538" spans="50:51">
      <c r="AX9538" s="7"/>
      <c r="AY9538" s="7"/>
    </row>
    <row r="9539" spans="50:51">
      <c r="AX9539" s="7"/>
      <c r="AY9539" s="7"/>
    </row>
    <row r="9540" spans="50:51">
      <c r="AX9540" s="7"/>
      <c r="AY9540" s="7"/>
    </row>
    <row r="9541" spans="50:51">
      <c r="AX9541" s="7"/>
      <c r="AY9541" s="7"/>
    </row>
    <row r="9542" spans="50:51">
      <c r="AX9542" s="7"/>
      <c r="AY9542" s="7"/>
    </row>
    <row r="9543" spans="50:51">
      <c r="AX9543" s="7"/>
      <c r="AY9543" s="7"/>
    </row>
    <row r="9544" spans="50:51">
      <c r="AX9544" s="7"/>
      <c r="AY9544" s="7"/>
    </row>
    <row r="9545" spans="50:51">
      <c r="AX9545" s="7"/>
      <c r="AY9545" s="7"/>
    </row>
    <row r="9546" spans="50:51">
      <c r="AX9546" s="7"/>
      <c r="AY9546" s="7"/>
    </row>
    <row r="9547" spans="50:51">
      <c r="AX9547" s="7"/>
      <c r="AY9547" s="7"/>
    </row>
    <row r="9548" spans="50:51">
      <c r="AX9548" s="7"/>
      <c r="AY9548" s="7"/>
    </row>
    <row r="9549" spans="50:51">
      <c r="AX9549" s="7"/>
      <c r="AY9549" s="7"/>
    </row>
    <row r="9550" spans="50:51">
      <c r="AX9550" s="7"/>
      <c r="AY9550" s="7"/>
    </row>
    <row r="9551" spans="50:51">
      <c r="AX9551" s="7"/>
      <c r="AY9551" s="7"/>
    </row>
    <row r="9552" spans="50:51">
      <c r="AX9552" s="7"/>
      <c r="AY9552" s="7"/>
    </row>
    <row r="9553" spans="50:51">
      <c r="AX9553" s="7"/>
      <c r="AY9553" s="7"/>
    </row>
    <row r="9554" spans="50:51">
      <c r="AX9554" s="7"/>
      <c r="AY9554" s="7"/>
    </row>
    <row r="9555" spans="50:51">
      <c r="AX9555" s="7"/>
      <c r="AY9555" s="7"/>
    </row>
    <row r="9556" spans="50:51">
      <c r="AX9556" s="7"/>
      <c r="AY9556" s="7"/>
    </row>
    <row r="9557" spans="50:51">
      <c r="AX9557" s="7"/>
      <c r="AY9557" s="7"/>
    </row>
    <row r="9558" spans="50:51">
      <c r="AX9558" s="7"/>
      <c r="AY9558" s="7"/>
    </row>
    <row r="9559" spans="50:51">
      <c r="AX9559" s="7"/>
      <c r="AY9559" s="7"/>
    </row>
    <row r="9560" spans="50:51">
      <c r="AX9560" s="7"/>
      <c r="AY9560" s="7"/>
    </row>
    <row r="9561" spans="50:51">
      <c r="AX9561" s="7"/>
      <c r="AY9561" s="7"/>
    </row>
    <row r="9562" spans="50:51">
      <c r="AX9562" s="7"/>
      <c r="AY9562" s="7"/>
    </row>
    <row r="9563" spans="50:51">
      <c r="AX9563" s="7"/>
      <c r="AY9563" s="7"/>
    </row>
    <row r="9564" spans="50:51">
      <c r="AX9564" s="7"/>
      <c r="AY9564" s="7"/>
    </row>
    <row r="9565" spans="50:51">
      <c r="AX9565" s="7"/>
      <c r="AY9565" s="7"/>
    </row>
    <row r="9566" spans="50:51">
      <c r="AX9566" s="7"/>
      <c r="AY9566" s="7"/>
    </row>
    <row r="9567" spans="50:51">
      <c r="AX9567" s="7"/>
      <c r="AY9567" s="7"/>
    </row>
    <row r="9568" spans="50:51">
      <c r="AX9568" s="7"/>
      <c r="AY9568" s="7"/>
    </row>
    <row r="9569" spans="50:51">
      <c r="AX9569" s="7"/>
      <c r="AY9569" s="7"/>
    </row>
    <row r="9570" spans="50:51">
      <c r="AX9570" s="7"/>
      <c r="AY9570" s="7"/>
    </row>
    <row r="9571" spans="50:51">
      <c r="AX9571" s="7"/>
      <c r="AY9571" s="7"/>
    </row>
    <row r="9572" spans="50:51">
      <c r="AX9572" s="7"/>
      <c r="AY9572" s="7"/>
    </row>
    <row r="9573" spans="50:51">
      <c r="AX9573" s="7"/>
      <c r="AY9573" s="7"/>
    </row>
    <row r="9574" spans="50:51">
      <c r="AX9574" s="7"/>
      <c r="AY9574" s="7"/>
    </row>
    <row r="9575" spans="50:51">
      <c r="AX9575" s="7"/>
      <c r="AY9575" s="7"/>
    </row>
    <row r="9576" spans="50:51">
      <c r="AX9576" s="7"/>
      <c r="AY9576" s="7"/>
    </row>
    <row r="9577" spans="50:51">
      <c r="AX9577" s="7"/>
      <c r="AY9577" s="7"/>
    </row>
    <row r="9578" spans="50:51">
      <c r="AX9578" s="7"/>
      <c r="AY9578" s="7"/>
    </row>
    <row r="9579" spans="50:51">
      <c r="AX9579" s="7"/>
      <c r="AY9579" s="7"/>
    </row>
    <row r="9580" spans="50:51">
      <c r="AX9580" s="7"/>
      <c r="AY9580" s="7"/>
    </row>
    <row r="9581" spans="50:51">
      <c r="AX9581" s="7"/>
      <c r="AY9581" s="7"/>
    </row>
    <row r="9582" spans="50:51">
      <c r="AX9582" s="7"/>
      <c r="AY9582" s="7"/>
    </row>
    <row r="9583" spans="50:51">
      <c r="AX9583" s="7"/>
      <c r="AY9583" s="7"/>
    </row>
    <row r="9584" spans="50:51">
      <c r="AX9584" s="7"/>
      <c r="AY9584" s="7"/>
    </row>
    <row r="9585" spans="50:51">
      <c r="AX9585" s="7"/>
      <c r="AY9585" s="7"/>
    </row>
    <row r="9586" spans="50:51">
      <c r="AX9586" s="7"/>
      <c r="AY9586" s="7"/>
    </row>
    <row r="9587" spans="50:51">
      <c r="AX9587" s="7"/>
      <c r="AY9587" s="7"/>
    </row>
    <row r="9588" spans="50:51">
      <c r="AX9588" s="7"/>
      <c r="AY9588" s="7"/>
    </row>
    <row r="9589" spans="50:51">
      <c r="AX9589" s="7"/>
      <c r="AY9589" s="7"/>
    </row>
    <row r="9590" spans="50:51">
      <c r="AX9590" s="7"/>
      <c r="AY9590" s="7"/>
    </row>
    <row r="9591" spans="50:51">
      <c r="AX9591" s="7"/>
      <c r="AY9591" s="7"/>
    </row>
    <row r="9592" spans="50:51">
      <c r="AX9592" s="7"/>
      <c r="AY9592" s="7"/>
    </row>
    <row r="9593" spans="50:51">
      <c r="AX9593" s="7"/>
      <c r="AY9593" s="7"/>
    </row>
    <row r="9594" spans="50:51">
      <c r="AX9594" s="7"/>
      <c r="AY9594" s="7"/>
    </row>
    <row r="9595" spans="50:51">
      <c r="AX9595" s="7"/>
      <c r="AY9595" s="7"/>
    </row>
    <row r="9596" spans="50:51">
      <c r="AX9596" s="7"/>
      <c r="AY9596" s="7"/>
    </row>
    <row r="9597" spans="50:51">
      <c r="AX9597" s="7"/>
      <c r="AY9597" s="7"/>
    </row>
    <row r="9598" spans="50:51">
      <c r="AX9598" s="7"/>
      <c r="AY9598" s="7"/>
    </row>
    <row r="9599" spans="50:51">
      <c r="AX9599" s="7"/>
      <c r="AY9599" s="7"/>
    </row>
    <row r="9600" spans="50:51">
      <c r="AX9600" s="7"/>
      <c r="AY9600" s="7"/>
    </row>
    <row r="9601" spans="50:51">
      <c r="AX9601" s="7"/>
      <c r="AY9601" s="7"/>
    </row>
    <row r="9602" spans="50:51">
      <c r="AX9602" s="7"/>
      <c r="AY9602" s="7"/>
    </row>
    <row r="9603" spans="50:51">
      <c r="AX9603" s="7"/>
      <c r="AY9603" s="7"/>
    </row>
    <row r="9604" spans="50:51">
      <c r="AX9604" s="7"/>
      <c r="AY9604" s="7"/>
    </row>
    <row r="9605" spans="50:51">
      <c r="AX9605" s="7"/>
      <c r="AY9605" s="7"/>
    </row>
    <row r="9606" spans="50:51">
      <c r="AX9606" s="7"/>
      <c r="AY9606" s="7"/>
    </row>
    <row r="9607" spans="50:51">
      <c r="AX9607" s="7"/>
      <c r="AY9607" s="7"/>
    </row>
    <row r="9608" spans="50:51">
      <c r="AX9608" s="7"/>
      <c r="AY9608" s="7"/>
    </row>
    <row r="9609" spans="50:51">
      <c r="AX9609" s="7"/>
      <c r="AY9609" s="7"/>
    </row>
    <row r="9610" spans="50:51">
      <c r="AX9610" s="7"/>
      <c r="AY9610" s="7"/>
    </row>
    <row r="9611" spans="50:51">
      <c r="AX9611" s="7"/>
      <c r="AY9611" s="7"/>
    </row>
    <row r="9612" spans="50:51">
      <c r="AX9612" s="7"/>
      <c r="AY9612" s="7"/>
    </row>
    <row r="9613" spans="50:51">
      <c r="AX9613" s="7"/>
      <c r="AY9613" s="7"/>
    </row>
    <row r="9614" spans="50:51">
      <c r="AX9614" s="7"/>
      <c r="AY9614" s="7"/>
    </row>
    <row r="9615" spans="50:51">
      <c r="AX9615" s="7"/>
      <c r="AY9615" s="7"/>
    </row>
    <row r="9616" spans="50:51">
      <c r="AX9616" s="7"/>
      <c r="AY9616" s="7"/>
    </row>
    <row r="9617" spans="50:51">
      <c r="AX9617" s="7"/>
      <c r="AY9617" s="7"/>
    </row>
    <row r="9618" spans="50:51">
      <c r="AX9618" s="7"/>
      <c r="AY9618" s="7"/>
    </row>
    <row r="9619" spans="50:51">
      <c r="AX9619" s="7"/>
      <c r="AY9619" s="7"/>
    </row>
    <row r="9620" spans="50:51">
      <c r="AX9620" s="7"/>
      <c r="AY9620" s="7"/>
    </row>
    <row r="9621" spans="50:51">
      <c r="AX9621" s="7"/>
      <c r="AY9621" s="7"/>
    </row>
    <row r="9622" spans="50:51">
      <c r="AX9622" s="7"/>
      <c r="AY9622" s="7"/>
    </row>
    <row r="9623" spans="50:51">
      <c r="AX9623" s="7"/>
      <c r="AY9623" s="7"/>
    </row>
    <row r="9624" spans="50:51">
      <c r="AX9624" s="7"/>
      <c r="AY9624" s="7"/>
    </row>
    <row r="9625" spans="50:51">
      <c r="AX9625" s="7"/>
      <c r="AY9625" s="7"/>
    </row>
    <row r="9626" spans="50:51">
      <c r="AX9626" s="7"/>
      <c r="AY9626" s="7"/>
    </row>
    <row r="9627" spans="50:51">
      <c r="AX9627" s="7"/>
      <c r="AY9627" s="7"/>
    </row>
    <row r="9628" spans="50:51">
      <c r="AX9628" s="7"/>
      <c r="AY9628" s="7"/>
    </row>
    <row r="9629" spans="50:51">
      <c r="AX9629" s="7"/>
      <c r="AY9629" s="7"/>
    </row>
    <row r="9630" spans="50:51">
      <c r="AX9630" s="7"/>
      <c r="AY9630" s="7"/>
    </row>
    <row r="9631" spans="50:51">
      <c r="AX9631" s="7"/>
      <c r="AY9631" s="7"/>
    </row>
    <row r="9632" spans="50:51">
      <c r="AX9632" s="7"/>
      <c r="AY9632" s="7"/>
    </row>
    <row r="9633" spans="50:51">
      <c r="AX9633" s="7"/>
      <c r="AY9633" s="7"/>
    </row>
    <row r="9634" spans="50:51">
      <c r="AX9634" s="7"/>
      <c r="AY9634" s="7"/>
    </row>
    <row r="9635" spans="50:51">
      <c r="AX9635" s="7"/>
      <c r="AY9635" s="7"/>
    </row>
    <row r="9636" spans="50:51">
      <c r="AX9636" s="7"/>
      <c r="AY9636" s="7"/>
    </row>
    <row r="9637" spans="50:51">
      <c r="AX9637" s="7"/>
      <c r="AY9637" s="7"/>
    </row>
    <row r="9638" spans="50:51">
      <c r="AX9638" s="7"/>
      <c r="AY9638" s="7"/>
    </row>
    <row r="9639" spans="50:51">
      <c r="AX9639" s="7"/>
      <c r="AY9639" s="7"/>
    </row>
    <row r="9640" spans="50:51">
      <c r="AX9640" s="7"/>
      <c r="AY9640" s="7"/>
    </row>
    <row r="9641" spans="50:51">
      <c r="AX9641" s="7"/>
      <c r="AY9641" s="7"/>
    </row>
    <row r="9642" spans="50:51">
      <c r="AX9642" s="7"/>
      <c r="AY9642" s="7"/>
    </row>
    <row r="9643" spans="50:51">
      <c r="AX9643" s="7"/>
      <c r="AY9643" s="7"/>
    </row>
    <row r="9644" spans="50:51">
      <c r="AX9644" s="7"/>
      <c r="AY9644" s="7"/>
    </row>
    <row r="9645" spans="50:51">
      <c r="AX9645" s="7"/>
      <c r="AY9645" s="7"/>
    </row>
    <row r="9646" spans="50:51">
      <c r="AX9646" s="7"/>
      <c r="AY9646" s="7"/>
    </row>
    <row r="9647" spans="50:51">
      <c r="AX9647" s="7"/>
      <c r="AY9647" s="7"/>
    </row>
    <row r="9648" spans="50:51">
      <c r="AX9648" s="7"/>
      <c r="AY9648" s="7"/>
    </row>
    <row r="9649" spans="50:51">
      <c r="AX9649" s="7"/>
      <c r="AY9649" s="7"/>
    </row>
    <row r="9650" spans="50:51">
      <c r="AX9650" s="7"/>
      <c r="AY9650" s="7"/>
    </row>
    <row r="9651" spans="50:51">
      <c r="AX9651" s="7"/>
      <c r="AY9651" s="7"/>
    </row>
    <row r="9652" spans="50:51">
      <c r="AX9652" s="7"/>
      <c r="AY9652" s="7"/>
    </row>
    <row r="9653" spans="50:51">
      <c r="AX9653" s="7"/>
      <c r="AY9653" s="7"/>
    </row>
    <row r="9654" spans="50:51">
      <c r="AX9654" s="7"/>
      <c r="AY9654" s="7"/>
    </row>
    <row r="9655" spans="50:51">
      <c r="AX9655" s="7"/>
      <c r="AY9655" s="7"/>
    </row>
    <row r="9656" spans="50:51">
      <c r="AX9656" s="7"/>
      <c r="AY9656" s="7"/>
    </row>
    <row r="9657" spans="50:51">
      <c r="AX9657" s="7"/>
      <c r="AY9657" s="7"/>
    </row>
    <row r="9658" spans="50:51">
      <c r="AX9658" s="7"/>
      <c r="AY9658" s="7"/>
    </row>
    <row r="9659" spans="50:51">
      <c r="AX9659" s="7"/>
      <c r="AY9659" s="7"/>
    </row>
    <row r="9660" spans="50:51">
      <c r="AX9660" s="7"/>
      <c r="AY9660" s="7"/>
    </row>
    <row r="9661" spans="50:51">
      <c r="AX9661" s="7"/>
      <c r="AY9661" s="7"/>
    </row>
    <row r="9662" spans="50:51">
      <c r="AX9662" s="7"/>
      <c r="AY9662" s="7"/>
    </row>
    <row r="9663" spans="50:51">
      <c r="AX9663" s="7"/>
      <c r="AY9663" s="7"/>
    </row>
    <row r="9664" spans="50:51">
      <c r="AX9664" s="7"/>
      <c r="AY9664" s="7"/>
    </row>
    <row r="9665" spans="50:51">
      <c r="AX9665" s="7"/>
      <c r="AY9665" s="7"/>
    </row>
    <row r="9666" spans="50:51">
      <c r="AX9666" s="7"/>
      <c r="AY9666" s="7"/>
    </row>
    <row r="9667" spans="50:51">
      <c r="AX9667" s="7"/>
      <c r="AY9667" s="7"/>
    </row>
    <row r="9668" spans="50:51">
      <c r="AX9668" s="7"/>
      <c r="AY9668" s="7"/>
    </row>
    <row r="9669" spans="50:51">
      <c r="AX9669" s="7"/>
      <c r="AY9669" s="7"/>
    </row>
    <row r="9670" spans="50:51">
      <c r="AX9670" s="7"/>
      <c r="AY9670" s="7"/>
    </row>
    <row r="9671" spans="50:51">
      <c r="AX9671" s="7"/>
      <c r="AY9671" s="7"/>
    </row>
    <row r="9672" spans="50:51">
      <c r="AX9672" s="7"/>
      <c r="AY9672" s="7"/>
    </row>
    <row r="9673" spans="50:51">
      <c r="AX9673" s="7"/>
      <c r="AY9673" s="7"/>
    </row>
    <row r="9674" spans="50:51">
      <c r="AX9674" s="7"/>
      <c r="AY9674" s="7"/>
    </row>
    <row r="9675" spans="50:51">
      <c r="AX9675" s="7"/>
      <c r="AY9675" s="7"/>
    </row>
    <row r="9676" spans="50:51">
      <c r="AX9676" s="7"/>
      <c r="AY9676" s="7"/>
    </row>
    <row r="9677" spans="50:51">
      <c r="AX9677" s="7"/>
      <c r="AY9677" s="7"/>
    </row>
    <row r="9678" spans="50:51">
      <c r="AX9678" s="7"/>
      <c r="AY9678" s="7"/>
    </row>
    <row r="9679" spans="50:51">
      <c r="AX9679" s="7"/>
      <c r="AY9679" s="7"/>
    </row>
    <row r="9680" spans="50:51">
      <c r="AX9680" s="7"/>
      <c r="AY9680" s="7"/>
    </row>
    <row r="9681" spans="50:51">
      <c r="AX9681" s="7"/>
      <c r="AY9681" s="7"/>
    </row>
    <row r="9682" spans="50:51">
      <c r="AX9682" s="7"/>
      <c r="AY9682" s="7"/>
    </row>
    <row r="9683" spans="50:51">
      <c r="AX9683" s="7"/>
      <c r="AY9683" s="7"/>
    </row>
    <row r="9684" spans="50:51">
      <c r="AX9684" s="7"/>
      <c r="AY9684" s="7"/>
    </row>
    <row r="9685" spans="50:51">
      <c r="AX9685" s="7"/>
      <c r="AY9685" s="7"/>
    </row>
    <row r="9686" spans="50:51">
      <c r="AX9686" s="7"/>
      <c r="AY9686" s="7"/>
    </row>
    <row r="9687" spans="50:51">
      <c r="AX9687" s="7"/>
      <c r="AY9687" s="7"/>
    </row>
    <row r="9688" spans="50:51">
      <c r="AX9688" s="7"/>
      <c r="AY9688" s="7"/>
    </row>
    <row r="9689" spans="50:51">
      <c r="AX9689" s="7"/>
      <c r="AY9689" s="7"/>
    </row>
    <row r="9690" spans="50:51">
      <c r="AX9690" s="7"/>
      <c r="AY9690" s="7"/>
    </row>
    <row r="9691" spans="50:51">
      <c r="AX9691" s="7"/>
      <c r="AY9691" s="7"/>
    </row>
    <row r="9692" spans="50:51">
      <c r="AX9692" s="7"/>
      <c r="AY9692" s="7"/>
    </row>
    <row r="9693" spans="50:51">
      <c r="AX9693" s="7"/>
      <c r="AY9693" s="7"/>
    </row>
    <row r="9694" spans="50:51">
      <c r="AX9694" s="7"/>
      <c r="AY9694" s="7"/>
    </row>
    <row r="9695" spans="50:51">
      <c r="AX9695" s="7"/>
      <c r="AY9695" s="7"/>
    </row>
    <row r="9696" spans="50:51">
      <c r="AX9696" s="7"/>
      <c r="AY9696" s="7"/>
    </row>
    <row r="9697" spans="50:51">
      <c r="AX9697" s="7"/>
      <c r="AY9697" s="7"/>
    </row>
    <row r="9698" spans="50:51">
      <c r="AX9698" s="7"/>
      <c r="AY9698" s="7"/>
    </row>
    <row r="9699" spans="50:51">
      <c r="AX9699" s="7"/>
      <c r="AY9699" s="7"/>
    </row>
    <row r="9700" spans="50:51">
      <c r="AX9700" s="7"/>
      <c r="AY9700" s="7"/>
    </row>
    <row r="9701" spans="50:51">
      <c r="AX9701" s="7"/>
      <c r="AY9701" s="7"/>
    </row>
    <row r="9702" spans="50:51">
      <c r="AX9702" s="7"/>
      <c r="AY9702" s="7"/>
    </row>
    <row r="9703" spans="50:51">
      <c r="AX9703" s="7"/>
      <c r="AY9703" s="7"/>
    </row>
    <row r="9704" spans="50:51">
      <c r="AX9704" s="7"/>
      <c r="AY9704" s="7"/>
    </row>
    <row r="9705" spans="50:51">
      <c r="AX9705" s="7"/>
      <c r="AY9705" s="7"/>
    </row>
    <row r="9706" spans="50:51">
      <c r="AX9706" s="7"/>
      <c r="AY9706" s="7"/>
    </row>
    <row r="9707" spans="50:51">
      <c r="AX9707" s="7"/>
      <c r="AY9707" s="7"/>
    </row>
    <row r="9708" spans="50:51">
      <c r="AX9708" s="7"/>
      <c r="AY9708" s="7"/>
    </row>
    <row r="9709" spans="50:51">
      <c r="AX9709" s="7"/>
      <c r="AY9709" s="7"/>
    </row>
    <row r="9710" spans="50:51">
      <c r="AX9710" s="7"/>
      <c r="AY9710" s="7"/>
    </row>
    <row r="9711" spans="50:51">
      <c r="AX9711" s="7"/>
      <c r="AY9711" s="7"/>
    </row>
    <row r="9712" spans="50:51">
      <c r="AX9712" s="7"/>
      <c r="AY9712" s="7"/>
    </row>
    <row r="9713" spans="50:51">
      <c r="AX9713" s="7"/>
      <c r="AY9713" s="7"/>
    </row>
    <row r="9714" spans="50:51">
      <c r="AX9714" s="7"/>
      <c r="AY9714" s="7"/>
    </row>
    <row r="9715" spans="50:51">
      <c r="AX9715" s="7"/>
      <c r="AY9715" s="7"/>
    </row>
    <row r="9716" spans="50:51">
      <c r="AX9716" s="7"/>
      <c r="AY9716" s="7"/>
    </row>
    <row r="9717" spans="50:51">
      <c r="AX9717" s="7"/>
      <c r="AY9717" s="7"/>
    </row>
    <row r="9718" spans="50:51">
      <c r="AX9718" s="7"/>
      <c r="AY9718" s="7"/>
    </row>
    <row r="9719" spans="50:51">
      <c r="AX9719" s="7"/>
      <c r="AY9719" s="7"/>
    </row>
    <row r="9720" spans="50:51">
      <c r="AX9720" s="7"/>
      <c r="AY9720" s="7"/>
    </row>
    <row r="9721" spans="50:51">
      <c r="AX9721" s="7"/>
      <c r="AY9721" s="7"/>
    </row>
    <row r="9722" spans="50:51">
      <c r="AX9722" s="7"/>
      <c r="AY9722" s="7"/>
    </row>
    <row r="9723" spans="50:51">
      <c r="AX9723" s="7"/>
      <c r="AY9723" s="7"/>
    </row>
    <row r="9724" spans="50:51">
      <c r="AX9724" s="7"/>
      <c r="AY9724" s="7"/>
    </row>
    <row r="9725" spans="50:51">
      <c r="AX9725" s="7"/>
      <c r="AY9725" s="7"/>
    </row>
    <row r="9726" spans="50:51">
      <c r="AX9726" s="7"/>
      <c r="AY9726" s="7"/>
    </row>
    <row r="9727" spans="50:51">
      <c r="AX9727" s="7"/>
      <c r="AY9727" s="7"/>
    </row>
    <row r="9728" spans="50:51">
      <c r="AX9728" s="7"/>
      <c r="AY9728" s="7"/>
    </row>
    <row r="9729" spans="50:51">
      <c r="AX9729" s="7"/>
      <c r="AY9729" s="7"/>
    </row>
    <row r="9730" spans="50:51">
      <c r="AX9730" s="7"/>
      <c r="AY9730" s="7"/>
    </row>
    <row r="9731" spans="50:51">
      <c r="AX9731" s="7"/>
      <c r="AY9731" s="7"/>
    </row>
    <row r="9732" spans="50:51">
      <c r="AX9732" s="7"/>
      <c r="AY9732" s="7"/>
    </row>
    <row r="9733" spans="50:51">
      <c r="AX9733" s="7"/>
      <c r="AY9733" s="7"/>
    </row>
    <row r="9734" spans="50:51">
      <c r="AX9734" s="7"/>
      <c r="AY9734" s="7"/>
    </row>
    <row r="9735" spans="50:51">
      <c r="AX9735" s="7"/>
      <c r="AY9735" s="7"/>
    </row>
    <row r="9736" spans="50:51">
      <c r="AX9736" s="7"/>
      <c r="AY9736" s="7"/>
    </row>
    <row r="9737" spans="50:51">
      <c r="AX9737" s="7"/>
      <c r="AY9737" s="7"/>
    </row>
    <row r="9738" spans="50:51">
      <c r="AX9738" s="7"/>
      <c r="AY9738" s="7"/>
    </row>
    <row r="9739" spans="50:51">
      <c r="AX9739" s="7"/>
      <c r="AY9739" s="7"/>
    </row>
    <row r="9740" spans="50:51">
      <c r="AX9740" s="7"/>
      <c r="AY9740" s="7"/>
    </row>
    <row r="9741" spans="50:51">
      <c r="AX9741" s="7"/>
      <c r="AY9741" s="7"/>
    </row>
    <row r="9742" spans="50:51">
      <c r="AX9742" s="7"/>
      <c r="AY9742" s="7"/>
    </row>
    <row r="9743" spans="50:51">
      <c r="AX9743" s="7"/>
      <c r="AY9743" s="7"/>
    </row>
    <row r="9744" spans="50:51">
      <c r="AX9744" s="7"/>
      <c r="AY9744" s="7"/>
    </row>
    <row r="9745" spans="50:51">
      <c r="AX9745" s="7"/>
      <c r="AY9745" s="7"/>
    </row>
    <row r="9746" spans="50:51">
      <c r="AX9746" s="7"/>
      <c r="AY9746" s="7"/>
    </row>
    <row r="9747" spans="50:51">
      <c r="AX9747" s="7"/>
      <c r="AY9747" s="7"/>
    </row>
    <row r="9748" spans="50:51">
      <c r="AX9748" s="7"/>
      <c r="AY9748" s="7"/>
    </row>
    <row r="9749" spans="50:51">
      <c r="AX9749" s="7"/>
      <c r="AY9749" s="7"/>
    </row>
    <row r="9750" spans="50:51">
      <c r="AX9750" s="7"/>
      <c r="AY9750" s="7"/>
    </row>
    <row r="9751" spans="50:51">
      <c r="AX9751" s="7"/>
      <c r="AY9751" s="7"/>
    </row>
    <row r="9752" spans="50:51">
      <c r="AX9752" s="7"/>
      <c r="AY9752" s="7"/>
    </row>
    <row r="9753" spans="50:51">
      <c r="AX9753" s="7"/>
      <c r="AY9753" s="7"/>
    </row>
    <row r="9754" spans="50:51">
      <c r="AX9754" s="7"/>
      <c r="AY9754" s="7"/>
    </row>
    <row r="9755" spans="50:51">
      <c r="AX9755" s="7"/>
      <c r="AY9755" s="7"/>
    </row>
    <row r="9756" spans="50:51">
      <c r="AX9756" s="7"/>
      <c r="AY9756" s="7"/>
    </row>
    <row r="9757" spans="50:51">
      <c r="AX9757" s="7"/>
      <c r="AY9757" s="7"/>
    </row>
    <row r="9758" spans="50:51">
      <c r="AX9758" s="7"/>
      <c r="AY9758" s="7"/>
    </row>
    <row r="9759" spans="50:51">
      <c r="AX9759" s="7"/>
      <c r="AY9759" s="7"/>
    </row>
    <row r="9760" spans="50:51">
      <c r="AX9760" s="7"/>
      <c r="AY9760" s="7"/>
    </row>
    <row r="9761" spans="50:51">
      <c r="AX9761" s="7"/>
      <c r="AY9761" s="7"/>
    </row>
    <row r="9762" spans="50:51">
      <c r="AX9762" s="7"/>
      <c r="AY9762" s="7"/>
    </row>
    <row r="9763" spans="50:51">
      <c r="AX9763" s="7"/>
      <c r="AY9763" s="7"/>
    </row>
    <row r="9764" spans="50:51">
      <c r="AX9764" s="7"/>
      <c r="AY9764" s="7"/>
    </row>
    <row r="9765" spans="50:51">
      <c r="AX9765" s="7"/>
      <c r="AY9765" s="7"/>
    </row>
    <row r="9766" spans="50:51">
      <c r="AX9766" s="7"/>
      <c r="AY9766" s="7"/>
    </row>
    <row r="9767" spans="50:51">
      <c r="AX9767" s="7"/>
      <c r="AY9767" s="7"/>
    </row>
    <row r="9768" spans="50:51">
      <c r="AX9768" s="7"/>
      <c r="AY9768" s="7"/>
    </row>
    <row r="9769" spans="50:51">
      <c r="AX9769" s="7"/>
      <c r="AY9769" s="7"/>
    </row>
    <row r="9770" spans="50:51">
      <c r="AX9770" s="7"/>
      <c r="AY9770" s="7"/>
    </row>
    <row r="9771" spans="50:51">
      <c r="AX9771" s="7"/>
      <c r="AY9771" s="7"/>
    </row>
    <row r="9772" spans="50:51">
      <c r="AX9772" s="7"/>
      <c r="AY9772" s="7"/>
    </row>
    <row r="9773" spans="50:51">
      <c r="AX9773" s="7"/>
      <c r="AY9773" s="7"/>
    </row>
    <row r="9774" spans="50:51">
      <c r="AX9774" s="7"/>
      <c r="AY9774" s="7"/>
    </row>
    <row r="9775" spans="50:51">
      <c r="AX9775" s="7"/>
      <c r="AY9775" s="7"/>
    </row>
    <row r="9776" spans="50:51">
      <c r="AX9776" s="7"/>
      <c r="AY9776" s="7"/>
    </row>
    <row r="9777" spans="50:51">
      <c r="AX9777" s="7"/>
      <c r="AY9777" s="7"/>
    </row>
    <row r="9778" spans="50:51">
      <c r="AX9778" s="7"/>
      <c r="AY9778" s="7"/>
    </row>
    <row r="9779" spans="50:51">
      <c r="AX9779" s="7"/>
      <c r="AY9779" s="7"/>
    </row>
    <row r="9780" spans="50:51">
      <c r="AX9780" s="7"/>
      <c r="AY9780" s="7"/>
    </row>
    <row r="9781" spans="50:51">
      <c r="AX9781" s="7"/>
      <c r="AY9781" s="7"/>
    </row>
    <row r="9782" spans="50:51">
      <c r="AX9782" s="7"/>
      <c r="AY9782" s="7"/>
    </row>
    <row r="9783" spans="50:51">
      <c r="AX9783" s="7"/>
      <c r="AY9783" s="7"/>
    </row>
    <row r="9784" spans="50:51">
      <c r="AX9784" s="7"/>
      <c r="AY9784" s="7"/>
    </row>
    <row r="9785" spans="50:51">
      <c r="AX9785" s="7"/>
      <c r="AY9785" s="7"/>
    </row>
    <row r="9786" spans="50:51">
      <c r="AX9786" s="7"/>
      <c r="AY9786" s="7"/>
    </row>
    <row r="9787" spans="50:51">
      <c r="AX9787" s="7"/>
      <c r="AY9787" s="7"/>
    </row>
    <row r="9788" spans="50:51">
      <c r="AX9788" s="7"/>
      <c r="AY9788" s="7"/>
    </row>
    <row r="9789" spans="50:51">
      <c r="AX9789" s="7"/>
      <c r="AY9789" s="7"/>
    </row>
    <row r="9790" spans="50:51">
      <c r="AX9790" s="7"/>
      <c r="AY9790" s="7"/>
    </row>
    <row r="9791" spans="50:51">
      <c r="AX9791" s="7"/>
      <c r="AY9791" s="7"/>
    </row>
    <row r="9792" spans="50:51">
      <c r="AX9792" s="7"/>
      <c r="AY9792" s="7"/>
    </row>
    <row r="9793" spans="50:51">
      <c r="AX9793" s="7"/>
      <c r="AY9793" s="7"/>
    </row>
    <row r="9794" spans="50:51">
      <c r="AX9794" s="7"/>
      <c r="AY9794" s="7"/>
    </row>
    <row r="9795" spans="50:51">
      <c r="AX9795" s="7"/>
      <c r="AY9795" s="7"/>
    </row>
    <row r="9796" spans="50:51">
      <c r="AX9796" s="7"/>
      <c r="AY9796" s="7"/>
    </row>
    <row r="9797" spans="50:51">
      <c r="AX9797" s="7"/>
      <c r="AY9797" s="7"/>
    </row>
    <row r="9798" spans="50:51">
      <c r="AX9798" s="7"/>
      <c r="AY9798" s="7"/>
    </row>
    <row r="9799" spans="50:51">
      <c r="AX9799" s="7"/>
      <c r="AY9799" s="7"/>
    </row>
    <row r="9800" spans="50:51">
      <c r="AX9800" s="7"/>
      <c r="AY9800" s="7"/>
    </row>
    <row r="9801" spans="50:51">
      <c r="AX9801" s="7"/>
      <c r="AY9801" s="7"/>
    </row>
    <row r="9802" spans="50:51">
      <c r="AX9802" s="7"/>
      <c r="AY9802" s="7"/>
    </row>
    <row r="9803" spans="50:51">
      <c r="AX9803" s="7"/>
      <c r="AY9803" s="7"/>
    </row>
    <row r="9804" spans="50:51">
      <c r="AX9804" s="7"/>
      <c r="AY9804" s="7"/>
    </row>
    <row r="9805" spans="50:51">
      <c r="AX9805" s="7"/>
      <c r="AY9805" s="7"/>
    </row>
    <row r="9806" spans="50:51">
      <c r="AX9806" s="7"/>
      <c r="AY9806" s="7"/>
    </row>
    <row r="9807" spans="50:51">
      <c r="AX9807" s="7"/>
      <c r="AY9807" s="7"/>
    </row>
    <row r="9808" spans="50:51">
      <c r="AX9808" s="7"/>
      <c r="AY9808" s="7"/>
    </row>
    <row r="9809" spans="50:51">
      <c r="AX9809" s="7"/>
      <c r="AY9809" s="7"/>
    </row>
    <row r="9810" spans="50:51">
      <c r="AX9810" s="7"/>
      <c r="AY9810" s="7"/>
    </row>
    <row r="9811" spans="50:51">
      <c r="AX9811" s="7"/>
      <c r="AY9811" s="7"/>
    </row>
    <row r="9812" spans="50:51">
      <c r="AX9812" s="7"/>
      <c r="AY9812" s="7"/>
    </row>
    <row r="9813" spans="50:51">
      <c r="AX9813" s="7"/>
      <c r="AY9813" s="7"/>
    </row>
    <row r="9814" spans="50:51">
      <c r="AX9814" s="7"/>
      <c r="AY9814" s="7"/>
    </row>
    <row r="9815" spans="50:51">
      <c r="AX9815" s="7"/>
      <c r="AY9815" s="7"/>
    </row>
    <row r="9816" spans="50:51">
      <c r="AX9816" s="7"/>
      <c r="AY9816" s="7"/>
    </row>
    <row r="9817" spans="50:51">
      <c r="AX9817" s="7"/>
      <c r="AY9817" s="7"/>
    </row>
    <row r="9818" spans="50:51">
      <c r="AX9818" s="7"/>
      <c r="AY9818" s="7"/>
    </row>
    <row r="9819" spans="50:51">
      <c r="AX9819" s="7"/>
      <c r="AY9819" s="7"/>
    </row>
    <row r="9820" spans="50:51">
      <c r="AX9820" s="7"/>
      <c r="AY9820" s="7"/>
    </row>
    <row r="9821" spans="50:51">
      <c r="AX9821" s="7"/>
      <c r="AY9821" s="7"/>
    </row>
    <row r="9822" spans="50:51">
      <c r="AX9822" s="7"/>
      <c r="AY9822" s="7"/>
    </row>
    <row r="9823" spans="50:51">
      <c r="AX9823" s="7"/>
      <c r="AY9823" s="7"/>
    </row>
    <row r="9824" spans="50:51">
      <c r="AX9824" s="7"/>
      <c r="AY9824" s="7"/>
    </row>
    <row r="9825" spans="50:51">
      <c r="AX9825" s="7"/>
      <c r="AY9825" s="7"/>
    </row>
    <row r="9826" spans="50:51">
      <c r="AX9826" s="7"/>
      <c r="AY9826" s="7"/>
    </row>
    <row r="9827" spans="50:51">
      <c r="AX9827" s="7"/>
      <c r="AY9827" s="7"/>
    </row>
    <row r="9828" spans="50:51">
      <c r="AX9828" s="7"/>
      <c r="AY9828" s="7"/>
    </row>
    <row r="9829" spans="50:51">
      <c r="AX9829" s="7"/>
      <c r="AY9829" s="7"/>
    </row>
    <row r="9830" spans="50:51">
      <c r="AX9830" s="7"/>
      <c r="AY9830" s="7"/>
    </row>
    <row r="9831" spans="50:51">
      <c r="AX9831" s="7"/>
      <c r="AY9831" s="7"/>
    </row>
    <row r="9832" spans="50:51">
      <c r="AX9832" s="7"/>
      <c r="AY9832" s="7"/>
    </row>
    <row r="9833" spans="50:51">
      <c r="AX9833" s="7"/>
      <c r="AY9833" s="7"/>
    </row>
    <row r="9834" spans="50:51">
      <c r="AX9834" s="7"/>
      <c r="AY9834" s="7"/>
    </row>
    <row r="9835" spans="50:51">
      <c r="AX9835" s="7"/>
      <c r="AY9835" s="7"/>
    </row>
    <row r="9836" spans="50:51">
      <c r="AX9836" s="7"/>
      <c r="AY9836" s="7"/>
    </row>
    <row r="9837" spans="50:51">
      <c r="AX9837" s="7"/>
      <c r="AY9837" s="7"/>
    </row>
    <row r="9838" spans="50:51">
      <c r="AX9838" s="7"/>
      <c r="AY9838" s="7"/>
    </row>
    <row r="9839" spans="50:51">
      <c r="AX9839" s="7"/>
      <c r="AY9839" s="7"/>
    </row>
    <row r="9840" spans="50:51">
      <c r="AX9840" s="7"/>
      <c r="AY9840" s="7"/>
    </row>
    <row r="9841" spans="50:51">
      <c r="AX9841" s="7"/>
      <c r="AY9841" s="7"/>
    </row>
    <row r="9842" spans="50:51">
      <c r="AX9842" s="7"/>
      <c r="AY9842" s="7"/>
    </row>
    <row r="9843" spans="50:51">
      <c r="AX9843" s="7"/>
      <c r="AY9843" s="7"/>
    </row>
    <row r="9844" spans="50:51">
      <c r="AX9844" s="7"/>
      <c r="AY9844" s="7"/>
    </row>
    <row r="9845" spans="50:51">
      <c r="AX9845" s="7"/>
      <c r="AY9845" s="7"/>
    </row>
    <row r="9846" spans="50:51">
      <c r="AX9846" s="7"/>
      <c r="AY9846" s="7"/>
    </row>
    <row r="9847" spans="50:51">
      <c r="AX9847" s="7"/>
      <c r="AY9847" s="7"/>
    </row>
    <row r="9848" spans="50:51">
      <c r="AX9848" s="7"/>
      <c r="AY9848" s="7"/>
    </row>
    <row r="9849" spans="50:51">
      <c r="AX9849" s="7"/>
      <c r="AY9849" s="7"/>
    </row>
    <row r="9850" spans="50:51">
      <c r="AX9850" s="7"/>
      <c r="AY9850" s="7"/>
    </row>
    <row r="9851" spans="50:51">
      <c r="AX9851" s="7"/>
      <c r="AY9851" s="7"/>
    </row>
    <row r="9852" spans="50:51">
      <c r="AX9852" s="7"/>
      <c r="AY9852" s="7"/>
    </row>
    <row r="9853" spans="50:51">
      <c r="AX9853" s="7"/>
      <c r="AY9853" s="7"/>
    </row>
    <row r="9854" spans="50:51">
      <c r="AX9854" s="7"/>
      <c r="AY9854" s="7"/>
    </row>
    <row r="9855" spans="50:51">
      <c r="AX9855" s="7"/>
      <c r="AY9855" s="7"/>
    </row>
    <row r="9856" spans="50:51">
      <c r="AX9856" s="7"/>
      <c r="AY9856" s="7"/>
    </row>
    <row r="9857" spans="50:51">
      <c r="AX9857" s="7"/>
      <c r="AY9857" s="7"/>
    </row>
    <row r="9858" spans="50:51">
      <c r="AX9858" s="7"/>
      <c r="AY9858" s="7"/>
    </row>
    <row r="9859" spans="50:51">
      <c r="AX9859" s="7"/>
      <c r="AY9859" s="7"/>
    </row>
    <row r="9860" spans="50:51">
      <c r="AX9860" s="7"/>
      <c r="AY9860" s="7"/>
    </row>
    <row r="9861" spans="50:51">
      <c r="AX9861" s="7"/>
      <c r="AY9861" s="7"/>
    </row>
    <row r="9862" spans="50:51">
      <c r="AX9862" s="7"/>
      <c r="AY9862" s="7"/>
    </row>
    <row r="9863" spans="50:51">
      <c r="AX9863" s="7"/>
      <c r="AY9863" s="7"/>
    </row>
    <row r="9864" spans="50:51">
      <c r="AX9864" s="7"/>
      <c r="AY9864" s="7"/>
    </row>
    <row r="9865" spans="50:51">
      <c r="AX9865" s="7"/>
      <c r="AY9865" s="7"/>
    </row>
    <row r="9866" spans="50:51">
      <c r="AX9866" s="7"/>
      <c r="AY9866" s="7"/>
    </row>
    <row r="9867" spans="50:51">
      <c r="AX9867" s="7"/>
      <c r="AY9867" s="7"/>
    </row>
    <row r="9868" spans="50:51">
      <c r="AX9868" s="7"/>
      <c r="AY9868" s="7"/>
    </row>
    <row r="9869" spans="50:51">
      <c r="AX9869" s="7"/>
      <c r="AY9869" s="7"/>
    </row>
    <row r="9870" spans="50:51">
      <c r="AX9870" s="7"/>
      <c r="AY9870" s="7"/>
    </row>
    <row r="9871" spans="50:51">
      <c r="AX9871" s="7"/>
      <c r="AY9871" s="7"/>
    </row>
    <row r="9872" spans="50:51">
      <c r="AX9872" s="7"/>
      <c r="AY9872" s="7"/>
    </row>
    <row r="9873" spans="50:51">
      <c r="AX9873" s="7"/>
      <c r="AY9873" s="7"/>
    </row>
    <row r="9874" spans="50:51">
      <c r="AX9874" s="7"/>
      <c r="AY9874" s="7"/>
    </row>
    <row r="9875" spans="50:51">
      <c r="AX9875" s="7"/>
      <c r="AY9875" s="7"/>
    </row>
    <row r="9876" spans="50:51">
      <c r="AX9876" s="7"/>
      <c r="AY9876" s="7"/>
    </row>
    <row r="9877" spans="50:51">
      <c r="AX9877" s="7"/>
      <c r="AY9877" s="7"/>
    </row>
    <row r="9878" spans="50:51">
      <c r="AX9878" s="7"/>
      <c r="AY9878" s="7"/>
    </row>
    <row r="9879" spans="50:51">
      <c r="AX9879" s="7"/>
      <c r="AY9879" s="7"/>
    </row>
    <row r="9880" spans="50:51">
      <c r="AX9880" s="7"/>
      <c r="AY9880" s="7"/>
    </row>
    <row r="9881" spans="50:51">
      <c r="AX9881" s="7"/>
      <c r="AY9881" s="7"/>
    </row>
    <row r="9882" spans="50:51">
      <c r="AX9882" s="7"/>
      <c r="AY9882" s="7"/>
    </row>
    <row r="9883" spans="50:51">
      <c r="AX9883" s="7"/>
      <c r="AY9883" s="7"/>
    </row>
    <row r="9884" spans="50:51">
      <c r="AX9884" s="7"/>
      <c r="AY9884" s="7"/>
    </row>
    <row r="9885" spans="50:51">
      <c r="AX9885" s="7"/>
      <c r="AY9885" s="7"/>
    </row>
    <row r="9886" spans="50:51">
      <c r="AX9886" s="7"/>
      <c r="AY9886" s="7"/>
    </row>
    <row r="9887" spans="50:51">
      <c r="AX9887" s="7"/>
      <c r="AY9887" s="7"/>
    </row>
    <row r="9888" spans="50:51">
      <c r="AX9888" s="7"/>
      <c r="AY9888" s="7"/>
    </row>
    <row r="9889" spans="50:51">
      <c r="AX9889" s="7"/>
      <c r="AY9889" s="7"/>
    </row>
    <row r="9890" spans="50:51">
      <c r="AX9890" s="7"/>
      <c r="AY9890" s="7"/>
    </row>
    <row r="9891" spans="50:51">
      <c r="AX9891" s="7"/>
      <c r="AY9891" s="7"/>
    </row>
    <row r="9892" spans="50:51">
      <c r="AX9892" s="7"/>
      <c r="AY9892" s="7"/>
    </row>
    <row r="9893" spans="50:51">
      <c r="AX9893" s="7"/>
      <c r="AY9893" s="7"/>
    </row>
    <row r="9894" spans="50:51">
      <c r="AX9894" s="7"/>
      <c r="AY9894" s="7"/>
    </row>
    <row r="9895" spans="50:51">
      <c r="AX9895" s="7"/>
      <c r="AY9895" s="7"/>
    </row>
    <row r="9896" spans="50:51">
      <c r="AX9896" s="7"/>
      <c r="AY9896" s="7"/>
    </row>
    <row r="9897" spans="50:51">
      <c r="AX9897" s="7"/>
      <c r="AY9897" s="7"/>
    </row>
    <row r="9898" spans="50:51">
      <c r="AX9898" s="7"/>
      <c r="AY9898" s="7"/>
    </row>
    <row r="9899" spans="50:51">
      <c r="AX9899" s="7"/>
      <c r="AY9899" s="7"/>
    </row>
    <row r="9900" spans="50:51">
      <c r="AX9900" s="7"/>
      <c r="AY9900" s="7"/>
    </row>
    <row r="9901" spans="50:51">
      <c r="AX9901" s="7"/>
      <c r="AY9901" s="7"/>
    </row>
    <row r="9902" spans="50:51">
      <c r="AX9902" s="7"/>
      <c r="AY9902" s="7"/>
    </row>
    <row r="9903" spans="50:51">
      <c r="AX9903" s="7"/>
      <c r="AY9903" s="7"/>
    </row>
    <row r="9904" spans="50:51">
      <c r="AX9904" s="7"/>
      <c r="AY9904" s="7"/>
    </row>
    <row r="9905" spans="50:51">
      <c r="AX9905" s="7"/>
      <c r="AY9905" s="7"/>
    </row>
    <row r="9906" spans="50:51">
      <c r="AX9906" s="7"/>
      <c r="AY9906" s="7"/>
    </row>
    <row r="9907" spans="50:51">
      <c r="AX9907" s="7"/>
      <c r="AY9907" s="7"/>
    </row>
    <row r="9908" spans="50:51">
      <c r="AX9908" s="7"/>
      <c r="AY9908" s="7"/>
    </row>
    <row r="9909" spans="50:51">
      <c r="AX9909" s="7"/>
      <c r="AY9909" s="7"/>
    </row>
    <row r="9910" spans="50:51">
      <c r="AX9910" s="7"/>
      <c r="AY9910" s="7"/>
    </row>
    <row r="9911" spans="50:51">
      <c r="AX9911" s="7"/>
      <c r="AY9911" s="7"/>
    </row>
    <row r="9912" spans="50:51">
      <c r="AX9912" s="7"/>
      <c r="AY9912" s="7"/>
    </row>
    <row r="9913" spans="50:51">
      <c r="AX9913" s="7"/>
      <c r="AY9913" s="7"/>
    </row>
    <row r="9914" spans="50:51">
      <c r="AX9914" s="7"/>
      <c r="AY9914" s="7"/>
    </row>
    <row r="9915" spans="50:51">
      <c r="AX9915" s="7"/>
      <c r="AY9915" s="7"/>
    </row>
    <row r="9916" spans="50:51">
      <c r="AX9916" s="7"/>
      <c r="AY9916" s="7"/>
    </row>
    <row r="9917" spans="50:51">
      <c r="AX9917" s="7"/>
      <c r="AY9917" s="7"/>
    </row>
    <row r="9918" spans="50:51">
      <c r="AX9918" s="7"/>
      <c r="AY9918" s="7"/>
    </row>
    <row r="9919" spans="50:51">
      <c r="AX9919" s="7"/>
      <c r="AY9919" s="7"/>
    </row>
    <row r="9920" spans="50:51">
      <c r="AX9920" s="7"/>
      <c r="AY9920" s="7"/>
    </row>
    <row r="9921" spans="50:51">
      <c r="AX9921" s="7"/>
      <c r="AY9921" s="7"/>
    </row>
    <row r="9922" spans="50:51">
      <c r="AX9922" s="7"/>
      <c r="AY9922" s="7"/>
    </row>
    <row r="9923" spans="50:51">
      <c r="AX9923" s="7"/>
      <c r="AY9923" s="7"/>
    </row>
    <row r="9924" spans="50:51">
      <c r="AX9924" s="7"/>
      <c r="AY9924" s="7"/>
    </row>
    <row r="9925" spans="50:51">
      <c r="AX9925" s="7"/>
      <c r="AY9925" s="7"/>
    </row>
    <row r="9926" spans="50:51">
      <c r="AX9926" s="7"/>
      <c r="AY9926" s="7"/>
    </row>
    <row r="9927" spans="50:51">
      <c r="AX9927" s="7"/>
      <c r="AY9927" s="7"/>
    </row>
    <row r="9928" spans="50:51">
      <c r="AX9928" s="7"/>
      <c r="AY9928" s="7"/>
    </row>
    <row r="9929" spans="50:51">
      <c r="AX9929" s="7"/>
      <c r="AY9929" s="7"/>
    </row>
    <row r="9930" spans="50:51">
      <c r="AX9930" s="7"/>
      <c r="AY9930" s="7"/>
    </row>
    <row r="9931" spans="50:51">
      <c r="AX9931" s="7"/>
      <c r="AY9931" s="7"/>
    </row>
    <row r="9932" spans="50:51">
      <c r="AX9932" s="7"/>
      <c r="AY9932" s="7"/>
    </row>
    <row r="9933" spans="50:51">
      <c r="AX9933" s="7"/>
      <c r="AY9933" s="7"/>
    </row>
    <row r="9934" spans="50:51">
      <c r="AX9934" s="7"/>
      <c r="AY9934" s="7"/>
    </row>
    <row r="9935" spans="50:51">
      <c r="AX9935" s="7"/>
      <c r="AY9935" s="7"/>
    </row>
    <row r="9936" spans="50:51">
      <c r="AX9936" s="7"/>
      <c r="AY9936" s="7"/>
    </row>
    <row r="9937" spans="50:51">
      <c r="AX9937" s="7"/>
      <c r="AY9937" s="7"/>
    </row>
    <row r="9938" spans="50:51">
      <c r="AX9938" s="7"/>
      <c r="AY9938" s="7"/>
    </row>
    <row r="9939" spans="50:51">
      <c r="AX9939" s="7"/>
      <c r="AY9939" s="7"/>
    </row>
    <row r="9940" spans="50:51">
      <c r="AX9940" s="7"/>
      <c r="AY9940" s="7"/>
    </row>
    <row r="9941" spans="50:51">
      <c r="AX9941" s="7"/>
      <c r="AY9941" s="7"/>
    </row>
    <row r="9942" spans="50:51">
      <c r="AX9942" s="7"/>
      <c r="AY9942" s="7"/>
    </row>
    <row r="9943" spans="50:51">
      <c r="AX9943" s="7"/>
      <c r="AY9943" s="7"/>
    </row>
    <row r="9944" spans="50:51">
      <c r="AX9944" s="7"/>
      <c r="AY9944" s="7"/>
    </row>
    <row r="9945" spans="50:51">
      <c r="AX9945" s="7"/>
      <c r="AY9945" s="7"/>
    </row>
    <row r="9946" spans="50:51">
      <c r="AX9946" s="7"/>
      <c r="AY9946" s="7"/>
    </row>
    <row r="9947" spans="50:51">
      <c r="AX9947" s="7"/>
      <c r="AY9947" s="7"/>
    </row>
    <row r="9948" spans="50:51">
      <c r="AX9948" s="7"/>
      <c r="AY9948" s="7"/>
    </row>
    <row r="9949" spans="50:51">
      <c r="AX9949" s="7"/>
      <c r="AY9949" s="7"/>
    </row>
    <row r="9950" spans="50:51">
      <c r="AX9950" s="7"/>
      <c r="AY9950" s="7"/>
    </row>
    <row r="9951" spans="50:51">
      <c r="AX9951" s="7"/>
      <c r="AY9951" s="7"/>
    </row>
    <row r="9952" spans="50:51">
      <c r="AX9952" s="7"/>
      <c r="AY9952" s="7"/>
    </row>
    <row r="9953" spans="50:51">
      <c r="AX9953" s="7"/>
      <c r="AY9953" s="7"/>
    </row>
    <row r="9954" spans="50:51">
      <c r="AX9954" s="7"/>
      <c r="AY9954" s="7"/>
    </row>
    <row r="9955" spans="50:51">
      <c r="AX9955" s="7"/>
      <c r="AY9955" s="7"/>
    </row>
    <row r="9956" spans="50:51">
      <c r="AX9956" s="7"/>
      <c r="AY9956" s="7"/>
    </row>
    <row r="9957" spans="50:51">
      <c r="AX9957" s="7"/>
      <c r="AY9957" s="7"/>
    </row>
    <row r="9958" spans="50:51">
      <c r="AX9958" s="7"/>
      <c r="AY9958" s="7"/>
    </row>
    <row r="9959" spans="50:51">
      <c r="AX9959" s="7"/>
      <c r="AY9959" s="7"/>
    </row>
    <row r="9960" spans="50:51">
      <c r="AX9960" s="7"/>
      <c r="AY9960" s="7"/>
    </row>
    <row r="9961" spans="50:51">
      <c r="AX9961" s="7"/>
      <c r="AY9961" s="7"/>
    </row>
    <row r="9962" spans="50:51">
      <c r="AX9962" s="7"/>
      <c r="AY9962" s="7"/>
    </row>
    <row r="9963" spans="50:51">
      <c r="AX9963" s="7"/>
      <c r="AY9963" s="7"/>
    </row>
    <row r="9964" spans="50:51">
      <c r="AX9964" s="7"/>
      <c r="AY9964" s="7"/>
    </row>
    <row r="9965" spans="50:51">
      <c r="AX9965" s="7"/>
      <c r="AY9965" s="7"/>
    </row>
    <row r="9966" spans="50:51">
      <c r="AX9966" s="7"/>
      <c r="AY9966" s="7"/>
    </row>
    <row r="9967" spans="50:51">
      <c r="AX9967" s="7"/>
      <c r="AY9967" s="7"/>
    </row>
    <row r="9968" spans="50:51">
      <c r="AX9968" s="7"/>
      <c r="AY9968" s="7"/>
    </row>
    <row r="9969" spans="50:51">
      <c r="AX9969" s="7"/>
      <c r="AY9969" s="7"/>
    </row>
    <row r="9970" spans="50:51">
      <c r="AX9970" s="7"/>
      <c r="AY9970" s="7"/>
    </row>
    <row r="9971" spans="50:51">
      <c r="AX9971" s="7"/>
      <c r="AY9971" s="7"/>
    </row>
    <row r="9972" spans="50:51">
      <c r="AX9972" s="7"/>
      <c r="AY9972" s="7"/>
    </row>
    <row r="9973" spans="50:51">
      <c r="AX9973" s="7"/>
      <c r="AY9973" s="7"/>
    </row>
    <row r="9974" spans="50:51">
      <c r="AX9974" s="7"/>
      <c r="AY9974" s="7"/>
    </row>
    <row r="9975" spans="50:51">
      <c r="AX9975" s="7"/>
      <c r="AY9975" s="7"/>
    </row>
    <row r="9976" spans="50:51">
      <c r="AX9976" s="7"/>
      <c r="AY9976" s="7"/>
    </row>
    <row r="9977" spans="50:51">
      <c r="AX9977" s="7"/>
      <c r="AY9977" s="7"/>
    </row>
    <row r="9978" spans="50:51">
      <c r="AX9978" s="7"/>
      <c r="AY9978" s="7"/>
    </row>
    <row r="9979" spans="50:51">
      <c r="AX9979" s="7"/>
      <c r="AY9979" s="7"/>
    </row>
    <row r="9980" spans="50:51">
      <c r="AX9980" s="7"/>
      <c r="AY9980" s="7"/>
    </row>
    <row r="9981" spans="50:51">
      <c r="AX9981" s="7"/>
      <c r="AY9981" s="7"/>
    </row>
    <row r="9982" spans="50:51">
      <c r="AX9982" s="7"/>
      <c r="AY9982" s="7"/>
    </row>
    <row r="9983" spans="50:51">
      <c r="AX9983" s="7"/>
      <c r="AY9983" s="7"/>
    </row>
    <row r="9984" spans="50:51">
      <c r="AX9984" s="7"/>
      <c r="AY9984" s="7"/>
    </row>
    <row r="9985" spans="50:51">
      <c r="AX9985" s="7"/>
      <c r="AY9985" s="7"/>
    </row>
    <row r="9986" spans="50:51">
      <c r="AX9986" s="7"/>
      <c r="AY9986" s="7"/>
    </row>
    <row r="9987" spans="50:51">
      <c r="AX9987" s="7"/>
      <c r="AY9987" s="7"/>
    </row>
    <row r="9988" spans="50:51">
      <c r="AX9988" s="7"/>
      <c r="AY9988" s="7"/>
    </row>
    <row r="9989" spans="50:51">
      <c r="AX9989" s="7"/>
      <c r="AY9989" s="7"/>
    </row>
    <row r="9990" spans="50:51">
      <c r="AX9990" s="7"/>
      <c r="AY9990" s="7"/>
    </row>
    <row r="9991" spans="50:51">
      <c r="AX9991" s="7"/>
      <c r="AY9991" s="7"/>
    </row>
    <row r="9992" spans="50:51">
      <c r="AX9992" s="7"/>
      <c r="AY9992" s="7"/>
    </row>
    <row r="9993" spans="50:51">
      <c r="AX9993" s="7"/>
      <c r="AY9993" s="7"/>
    </row>
    <row r="9994" spans="50:51">
      <c r="AX9994" s="7"/>
      <c r="AY9994" s="7"/>
    </row>
    <row r="9995" spans="50:51">
      <c r="AX9995" s="7"/>
      <c r="AY9995" s="7"/>
    </row>
    <row r="9996" spans="50:51">
      <c r="AX9996" s="7"/>
      <c r="AY9996" s="7"/>
    </row>
    <row r="9997" spans="50:51">
      <c r="AX9997" s="7"/>
      <c r="AY9997" s="7"/>
    </row>
    <row r="9998" spans="50:51">
      <c r="AX9998" s="7"/>
      <c r="AY9998" s="7"/>
    </row>
    <row r="9999" spans="50:51">
      <c r="AX9999" s="7"/>
      <c r="AY9999" s="7"/>
    </row>
    <row r="10000" spans="50:51">
      <c r="AX10000" s="7"/>
      <c r="AY10000" s="7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45D94-7E4A-46AA-A102-D4AF3F98A9EB}">
  <sheetPr codeName="Planilha18"/>
  <dimension ref="A1:J32"/>
  <sheetViews>
    <sheetView tabSelected="1" workbookViewId="0">
      <selection activeCell="C4" sqref="C4"/>
    </sheetView>
  </sheetViews>
  <sheetFormatPr defaultRowHeight="14.5"/>
  <cols>
    <col min="1" max="1" width="4.54296875" customWidth="1"/>
    <col min="2" max="2" width="18.90625" customWidth="1"/>
    <col min="3" max="3" width="17.90625" customWidth="1"/>
    <col min="4" max="4" width="29.90625" bestFit="1" customWidth="1"/>
    <col min="6" max="6" width="11.90625" customWidth="1"/>
    <col min="7" max="7" width="18.453125" customWidth="1"/>
    <col min="8" max="8" width="19.08984375" bestFit="1" customWidth="1"/>
    <col min="10" max="10" width="17.90625" bestFit="1" customWidth="1"/>
  </cols>
  <sheetData>
    <row r="1" spans="1:10" ht="23.5">
      <c r="B1" s="428" t="s">
        <v>755</v>
      </c>
    </row>
    <row r="4" spans="1:10">
      <c r="G4" s="247" t="s">
        <v>453</v>
      </c>
      <c r="H4" s="252">
        <v>45620.703032407408</v>
      </c>
    </row>
    <row r="8" spans="1:10" ht="15.5">
      <c r="B8" s="244" t="s">
        <v>445</v>
      </c>
      <c r="C8" s="245">
        <v>2023</v>
      </c>
      <c r="D8" s="297" t="s">
        <v>486</v>
      </c>
    </row>
    <row r="9" spans="1:10" ht="15.5">
      <c r="B9" s="246" t="s">
        <v>446</v>
      </c>
      <c r="C9" s="247">
        <v>12</v>
      </c>
      <c r="D9" s="10" t="s">
        <v>516</v>
      </c>
    </row>
    <row r="10" spans="1:10">
      <c r="G10" s="10" t="s">
        <v>447</v>
      </c>
      <c r="H10" s="10"/>
    </row>
    <row r="11" spans="1:10" ht="15.5">
      <c r="B11" s="248" t="s">
        <v>448</v>
      </c>
      <c r="C11" s="248" t="s">
        <v>449</v>
      </c>
      <c r="D11" s="248" t="s">
        <v>450</v>
      </c>
      <c r="G11" s="248"/>
      <c r="H11" s="248" t="s">
        <v>449</v>
      </c>
      <c r="I11" s="248" t="s">
        <v>451</v>
      </c>
      <c r="J11" s="248" t="s">
        <v>452</v>
      </c>
    </row>
    <row r="12" spans="1:10" ht="15.5">
      <c r="A12">
        <v>1</v>
      </c>
      <c r="B12" s="249" t="str">
        <f>IFERROR(VLOOKUP($C$9&amp;"-"&amp;$A12,Bastidores!$B:$I,5,0),"")</f>
        <v>Ceprag</v>
      </c>
      <c r="C12" s="249">
        <f>IFERROR(VLOOKUP($C$9&amp;"-"&amp;$A12,Bastidores!$B:$I,3,0),"")</f>
        <v>5367</v>
      </c>
      <c r="D12" s="250">
        <f>IFERROR(VLOOKUP($C$9&amp;"-"&amp;$A12,Bastidores!$B:$I,8,0),"")</f>
        <v>45282</v>
      </c>
      <c r="G12" s="249" t="str">
        <f>B12</f>
        <v>Ceprag</v>
      </c>
      <c r="H12" s="251">
        <f>C12</f>
        <v>5367</v>
      </c>
      <c r="I12" s="251">
        <f>IFERROR(VLOOKUP(H12,'BD2'!$AB$1:$AD$52,2,FALSE),"")</f>
        <v>17</v>
      </c>
      <c r="J12" s="253">
        <f>IFERROR(VLOOKUP(H12,'BD2'!$AB$1:$AD$52,3,FALSE),"")</f>
        <v>45372.58079861111</v>
      </c>
    </row>
    <row r="13" spans="1:10" ht="15.5">
      <c r="A13">
        <v>2</v>
      </c>
      <c r="B13" s="249" t="str">
        <f>IFERROR(VLOOKUP($C$9&amp;"-"&amp;A13,Bastidores!$B:$I,5,0),"")</f>
        <v>COOPERNORTE</v>
      </c>
      <c r="C13" s="249">
        <f>IFERROR(VLOOKUP($C$9&amp;"-"&amp;$A13,Bastidores!$B:$I,3,0),"")</f>
        <v>5345</v>
      </c>
      <c r="D13" s="250">
        <f>IFERROR(VLOOKUP($C$9&amp;"-"&amp;$A13,Bastidores!$B:$I,8,0),"")</f>
        <v>45282</v>
      </c>
      <c r="G13" s="249" t="str">
        <f t="shared" ref="G13:G32" si="0">B13</f>
        <v>COOPERNORTE</v>
      </c>
      <c r="H13" s="251">
        <f t="shared" ref="H13:H32" si="1">C13</f>
        <v>5345</v>
      </c>
      <c r="I13" s="251">
        <f>IFERROR(VLOOKUP(H13,'BD2'!$AB$1:$AD$52,2,FALSE),"")</f>
        <v>17</v>
      </c>
      <c r="J13" s="253">
        <f>IFERROR(VLOOKUP(H13,'BD2'!$AB$1:$AD$52,3,FALSE),"")</f>
        <v>45372.583067129628</v>
      </c>
    </row>
    <row r="14" spans="1:10" ht="15.5">
      <c r="A14">
        <v>3</v>
      </c>
      <c r="B14" s="249" t="str">
        <f>IFERROR(VLOOKUP($C$9&amp;"-"&amp;A14,Bastidores!$B:$I,5,0),"")</f>
        <v>COOPERSUL</v>
      </c>
      <c r="C14" s="249">
        <f>IFERROR(VLOOKUP($C$9&amp;"-"&amp;$A14,Bastidores!$B:$I,3,0),"")</f>
        <v>5346</v>
      </c>
      <c r="D14" s="250">
        <f>IFERROR(VLOOKUP($C$9&amp;"-"&amp;$A14,Bastidores!$B:$I,8,0),"")</f>
        <v>45282</v>
      </c>
      <c r="G14" s="249" t="str">
        <f t="shared" si="0"/>
        <v>COOPERSUL</v>
      </c>
      <c r="H14" s="251">
        <f t="shared" si="1"/>
        <v>5346</v>
      </c>
      <c r="I14" s="251">
        <f>IFERROR(VLOOKUP(H14,'BD2'!$AB$1:$AD$52,2,FALSE),"")</f>
        <v>17</v>
      </c>
      <c r="J14" s="253">
        <f>IFERROR(VLOOKUP(H14,'BD2'!$AB$1:$AD$52,3,FALSE),"")</f>
        <v>45383.489039351851</v>
      </c>
    </row>
    <row r="15" spans="1:10" ht="15.5">
      <c r="A15">
        <v>4</v>
      </c>
      <c r="B15" s="249" t="str">
        <f>IFERROR(VLOOKUP($C$9&amp;"-"&amp;A15,Bastidores!$B:$I,5,0),"")</f>
        <v/>
      </c>
      <c r="C15" s="249" t="str">
        <f>IFERROR(VLOOKUP($C$9&amp;"-"&amp;$A15,Bastidores!$B:$I,3,0),"")</f>
        <v/>
      </c>
      <c r="D15" s="250" t="str">
        <f>IFERROR(VLOOKUP($C$9&amp;"-"&amp;$A15,Bastidores!$B:$I,8,0),"")</f>
        <v/>
      </c>
      <c r="G15" s="249" t="str">
        <f t="shared" si="0"/>
        <v/>
      </c>
      <c r="H15" s="251" t="str">
        <f t="shared" si="1"/>
        <v/>
      </c>
      <c r="I15" s="251" t="str">
        <f>IFERROR(VLOOKUP(H15,'BD2'!$AB$1:$AD$52,2,FALSE),"")</f>
        <v/>
      </c>
      <c r="J15" s="253" t="str">
        <f>IFERROR(VLOOKUP(H15,'BD2'!$AB$1:$AD$52,3,FALSE),"")</f>
        <v/>
      </c>
    </row>
    <row r="16" spans="1:10" ht="15.5">
      <c r="A16">
        <v>5</v>
      </c>
      <c r="B16" s="249" t="str">
        <f>IFERROR(VLOOKUP($C$9&amp;"-"&amp;A16,Bastidores!$B:$I,5,0),"")</f>
        <v/>
      </c>
      <c r="C16" s="249" t="str">
        <f>IFERROR(VLOOKUP($C$9&amp;"-"&amp;$A16,Bastidores!$B:$I,3,0),"")</f>
        <v/>
      </c>
      <c r="D16" s="250" t="str">
        <f>IFERROR(VLOOKUP($C$9&amp;"-"&amp;$A16,Bastidores!$B:$I,8,0),"")</f>
        <v/>
      </c>
      <c r="G16" s="249" t="str">
        <f t="shared" si="0"/>
        <v/>
      </c>
      <c r="H16" s="251" t="str">
        <f t="shared" si="1"/>
        <v/>
      </c>
      <c r="I16" s="251" t="str">
        <f>IFERROR(VLOOKUP(H16,'BD2'!$AB$1:$AD$52,2,FALSE),"")</f>
        <v/>
      </c>
      <c r="J16" s="253" t="str">
        <f>IFERROR(VLOOKUP(H16,'BD2'!$AB$1:$AD$52,3,FALSE),"")</f>
        <v/>
      </c>
    </row>
    <row r="17" spans="1:10" ht="15.5">
      <c r="A17">
        <v>6</v>
      </c>
      <c r="B17" s="249" t="str">
        <f>IFERROR(VLOOKUP($C$9&amp;"-"&amp;A17,Bastidores!$B:$I,5,0),"")</f>
        <v/>
      </c>
      <c r="C17" s="249" t="str">
        <f>IFERROR(VLOOKUP($C$9&amp;"-"&amp;$A17,Bastidores!$B:$I,3,0),"")</f>
        <v/>
      </c>
      <c r="D17" s="250" t="str">
        <f>IFERROR(VLOOKUP($C$9&amp;"-"&amp;$A17,Bastidores!$B:$I,8,0),"")</f>
        <v/>
      </c>
      <c r="G17" s="249" t="str">
        <f t="shared" si="0"/>
        <v/>
      </c>
      <c r="H17" s="251" t="str">
        <f t="shared" si="1"/>
        <v/>
      </c>
      <c r="I17" s="251" t="str">
        <f>IFERROR(VLOOKUP(H17,'BD2'!$AB$1:$AD$52,2,FALSE),"")</f>
        <v/>
      </c>
      <c r="J17" s="253" t="str">
        <f>IFERROR(VLOOKUP(H17,'BD2'!$AB$1:$AD$52,3,FALSE),"")</f>
        <v/>
      </c>
    </row>
    <row r="18" spans="1:10" ht="15.5">
      <c r="A18">
        <v>7</v>
      </c>
      <c r="B18" s="249" t="str">
        <f>IFERROR(VLOOKUP($C$9&amp;"-"&amp;A18,Bastidores!$B:$I,5,0),"")</f>
        <v/>
      </c>
      <c r="C18" s="249" t="str">
        <f>IFERROR(VLOOKUP($C$9&amp;"-"&amp;$A18,Bastidores!$B:$I,3,0),"")</f>
        <v/>
      </c>
      <c r="D18" s="250" t="str">
        <f>IFERROR(VLOOKUP($C$9&amp;"-"&amp;$A18,Bastidores!$B:$I,8,0),"")</f>
        <v/>
      </c>
      <c r="G18" s="249" t="str">
        <f t="shared" si="0"/>
        <v/>
      </c>
      <c r="H18" s="251" t="str">
        <f t="shared" si="1"/>
        <v/>
      </c>
      <c r="I18" s="251" t="str">
        <f>IFERROR(VLOOKUP(H18,'BD2'!$AB$1:$AD$52,2,FALSE),"")</f>
        <v/>
      </c>
      <c r="J18" s="253" t="str">
        <f>IFERROR(VLOOKUP(H18,'BD2'!$AB$1:$AD$52,3,FALSE),"")</f>
        <v/>
      </c>
    </row>
    <row r="19" spans="1:10" ht="15.5">
      <c r="A19">
        <v>8</v>
      </c>
      <c r="B19" s="249" t="str">
        <f>IFERROR(VLOOKUP($C$9&amp;"-"&amp;A19,Bastidores!$B:$I,5,0),"")</f>
        <v/>
      </c>
      <c r="C19" s="249" t="str">
        <f>IFERROR(VLOOKUP($C$9&amp;"-"&amp;$A19,Bastidores!$B:$I,3,0),"")</f>
        <v/>
      </c>
      <c r="D19" s="250" t="str">
        <f>IFERROR(VLOOKUP($C$9&amp;"-"&amp;$A19,Bastidores!$B:$I,8,0),"")</f>
        <v/>
      </c>
      <c r="G19" s="249" t="str">
        <f t="shared" si="0"/>
        <v/>
      </c>
      <c r="H19" s="251" t="str">
        <f t="shared" si="1"/>
        <v/>
      </c>
      <c r="I19" s="251" t="str">
        <f>IFERROR(VLOOKUP(H19,'BD2'!$AB$1:$AD$52,2,FALSE),"")</f>
        <v/>
      </c>
      <c r="J19" s="253" t="str">
        <f>IFERROR(VLOOKUP(H19,'BD2'!$AB$1:$AD$52,3,FALSE),"")</f>
        <v/>
      </c>
    </row>
    <row r="20" spans="1:10" ht="15.5">
      <c r="A20">
        <v>9</v>
      </c>
      <c r="B20" s="249" t="str">
        <f>IFERROR(VLOOKUP($C$9&amp;"-"&amp;A20,Bastidores!$B:$I,5,0),"")</f>
        <v/>
      </c>
      <c r="C20" s="249" t="str">
        <f>IFERROR(VLOOKUP($C$9&amp;"-"&amp;$A20,Bastidores!$B:$I,3,0),"")</f>
        <v/>
      </c>
      <c r="D20" s="250" t="str">
        <f>IFERROR(VLOOKUP($C$9&amp;"-"&amp;$A20,Bastidores!$B:$I,8,0),"")</f>
        <v/>
      </c>
      <c r="G20" s="249" t="str">
        <f t="shared" si="0"/>
        <v/>
      </c>
      <c r="H20" s="251" t="str">
        <f t="shared" si="1"/>
        <v/>
      </c>
      <c r="I20" s="251" t="str">
        <f>IFERROR(VLOOKUP(H20,'BD2'!$AB$1:$AD$52,2,FALSE),"")</f>
        <v/>
      </c>
      <c r="J20" s="253" t="str">
        <f>IFERROR(VLOOKUP(H20,'BD2'!$AB$1:$AD$52,3,FALSE),"")</f>
        <v/>
      </c>
    </row>
    <row r="21" spans="1:10" ht="15.5">
      <c r="A21">
        <v>10</v>
      </c>
      <c r="B21" s="249" t="str">
        <f>IFERROR(VLOOKUP($C$9&amp;"-"&amp;A21,Bastidores!$B:$I,5,0),"")</f>
        <v/>
      </c>
      <c r="C21" s="249" t="str">
        <f>IFERROR(VLOOKUP($C$9&amp;"-"&amp;$A21,Bastidores!$B:$I,3,0),"")</f>
        <v/>
      </c>
      <c r="D21" s="250" t="str">
        <f>IFERROR(VLOOKUP($C$9&amp;"-"&amp;$A21,Bastidores!$B:$I,8,0),"")</f>
        <v/>
      </c>
      <c r="G21" s="249" t="str">
        <f t="shared" si="0"/>
        <v/>
      </c>
      <c r="H21" s="251" t="str">
        <f t="shared" si="1"/>
        <v/>
      </c>
      <c r="I21" s="251" t="str">
        <f>IFERROR(VLOOKUP(H21,'BD2'!$AB$1:$AD$52,2,FALSE),"")</f>
        <v/>
      </c>
      <c r="J21" s="253" t="str">
        <f>IFERROR(VLOOKUP(H21,'BD2'!$AB$1:$AD$52,3,FALSE),"")</f>
        <v/>
      </c>
    </row>
    <row r="22" spans="1:10" ht="15.5">
      <c r="A22">
        <v>11</v>
      </c>
      <c r="B22" s="249" t="str">
        <f>IFERROR(VLOOKUP($C$9&amp;"-"&amp;A22,Bastidores!$B:$I,5,0),"")</f>
        <v/>
      </c>
      <c r="C22" s="249" t="str">
        <f>IFERROR(VLOOKUP($C$9&amp;"-"&amp;$A22,Bastidores!$B:$I,3,0),"")</f>
        <v/>
      </c>
      <c r="D22" s="250" t="str">
        <f>IFERROR(VLOOKUP($C$9&amp;"-"&amp;$A22,Bastidores!$B:$I,8,0),"")</f>
        <v/>
      </c>
      <c r="G22" s="249" t="str">
        <f t="shared" si="0"/>
        <v/>
      </c>
      <c r="H22" s="251" t="str">
        <f t="shared" si="1"/>
        <v/>
      </c>
      <c r="I22" s="251" t="str">
        <f>IFERROR(VLOOKUP(H22,'BD2'!$AB$1:$AD$52,2,FALSE),"")</f>
        <v/>
      </c>
      <c r="J22" s="253" t="str">
        <f>IFERROR(VLOOKUP(H22,'BD2'!$AB$1:$AD$52,3,FALSE),"")</f>
        <v/>
      </c>
    </row>
    <row r="23" spans="1:10" ht="15.5">
      <c r="A23">
        <v>12</v>
      </c>
      <c r="B23" s="249" t="str">
        <f>IFERROR(VLOOKUP($C$9&amp;"-"&amp;A23,Bastidores!$B:$I,5,0),"")</f>
        <v/>
      </c>
      <c r="C23" s="249" t="str">
        <f>IFERROR(VLOOKUP($C$9&amp;"-"&amp;$A23,Bastidores!$B:$I,3,0),"")</f>
        <v/>
      </c>
      <c r="D23" s="250" t="str">
        <f>IFERROR(VLOOKUP($C$9&amp;"-"&amp;$A23,Bastidores!$B:$I,8,0),"")</f>
        <v/>
      </c>
      <c r="G23" s="249" t="str">
        <f t="shared" si="0"/>
        <v/>
      </c>
      <c r="H23" s="251" t="str">
        <f t="shared" si="1"/>
        <v/>
      </c>
      <c r="I23" s="251" t="str">
        <f>IFERROR(VLOOKUP(H23,'BD2'!$AB$1:$AD$52,2,FALSE),"")</f>
        <v/>
      </c>
      <c r="J23" s="253" t="str">
        <f>IFERROR(VLOOKUP(H23,'BD2'!$AB$1:$AD$52,3,FALSE),"")</f>
        <v/>
      </c>
    </row>
    <row r="24" spans="1:10" ht="15.5">
      <c r="A24">
        <v>13</v>
      </c>
      <c r="B24" s="249" t="str">
        <f>IFERROR(VLOOKUP($C$9&amp;"-"&amp;A24,Bastidores!$B:$I,5,0),"")</f>
        <v/>
      </c>
      <c r="C24" s="249" t="str">
        <f>IFERROR(VLOOKUP($C$9&amp;"-"&amp;$A24,Bastidores!$B:$I,3,0),"")</f>
        <v/>
      </c>
      <c r="D24" s="250" t="str">
        <f>IFERROR(VLOOKUP($C$9&amp;"-"&amp;$A24,Bastidores!$B:$I,8,0),"")</f>
        <v/>
      </c>
      <c r="G24" s="249" t="str">
        <f t="shared" si="0"/>
        <v/>
      </c>
      <c r="H24" s="251" t="str">
        <f t="shared" si="1"/>
        <v/>
      </c>
      <c r="I24" s="251" t="str">
        <f>IFERROR(VLOOKUP(H24,'BD2'!$AB$1:$AD$52,2,FALSE),"")</f>
        <v/>
      </c>
      <c r="J24" s="253" t="str">
        <f>IFERROR(VLOOKUP(H24,'BD2'!$AB$1:$AD$52,3,FALSE),"")</f>
        <v/>
      </c>
    </row>
    <row r="25" spans="1:10" ht="15.5">
      <c r="A25">
        <v>14</v>
      </c>
      <c r="B25" s="249" t="str">
        <f>IFERROR(VLOOKUP($C$9&amp;"-"&amp;A25,Bastidores!$B:$I,5,0),"")</f>
        <v/>
      </c>
      <c r="C25" s="249" t="str">
        <f>IFERROR(VLOOKUP($C$9&amp;"-"&amp;$A25,Bastidores!$B:$I,3,0),"")</f>
        <v/>
      </c>
      <c r="D25" s="250" t="str">
        <f>IFERROR(VLOOKUP($C$9&amp;"-"&amp;$A25,Bastidores!$B:$I,8,0),"")</f>
        <v/>
      </c>
      <c r="G25" s="249" t="str">
        <f t="shared" si="0"/>
        <v/>
      </c>
      <c r="H25" s="251" t="str">
        <f t="shared" si="1"/>
        <v/>
      </c>
      <c r="I25" s="251" t="str">
        <f>IFERROR(VLOOKUP(H25,'BD2'!$AB$1:$AD$52,2,FALSE),"")</f>
        <v/>
      </c>
      <c r="J25" s="253" t="str">
        <f>IFERROR(VLOOKUP(H25,'BD2'!$AB$1:$AD$52,3,FALSE),"")</f>
        <v/>
      </c>
    </row>
    <row r="26" spans="1:10" ht="15.5">
      <c r="A26">
        <v>15</v>
      </c>
      <c r="B26" s="249" t="str">
        <f>IFERROR(VLOOKUP($C$9&amp;"-"&amp;A26,Bastidores!$B:$I,5,0),"")</f>
        <v/>
      </c>
      <c r="C26" s="249" t="str">
        <f>IFERROR(VLOOKUP($C$9&amp;"-"&amp;$A26,Bastidores!$B:$I,3,0),"")</f>
        <v/>
      </c>
      <c r="D26" s="250" t="str">
        <f>IFERROR(VLOOKUP($C$9&amp;"-"&amp;$A26,Bastidores!$B:$I,8,0),"")</f>
        <v/>
      </c>
      <c r="G26" s="249" t="str">
        <f t="shared" si="0"/>
        <v/>
      </c>
      <c r="H26" s="251" t="str">
        <f t="shared" si="1"/>
        <v/>
      </c>
      <c r="I26" s="251" t="str">
        <f>IFERROR(VLOOKUP(H26,'BD2'!$AB$1:$AD$52,2,FALSE),"")</f>
        <v/>
      </c>
      <c r="J26" s="253" t="str">
        <f>IFERROR(VLOOKUP(H26,'BD2'!$AB$1:$AD$52,3,FALSE),"")</f>
        <v/>
      </c>
    </row>
    <row r="27" spans="1:10" ht="15.5">
      <c r="A27">
        <v>16</v>
      </c>
      <c r="B27" s="249" t="str">
        <f>IFERROR(VLOOKUP($C$9&amp;"-"&amp;A27,Bastidores!$B:$I,5,0),"")</f>
        <v/>
      </c>
      <c r="C27" s="249" t="str">
        <f>IFERROR(VLOOKUP($C$9&amp;"-"&amp;$A27,Bastidores!$B:$I,3,0),"")</f>
        <v/>
      </c>
      <c r="D27" s="250" t="str">
        <f>IFERROR(VLOOKUP($C$9&amp;"-"&amp;$A27,Bastidores!$B:$I,8,0),"")</f>
        <v/>
      </c>
      <c r="G27" s="249" t="str">
        <f t="shared" si="0"/>
        <v/>
      </c>
      <c r="H27" s="251" t="str">
        <f t="shared" si="1"/>
        <v/>
      </c>
      <c r="I27" s="251" t="str">
        <f>IFERROR(VLOOKUP(H27,'BD2'!$AB$1:$AD$52,2,FALSE),"")</f>
        <v/>
      </c>
      <c r="J27" s="253" t="str">
        <f>IFERROR(VLOOKUP(H27,'BD2'!$AB$1:$AD$52,3,FALSE),"")</f>
        <v/>
      </c>
    </row>
    <row r="28" spans="1:10" ht="15.5">
      <c r="A28">
        <v>17</v>
      </c>
      <c r="B28" s="249" t="str">
        <f>IFERROR(VLOOKUP($C$9&amp;"-"&amp;A28,Bastidores!$B:$I,5,0),"")</f>
        <v/>
      </c>
      <c r="C28" s="249" t="str">
        <f>IFERROR(VLOOKUP($C$9&amp;"-"&amp;$A28,Bastidores!$B:$I,3,0),"")</f>
        <v/>
      </c>
      <c r="D28" s="250" t="str">
        <f>IFERROR(VLOOKUP($C$9&amp;"-"&amp;$A28,Bastidores!$B:$I,8,0),"")</f>
        <v/>
      </c>
      <c r="G28" s="249" t="str">
        <f t="shared" si="0"/>
        <v/>
      </c>
      <c r="H28" s="251" t="str">
        <f t="shared" si="1"/>
        <v/>
      </c>
      <c r="I28" s="251" t="str">
        <f>IFERROR(VLOOKUP(H28,'BD2'!$AB$1:$AD$52,2,FALSE),"")</f>
        <v/>
      </c>
      <c r="J28" s="253" t="str">
        <f>IFERROR(VLOOKUP(H28,'BD2'!$AB$1:$AD$52,3,FALSE),"")</f>
        <v/>
      </c>
    </row>
    <row r="29" spans="1:10" ht="15.5">
      <c r="A29">
        <v>18</v>
      </c>
      <c r="B29" s="249" t="str">
        <f>IFERROR(VLOOKUP($C$9&amp;"-"&amp;A29,Bastidores!$B:$I,5,0),"")</f>
        <v/>
      </c>
      <c r="C29" s="249" t="str">
        <f>IFERROR(VLOOKUP($C$9&amp;"-"&amp;$A29,Bastidores!$B:$I,3,0),"")</f>
        <v/>
      </c>
      <c r="D29" s="250" t="str">
        <f>IFERROR(VLOOKUP($C$9&amp;"-"&amp;$A29,Bastidores!$B:$I,8,0),"")</f>
        <v/>
      </c>
      <c r="G29" s="249" t="str">
        <f t="shared" si="0"/>
        <v/>
      </c>
      <c r="H29" s="251" t="str">
        <f t="shared" si="1"/>
        <v/>
      </c>
      <c r="I29" s="251" t="str">
        <f>IFERROR(VLOOKUP(H29,'BD2'!$AB$1:$AD$52,2,FALSE),"")</f>
        <v/>
      </c>
      <c r="J29" s="253" t="str">
        <f>IFERROR(VLOOKUP(H29,'BD2'!$AB$1:$AD$52,3,FALSE),"")</f>
        <v/>
      </c>
    </row>
    <row r="30" spans="1:10" ht="15.5">
      <c r="A30">
        <v>19</v>
      </c>
      <c r="B30" s="249" t="str">
        <f>IFERROR(VLOOKUP($C$9&amp;"-"&amp;A30,Bastidores!$B:$I,5,0),"")</f>
        <v/>
      </c>
      <c r="C30" s="249" t="str">
        <f>IFERROR(VLOOKUP($C$9&amp;"-"&amp;$A30,Bastidores!$B:$I,3,0),"")</f>
        <v/>
      </c>
      <c r="D30" s="250" t="str">
        <f>IFERROR(VLOOKUP($C$9&amp;"-"&amp;$A30,Bastidores!$B:$I,8,0),"")</f>
        <v/>
      </c>
      <c r="G30" s="249" t="str">
        <f t="shared" si="0"/>
        <v/>
      </c>
      <c r="H30" s="251" t="str">
        <f t="shared" si="1"/>
        <v/>
      </c>
      <c r="I30" s="251" t="str">
        <f>IFERROR(VLOOKUP(H30,'BD2'!$AB$1:$AD$52,2,FALSE),"")</f>
        <v/>
      </c>
      <c r="J30" s="253" t="str">
        <f>IFERROR(VLOOKUP(H30,'BD2'!$AB$1:$AD$52,3,FALSE),"")</f>
        <v/>
      </c>
    </row>
    <row r="31" spans="1:10" ht="15.5">
      <c r="A31">
        <v>20</v>
      </c>
      <c r="B31" s="249" t="str">
        <f>IFERROR(VLOOKUP($C$9&amp;"-"&amp;A31,Bastidores!$B:$I,5,0),"")</f>
        <v/>
      </c>
      <c r="C31" s="249" t="str">
        <f>IFERROR(VLOOKUP($C$9&amp;"-"&amp;$A31,Bastidores!$B:$I,3,0),"")</f>
        <v/>
      </c>
      <c r="D31" s="250" t="str">
        <f>IFERROR(VLOOKUP($C$9&amp;"-"&amp;$A31,Bastidores!$B:$I,8,0),"")</f>
        <v/>
      </c>
      <c r="G31" s="249" t="str">
        <f t="shared" si="0"/>
        <v/>
      </c>
      <c r="H31" s="251" t="str">
        <f t="shared" si="1"/>
        <v/>
      </c>
      <c r="I31" s="251" t="str">
        <f>IFERROR(VLOOKUP(H31,'BD2'!$AB$1:$AD$52,2,FALSE),"")</f>
        <v/>
      </c>
      <c r="J31" s="253" t="str">
        <f>IFERROR(VLOOKUP(H31,'BD2'!$AB$1:$AD$52,3,FALSE),"")</f>
        <v/>
      </c>
    </row>
    <row r="32" spans="1:10" ht="15.5">
      <c r="A32">
        <v>21</v>
      </c>
      <c r="B32" s="249" t="str">
        <f>IFERROR(VLOOKUP($C$9&amp;"-"&amp;A32,Bastidores!$B:$I,5,0),"")</f>
        <v/>
      </c>
      <c r="C32" s="249" t="str">
        <f>IFERROR(VLOOKUP($C$9&amp;"-"&amp;$A32,Bastidores!$B:$I,3,0),"")</f>
        <v/>
      </c>
      <c r="D32" s="250" t="str">
        <f>IFERROR(VLOOKUP($C$9&amp;"-"&amp;$A32,Bastidores!$B:$I,8,0),"")</f>
        <v/>
      </c>
      <c r="G32" s="249" t="str">
        <f t="shared" si="0"/>
        <v/>
      </c>
      <c r="H32" s="251" t="str">
        <f t="shared" si="1"/>
        <v/>
      </c>
      <c r="I32" s="251" t="str">
        <f>IFERROR(VLOOKUP(H32,'BD2'!$AB$1:$AD$52,2,FALSE),"")</f>
        <v/>
      </c>
      <c r="J32" s="253" t="str">
        <f>IFERROR(VLOOKUP(H32,'BD2'!$AB$1:$AD$52,3,FALSE),"")</f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Drop Down 1">
              <controlPr defaultSize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3</xdr:col>
                    <xdr:colOff>6350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CallPythonScript">
                <anchor moveWithCells="1" sizeWithCells="1">
                  <from>
                    <xdr:col>3</xdr:col>
                    <xdr:colOff>1479550</xdr:colOff>
                    <xdr:row>1</xdr:row>
                    <xdr:rowOff>107950</xdr:rowOff>
                  </from>
                  <to>
                    <xdr:col>5</xdr:col>
                    <xdr:colOff>539750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>
    <tabColor theme="8" tint="0.79998168889431442"/>
  </sheetPr>
  <dimension ref="A4:CJ342"/>
  <sheetViews>
    <sheetView showGridLines="0" zoomScale="87" zoomScaleNormal="87" workbookViewId="0">
      <selection activeCell="BN61" sqref="BN61:BN132"/>
    </sheetView>
  </sheetViews>
  <sheetFormatPr defaultColWidth="9.08984375" defaultRowHeight="14.5"/>
  <cols>
    <col min="2" max="2" width="12.453125" bestFit="1" customWidth="1"/>
    <col min="3" max="3" width="17.453125" style="4" customWidth="1"/>
    <col min="4" max="4" width="16.54296875" style="4" customWidth="1"/>
    <col min="5" max="5" width="15.453125" style="4" bestFit="1" customWidth="1"/>
    <col min="6" max="6" width="14.90625" style="4" bestFit="1" customWidth="1"/>
    <col min="7" max="7" width="18.90625" style="4" bestFit="1" customWidth="1"/>
    <col min="8" max="8" width="54.453125" bestFit="1" customWidth="1"/>
    <col min="9" max="9" width="19.08984375" hidden="1" customWidth="1"/>
    <col min="10" max="10" width="12.453125" style="4" hidden="1" customWidth="1"/>
    <col min="11" max="11" width="14.453125" style="4" hidden="1" customWidth="1"/>
    <col min="12" max="12" width="11.453125" customWidth="1"/>
    <col min="13" max="13" width="11.54296875" hidden="1" customWidth="1"/>
    <col min="14" max="14" width="14.90625" style="4" hidden="1" customWidth="1"/>
    <col min="15" max="15" width="18" hidden="1" customWidth="1"/>
    <col min="16" max="16" width="20.90625" hidden="1" customWidth="1"/>
    <col min="17" max="17" width="12.90625" style="4" hidden="1" customWidth="1"/>
    <col min="18" max="18" width="11.54296875" hidden="1" customWidth="1"/>
    <col min="19" max="19" width="11.453125" style="4" hidden="1" customWidth="1"/>
    <col min="20" max="20" width="12.54296875" hidden="1" customWidth="1"/>
    <col min="21" max="21" width="16.54296875" style="4" hidden="1" customWidth="1"/>
    <col min="22" max="23" width="10.54296875" style="4" hidden="1" customWidth="1"/>
    <col min="24" max="24" width="11.90625" hidden="1" customWidth="1"/>
    <col min="25" max="25" width="10.54296875" hidden="1" customWidth="1"/>
    <col min="26" max="26" width="12" hidden="1" customWidth="1"/>
    <col min="27" max="27" width="10.453125" hidden="1" customWidth="1"/>
    <col min="28" max="28" width="13" hidden="1" customWidth="1"/>
    <col min="29" max="29" width="11.08984375" hidden="1" customWidth="1"/>
    <col min="30" max="30" width="11.90625" style="4" hidden="1" customWidth="1"/>
    <col min="31" max="31" width="10.54296875" hidden="1" customWidth="1"/>
    <col min="32" max="32" width="12.453125" style="4" hidden="1" customWidth="1"/>
    <col min="33" max="34" width="10.453125" hidden="1" customWidth="1"/>
    <col min="35" max="35" width="11.36328125" style="4" hidden="1" customWidth="1"/>
    <col min="36" max="36" width="10.54296875" hidden="1" customWidth="1"/>
    <col min="37" max="37" width="10.453125" hidden="1" customWidth="1"/>
    <col min="38" max="38" width="10.54296875" hidden="1" customWidth="1"/>
    <col min="39" max="39" width="10.54296875" style="4" hidden="1" customWidth="1"/>
    <col min="40" max="40" width="11.54296875" hidden="1" customWidth="1"/>
    <col min="41" max="42" width="10.54296875" style="4" hidden="1" customWidth="1"/>
    <col min="43" max="43" width="11.54296875" hidden="1" customWidth="1"/>
    <col min="44" max="45" width="10.54296875" style="4" hidden="1" customWidth="1"/>
    <col min="46" max="47" width="10.54296875" hidden="1" customWidth="1"/>
    <col min="48" max="48" width="10.453125" hidden="1" customWidth="1"/>
    <col min="49" max="50" width="15.08984375" hidden="1" customWidth="1"/>
    <col min="51" max="53" width="10.54296875" hidden="1" customWidth="1"/>
    <col min="54" max="54" width="15.453125" style="4" hidden="1" customWidth="1"/>
    <col min="55" max="55" width="10.90625" style="4" hidden="1" customWidth="1"/>
    <col min="56" max="58" width="10.54296875" style="4" hidden="1" customWidth="1"/>
    <col min="59" max="59" width="10.54296875" customWidth="1"/>
    <col min="60" max="60" width="14.90625" customWidth="1"/>
    <col min="61" max="61" width="9.08984375" hidden="1" customWidth="1"/>
    <col min="62" max="62" width="9.453125" customWidth="1"/>
  </cols>
  <sheetData>
    <row r="4" spans="1:34" ht="31.5" customHeight="1">
      <c r="B4" t="s">
        <v>248</v>
      </c>
      <c r="C4" s="68" t="s">
        <v>11</v>
      </c>
      <c r="D4" s="68" t="s">
        <v>0</v>
      </c>
      <c r="E4" s="68" t="s">
        <v>1</v>
      </c>
      <c r="F4" s="103" t="s">
        <v>278</v>
      </c>
      <c r="G4" s="68" t="s">
        <v>310</v>
      </c>
      <c r="H4" s="126" t="s">
        <v>334</v>
      </c>
      <c r="AH4" t="s">
        <v>520</v>
      </c>
    </row>
    <row r="5" spans="1:34" hidden="1">
      <c r="A5" t="str">
        <f t="shared" ref="A5:A36" si="0">C5</f>
        <v>Cedrap</v>
      </c>
      <c r="B5" t="str">
        <f>filrocalculo1[[#This Row],[filtro]]</f>
        <v>NO SELECT</v>
      </c>
      <c r="C5" s="209" t="s">
        <v>147</v>
      </c>
      <c r="D5" s="205">
        <f>SUMIFS(Banco[valor],Banco[IdAgente],B5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5" s="205">
        <f>SUMIFS(Banco[valor],Banco[IdAgente],B5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5" s="205">
        <f>SUMIFS(Banco[valor],Banco[IdAgente],B5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5" s="205" t="e">
        <f>SUMIFS(Banco[valor],Banco[IdAgente],B5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5,'BD2'!$BI$2:$BO$52,7,FALSE)-1</f>
        <v>#N/A</v>
      </c>
      <c r="H5" s="113"/>
    </row>
    <row r="6" spans="1:34" hidden="1">
      <c r="A6" t="str">
        <f t="shared" si="0"/>
        <v>Cedri</v>
      </c>
      <c r="B6" t="str">
        <f>filrocalculo1[[#This Row],[filtro]]</f>
        <v>NO SELECT</v>
      </c>
      <c r="C6" s="210" t="s">
        <v>51</v>
      </c>
      <c r="D6" s="205">
        <f>SUMIFS(Banco[valor],Banco[IdAgente],B6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6" s="205">
        <f>SUMIFS(Banco[valor],Banco[IdAgente],B6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6" s="205">
        <f>SUMIFS(Banco[valor],Banco[IdAgente],B6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6" s="205" t="e">
        <f>SUMIFS(Banco[valor],Banco[IdAgente],B6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6,'BD2'!$BI$2:$BO$52,7,FALSE)-1</f>
        <v>#N/A</v>
      </c>
      <c r="H6" s="113">
        <f t="shared" ref="H6:H37" si="1">D6-E6</f>
        <v>0</v>
      </c>
    </row>
    <row r="7" spans="1:34" hidden="1">
      <c r="A7" t="str">
        <f t="shared" si="0"/>
        <v>Cejama</v>
      </c>
      <c r="B7" t="str">
        <f>filrocalculo1[[#This Row],[filtro]]</f>
        <v>NO SELECT</v>
      </c>
      <c r="C7" s="210" t="s">
        <v>65</v>
      </c>
      <c r="D7" s="205">
        <f>SUMIFS(Banco[valor],Banco[IdAgente],B7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7" s="205">
        <f>SUMIFS(Banco[valor],Banco[IdAgente],B7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7" s="205">
        <f>SUMIFS(Banco[valor],Banco[IdAgente],B7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7" s="205" t="e">
        <f>SUMIFS(Banco[valor],Banco[IdAgente],B7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7,'BD2'!$BI$2:$BO$52,7,FALSE)-1</f>
        <v>#N/A</v>
      </c>
      <c r="H7" s="113">
        <f t="shared" si="1"/>
        <v>0</v>
      </c>
    </row>
    <row r="8" spans="1:34">
      <c r="A8" t="str">
        <f t="shared" si="0"/>
        <v>Ceprag</v>
      </c>
      <c r="B8">
        <f>filrocalculo1[[#This Row],[filtro]]</f>
        <v>5367</v>
      </c>
      <c r="C8" s="211" t="s">
        <v>150</v>
      </c>
      <c r="D8" s="205">
        <f>SUMIFS(Banco[valor],Banco[IdAgente],B8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-6.2840179028888096E-2</v>
      </c>
      <c r="E8" s="205">
        <f>SUMIFS(Banco[valor],Banco[IdAgente],B8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-6.58878100989162E-2</v>
      </c>
      <c r="F8" s="205">
        <f>SUMIFS(Banco[valor],Banco[IdAgente],B8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-6.5507452123028595E-2</v>
      </c>
      <c r="G8" s="205">
        <f>SUMIFS(Banco[valor],Banco[IdAgente],B8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8,'BD2'!$BI$2:$BO$52,7,FALSE)-1</f>
        <v>-7.4940130474276612E-2</v>
      </c>
      <c r="H8" s="113">
        <f t="shared" si="1"/>
        <v>3.0476310700281034E-3</v>
      </c>
    </row>
    <row r="9" spans="1:34" hidden="1">
      <c r="A9" t="str">
        <f t="shared" si="0"/>
        <v>Ceraçá</v>
      </c>
      <c r="B9" t="str">
        <f>filrocalculo1[[#This Row],[filtro]]</f>
        <v>NO SELECT</v>
      </c>
      <c r="C9" s="210" t="s">
        <v>66</v>
      </c>
      <c r="D9" s="205">
        <f>SUMIFS(Banco[valor],Banco[IdAgente],B9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9" s="205">
        <f>SUMIFS(Banco[valor],Banco[IdAgente],B9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9" s="205">
        <f>SUMIFS(Banco[valor],Banco[IdAgente],B9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9" s="205" t="e">
        <f>SUMIFS(Banco[valor],Banco[IdAgente],B9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9,'BD2'!$BI$2:$BO$52,7,FALSE)-1</f>
        <v>#N/A</v>
      </c>
      <c r="H9" s="113">
        <f t="shared" si="1"/>
        <v>0</v>
      </c>
    </row>
    <row r="10" spans="1:34" hidden="1">
      <c r="A10" t="str">
        <f t="shared" si="0"/>
        <v>Ceral Anitápolis</v>
      </c>
      <c r="B10" t="str">
        <f>filrocalculo1[[#This Row],[filtro]]</f>
        <v>NO SELECT</v>
      </c>
      <c r="C10" s="210" t="s">
        <v>153</v>
      </c>
      <c r="D10" s="205">
        <f>SUMIFS(Banco[valor],Banco[IdAgente],B10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10" s="205">
        <f>SUMIFS(Banco[valor],Banco[IdAgente],B10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10" s="205">
        <f>SUMIFS(Banco[valor],Banco[IdAgente],B10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10" s="205" t="e">
        <f>SUMIFS(Banco[valor],Banco[IdAgente],B10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10,'BD2'!$BI$2:$BO$52,7,FALSE)-1</f>
        <v>#N/A</v>
      </c>
      <c r="H10" s="113">
        <f t="shared" si="1"/>
        <v>0</v>
      </c>
    </row>
    <row r="11" spans="1:34" hidden="1">
      <c r="A11" s="104" t="str">
        <f t="shared" si="0"/>
        <v>Ceral Dis</v>
      </c>
      <c r="B11" t="str">
        <f>filrocalculo1[[#This Row],[filtro]]</f>
        <v>NO SELECT</v>
      </c>
      <c r="C11" s="210" t="s">
        <v>156</v>
      </c>
      <c r="D11" s="205">
        <f>SUMIFS(Banco[valor],Banco[IdAgente],B11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11" s="205">
        <f>SUMIFS(Banco[valor],Banco[IdAgente],B11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11" s="225">
        <f>SUMIFS(Banco[valor],Banco[IdAgente],B11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11" s="205" t="e">
        <f>SUMIFS(Banco[valor],Banco[IdAgente],B11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11,'BD2'!$BI$2:$BO$52,7,FALSE)-1</f>
        <v>#N/A</v>
      </c>
      <c r="H11" s="113">
        <f t="shared" si="1"/>
        <v>0</v>
      </c>
    </row>
    <row r="12" spans="1:34" hidden="1">
      <c r="A12" t="str">
        <f t="shared" si="0"/>
        <v>Cerbranorte</v>
      </c>
      <c r="B12" t="str">
        <f>filrocalculo1[[#This Row],[filtro]]</f>
        <v>NO SELECT</v>
      </c>
      <c r="C12" s="209" t="s">
        <v>54</v>
      </c>
      <c r="D12" s="205">
        <f>SUMIFS(Banco[valor],Banco[IdAgente],B12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12" s="205">
        <f>SUMIFS(Banco[valor],Banco[IdAgente],B12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12" s="225">
        <f>SUMIFS(Banco[valor],Banco[IdAgente],B12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12" s="205" t="e">
        <f>SUMIFS(Banco[valor],Banco[IdAgente],B12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12,'BD2'!$BI$2:$BO$52,7,FALSE)-1</f>
        <v>#N/A</v>
      </c>
      <c r="H12" s="113">
        <f t="shared" si="1"/>
        <v>0</v>
      </c>
    </row>
    <row r="13" spans="1:34" hidden="1">
      <c r="A13" t="str">
        <f t="shared" si="0"/>
        <v>Cercos</v>
      </c>
      <c r="B13" t="str">
        <f>filrocalculo1[[#This Row],[filtro]]</f>
        <v>NO SELECT</v>
      </c>
      <c r="C13" s="210" t="s">
        <v>159</v>
      </c>
      <c r="D13" s="205">
        <f>SUMIFS(Banco[valor],Banco[IdAgente],B13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13" s="205">
        <f>SUMIFS(Banco[valor],Banco[IdAgente],B13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13" s="225">
        <f>SUMIFS(Banco[valor],Banco[IdAgente],B13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13" s="205" t="e">
        <f>SUMIFS(Banco[valor],Banco[IdAgente],B13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13,'BD2'!$BI$2:$BO$52,7,FALSE)-1</f>
        <v>#N/A</v>
      </c>
      <c r="H13" s="113">
        <f t="shared" si="1"/>
        <v>0</v>
      </c>
    </row>
    <row r="14" spans="1:34" hidden="1">
      <c r="A14" t="str">
        <f t="shared" si="0"/>
        <v>Cerej</v>
      </c>
      <c r="B14" t="str">
        <f>filrocalculo1[[#This Row],[filtro]]</f>
        <v>NO SELECT</v>
      </c>
      <c r="C14" s="210" t="s">
        <v>56</v>
      </c>
      <c r="D14" s="205">
        <f>SUMIFS(Banco[valor],Banco[IdAgente],B14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14" s="205">
        <f>SUMIFS(Banco[valor],Banco[IdAgente],B14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14" s="225">
        <f>SUMIFS(Banco[valor],Banco[IdAgente],B14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14" s="205" t="e">
        <f>SUMIFS(Banco[valor],Banco[IdAgente],B14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14,'BD2'!$BI$2:$BO$52,7,FALSE)-1</f>
        <v>#N/A</v>
      </c>
      <c r="H14" s="113">
        <f t="shared" si="1"/>
        <v>0</v>
      </c>
    </row>
    <row r="15" spans="1:34" hidden="1">
      <c r="A15" t="str">
        <f t="shared" si="0"/>
        <v>Ceres</v>
      </c>
      <c r="B15" t="str">
        <f>filrocalculo1[[#This Row],[filtro]]</f>
        <v>NO SELECT</v>
      </c>
      <c r="C15" s="210" t="s">
        <v>162</v>
      </c>
      <c r="D15" s="205">
        <f>SUMIFS(Banco[valor],Banco[IdAgente],B15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15" s="205">
        <f>SUMIFS(Banco[valor],Banco[IdAgente],B15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15" s="225">
        <f>SUMIFS(Banco[valor],Banco[IdAgente],B15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15" s="205" t="e">
        <f>SUMIFS(Banco[valor],Banco[IdAgente],B15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15,'BD2'!$BI$2:$BO$52,7,FALSE)-1</f>
        <v>#N/A</v>
      </c>
      <c r="H15" s="113">
        <f t="shared" si="1"/>
        <v>0</v>
      </c>
    </row>
    <row r="16" spans="1:34" hidden="1">
      <c r="A16" t="str">
        <f t="shared" si="0"/>
        <v>Cergal</v>
      </c>
      <c r="B16" t="str">
        <f>filrocalculo1[[#This Row],[filtro]]</f>
        <v>NO SELECT</v>
      </c>
      <c r="C16" s="210" t="s">
        <v>55</v>
      </c>
      <c r="D16" s="205">
        <f>SUMIFS(Banco[valor],Banco[IdAgente],B16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16" s="205">
        <f>SUMIFS(Banco[valor],Banco[IdAgente],B16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16" s="225">
        <f>SUMIFS(Banco[valor],Banco[IdAgente],B16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16" s="205" t="e">
        <f>SUMIFS(Banco[valor],Banco[IdAgente],B16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16,'BD2'!$BI$2:$BO$52,7,FALSE)-1</f>
        <v>#N/A</v>
      </c>
      <c r="H16" s="113">
        <f t="shared" si="1"/>
        <v>0</v>
      </c>
    </row>
    <row r="17" spans="1:29" hidden="1">
      <c r="A17" t="str">
        <f t="shared" si="0"/>
        <v>Cergapa</v>
      </c>
      <c r="B17" t="str">
        <f>filrocalculo1[[#This Row],[filtro]]</f>
        <v>NO SELECT</v>
      </c>
      <c r="C17" s="210" t="s">
        <v>57</v>
      </c>
      <c r="D17" s="205">
        <f>SUMIFS(Banco[valor],Banco[IdAgente],B17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17" s="205">
        <f>SUMIFS(Banco[valor],Banco[IdAgente],B17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17" s="225">
        <f>SUMIFS(Banco[valor],Banco[IdAgente],B17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17" s="205" t="e">
        <f>SUMIFS(Banco[valor],Banco[IdAgente],B17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17,'BD2'!$BI$2:$BO$52,7,FALSE)-1</f>
        <v>#N/A</v>
      </c>
      <c r="H17" s="113">
        <f t="shared" si="1"/>
        <v>0</v>
      </c>
    </row>
    <row r="18" spans="1:29" hidden="1">
      <c r="A18" t="str">
        <f t="shared" si="0"/>
        <v>Cergral</v>
      </c>
      <c r="B18" t="str">
        <f>filrocalculo1[[#This Row],[filtro]]</f>
        <v>NO SELECT</v>
      </c>
      <c r="C18" s="210" t="s">
        <v>58</v>
      </c>
      <c r="D18" s="205">
        <f>SUMIFS(Banco[valor],Banco[IdAgente],B18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18" s="205">
        <f>SUMIFS(Banco[valor],Banco[IdAgente],B18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18" s="225">
        <f>SUMIFS(Banco[valor],Banco[IdAgente],B18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18" s="205" t="e">
        <f>SUMIFS(Banco[valor],Banco[IdAgente],B18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18,'BD2'!$BI$2:$BO$52,7,FALSE)-1</f>
        <v>#N/A</v>
      </c>
      <c r="H18" s="113">
        <f t="shared" si="1"/>
        <v>0</v>
      </c>
    </row>
    <row r="19" spans="1:29" hidden="1">
      <c r="A19" s="104" t="str">
        <f t="shared" si="0"/>
        <v>Ceriluz</v>
      </c>
      <c r="B19" t="str">
        <f>filrocalculo1[[#This Row],[filtro]]</f>
        <v>NO SELECT</v>
      </c>
      <c r="C19" s="210" t="s">
        <v>165</v>
      </c>
      <c r="D19" s="205">
        <f>SUMIFS(Banco[valor],Banco[IdAgente],B19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19" s="205">
        <f>SUMIFS(Banco[valor],Banco[IdAgente],B19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19" s="225">
        <f>SUMIFS(Banco[valor],Banco[IdAgente],B19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19" s="205" t="e">
        <f>SUMIFS(Banco[valor],Banco[IdAgente],B19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19,'BD2'!$BI$2:$BO$52,7,FALSE)-1</f>
        <v>#N/A</v>
      </c>
      <c r="H19" s="113">
        <f t="shared" si="1"/>
        <v>0</v>
      </c>
    </row>
    <row r="20" spans="1:29" hidden="1">
      <c r="A20" t="str">
        <f t="shared" si="0"/>
        <v>Cerim</v>
      </c>
      <c r="B20" t="str">
        <f>filrocalculo1[[#This Row],[filtro]]</f>
        <v>NO SELECT</v>
      </c>
      <c r="C20" s="209" t="s">
        <v>168</v>
      </c>
      <c r="D20" s="205">
        <f>SUMIFS(Banco[valor],Banco[IdAgente],B20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20" s="205">
        <f>SUMIFS(Banco[valor],Banco[IdAgente],B20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20" s="225">
        <f>SUMIFS(Banco[valor],Banco[IdAgente],B20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20" s="205" t="e">
        <f>SUMIFS(Banco[valor],Banco[IdAgente],B20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20,'BD2'!$BI$2:$BO$52,7,FALSE)-1</f>
        <v>#N/A</v>
      </c>
      <c r="H20" s="113">
        <f t="shared" si="1"/>
        <v>0</v>
      </c>
    </row>
    <row r="21" spans="1:29" hidden="1">
      <c r="A21" t="str">
        <f t="shared" si="0"/>
        <v>Ceripa</v>
      </c>
      <c r="B21" t="str">
        <f>filrocalculo1[[#This Row],[filtro]]</f>
        <v>NO SELECT</v>
      </c>
      <c r="C21" s="210" t="s">
        <v>171</v>
      </c>
      <c r="D21" s="205">
        <f>SUMIFS(Banco[valor],Banco[IdAgente],B21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21" s="205">
        <f>SUMIFS(Banco[valor],Banco[IdAgente],B21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21" s="225">
        <f>SUMIFS(Banco[valor],Banco[IdAgente],B21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21" s="205" t="e">
        <f>SUMIFS(Banco[valor],Banco[IdAgente],B21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21,'BD2'!$BI$2:$BO$52,7,FALSE)-1</f>
        <v>#N/A</v>
      </c>
      <c r="H21" s="113">
        <f t="shared" si="1"/>
        <v>0</v>
      </c>
    </row>
    <row r="22" spans="1:29" hidden="1">
      <c r="A22" s="104" t="str">
        <f t="shared" si="0"/>
        <v>Ceris</v>
      </c>
      <c r="B22" t="str">
        <f>filrocalculo1[[#This Row],[filtro]]</f>
        <v>NO SELECT</v>
      </c>
      <c r="C22" s="210" t="s">
        <v>174</v>
      </c>
      <c r="D22" s="205">
        <f>SUMIFS(Banco[valor],Banco[IdAgente],B22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22" s="205">
        <f>SUMIFS(Banco[valor],Banco[IdAgente],B22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22" s="225">
        <f>SUMIFS(Banco[valor],Banco[IdAgente],B22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22" s="205" t="e">
        <f>SUMIFS(Banco[valor],Banco[IdAgente],B22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22,'BD2'!$BI$2:$BO$52,7,FALSE)-1</f>
        <v>#N/A</v>
      </c>
      <c r="H22" s="113">
        <f t="shared" si="1"/>
        <v>0</v>
      </c>
    </row>
    <row r="23" spans="1:29" hidden="1">
      <c r="A23" t="str">
        <f t="shared" si="0"/>
        <v>CERMC</v>
      </c>
      <c r="B23" t="str">
        <f>filrocalculo1[[#This Row],[filtro]]</f>
        <v>NO SELECT</v>
      </c>
      <c r="C23" s="210" t="s">
        <v>177</v>
      </c>
      <c r="D23" s="205">
        <f>SUMIFS(Banco[valor],Banco[IdAgente],B23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23" s="205">
        <f>SUMIFS(Banco[valor],Banco[IdAgente],B23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23" s="225">
        <f>SUMIFS(Banco[valor],Banco[IdAgente],B23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23" s="205" t="e">
        <f>SUMIFS(Banco[valor],Banco[IdAgente],B23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23,'BD2'!$BI$2:$BO$52,7,FALSE)-1</f>
        <v>#N/A</v>
      </c>
      <c r="H23" s="113">
        <f t="shared" si="1"/>
        <v>0</v>
      </c>
    </row>
    <row r="24" spans="1:29" hidden="1">
      <c r="A24" s="104" t="str">
        <f t="shared" si="0"/>
        <v>Cermissões</v>
      </c>
      <c r="B24" t="str">
        <f>filrocalculo1[[#This Row],[filtro]]</f>
        <v>NO SELECT</v>
      </c>
      <c r="C24" s="210" t="s">
        <v>180</v>
      </c>
      <c r="D24" s="205">
        <f>SUMIFS(Banco[valor],Banco[IdAgente],B24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24" s="205">
        <f>SUMIFS(Banco[valor],Banco[IdAgente],B24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24" s="225">
        <f>SUMIFS(Banco[valor],Banco[IdAgente],B24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24" s="205" t="e">
        <f>SUMIFS(Banco[valor],Banco[IdAgente],B24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24,'BD2'!$BI$2:$BO$52,7,FALSE)-1</f>
        <v>#N/A</v>
      </c>
      <c r="H24" s="113">
        <f t="shared" si="1"/>
        <v>0</v>
      </c>
    </row>
    <row r="25" spans="1:29" hidden="1">
      <c r="A25" t="str">
        <f t="shared" si="0"/>
        <v>Cermoful</v>
      </c>
      <c r="B25" t="str">
        <f>filrocalculo1[[#This Row],[filtro]]</f>
        <v>NO SELECT</v>
      </c>
      <c r="C25" s="210" t="s">
        <v>52</v>
      </c>
      <c r="D25" s="205">
        <f>SUMIFS(Banco[valor],Banco[IdAgente],B25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25" s="205">
        <f>SUMIFS(Banco[valor],Banco[IdAgente],B25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25" s="225">
        <f>SUMIFS(Banco[valor],Banco[IdAgente],B25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25" s="205" t="e">
        <f>SUMIFS(Banco[valor],Banco[IdAgente],B25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25,'BD2'!$BI$2:$BO$52,7,FALSE)-1</f>
        <v>#N/A</v>
      </c>
      <c r="H25" s="113">
        <f t="shared" si="1"/>
        <v>0</v>
      </c>
    </row>
    <row r="26" spans="1:29" hidden="1">
      <c r="A26" s="104" t="str">
        <f t="shared" si="0"/>
        <v>Cernhe</v>
      </c>
      <c r="B26" t="str">
        <f>filrocalculo1[[#This Row],[filtro]]</f>
        <v>NO SELECT</v>
      </c>
      <c r="C26" s="210" t="s">
        <v>183</v>
      </c>
      <c r="D26" s="205">
        <f>SUMIFS(Banco[valor],Banco[IdAgente],B26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26" s="205">
        <f>SUMIFS(Banco[valor],Banco[IdAgente],B26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26" s="225">
        <f>SUMIFS(Banco[valor],Banco[IdAgente],B26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26" s="205" t="e">
        <f>SUMIFS(Banco[valor],Banco[IdAgente],B26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26,'BD2'!$BI$2:$BO$52,7,FALSE)-1</f>
        <v>#N/A</v>
      </c>
      <c r="H26" s="113">
        <f t="shared" si="1"/>
        <v>0</v>
      </c>
    </row>
    <row r="27" spans="1:29" hidden="1">
      <c r="A27" t="str">
        <f t="shared" si="0"/>
        <v>Cerpalo</v>
      </c>
      <c r="B27" t="str">
        <f>filrocalculo1[[#This Row],[filtro]]</f>
        <v>NO SELECT</v>
      </c>
      <c r="C27" s="210" t="s">
        <v>59</v>
      </c>
      <c r="D27" s="205">
        <f>SUMIFS(Banco[valor],Banco[IdAgente],B27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27" s="205">
        <f>SUMIFS(Banco[valor],Banco[IdAgente],B27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27" s="225">
        <f>SUMIFS(Banco[valor],Banco[IdAgente],B27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27" s="205" t="e">
        <f>SUMIFS(Banco[valor],Banco[IdAgente],B27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27,'BD2'!$BI$2:$BO$52,7,FALSE)-1</f>
        <v>#N/A</v>
      </c>
      <c r="H27" s="113">
        <f t="shared" si="1"/>
        <v>0</v>
      </c>
    </row>
    <row r="28" spans="1:29" hidden="1">
      <c r="A28" t="str">
        <f t="shared" si="0"/>
        <v>Cerpro</v>
      </c>
      <c r="B28" t="str">
        <f>filrocalculo1[[#This Row],[filtro]]</f>
        <v>NO SELECT</v>
      </c>
      <c r="C28" s="210" t="s">
        <v>186</v>
      </c>
      <c r="D28" s="205">
        <f>SUMIFS(Banco[valor],Banco[IdAgente],B28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28" s="205">
        <f>SUMIFS(Banco[valor],Banco[IdAgente],B28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28" s="225">
        <f>SUMIFS(Banco[valor],Banco[IdAgente],B28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28" s="205" t="e">
        <f>SUMIFS(Banco[valor],Banco[IdAgente],B28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28,'BD2'!$BI$2:$BO$52,7,FALSE)-1</f>
        <v>#N/A</v>
      </c>
      <c r="H28" s="113">
        <f t="shared" si="1"/>
        <v>0</v>
      </c>
    </row>
    <row r="29" spans="1:29" hidden="1">
      <c r="A29" t="str">
        <f t="shared" si="0"/>
        <v>CERRP</v>
      </c>
      <c r="B29" t="str">
        <f>filrocalculo1[[#This Row],[filtro]]</f>
        <v>NO SELECT</v>
      </c>
      <c r="C29" s="210" t="s">
        <v>189</v>
      </c>
      <c r="D29" s="205">
        <f>SUMIFS(Banco[valor],Banco[IdAgente],B29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29" s="205">
        <f>SUMIFS(Banco[valor],Banco[IdAgente],B29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29" s="225">
        <f>SUMIFS(Banco[valor],Banco[IdAgente],B29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29" s="205" t="e">
        <f>SUMIFS(Banco[valor],Banco[IdAgente],B29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29,'BD2'!$BI$2:$BO$52,7,FALSE)-1</f>
        <v>#N/A</v>
      </c>
      <c r="H29" s="113">
        <f t="shared" si="1"/>
        <v>0</v>
      </c>
    </row>
    <row r="30" spans="1:29" hidden="1">
      <c r="A30" t="str">
        <f t="shared" si="0"/>
        <v>Cersul</v>
      </c>
      <c r="B30" t="str">
        <f>filrocalculo1[[#This Row],[filtro]]</f>
        <v>NO SELECT</v>
      </c>
      <c r="C30" s="210" t="s">
        <v>60</v>
      </c>
      <c r="D30" s="205">
        <f>SUMIFS(Banco[valor],Banco[IdAgente],B30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30" s="205">
        <f>SUMIFS(Banco[valor],Banco[IdAgente],B30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30" s="225">
        <f>SUMIFS(Banco[valor],Banco[IdAgente],B30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30" s="205" t="e">
        <f>SUMIFS(Banco[valor],Banco[IdAgente],B30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30,'BD2'!$BI$2:$BO$52,7,FALSE)-1</f>
        <v>#N/A</v>
      </c>
      <c r="H30" s="113">
        <f t="shared" si="1"/>
        <v>0</v>
      </c>
    </row>
    <row r="31" spans="1:29" hidden="1">
      <c r="A31" s="104" t="str">
        <f t="shared" si="0"/>
        <v>Certaja</v>
      </c>
      <c r="B31" t="str">
        <f>filrocalculo1[[#This Row],[filtro]]</f>
        <v>NO SELECT</v>
      </c>
      <c r="C31" s="210" t="s">
        <v>192</v>
      </c>
      <c r="D31" s="205">
        <f>SUMIFS(Banco[valor],Banco[IdAgente],B31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31" s="205">
        <f>SUMIFS(Banco[valor],Banco[IdAgente],B31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31" s="225">
        <f>SUMIFS(Banco[valor],Banco[IdAgente],B31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31" s="205" t="e">
        <f>SUMIFS(Banco[valor],Banco[IdAgente],B31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31,'BD2'!$BI$2:$BO$52,7,FALSE)-1</f>
        <v>#N/A</v>
      </c>
      <c r="H31" s="113">
        <f t="shared" si="1"/>
        <v>0</v>
      </c>
    </row>
    <row r="32" spans="1:29" hidden="1">
      <c r="A32" t="str">
        <f t="shared" si="0"/>
        <v>Certel</v>
      </c>
      <c r="B32" t="str">
        <f>filrocalculo1[[#This Row],[filtro]]</f>
        <v>NO SELECT</v>
      </c>
      <c r="C32" s="210" t="s">
        <v>195</v>
      </c>
      <c r="D32" s="205">
        <f>SUMIFS(Banco[valor],Banco[IdAgente],B32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32" s="205">
        <f>SUMIFS(Banco[valor],Banco[IdAgente],B32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32" s="225">
        <f>SUMIFS(Banco[valor],Banco[IdAgente],B32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32" s="205" t="e">
        <f>SUMIFS(Banco[valor],Banco[IdAgente],B32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32,'BD2'!$BI$2:$BO$52,7,FALSE)-1</f>
        <v>#N/A</v>
      </c>
      <c r="H32" s="113">
        <f t="shared" si="1"/>
        <v>0</v>
      </c>
      <c r="AC32" s="324"/>
    </row>
    <row r="33" spans="1:53" hidden="1">
      <c r="A33" t="str">
        <f t="shared" si="0"/>
        <v>Certrel</v>
      </c>
      <c r="B33" t="str">
        <f>filrocalculo1[[#This Row],[filtro]]</f>
        <v>NO SELECT</v>
      </c>
      <c r="C33" s="210" t="s">
        <v>61</v>
      </c>
      <c r="D33" s="205">
        <f>SUMIFS(Banco[valor],Banco[IdAgente],B33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33" s="205">
        <f>SUMIFS(Banco[valor],Banco[IdAgente],B33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33" s="225">
        <f>SUMIFS(Banco[valor],Banco[IdAgente],B33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33" s="205" t="e">
        <f>SUMIFS(Banco[valor],Banco[IdAgente],B33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33,'BD2'!$BI$2:$BO$52,7,FALSE)-1</f>
        <v>#N/A</v>
      </c>
      <c r="H33" s="113">
        <f t="shared" si="1"/>
        <v>0</v>
      </c>
    </row>
    <row r="34" spans="1:53" hidden="1">
      <c r="A34" t="str">
        <f t="shared" si="0"/>
        <v>Cetril</v>
      </c>
      <c r="B34" t="str">
        <f>filrocalculo1[[#This Row],[filtro]]</f>
        <v>NO SELECT</v>
      </c>
      <c r="C34" s="210" t="s">
        <v>198</v>
      </c>
      <c r="D34" s="205">
        <f>SUMIFS(Banco[valor],Banco[IdAgente],B34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34" s="205">
        <f>SUMIFS(Banco[valor],Banco[IdAgente],B34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34" s="225">
        <f>SUMIFS(Banco[valor],Banco[IdAgente],B34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34" s="205" t="e">
        <f>SUMIFS(Banco[valor],Banco[IdAgente],B34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34,'BD2'!$BI$2:$BO$52,7,FALSE)-1</f>
        <v>#N/A</v>
      </c>
      <c r="H34" s="113">
        <f t="shared" si="1"/>
        <v>0</v>
      </c>
    </row>
    <row r="35" spans="1:53" hidden="1">
      <c r="A35" t="str">
        <f t="shared" si="0"/>
        <v>Coopera</v>
      </c>
      <c r="B35" t="str">
        <f>filrocalculo1[[#This Row],[filtro]]</f>
        <v>NO SELECT</v>
      </c>
      <c r="C35" s="210" t="s">
        <v>62</v>
      </c>
      <c r="D35" s="205">
        <f>SUMIFS(Banco[valor],Banco[IdAgente],B35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35" s="205">
        <f>SUMIFS(Banco[valor],Banco[IdAgente],B35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35" s="225">
        <f>SUMIFS(Banco[valor],Banco[IdAgente],B35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35" s="205" t="e">
        <f>SUMIFS(Banco[valor],Banco[IdAgente],B35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35,'BD2'!$BI$2:$BO$52,7,FALSE)-1</f>
        <v>#N/A</v>
      </c>
      <c r="H35" s="113">
        <f t="shared" si="1"/>
        <v>0</v>
      </c>
    </row>
    <row r="36" spans="1:53" hidden="1">
      <c r="A36" t="str">
        <f t="shared" si="0"/>
        <v>Coopercocal</v>
      </c>
      <c r="B36" t="str">
        <f>filrocalculo1[[#This Row],[filtro]]</f>
        <v>NO SELECT</v>
      </c>
      <c r="C36" s="210" t="s">
        <v>53</v>
      </c>
      <c r="D36" s="205">
        <f>SUMIFS(Banco[valor],Banco[IdAgente],B36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36" s="205">
        <f>SUMIFS(Banco[valor],Banco[IdAgente],B36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36" s="225">
        <f>SUMIFS(Banco[valor],Banco[IdAgente],B36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36" s="205" t="e">
        <f>SUMIFS(Banco[valor],Banco[IdAgente],B36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36,'BD2'!$BI$2:$BO$52,7,FALSE)-1</f>
        <v>#N/A</v>
      </c>
      <c r="H36" s="113">
        <f t="shared" si="1"/>
        <v>0</v>
      </c>
    </row>
    <row r="37" spans="1:53" hidden="1">
      <c r="A37" s="104" t="str">
        <f t="shared" ref="A37:A56" si="2">C37</f>
        <v>Cooperluz</v>
      </c>
      <c r="B37" t="str">
        <f>filrocalculo1[[#This Row],[filtro]]</f>
        <v>NO SELECT</v>
      </c>
      <c r="C37" s="210" t="s">
        <v>201</v>
      </c>
      <c r="D37" s="205">
        <f>SUMIFS(Banco[valor],Banco[IdAgente],B37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37" s="205">
        <f>SUMIFS(Banco[valor],Banco[IdAgente],B37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37" s="225">
        <f>SUMIFS(Banco[valor],Banco[IdAgente],B37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37" s="205" t="e">
        <f>SUMIFS(Banco[valor],Banco[IdAgente],B37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37,'BD2'!$BI$2:$BO$52,7,FALSE)-1</f>
        <v>#N/A</v>
      </c>
      <c r="H37" s="113">
        <f t="shared" si="1"/>
        <v>0</v>
      </c>
      <c r="I37" s="31"/>
      <c r="J37" s="231"/>
      <c r="K37" s="231"/>
      <c r="L37" s="31"/>
      <c r="M37" s="31"/>
      <c r="N37" s="231"/>
      <c r="O37" s="31"/>
      <c r="P37" s="31"/>
      <c r="Q37" s="231"/>
      <c r="R37" s="31"/>
      <c r="S37" s="231"/>
      <c r="T37" s="31"/>
      <c r="U37" s="231"/>
      <c r="V37" s="231"/>
      <c r="W37" s="231"/>
      <c r="X37" s="31"/>
      <c r="Y37" s="31"/>
      <c r="Z37" s="31"/>
      <c r="AA37" s="31"/>
    </row>
    <row r="38" spans="1:53" hidden="1">
      <c r="A38" t="str">
        <f t="shared" si="2"/>
        <v>Coopermila</v>
      </c>
      <c r="B38" t="str">
        <f>filrocalculo1[[#This Row],[filtro]]</f>
        <v>NO SELECT</v>
      </c>
      <c r="C38" s="210" t="s">
        <v>63</v>
      </c>
      <c r="D38" s="205">
        <f>SUMIFS(Banco[valor],Banco[IdAgente],B38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38" s="205">
        <f>SUMIFS(Banco[valor],Banco[IdAgente],B38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38" s="225">
        <f>SUMIFS(Banco[valor],Banco[IdAgente],B38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38" s="205" t="e">
        <f>SUMIFS(Banco[valor],Banco[IdAgente],B38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38,'BD2'!$BI$2:$BO$52,7,FALSE)-1</f>
        <v>#N/A</v>
      </c>
      <c r="H38" s="113">
        <f t="shared" ref="H38:H56" si="3">D38-E38</f>
        <v>0</v>
      </c>
    </row>
    <row r="39" spans="1:53" hidden="1">
      <c r="A39" t="str">
        <f t="shared" si="2"/>
        <v>Coorsel</v>
      </c>
      <c r="B39" t="str">
        <f>filrocalculo1[[#This Row],[filtro]]</f>
        <v>NO SELECT</v>
      </c>
      <c r="C39" s="210" t="s">
        <v>64</v>
      </c>
      <c r="D39" s="205">
        <f>SUMIFS(Banco[valor],Banco[IdAgente],B39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39" s="205">
        <f>SUMIFS(Banco[valor],Banco[IdAgente],B39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39" s="225">
        <f>SUMIFS(Banco[valor],Banco[IdAgente],B39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39" s="205" t="e">
        <f>SUMIFS(Banco[valor],Banco[IdAgente],B39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39,'BD2'!$BI$2:$BO$52,7,FALSE)-1</f>
        <v>#N/A</v>
      </c>
      <c r="H39" s="113">
        <f t="shared" si="3"/>
        <v>0</v>
      </c>
    </row>
    <row r="40" spans="1:53" hidden="1">
      <c r="A40" s="59" t="str">
        <f t="shared" si="2"/>
        <v>Coprel</v>
      </c>
      <c r="B40" t="str">
        <f>filrocalculo1[[#This Row],[filtro]]</f>
        <v>NO SELECT</v>
      </c>
      <c r="C40" s="210" t="s">
        <v>204</v>
      </c>
      <c r="D40" s="205">
        <f>SUMIFS(Banco[valor],Banco[IdAgente],B40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40" s="205">
        <f>SUMIFS(Banco[valor],Banco[IdAgente],B40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40" s="225">
        <f>SUMIFS(Banco[valor],Banco[IdAgente],B40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40" s="205" t="e">
        <f>SUMIFS(Banco[valor],Banco[IdAgente],B40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40,'BD2'!$BI$2:$BO$52,7,FALSE)-1</f>
        <v>#N/A</v>
      </c>
      <c r="H40" s="113">
        <f t="shared" si="3"/>
        <v>0</v>
      </c>
      <c r="P40" s="5"/>
      <c r="Q40" s="163"/>
      <c r="R40" s="5"/>
      <c r="S40" s="163"/>
      <c r="T40" s="5"/>
      <c r="U40" s="163"/>
      <c r="V40" s="163"/>
      <c r="W40" s="163"/>
      <c r="X40" s="5"/>
      <c r="Y40" s="5"/>
      <c r="Z40" s="5"/>
      <c r="AA40" s="5"/>
      <c r="AB40" s="5"/>
      <c r="AC40" s="5"/>
      <c r="AD40" s="163"/>
      <c r="AE40" s="5"/>
      <c r="AF40" s="163"/>
      <c r="AG40" s="5"/>
      <c r="AH40" s="5"/>
      <c r="AI40" s="163"/>
      <c r="AJ40" s="5"/>
      <c r="AK40" s="5"/>
      <c r="AL40" s="5"/>
      <c r="AM40" s="163"/>
      <c r="AN40" s="5"/>
      <c r="AO40" s="163"/>
      <c r="AP40" s="163"/>
      <c r="AQ40" s="5"/>
      <c r="AR40" s="163"/>
      <c r="AS40" s="163"/>
      <c r="AT40" s="5"/>
      <c r="AU40" s="5"/>
      <c r="AV40" s="5"/>
      <c r="AW40" s="5"/>
      <c r="AX40" s="5"/>
      <c r="AY40" s="5"/>
      <c r="AZ40" s="5"/>
      <c r="BA40" s="5"/>
    </row>
    <row r="41" spans="1:53" hidden="1">
      <c r="A41" s="104" t="str">
        <f t="shared" si="2"/>
        <v>Creluz</v>
      </c>
      <c r="B41" t="str">
        <f>filrocalculo1[[#This Row],[filtro]]</f>
        <v>NO SELECT</v>
      </c>
      <c r="C41" s="210" t="s">
        <v>276</v>
      </c>
      <c r="D41" s="205">
        <f>SUMIFS(Banco[valor],Banco[IdAgente],B41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41" s="205">
        <f>SUMIFS(Banco[valor],Banco[IdAgente],B41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41" s="225">
        <f>SUMIFS(Banco[valor],Banco[IdAgente],B41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41" s="205" t="e">
        <f>SUMIFS(Banco[valor],Banco[IdAgente],B41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41,'BD2'!$BI$2:$BO$52,7,FALSE)-1</f>
        <v>#N/A</v>
      </c>
      <c r="H41" s="113">
        <f t="shared" si="3"/>
        <v>0</v>
      </c>
      <c r="P41" s="4" t="s">
        <v>527</v>
      </c>
      <c r="Q41" s="163"/>
      <c r="R41" s="5"/>
      <c r="S41" s="163"/>
      <c r="T41" s="5"/>
      <c r="U41" s="163"/>
      <c r="V41" s="163"/>
      <c r="W41" s="163"/>
      <c r="X41" s="5"/>
      <c r="Y41" s="5"/>
      <c r="Z41" s="5"/>
      <c r="AA41" s="5"/>
      <c r="AB41" s="5"/>
      <c r="AC41" s="5"/>
      <c r="AD41" s="163"/>
      <c r="AE41" s="5"/>
      <c r="AF41" s="163"/>
      <c r="AG41" s="5"/>
      <c r="AH41" s="5"/>
      <c r="AI41" s="163"/>
      <c r="AJ41" s="5"/>
      <c r="AK41" s="5"/>
      <c r="AL41" s="5"/>
      <c r="AM41" s="163"/>
      <c r="AN41" s="5"/>
      <c r="AO41" s="163"/>
      <c r="AP41" s="163"/>
      <c r="AQ41" s="5"/>
      <c r="AR41" s="163"/>
      <c r="AS41" s="163"/>
      <c r="AT41" s="5"/>
      <c r="AU41" s="5"/>
      <c r="AV41" s="5"/>
      <c r="AW41" s="5"/>
      <c r="AX41" s="5"/>
      <c r="AY41" s="5"/>
      <c r="AZ41" s="5"/>
      <c r="BA41" s="5"/>
    </row>
    <row r="42" spans="1:53" hidden="1">
      <c r="A42" s="104" t="str">
        <f t="shared" si="2"/>
        <v>Creral</v>
      </c>
      <c r="B42" t="str">
        <f>filrocalculo1[[#This Row],[filtro]]</f>
        <v>NO SELECT</v>
      </c>
      <c r="C42" s="210" t="s">
        <v>210</v>
      </c>
      <c r="D42" s="205">
        <f>SUMIFS(Banco[valor],Banco[IdAgente],B42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42" s="205">
        <f>SUMIFS(Banco[valor],Banco[IdAgente],B42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42" s="225">
        <f>SUMIFS(Banco[valor],Banco[IdAgente],B42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42" s="205" t="e">
        <f>SUMIFS(Banco[valor],Banco[IdAgente],B42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42,'BD2'!$BI$2:$BO$52,7,FALSE)-1</f>
        <v>#N/A</v>
      </c>
      <c r="H42" s="113">
        <f t="shared" si="3"/>
        <v>0</v>
      </c>
      <c r="P42" s="5" t="e">
        <f>AVERAGE(P63,X63,AA63,AC63,AE63,AJ63,AK63,AQ63,AT63,AU63,AV63,AY63,AZ63)</f>
        <v>#DIV/0!</v>
      </c>
      <c r="Q42" s="163"/>
      <c r="R42" s="5"/>
      <c r="S42" s="163"/>
      <c r="T42" s="5"/>
      <c r="U42" s="163"/>
      <c r="V42" s="163"/>
      <c r="W42" s="163"/>
      <c r="X42" s="5"/>
      <c r="Y42" s="5"/>
      <c r="Z42" s="5"/>
      <c r="AA42" s="5"/>
      <c r="AB42" s="5"/>
      <c r="AC42" s="5"/>
      <c r="AD42" s="163"/>
      <c r="AE42" s="5"/>
      <c r="AF42" s="163"/>
      <c r="AG42" s="5"/>
      <c r="AH42" s="5"/>
      <c r="AI42" s="163"/>
      <c r="AJ42" s="5"/>
      <c r="AK42" s="5"/>
      <c r="AL42" s="5"/>
      <c r="AM42" s="163"/>
      <c r="AN42" s="5"/>
      <c r="AO42" s="163"/>
      <c r="AP42" s="163"/>
      <c r="AQ42" s="5"/>
      <c r="AR42" s="163"/>
      <c r="AS42" s="163"/>
      <c r="AT42" s="5"/>
      <c r="AU42" s="5"/>
      <c r="AV42" s="5"/>
      <c r="AW42" s="5"/>
      <c r="AX42" s="5"/>
      <c r="AY42" s="5"/>
      <c r="AZ42" s="5"/>
      <c r="BA42" s="5"/>
    </row>
    <row r="43" spans="1:53" hidden="1">
      <c r="A43" t="str">
        <f t="shared" si="2"/>
        <v>Cerci</v>
      </c>
      <c r="B43" t="str">
        <f>filrocalculo1[[#This Row],[filtro]]</f>
        <v>NO SELECT</v>
      </c>
      <c r="C43" s="210" t="s">
        <v>213</v>
      </c>
      <c r="D43" s="205">
        <f>SUMIFS(Banco[valor],Banco[IdAgente],B43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43" s="205">
        <f>SUMIFS(Banco[valor],Banco[IdAgente],B43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43" s="225">
        <f>SUMIFS(Banco[valor],Banco[IdAgente],B43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43" s="205" t="e">
        <f>SUMIFS(Banco[valor],Banco[IdAgente],B43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43,'BD2'!$BI$2:$BO$52,7,FALSE)-1</f>
        <v>#N/A</v>
      </c>
      <c r="H43" s="113">
        <f t="shared" si="3"/>
        <v>0</v>
      </c>
    </row>
    <row r="44" spans="1:53" hidden="1">
      <c r="A44" t="str">
        <f t="shared" si="2"/>
        <v>Ceral Araruama</v>
      </c>
      <c r="B44" t="str">
        <f>filrocalculo1[[#This Row],[filtro]]</f>
        <v>NO SELECT</v>
      </c>
      <c r="C44" s="210" t="s">
        <v>215</v>
      </c>
      <c r="D44" s="205">
        <f>SUMIFS(Banco[valor],Banco[IdAgente],B44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44" s="205">
        <f>SUMIFS(Banco[valor],Banco[IdAgente],B44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44" s="225">
        <f>SUMIFS(Banco[valor],Banco[IdAgente],B44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44" s="205" t="e">
        <f>SUMIFS(Banco[valor],Banco[IdAgente],B44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44,'BD2'!$BI$2:$BO$52,7,FALSE)-1</f>
        <v>#N/A</v>
      </c>
      <c r="H44" s="113">
        <f t="shared" si="3"/>
        <v>0</v>
      </c>
    </row>
    <row r="45" spans="1:53" hidden="1">
      <c r="A45" s="104" t="str">
        <f t="shared" si="2"/>
        <v>Cerfox</v>
      </c>
      <c r="B45" t="str">
        <f>filrocalculo1[[#This Row],[filtro]]</f>
        <v>NO SELECT</v>
      </c>
      <c r="C45" s="210" t="s">
        <v>217</v>
      </c>
      <c r="D45" s="205">
        <f>SUMIFS(Banco[valor],Banco[IdAgente],B45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45" s="205">
        <f>SUMIFS(Banco[valor],Banco[IdAgente],B45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45" s="225">
        <f>SUMIFS(Banco[valor],Banco[IdAgente],B45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45" s="205" t="e">
        <f>SUMIFS(Banco[valor],Banco[IdAgente],B45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45,'BD2'!$BI$2:$BO$52,7,FALSE)-1</f>
        <v>#N/A</v>
      </c>
      <c r="H45" s="113">
        <f t="shared" si="3"/>
        <v>0</v>
      </c>
      <c r="I45" s="8"/>
      <c r="J45" s="232"/>
      <c r="K45" s="232"/>
      <c r="L45" s="8"/>
      <c r="M45" s="8"/>
      <c r="N45" s="232"/>
      <c r="O45" s="305"/>
      <c r="P45" s="163" t="s">
        <v>528</v>
      </c>
      <c r="X45" s="5"/>
      <c r="Y45" s="5"/>
      <c r="Z45" s="5"/>
      <c r="AA45" s="5"/>
      <c r="AB45" s="5"/>
      <c r="AC45" s="5"/>
      <c r="AD45" s="163"/>
      <c r="AE45" s="5"/>
      <c r="AF45" s="163"/>
      <c r="AG45" s="5"/>
      <c r="AH45" s="5"/>
      <c r="AI45" s="163"/>
      <c r="AJ45" s="5"/>
      <c r="AK45" s="5"/>
      <c r="AL45" s="5"/>
      <c r="AM45" s="163"/>
      <c r="AN45" s="5"/>
      <c r="AO45" s="163"/>
      <c r="AP45" s="163"/>
      <c r="AQ45" s="5"/>
      <c r="AR45" s="163"/>
      <c r="AS45" s="163"/>
      <c r="AT45" s="5"/>
      <c r="AU45" s="5"/>
      <c r="AV45" s="5"/>
      <c r="AW45" s="5"/>
      <c r="AX45" s="5"/>
      <c r="AY45" s="5"/>
      <c r="AZ45" s="5"/>
      <c r="BA45" s="5"/>
    </row>
    <row r="46" spans="1:53" hidden="1">
      <c r="A46" t="str">
        <f t="shared" si="2"/>
        <v>Certhil</v>
      </c>
      <c r="B46" t="str">
        <f>filrocalculo1[[#This Row],[filtro]]</f>
        <v>NO SELECT</v>
      </c>
      <c r="C46" s="210" t="s">
        <v>219</v>
      </c>
      <c r="D46" s="205">
        <f>SUMIFS(Banco[valor],Banco[IdAgente],B46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46" s="205">
        <f>SUMIFS(Banco[valor],Banco[IdAgente],B46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46" s="225">
        <f>SUMIFS(Banco[valor],Banco[IdAgente],B46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46" s="205" t="e">
        <f>SUMIFS(Banco[valor],Banco[IdAgente],B46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46,'BD2'!$BI$2:$BO$52,7,FALSE)-1</f>
        <v>#N/A</v>
      </c>
      <c r="H46" s="113">
        <f>D46-E46</f>
        <v>0</v>
      </c>
      <c r="P46" s="5" t="e">
        <f>AVERAGE(P62,X62,AA62,AC62,AE62,AJ62,AK62,AQ62,AT62,AU62,AV62,AY62,AZ62)</f>
        <v>#DIV/0!</v>
      </c>
      <c r="Q46" s="163"/>
      <c r="R46" s="5"/>
      <c r="S46" s="163"/>
      <c r="T46" s="5"/>
      <c r="U46" s="163"/>
      <c r="V46" s="163"/>
      <c r="W46" s="163"/>
      <c r="X46" s="5"/>
      <c r="Y46" s="5"/>
      <c r="Z46" s="5"/>
      <c r="AA46" s="5"/>
      <c r="AB46" s="5"/>
      <c r="AC46" s="5"/>
      <c r="AD46" s="163"/>
      <c r="AE46" s="5"/>
      <c r="AF46" s="163"/>
      <c r="AG46" s="5"/>
      <c r="AH46" s="5"/>
      <c r="AI46" s="163"/>
      <c r="AJ46" s="5"/>
      <c r="AK46" s="5"/>
      <c r="AL46" s="5"/>
      <c r="AM46" s="163"/>
      <c r="AN46" s="5"/>
      <c r="AO46" s="163"/>
      <c r="AP46" s="163"/>
      <c r="AQ46" s="5"/>
      <c r="AR46" s="163"/>
      <c r="AS46" s="163"/>
      <c r="AT46" s="5"/>
      <c r="AU46" s="5"/>
      <c r="AV46" s="5"/>
      <c r="AW46" s="5"/>
      <c r="AX46" s="5"/>
      <c r="AY46" s="5"/>
      <c r="AZ46" s="5"/>
      <c r="BA46" s="5"/>
    </row>
    <row r="47" spans="1:53" hidden="1">
      <c r="A47" s="104" t="str">
        <f t="shared" si="2"/>
        <v>Castro Dis</v>
      </c>
      <c r="B47" t="str">
        <f>filrocalculo1[[#This Row],[filtro]]</f>
        <v>NO SELECT</v>
      </c>
      <c r="C47" s="210" t="s">
        <v>221</v>
      </c>
      <c r="D47" s="205">
        <f>SUMIFS(Banco[valor],Banco[IdAgente],B47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47" s="205">
        <f>SUMIFS(Banco[valor],Banco[IdAgente],B47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47" s="225">
        <f>SUMIFS(Banco[valor],Banco[IdAgente],B47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47" s="205" t="e">
        <f>SUMIFS(Banco[valor],Banco[IdAgente],B47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47,'BD2'!$BI$2:$BO$52,7,FALSE)-1</f>
        <v>#N/A</v>
      </c>
      <c r="H47" s="113">
        <f t="shared" si="3"/>
        <v>0</v>
      </c>
      <c r="P47" s="4" t="s">
        <v>529</v>
      </c>
      <c r="AU47" s="5"/>
    </row>
    <row r="48" spans="1:53" hidden="1">
      <c r="A48" t="str">
        <f t="shared" si="2"/>
        <v>Cervam</v>
      </c>
      <c r="B48" t="str">
        <f>filrocalculo1[[#This Row],[filtro]]</f>
        <v>NO SELECT</v>
      </c>
      <c r="C48" s="209" t="s">
        <v>223</v>
      </c>
      <c r="D48" s="205">
        <f>SUMIFS(Banco[valor],Banco[IdAgente],B48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48" s="205">
        <f>SUMIFS(Banco[valor],Banco[IdAgente],B48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48" s="225">
        <f>SUMIFS(Banco[valor],Banco[IdAgente],B48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48" s="205" t="e">
        <f>SUMIFS(Banco[valor],Banco[IdAgente],B48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48,'BD2'!$BI$2:$BO$52,7,FALSE)-1</f>
        <v>#N/A</v>
      </c>
      <c r="H48" s="113">
        <f t="shared" si="3"/>
        <v>0</v>
      </c>
    </row>
    <row r="49" spans="1:88" hidden="1">
      <c r="A49" t="str">
        <f t="shared" si="2"/>
        <v>Cegero</v>
      </c>
      <c r="B49" t="str">
        <f>filrocalculo1[[#This Row],[filtro]]</f>
        <v>NO SELECT</v>
      </c>
      <c r="C49" s="210" t="s">
        <v>225</v>
      </c>
      <c r="D49" s="205">
        <f>SUMIFS(Banco[valor],Banco[IdAgente],B49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49" s="205">
        <f>SUMIFS(Banco[valor],Banco[IdAgente],B49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49" s="225">
        <f>SUMIFS(Banco[valor],Banco[IdAgente],B49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49" s="205" t="e">
        <f>SUMIFS(Banco[valor],Banco[IdAgente],B49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49,'BD2'!$BI$2:$BO$52,7,FALSE)-1</f>
        <v>#N/A</v>
      </c>
      <c r="H49" s="113">
        <f t="shared" si="3"/>
        <v>0</v>
      </c>
    </row>
    <row r="50" spans="1:88" hidden="1">
      <c r="A50" t="str">
        <f t="shared" si="2"/>
        <v>Cersad</v>
      </c>
      <c r="B50" t="str">
        <f>filrocalculo1[[#This Row],[filtro]]</f>
        <v>NO SELECT</v>
      </c>
      <c r="C50" s="210" t="s">
        <v>227</v>
      </c>
      <c r="D50" s="205">
        <f>SUMIFS(Banco[valor],Banco[IdAgente],B50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50" s="205">
        <f>SUMIFS(Banco[valor],Banco[IdAgente],B50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50" s="225">
        <f>SUMIFS(Banco[valor],Banco[IdAgente],B50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50" s="205" t="e">
        <f>SUMIFS(Banco[valor],Banco[IdAgente],B50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50,'BD2'!$BI$2:$BO$52,7,FALSE)-1</f>
        <v>#N/A</v>
      </c>
      <c r="H50" s="113">
        <f t="shared" si="3"/>
        <v>0</v>
      </c>
    </row>
    <row r="51" spans="1:88" hidden="1">
      <c r="A51" t="str">
        <f t="shared" si="2"/>
        <v>Codesam</v>
      </c>
      <c r="B51" t="str">
        <f>filrocalculo1[[#This Row],[filtro]]</f>
        <v>NO SELECT</v>
      </c>
      <c r="C51" s="210" t="s">
        <v>229</v>
      </c>
      <c r="D51" s="205">
        <f>SUMIFS(Banco[valor],Banco[IdAgente],B51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51" s="205">
        <f>SUMIFS(Banco[valor],Banco[IdAgente],B51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51" s="225">
        <f>SUMIFS(Banco[valor],Banco[IdAgente],B51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51" s="205" t="e">
        <f>SUMIFS(Banco[valor],Banco[IdAgente],B51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51,'BD2'!$BI$2:$BO$52,7,FALSE)-1</f>
        <v>#N/A</v>
      </c>
      <c r="H51" s="113">
        <f t="shared" si="3"/>
        <v>0</v>
      </c>
      <c r="J51" s="230" t="e">
        <f t="shared" ref="J51:AO51" si="4">J52-J61</f>
        <v>#DIV/0!</v>
      </c>
      <c r="K51" s="163" t="e">
        <f t="shared" si="4"/>
        <v>#DIV/0!</v>
      </c>
      <c r="L51" s="5">
        <f t="shared" si="4"/>
        <v>0</v>
      </c>
      <c r="M51" s="5" t="e">
        <f t="shared" si="4"/>
        <v>#DIV/0!</v>
      </c>
      <c r="N51" s="163" t="e">
        <f t="shared" si="4"/>
        <v>#DIV/0!</v>
      </c>
      <c r="O51" s="5" t="e">
        <f t="shared" si="4"/>
        <v>#DIV/0!</v>
      </c>
      <c r="P51" s="5"/>
      <c r="Q51" s="163"/>
      <c r="R51" s="5"/>
      <c r="S51" s="163"/>
      <c r="T51" s="5"/>
      <c r="U51" s="230"/>
      <c r="V51" s="163"/>
      <c r="W51" s="163"/>
      <c r="X51" s="5"/>
      <c r="Y51" s="5"/>
      <c r="Z51" s="5"/>
      <c r="AA51" s="5"/>
      <c r="AB51" s="5"/>
      <c r="AC51" s="5"/>
      <c r="AD51" s="163"/>
      <c r="AE51" s="5"/>
      <c r="AF51" s="163"/>
      <c r="AG51" s="5"/>
      <c r="AH51" s="5"/>
      <c r="AI51" s="163"/>
      <c r="AJ51" s="5"/>
      <c r="AK51" s="5" t="e">
        <f t="shared" si="4"/>
        <v>#DIV/0!</v>
      </c>
      <c r="AL51" s="5" t="e">
        <f t="shared" si="4"/>
        <v>#DIV/0!</v>
      </c>
      <c r="AM51" s="163" t="e">
        <f t="shared" si="4"/>
        <v>#DIV/0!</v>
      </c>
      <c r="AN51" s="5" t="e">
        <f t="shared" si="4"/>
        <v>#DIV/0!</v>
      </c>
      <c r="AO51" s="230" t="e">
        <f t="shared" si="4"/>
        <v>#DIV/0!</v>
      </c>
      <c r="AP51" s="163" t="e">
        <f t="shared" ref="AP51:BH51" si="5">AP52-AP61</f>
        <v>#DIV/0!</v>
      </c>
      <c r="AQ51" s="5" t="e">
        <f t="shared" si="5"/>
        <v>#DIV/0!</v>
      </c>
      <c r="AR51" s="163" t="e">
        <f t="shared" si="5"/>
        <v>#DIV/0!</v>
      </c>
      <c r="AS51" s="163" t="e">
        <f t="shared" si="5"/>
        <v>#DIV/0!</v>
      </c>
      <c r="AT51" s="5" t="e">
        <f t="shared" si="5"/>
        <v>#DIV/0!</v>
      </c>
      <c r="AU51" s="5" t="e">
        <f t="shared" si="5"/>
        <v>#DIV/0!</v>
      </c>
      <c r="AV51" s="5" t="e">
        <f t="shared" si="5"/>
        <v>#DIV/0!</v>
      </c>
      <c r="AW51" s="5" t="e">
        <f t="shared" si="5"/>
        <v>#DIV/0!</v>
      </c>
      <c r="AX51" s="5" t="e">
        <f t="shared" si="5"/>
        <v>#DIV/0!</v>
      </c>
      <c r="AY51" s="5" t="e">
        <f t="shared" si="5"/>
        <v>#DIV/0!</v>
      </c>
      <c r="AZ51" s="5" t="e">
        <f t="shared" si="5"/>
        <v>#DIV/0!</v>
      </c>
      <c r="BA51" s="5" t="e">
        <f t="shared" si="5"/>
        <v>#DIV/0!</v>
      </c>
      <c r="BB51" s="163" t="e">
        <f t="shared" si="5"/>
        <v>#DIV/0!</v>
      </c>
      <c r="BC51" s="230" t="e">
        <f t="shared" si="5"/>
        <v>#DIV/0!</v>
      </c>
      <c r="BD51" s="163" t="e">
        <f t="shared" si="5"/>
        <v>#DIV/0!</v>
      </c>
      <c r="BE51" s="163" t="e">
        <f t="shared" si="5"/>
        <v>#DIV/0!</v>
      </c>
      <c r="BF51" s="163" t="e">
        <f t="shared" si="5"/>
        <v>#DIV/0!</v>
      </c>
      <c r="BG51" s="5">
        <f t="shared" si="5"/>
        <v>-3.0120171607860955E-3</v>
      </c>
      <c r="BH51" s="5">
        <f t="shared" si="5"/>
        <v>-3.7219907289256318E-3</v>
      </c>
    </row>
    <row r="52" spans="1:88" hidden="1">
      <c r="A52" t="str">
        <f t="shared" si="2"/>
        <v>Cooperzem</v>
      </c>
      <c r="B52" t="str">
        <f>filrocalculo1[[#This Row],[filtro]]</f>
        <v>NO SELECT</v>
      </c>
      <c r="C52" s="210" t="s">
        <v>231</v>
      </c>
      <c r="D52" s="205">
        <f>SUMIFS(Banco[valor],Banco[IdAgente],B52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52" s="205">
        <f>SUMIFS(Banco[valor],Banco[IdAgente],B52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52" s="225">
        <f>SUMIFS(Banco[valor],Banco[IdAgente],B52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52" s="205" t="e">
        <f>SUMIFS(Banco[valor],Banco[IdAgente],B52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52,'BD2'!$BI$2:$BO$52,7,FALSE)-1</f>
        <v>#N/A</v>
      </c>
      <c r="H52" s="113">
        <f t="shared" si="3"/>
        <v>0</v>
      </c>
      <c r="J52" s="163" t="e">
        <f t="shared" ref="J52:AO52" si="6">SUM(J62:J69)</f>
        <v>#DIV/0!</v>
      </c>
      <c r="K52" s="163" t="e">
        <f t="shared" si="6"/>
        <v>#DIV/0!</v>
      </c>
      <c r="L52" s="5">
        <f t="shared" si="6"/>
        <v>2.8248810701887058E-2</v>
      </c>
      <c r="M52" s="5" t="e">
        <f t="shared" si="6"/>
        <v>#DIV/0!</v>
      </c>
      <c r="N52" s="163" t="e">
        <f>SUM(N62:N69)</f>
        <v>#DIV/0!</v>
      </c>
      <c r="O52" s="5" t="e">
        <f t="shared" si="6"/>
        <v>#DIV/0!</v>
      </c>
      <c r="P52" s="5"/>
      <c r="Q52" s="163"/>
      <c r="R52" s="5"/>
      <c r="S52" s="163"/>
      <c r="T52" s="5"/>
      <c r="U52" s="163"/>
      <c r="V52" s="163"/>
      <c r="W52" s="163"/>
      <c r="X52" s="5"/>
      <c r="Y52" s="5"/>
      <c r="Z52" s="5"/>
      <c r="AA52" s="5"/>
      <c r="AB52" s="5"/>
      <c r="AC52" s="5"/>
      <c r="AD52" s="163"/>
      <c r="AE52" s="5"/>
      <c r="AF52" s="163"/>
      <c r="AG52" s="5"/>
      <c r="AH52" s="5"/>
      <c r="AI52" s="163"/>
      <c r="AJ52" s="5"/>
      <c r="AK52" s="5" t="e">
        <f t="shared" si="6"/>
        <v>#DIV/0!</v>
      </c>
      <c r="AL52" s="5" t="e">
        <f t="shared" si="6"/>
        <v>#DIV/0!</v>
      </c>
      <c r="AM52" s="163" t="e">
        <f t="shared" si="6"/>
        <v>#DIV/0!</v>
      </c>
      <c r="AN52" s="5" t="e">
        <f t="shared" si="6"/>
        <v>#DIV/0!</v>
      </c>
      <c r="AO52" s="163" t="e">
        <f t="shared" si="6"/>
        <v>#DIV/0!</v>
      </c>
      <c r="AP52" s="163" t="e">
        <f t="shared" ref="AP52:BF52" si="7">SUM(AP62:AP69)</f>
        <v>#DIV/0!</v>
      </c>
      <c r="AQ52" s="5" t="e">
        <f t="shared" si="7"/>
        <v>#DIV/0!</v>
      </c>
      <c r="AR52" s="163" t="e">
        <f t="shared" si="7"/>
        <v>#DIV/0!</v>
      </c>
      <c r="AS52" s="163" t="e">
        <f t="shared" si="7"/>
        <v>#DIV/0!</v>
      </c>
      <c r="AT52" s="5" t="e">
        <f t="shared" si="7"/>
        <v>#DIV/0!</v>
      </c>
      <c r="AU52" s="5" t="e">
        <f t="shared" si="7"/>
        <v>#DIV/0!</v>
      </c>
      <c r="AV52" s="5" t="e">
        <f t="shared" si="7"/>
        <v>#DIV/0!</v>
      </c>
      <c r="AW52" s="5" t="e">
        <f t="shared" si="7"/>
        <v>#DIV/0!</v>
      </c>
      <c r="AX52" s="5" t="e">
        <f t="shared" si="7"/>
        <v>#DIV/0!</v>
      </c>
      <c r="AY52" s="5" t="e">
        <f t="shared" si="7"/>
        <v>#DIV/0!</v>
      </c>
      <c r="AZ52" s="5" t="e">
        <f t="shared" si="7"/>
        <v>#DIV/0!</v>
      </c>
      <c r="BA52" s="5" t="e">
        <f t="shared" si="7"/>
        <v>#DIV/0!</v>
      </c>
      <c r="BB52" s="163" t="e">
        <f t="shared" si="7"/>
        <v>#DIV/0!</v>
      </c>
      <c r="BC52" s="163" t="e">
        <f t="shared" si="7"/>
        <v>#DIV/0!</v>
      </c>
      <c r="BD52" s="163" t="e">
        <f t="shared" si="7"/>
        <v>#DIV/0!</v>
      </c>
      <c r="BE52" s="163" t="e">
        <f t="shared" si="7"/>
        <v>#DIV/0!</v>
      </c>
      <c r="BF52" s="163" t="e">
        <f t="shared" si="7"/>
        <v>#DIV/0!</v>
      </c>
    </row>
    <row r="53" spans="1:88">
      <c r="A53" t="str">
        <f t="shared" si="2"/>
        <v>Coopersul</v>
      </c>
      <c r="B53">
        <f>filrocalculo1[[#This Row],[filtro]]</f>
        <v>5346</v>
      </c>
      <c r="C53" s="294" t="s">
        <v>277</v>
      </c>
      <c r="D53" s="205">
        <f>SUMIFS(Banco[valor],Banco[IdAgente],B53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0.121819023923877</v>
      </c>
      <c r="E53" s="205">
        <f>SUMIFS(Banco[valor],Banco[IdAgente],B53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9.6812742280761394E-2</v>
      </c>
      <c r="F53" s="225">
        <f>SUMIFS(Banco[valor],Banco[IdAgente],B53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0.10004349179835</v>
      </c>
      <c r="G53" s="205">
        <f>SUMIFS(Banco[valor],Banco[IdAgente],B53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53,'BD2'!$BI$2:$BO$52,7,FALSE)-1</f>
        <v>5.9358250553848135E-2</v>
      </c>
      <c r="H53" s="113">
        <f t="shared" si="3"/>
        <v>2.5006281643115608E-2</v>
      </c>
    </row>
    <row r="54" spans="1:88">
      <c r="A54" t="str">
        <f t="shared" si="2"/>
        <v>Coopernorte</v>
      </c>
      <c r="B54">
        <f>filrocalculo1[[#This Row],[filtro]]</f>
        <v>5345</v>
      </c>
      <c r="C54" s="211" t="s">
        <v>234</v>
      </c>
      <c r="D54" s="205">
        <f>SUMIFS(Banco[valor],Banco[IdAgente],B54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5.9272655213420601E-2</v>
      </c>
      <c r="E54" s="205">
        <f>SUMIFS(Banco[valor],Banco[IdAgente],B54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0.100523238021966</v>
      </c>
      <c r="F54" s="225">
        <f>SUMIFS(Banco[valor],Banco[IdAgente],B54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0.10001301539485</v>
      </c>
      <c r="G54" s="205">
        <f>SUMIFS(Banco[valor],Banco[IdAgente],B54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54,'BD2'!$BI$2:$BO$52,7,FALSE)-1</f>
        <v>8.4893476039128002E-2</v>
      </c>
      <c r="H54" s="113">
        <f t="shared" si="3"/>
        <v>-4.1250582808545398E-2</v>
      </c>
    </row>
    <row r="55" spans="1:88" hidden="1">
      <c r="A55" t="str">
        <f t="shared" si="2"/>
        <v>Cemirim</v>
      </c>
      <c r="B55" t="str">
        <f>filrocalculo1[[#This Row],[filtro]]</f>
        <v>NO SELECT</v>
      </c>
      <c r="C55" s="210" t="s">
        <v>286</v>
      </c>
      <c r="D55" s="205">
        <f>SUMIFS(Banco[valor],Banco[IdAgente],B55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55" s="205">
        <f>SUMIFS(Banco[valor],Banco[IdAgente],B55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55" s="225">
        <f>SUMIFS(Banco[valor],Banco[IdAgente],B55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55" s="205" t="e">
        <f>SUMIFS(Banco[valor],Banco[IdAgente],B55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55,'BD2'!$BI$2:$BO$52,7,FALSE)-1</f>
        <v>#N/A</v>
      </c>
      <c r="H55" s="113">
        <f t="shared" si="3"/>
        <v>0</v>
      </c>
    </row>
    <row r="56" spans="1:88" hidden="1">
      <c r="A56" t="str">
        <f t="shared" si="2"/>
        <v>Celetro</v>
      </c>
      <c r="B56" t="str">
        <f>filrocalculo1[[#This Row],[filtro]]</f>
        <v>NO SELECT</v>
      </c>
      <c r="C56" s="210" t="s">
        <v>302</v>
      </c>
      <c r="D56" s="205">
        <f>SUMIFS(Banco[valor],Banco[IdAgente],B56,Banco[id_natureza_dado],7,Banco[id_detalhe_natureza],99,Banco[idDet1],120,Banco[idDet2],999999,Banco[idDet3],999,Banco[id_grupo_tarifa],99,Banco[id_detalhe_grupo_tarifa],999,Banco[id_tipo_tarifa],9,Banco[id_subgrupo],20,Banco[id_posto],9,Banco[id_unidade],4,Banco[id_UC],99999)</f>
        <v>0</v>
      </c>
      <c r="E56" s="205">
        <f>SUMIFS(Banco[valor],Banco[IdAgente],B56,Banco[id_natureza_dado],7,Banco[id_detalhe_natureza],99,Banco[idDet1],120,Banco[idDet2],999999,Banco[idDet3],999,Banco[id_grupo_tarifa],99,Banco[id_detalhe_grupo_tarifa],999,Banco[id_tipo_tarifa],9,Banco[id_subgrupo],21,Banco[id_posto],9,Banco[id_unidade],4,Banco[id_UC],99999)</f>
        <v>0</v>
      </c>
      <c r="F56" s="225">
        <f>SUMIFS(Banco[valor],Banco[IdAgente],B56,Banco[id_natureza_dado],7,Banco[id_detalhe_natureza],99,Banco[idDet1],120,Banco[idDet2],999999,Banco[idDet3],999,Banco[id_grupo_tarifa],99,Banco[id_detalhe_grupo_tarifa],999,Banco[id_tipo_tarifa],9,Banco[id_subgrupo],22,Banco[id_posto],9,Banco[id_unidade],4,Banco[id_UC],99999)</f>
        <v>0</v>
      </c>
      <c r="G56" s="205" t="e">
        <f>SUMIFS(Banco[valor],Banco[IdAgente],B56,Banco[id_natureza_dado],7,Banco[id_detalhe_natureza],99,Banco[idDet1],130,Banco[idDet2],999999,Banco[idDet3],999,Banco[id_grupo_tarifa],99,Banco[id_detalhe_grupo_tarifa],999,Banco[id_tipo_tarifa],9,Banco[id_subgrupo],99,Banco[id_posto],9,Banco[id_unidade],5,Banco[id_UC],99999)/VLOOKUP(B56,'BD2'!$BI$2:$BO$52,7,FALSE)-1</f>
        <v>#N/A</v>
      </c>
      <c r="H56" s="113">
        <f t="shared" si="3"/>
        <v>0</v>
      </c>
      <c r="P56" s="5" t="e">
        <f>AVERAGE(P65,X65,AA65,AC65,AE65,AJ65,AK65,AQ65,AT65,AU65,AV65,AY65,AZ65)</f>
        <v>#DIV/0!</v>
      </c>
      <c r="X56" s="5"/>
      <c r="AD56" s="163"/>
      <c r="AE56" s="5"/>
      <c r="AF56" s="163"/>
      <c r="AG56" s="5"/>
      <c r="AH56" s="5"/>
      <c r="AI56" s="163"/>
      <c r="AJ56" s="5"/>
      <c r="AK56" s="5"/>
      <c r="AL56" s="5"/>
      <c r="AM56" s="163"/>
      <c r="AN56" s="5"/>
      <c r="AO56" s="163"/>
      <c r="AP56" s="163"/>
      <c r="AQ56" s="5"/>
      <c r="AR56" s="163"/>
      <c r="AS56" s="163"/>
      <c r="AT56" s="5"/>
      <c r="AU56" s="5"/>
      <c r="AV56" s="5"/>
      <c r="AW56" s="5"/>
      <c r="AX56" s="5"/>
      <c r="AY56" s="5"/>
      <c r="AZ56" s="5"/>
      <c r="BA56" s="5"/>
    </row>
    <row r="57" spans="1:88">
      <c r="AD57" s="163"/>
      <c r="AE57" s="5"/>
      <c r="AF57" s="163"/>
      <c r="AG57" s="5"/>
      <c r="AH57" s="5"/>
      <c r="AI57" s="163"/>
      <c r="AJ57" s="5"/>
      <c r="AK57" s="5"/>
      <c r="AL57" s="5"/>
      <c r="AM57" s="163"/>
      <c r="AN57" s="5"/>
      <c r="AO57" s="163"/>
      <c r="AP57" s="163"/>
      <c r="AQ57" s="5"/>
      <c r="AR57" s="163"/>
      <c r="AS57" s="163"/>
      <c r="AT57" s="5"/>
      <c r="AU57" s="5"/>
      <c r="AV57" s="5"/>
      <c r="AW57" s="5"/>
      <c r="AX57" s="5"/>
      <c r="AY57" s="5"/>
      <c r="AZ57" s="5"/>
      <c r="BA57" s="5"/>
    </row>
    <row r="58" spans="1:88">
      <c r="C58"/>
      <c r="D58"/>
      <c r="E58"/>
      <c r="F58"/>
      <c r="G58"/>
      <c r="I58" s="312">
        <f>IF(VLOOKUP(I60,$A$5:$B$56,2,FALSE)="NO SELECT",0,1)</f>
        <v>0</v>
      </c>
      <c r="J58" s="312">
        <f>IF(VLOOKUP(J60,$A$5:$B$56,2,FALSE)="NO SELECT",0,1)</f>
        <v>0</v>
      </c>
      <c r="K58" s="312">
        <f t="shared" ref="K58:BH58" si="8">IF(VLOOKUP(K60,$A$5:$B$56,2,FALSE)="NO SELECT",0,1)</f>
        <v>0</v>
      </c>
      <c r="L58" s="312">
        <f t="shared" si="8"/>
        <v>1</v>
      </c>
      <c r="M58" s="312">
        <f t="shared" si="8"/>
        <v>0</v>
      </c>
      <c r="N58" s="312">
        <f t="shared" si="8"/>
        <v>0</v>
      </c>
      <c r="O58" s="312">
        <f t="shared" si="8"/>
        <v>0</v>
      </c>
      <c r="P58" s="312">
        <f t="shared" si="8"/>
        <v>0</v>
      </c>
      <c r="Q58" s="312">
        <f t="shared" si="8"/>
        <v>0</v>
      </c>
      <c r="R58" s="312">
        <f t="shared" si="8"/>
        <v>0</v>
      </c>
      <c r="S58" s="312">
        <f t="shared" si="8"/>
        <v>0</v>
      </c>
      <c r="T58" s="312">
        <f t="shared" si="8"/>
        <v>0</v>
      </c>
      <c r="U58" s="312">
        <f t="shared" si="8"/>
        <v>0</v>
      </c>
      <c r="V58" s="312">
        <f t="shared" si="8"/>
        <v>0</v>
      </c>
      <c r="W58" s="312">
        <f t="shared" si="8"/>
        <v>0</v>
      </c>
      <c r="X58" s="312">
        <f t="shared" si="8"/>
        <v>0</v>
      </c>
      <c r="Y58" s="312">
        <f t="shared" si="8"/>
        <v>0</v>
      </c>
      <c r="Z58" s="312">
        <f t="shared" si="8"/>
        <v>0</v>
      </c>
      <c r="AA58" s="312">
        <f t="shared" si="8"/>
        <v>0</v>
      </c>
      <c r="AB58" s="312">
        <f t="shared" si="8"/>
        <v>0</v>
      </c>
      <c r="AC58" s="312">
        <f t="shared" si="8"/>
        <v>0</v>
      </c>
      <c r="AD58" s="312">
        <f t="shared" si="8"/>
        <v>0</v>
      </c>
      <c r="AE58" s="312">
        <f t="shared" si="8"/>
        <v>0</v>
      </c>
      <c r="AF58" s="312">
        <f t="shared" si="8"/>
        <v>0</v>
      </c>
      <c r="AG58" s="312">
        <f t="shared" si="8"/>
        <v>0</v>
      </c>
      <c r="AH58" s="312">
        <f t="shared" si="8"/>
        <v>0</v>
      </c>
      <c r="AI58" s="312">
        <f t="shared" si="8"/>
        <v>0</v>
      </c>
      <c r="AJ58" s="312">
        <f t="shared" si="8"/>
        <v>0</v>
      </c>
      <c r="AK58" s="312">
        <f t="shared" si="8"/>
        <v>0</v>
      </c>
      <c r="AL58" s="312">
        <f t="shared" si="8"/>
        <v>0</v>
      </c>
      <c r="AM58" s="312">
        <f t="shared" si="8"/>
        <v>0</v>
      </c>
      <c r="AN58" s="312">
        <f t="shared" si="8"/>
        <v>0</v>
      </c>
      <c r="AO58" s="312">
        <f t="shared" si="8"/>
        <v>0</v>
      </c>
      <c r="AP58" s="312">
        <f t="shared" si="8"/>
        <v>0</v>
      </c>
      <c r="AQ58" s="312">
        <f t="shared" si="8"/>
        <v>0</v>
      </c>
      <c r="AR58" s="312">
        <f t="shared" si="8"/>
        <v>0</v>
      </c>
      <c r="AS58" s="312">
        <f t="shared" si="8"/>
        <v>0</v>
      </c>
      <c r="AT58" s="312">
        <f t="shared" si="8"/>
        <v>0</v>
      </c>
      <c r="AU58" s="312">
        <f t="shared" si="8"/>
        <v>0</v>
      </c>
      <c r="AV58" s="312">
        <f t="shared" si="8"/>
        <v>0</v>
      </c>
      <c r="AW58" s="312">
        <f t="shared" si="8"/>
        <v>0</v>
      </c>
      <c r="AX58" s="312">
        <f t="shared" si="8"/>
        <v>0</v>
      </c>
      <c r="AY58" s="312">
        <f t="shared" si="8"/>
        <v>0</v>
      </c>
      <c r="AZ58" s="312">
        <f t="shared" si="8"/>
        <v>0</v>
      </c>
      <c r="BA58" s="312">
        <f t="shared" si="8"/>
        <v>0</v>
      </c>
      <c r="BB58" s="312">
        <f t="shared" si="8"/>
        <v>0</v>
      </c>
      <c r="BC58" s="312">
        <f t="shared" si="8"/>
        <v>0</v>
      </c>
      <c r="BD58" s="312">
        <f t="shared" si="8"/>
        <v>0</v>
      </c>
      <c r="BE58" s="312">
        <f t="shared" si="8"/>
        <v>0</v>
      </c>
      <c r="BF58" s="312">
        <f t="shared" si="8"/>
        <v>0</v>
      </c>
      <c r="BG58" s="312">
        <f t="shared" si="8"/>
        <v>1</v>
      </c>
      <c r="BH58" s="312">
        <f t="shared" si="8"/>
        <v>1</v>
      </c>
    </row>
    <row r="59" spans="1:88">
      <c r="H59" s="70" t="s">
        <v>70</v>
      </c>
      <c r="I59" s="311">
        <f>SUMIF(Fatos!$D$16:$D$66,Efeito!I60,Fatos!$C$16:$C$66)</f>
        <v>45260</v>
      </c>
      <c r="J59" s="311">
        <f>SUMIF(Fatos!$D$16:$D$66,Efeito!J60,Fatos!$C$16:$C$66)</f>
        <v>45199</v>
      </c>
      <c r="K59" s="311">
        <f>SUMIF(Fatos!$D$16:$D$66,Efeito!K60,Fatos!$C$16:$C$66)</f>
        <v>45199</v>
      </c>
      <c r="L59" s="311">
        <f>SUMIF(Fatos!$D$16:$D$66,Efeito!L60,Fatos!$C$16:$C$66)</f>
        <v>45282</v>
      </c>
      <c r="M59" s="311">
        <f>SUMIF(Fatos!$D$16:$D$66,Efeito!M60,Fatos!$C$16:$C$66)</f>
        <v>45075</v>
      </c>
      <c r="N59" s="311">
        <f>SUMIF(Fatos!$D$16:$D$66,Efeito!N60,Fatos!$C$16:$C$66)</f>
        <v>45199</v>
      </c>
      <c r="O59" s="311">
        <f>SUMIF(Fatos!$D$16:$D$66,Efeito!O60,Fatos!$C$16:$C$66)</f>
        <v>45260</v>
      </c>
      <c r="P59" s="311">
        <f>SUMIF(Fatos!$D$16:$D$66,Efeito!P60,Fatos!$C$16:$C$66)</f>
        <v>45137</v>
      </c>
      <c r="Q59" s="311">
        <f>SUMIF(Fatos!$D$16:$D$66,Efeito!Q60,Fatos!$C$16:$C$66)</f>
        <v>45199</v>
      </c>
      <c r="R59" s="311">
        <f>SUMIF(Fatos!$D$16:$D$66,Efeito!R60,Fatos!$C$16:$C$66)</f>
        <v>45075</v>
      </c>
      <c r="S59" s="311">
        <f>SUMIF(Fatos!$D$16:$D$66,Efeito!S60,Fatos!$C$16:$C$66)</f>
        <v>45199</v>
      </c>
      <c r="T59" s="311">
        <f>SUMIF(Fatos!$D$16:$D$66,Efeito!T60,Fatos!$C$16:$C$66)</f>
        <v>45045</v>
      </c>
      <c r="U59" s="311">
        <f>SUMIF(Fatos!$D$16:$D$66,Efeito!U60,Fatos!$C$16:$C$66)</f>
        <v>45199</v>
      </c>
      <c r="V59" s="311">
        <f>SUMIF(Fatos!$D$16:$D$66,Efeito!V60,Fatos!$C$16:$C$66)</f>
        <v>45199</v>
      </c>
      <c r="W59" s="311">
        <f>SUMIF(Fatos!$D$16:$D$66,Efeito!W60,Fatos!$C$16:$C$66)</f>
        <v>45199</v>
      </c>
      <c r="X59" s="311">
        <f>SUMIF(Fatos!$D$16:$D$66,Efeito!X60,Fatos!$C$16:$C$66)</f>
        <v>45137</v>
      </c>
      <c r="Y59" s="311">
        <f>SUMIF(Fatos!$D$16:$D$66,Efeito!Y60,Fatos!$C$16:$C$66)</f>
        <v>45260</v>
      </c>
      <c r="Z59" s="311">
        <f>SUMIF(Fatos!$D$16:$D$66,Efeito!Z60,Fatos!$C$16:$C$66)</f>
        <v>45045</v>
      </c>
      <c r="AA59" s="311">
        <f>SUMIF(Fatos!$D$16:$D$66,Efeito!AA60,Fatos!$C$16:$C$66)</f>
        <v>45137</v>
      </c>
      <c r="AB59" s="311">
        <f>SUMIF(Fatos!$D$16:$D$66,Efeito!AB60,Fatos!$C$16:$C$66)</f>
        <v>45260</v>
      </c>
      <c r="AC59" s="311">
        <f>SUMIF(Fatos!$D$16:$D$66,Efeito!AC60,Fatos!$C$16:$C$66)</f>
        <v>45137</v>
      </c>
      <c r="AD59" s="311">
        <f>SUMIF(Fatos!$D$16:$D$66,Efeito!AD60,Fatos!$C$16:$C$66)</f>
        <v>45199</v>
      </c>
      <c r="AE59" s="311">
        <f>SUMIF(Fatos!$D$16:$D$66,Efeito!AE60,Fatos!$C$16:$C$66)</f>
        <v>45137</v>
      </c>
      <c r="AF59" s="311">
        <f>SUMIF(Fatos!$D$16:$D$66,Efeito!AF60,Fatos!$C$16:$C$66)</f>
        <v>45199</v>
      </c>
      <c r="AG59" s="311">
        <f>SUMIF(Fatos!$D$16:$D$66,Efeito!AG60,Fatos!$C$16:$C$66)</f>
        <v>45075</v>
      </c>
      <c r="AH59" s="311">
        <f>SUMIF(Fatos!$D$16:$D$66,Efeito!AH60,Fatos!$C$16:$C$66)</f>
        <v>45075</v>
      </c>
      <c r="AI59" s="311">
        <f>SUMIF(Fatos!$D$16:$D$66,Efeito!AI60,Fatos!$C$16:$C$66)</f>
        <v>45199</v>
      </c>
      <c r="AJ59" s="311">
        <f>SUMIF(Fatos!$D$16:$D$66,Efeito!AJ60,Fatos!$C$16:$C$66)</f>
        <v>45137</v>
      </c>
      <c r="AK59" s="311">
        <f>SUMIF(Fatos!$D$16:$D$67,Efeito!AK60,Fatos!$C$16:$C$67)</f>
        <v>45137</v>
      </c>
      <c r="AL59" s="311">
        <f>SUMIF(Fatos!$D$16:$D$66,Efeito!AL60,Fatos!$C$16:$C$66)</f>
        <v>45137</v>
      </c>
      <c r="AM59" s="311">
        <f>SUMIF(Fatos!$D$16:$D$66,Efeito!AM60,Fatos!$C$16:$C$66)</f>
        <v>45199</v>
      </c>
      <c r="AN59" s="311">
        <f>SUMIF(Fatos!$D$16:$D$66,Efeito!AN60,Fatos!$C$16:$C$66)</f>
        <v>45260</v>
      </c>
      <c r="AO59" s="311">
        <f>SUMIF(Fatos!$D$16:$D$66,Efeito!AO60,Fatos!$C$16:$C$66)</f>
        <v>45199</v>
      </c>
      <c r="AP59" s="311">
        <f>SUMIF(Fatos!$D$16:$D$66,Efeito!AP60,Fatos!$C$16:$C$66)</f>
        <v>45199</v>
      </c>
      <c r="AQ59" s="311">
        <f>SUMIF(Fatos!$D$16:$D$66,Efeito!AQ60,Fatos!$C$16:$C$66)</f>
        <v>45137</v>
      </c>
      <c r="AR59" s="311">
        <f>SUMIF(Fatos!$D$16:$D$66,Efeito!AR60,Fatos!$C$16:$C$66)</f>
        <v>45199</v>
      </c>
      <c r="AS59" s="311">
        <f>SUMIF(Fatos!$D$16:$D$66,Efeito!AS60,Fatos!$C$16:$C$66)</f>
        <v>45199</v>
      </c>
      <c r="AT59" s="311">
        <f>SUMIF(Fatos!$D$16:$D$66,Efeito!AT60,Fatos!$C$16:$C$66)</f>
        <v>45137</v>
      </c>
      <c r="AU59" s="311">
        <f>SUMIF(Fatos!$D$16:$D$66,Efeito!AU60,Fatos!$C$16:$C$66)</f>
        <v>45137</v>
      </c>
      <c r="AV59" s="311">
        <f>SUMIF(Fatos!$D$16:$D$66,Efeito!AV60,Fatos!$C$16:$C$66)</f>
        <v>45137</v>
      </c>
      <c r="AW59" s="311">
        <f>SUMIF(Fatos!$D$16:$D$66,Efeito!AW60,Fatos!$C$16:$C$66)</f>
        <v>45045</v>
      </c>
      <c r="AX59" s="311">
        <f>SUMIF(Fatos!$D$16:$D$66,Efeito!AX60,Fatos!$C$16:$C$66)</f>
        <v>45045</v>
      </c>
      <c r="AY59" s="311">
        <f>SUMIF(Fatos!$D$16:$D$66,Efeito!AY60,Fatos!$C$16:$C$66)</f>
        <v>45137</v>
      </c>
      <c r="AZ59" s="311">
        <f>SUMIF(Fatos!$D$16:$D$66,Efeito!AZ60,Fatos!$C$16:$C$66)</f>
        <v>45137</v>
      </c>
      <c r="BA59" s="311">
        <f>SUMIF(Fatos!$D$16:$D$66,Efeito!BA60,Fatos!$C$16:$C$66)</f>
        <v>45137</v>
      </c>
      <c r="BB59" s="311">
        <f>SUMIF(Fatos!$D$16:$D$66,Efeito!BB60,Fatos!$C$16:$C$66)</f>
        <v>45199</v>
      </c>
      <c r="BC59" s="311">
        <f>SUMIF(Fatos!$D$16:$D$66,Efeito!BC60,Fatos!$C$16:$C$66)</f>
        <v>45199</v>
      </c>
      <c r="BD59" s="311">
        <f>SUMIF(Fatos!$D$16:$D$66,Efeito!BD60,Fatos!$C$16:$C$66)</f>
        <v>45199</v>
      </c>
      <c r="BE59" s="311">
        <f>SUMIF(Fatos!$D$16:$D$66,Efeito!BE60,Fatos!$C$16:$C$66)</f>
        <v>45199</v>
      </c>
      <c r="BF59" s="311">
        <f>SUMIF(Fatos!$D$16:$D$66,Efeito!BF60,Fatos!$C$16:$C$66)</f>
        <v>45199</v>
      </c>
      <c r="BG59" s="311">
        <f>SUMIF(Fatos!$D$16:$D$66,Efeito!BG60,Fatos!$C$16:$C$66)</f>
        <v>45282</v>
      </c>
      <c r="BH59" s="311">
        <f>SUMIF(Fatos!$D$16:$D$66,Efeito!BH60,Fatos!$C$16:$C$66)</f>
        <v>45282</v>
      </c>
    </row>
    <row r="60" spans="1:88">
      <c r="H60" s="98" t="s">
        <v>71</v>
      </c>
      <c r="I60" s="98" t="s">
        <v>147</v>
      </c>
      <c r="J60" s="233" t="s">
        <v>51</v>
      </c>
      <c r="K60" s="233" t="s">
        <v>65</v>
      </c>
      <c r="L60" s="233" t="s">
        <v>150</v>
      </c>
      <c r="M60" s="233" t="s">
        <v>286</v>
      </c>
      <c r="N60" s="233" t="s">
        <v>66</v>
      </c>
      <c r="O60" s="233" t="s">
        <v>153</v>
      </c>
      <c r="P60" s="348" t="s">
        <v>156</v>
      </c>
      <c r="Q60" s="348" t="s">
        <v>54</v>
      </c>
      <c r="R60" s="348" t="s">
        <v>159</v>
      </c>
      <c r="S60" s="348" t="s">
        <v>56</v>
      </c>
      <c r="T60" s="348" t="s">
        <v>162</v>
      </c>
      <c r="U60" s="348" t="s">
        <v>55</v>
      </c>
      <c r="V60" s="348" t="s">
        <v>57</v>
      </c>
      <c r="W60" s="348" t="s">
        <v>58</v>
      </c>
      <c r="X60" s="348" t="s">
        <v>165</v>
      </c>
      <c r="Y60" s="349" t="s">
        <v>168</v>
      </c>
      <c r="Z60" s="349" t="s">
        <v>171</v>
      </c>
      <c r="AA60" s="349" t="s">
        <v>174</v>
      </c>
      <c r="AB60" s="349" t="s">
        <v>177</v>
      </c>
      <c r="AC60" s="349" t="s">
        <v>180</v>
      </c>
      <c r="AD60" s="349" t="s">
        <v>52</v>
      </c>
      <c r="AE60" s="349" t="s">
        <v>183</v>
      </c>
      <c r="AF60" s="349" t="s">
        <v>59</v>
      </c>
      <c r="AG60" s="349" t="s">
        <v>186</v>
      </c>
      <c r="AH60" s="349" t="s">
        <v>189</v>
      </c>
      <c r="AI60" s="349" t="s">
        <v>60</v>
      </c>
      <c r="AJ60" s="349" t="s">
        <v>192</v>
      </c>
      <c r="AK60" s="349" t="s">
        <v>302</v>
      </c>
      <c r="AL60" s="349" t="s">
        <v>195</v>
      </c>
      <c r="AM60" s="349" t="s">
        <v>61</v>
      </c>
      <c r="AN60" s="349" t="s">
        <v>198</v>
      </c>
      <c r="AO60" s="349" t="s">
        <v>62</v>
      </c>
      <c r="AP60" s="349" t="s">
        <v>53</v>
      </c>
      <c r="AQ60" s="349" t="s">
        <v>201</v>
      </c>
      <c r="AR60" s="349" t="s">
        <v>63</v>
      </c>
      <c r="AS60" s="349" t="s">
        <v>64</v>
      </c>
      <c r="AT60" s="349" t="s">
        <v>204</v>
      </c>
      <c r="AU60" s="349" t="s">
        <v>276</v>
      </c>
      <c r="AV60" s="349" t="s">
        <v>210</v>
      </c>
      <c r="AW60" s="349" t="s">
        <v>213</v>
      </c>
      <c r="AX60" s="349" t="s">
        <v>215</v>
      </c>
      <c r="AY60" s="349" t="s">
        <v>217</v>
      </c>
      <c r="AZ60" s="349" t="s">
        <v>219</v>
      </c>
      <c r="BA60" s="349" t="s">
        <v>221</v>
      </c>
      <c r="BB60" s="99" t="s">
        <v>223</v>
      </c>
      <c r="BC60" s="99" t="s">
        <v>225</v>
      </c>
      <c r="BD60" s="99" t="s">
        <v>227</v>
      </c>
      <c r="BE60" s="99" t="s">
        <v>229</v>
      </c>
      <c r="BF60" s="99" t="s">
        <v>231</v>
      </c>
      <c r="BG60" s="99" t="s">
        <v>277</v>
      </c>
      <c r="BH60" s="99" t="s">
        <v>234</v>
      </c>
    </row>
    <row r="61" spans="1:88">
      <c r="A61" s="4"/>
      <c r="F61" s="206"/>
      <c r="G61" s="207"/>
      <c r="H61" s="72" t="s">
        <v>2</v>
      </c>
      <c r="I61" s="73" t="e">
        <f t="shared" ref="I61:AN61" si="9">SUM(I62:I69)</f>
        <v>#DIV/0!</v>
      </c>
      <c r="J61" s="222" t="e">
        <f t="shared" si="9"/>
        <v>#DIV/0!</v>
      </c>
      <c r="K61" s="222" t="e">
        <f t="shared" si="9"/>
        <v>#DIV/0!</v>
      </c>
      <c r="L61" s="222">
        <f t="shared" si="9"/>
        <v>2.8248810701887058E-2</v>
      </c>
      <c r="M61" s="222" t="e">
        <f t="shared" si="9"/>
        <v>#DIV/0!</v>
      </c>
      <c r="N61" s="222" t="e">
        <f t="shared" si="9"/>
        <v>#DIV/0!</v>
      </c>
      <c r="O61" s="222" t="e">
        <f t="shared" si="9"/>
        <v>#DIV/0!</v>
      </c>
      <c r="P61" s="222" t="e">
        <f t="shared" si="9"/>
        <v>#DIV/0!</v>
      </c>
      <c r="Q61" s="222" t="e">
        <f t="shared" si="9"/>
        <v>#DIV/0!</v>
      </c>
      <c r="R61" s="222" t="e">
        <f t="shared" si="9"/>
        <v>#DIV/0!</v>
      </c>
      <c r="S61" s="222" t="e">
        <f t="shared" si="9"/>
        <v>#DIV/0!</v>
      </c>
      <c r="T61" s="222" t="e">
        <f t="shared" si="9"/>
        <v>#DIV/0!</v>
      </c>
      <c r="U61" s="222" t="e">
        <f t="shared" si="9"/>
        <v>#DIV/0!</v>
      </c>
      <c r="V61" s="222" t="e">
        <f t="shared" si="9"/>
        <v>#DIV/0!</v>
      </c>
      <c r="W61" s="222" t="e">
        <f t="shared" si="9"/>
        <v>#DIV/0!</v>
      </c>
      <c r="X61" s="222" t="e">
        <f t="shared" si="9"/>
        <v>#DIV/0!</v>
      </c>
      <c r="Y61" s="222" t="e">
        <f t="shared" si="9"/>
        <v>#DIV/0!</v>
      </c>
      <c r="Z61" s="222" t="e">
        <f t="shared" si="9"/>
        <v>#DIV/0!</v>
      </c>
      <c r="AA61" s="222" t="e">
        <f t="shared" si="9"/>
        <v>#DIV/0!</v>
      </c>
      <c r="AB61" s="222" t="e">
        <f t="shared" si="9"/>
        <v>#DIV/0!</v>
      </c>
      <c r="AC61" s="222" t="e">
        <f t="shared" si="9"/>
        <v>#DIV/0!</v>
      </c>
      <c r="AD61" s="222" t="e">
        <f t="shared" si="9"/>
        <v>#DIV/0!</v>
      </c>
      <c r="AE61" s="222" t="e">
        <f>SUM(AE62:AE69)</f>
        <v>#DIV/0!</v>
      </c>
      <c r="AF61" s="222" t="e">
        <f t="shared" si="9"/>
        <v>#DIV/0!</v>
      </c>
      <c r="AG61" s="222" t="e">
        <f t="shared" si="9"/>
        <v>#DIV/0!</v>
      </c>
      <c r="AH61" s="222" t="e">
        <f t="shared" si="9"/>
        <v>#DIV/0!</v>
      </c>
      <c r="AI61" s="222" t="e">
        <f t="shared" si="9"/>
        <v>#DIV/0!</v>
      </c>
      <c r="AJ61" s="222" t="e">
        <f t="shared" si="9"/>
        <v>#DIV/0!</v>
      </c>
      <c r="AK61" s="222" t="e">
        <f t="shared" si="9"/>
        <v>#DIV/0!</v>
      </c>
      <c r="AL61" s="222" t="e">
        <f t="shared" si="9"/>
        <v>#DIV/0!</v>
      </c>
      <c r="AM61" s="222" t="e">
        <f t="shared" si="9"/>
        <v>#DIV/0!</v>
      </c>
      <c r="AN61" s="222" t="e">
        <f t="shared" si="9"/>
        <v>#DIV/0!</v>
      </c>
      <c r="AO61" s="222" t="e">
        <f t="shared" ref="AO61:BH61" si="10">SUM(AO62:AO69)</f>
        <v>#DIV/0!</v>
      </c>
      <c r="AP61" s="222" t="e">
        <f t="shared" si="10"/>
        <v>#DIV/0!</v>
      </c>
      <c r="AQ61" s="222" t="e">
        <f t="shared" si="10"/>
        <v>#DIV/0!</v>
      </c>
      <c r="AR61" s="222" t="e">
        <f t="shared" si="10"/>
        <v>#DIV/0!</v>
      </c>
      <c r="AS61" s="222" t="e">
        <f t="shared" si="10"/>
        <v>#DIV/0!</v>
      </c>
      <c r="AT61" s="222" t="e">
        <f t="shared" si="10"/>
        <v>#DIV/0!</v>
      </c>
      <c r="AU61" s="222" t="e">
        <f t="shared" si="10"/>
        <v>#DIV/0!</v>
      </c>
      <c r="AV61" s="222" t="e">
        <f t="shared" si="10"/>
        <v>#DIV/0!</v>
      </c>
      <c r="AW61" s="222" t="e">
        <f t="shared" si="10"/>
        <v>#DIV/0!</v>
      </c>
      <c r="AX61" s="222" t="e">
        <f t="shared" si="10"/>
        <v>#DIV/0!</v>
      </c>
      <c r="AY61" s="222" t="e">
        <f t="shared" si="10"/>
        <v>#DIV/0!</v>
      </c>
      <c r="AZ61" s="222" t="e">
        <f t="shared" si="10"/>
        <v>#DIV/0!</v>
      </c>
      <c r="BA61" s="222" t="e">
        <f t="shared" si="10"/>
        <v>#DIV/0!</v>
      </c>
      <c r="BB61" s="222" t="e">
        <f t="shared" si="10"/>
        <v>#DIV/0!</v>
      </c>
      <c r="BC61" s="222" t="e">
        <f t="shared" si="10"/>
        <v>#DIV/0!</v>
      </c>
      <c r="BD61" s="222" t="e">
        <f t="shared" si="10"/>
        <v>#DIV/0!</v>
      </c>
      <c r="BE61" s="222" t="e">
        <f t="shared" si="10"/>
        <v>#DIV/0!</v>
      </c>
      <c r="BF61" s="222" t="e">
        <f t="shared" si="10"/>
        <v>#DIV/0!</v>
      </c>
      <c r="BG61" s="73">
        <f t="shared" si="10"/>
        <v>3.0120171607860955E-3</v>
      </c>
      <c r="BH61" s="73">
        <f t="shared" si="10"/>
        <v>3.7219907289256318E-3</v>
      </c>
      <c r="BI61" s="5"/>
      <c r="BJ61" s="278" t="s">
        <v>280</v>
      </c>
      <c r="BK61" t="s">
        <v>281</v>
      </c>
      <c r="BL61" t="s">
        <v>283</v>
      </c>
      <c r="BM61" s="100"/>
      <c r="BN61" s="5"/>
    </row>
    <row r="62" spans="1:88">
      <c r="A62" s="4"/>
      <c r="E62" s="270"/>
      <c r="F62" s="206"/>
      <c r="G62" s="207"/>
      <c r="H62" s="74" t="s">
        <v>336</v>
      </c>
      <c r="I62" s="75" t="e">
        <f>(Apoio_Efeito!BY4-Apoio_Efeito!C4)/Apoio_Efeito!$R$4</f>
        <v>#DIV/0!</v>
      </c>
      <c r="J62" s="223" t="e">
        <f>(Apoio_Efeito!BY5-Apoio_Efeito!C5)/Apoio_Efeito!$R$5</f>
        <v>#DIV/0!</v>
      </c>
      <c r="K62" s="223" t="e">
        <f>(Apoio_Efeito!BY6-Apoio_Efeito!C6)/Apoio_Efeito!$R$6</f>
        <v>#DIV/0!</v>
      </c>
      <c r="L62" s="371">
        <f>(Apoio_Efeito!BY7-Apoio_Efeito!C7)/Apoio_Efeito!$R$7</f>
        <v>-4.2785692861663062E-3</v>
      </c>
      <c r="M62" s="223" t="e">
        <f>(Apoio_Efeito!BY54-Apoio_Efeito!C54)/Apoio_Efeito!$R$54</f>
        <v>#DIV/0!</v>
      </c>
      <c r="N62" s="223" t="e">
        <f>(Apoio_Efeito!BY8-Apoio_Efeito!C8)/Apoio_Efeito!$R$8</f>
        <v>#DIV/0!</v>
      </c>
      <c r="O62" s="223" t="e">
        <f>(Apoio_Efeito!BY9-Apoio_Efeito!C9)/Apoio_Efeito!$R$9</f>
        <v>#DIV/0!</v>
      </c>
      <c r="P62" s="223" t="e">
        <f>(Apoio_Efeito!BY10-Apoio_Efeito!C10)/Apoio_Efeito!$R$10</f>
        <v>#DIV/0!</v>
      </c>
      <c r="Q62" s="223" t="e">
        <f>(Apoio_Efeito!BY11-Apoio_Efeito!C11)/Apoio_Efeito!$R$11</f>
        <v>#DIV/0!</v>
      </c>
      <c r="R62" s="223" t="e">
        <f>(Apoio_Efeito!BY12-Apoio_Efeito!C12)/Apoio_Efeito!$R12</f>
        <v>#DIV/0!</v>
      </c>
      <c r="S62" s="223" t="e">
        <f>(Apoio_Efeito!BY13-Apoio_Efeito!C13)/Apoio_Efeito!$R$13</f>
        <v>#DIV/0!</v>
      </c>
      <c r="T62" s="223" t="e">
        <f>(Apoio_Efeito!BY14-Apoio_Efeito!C14)/Apoio_Efeito!$R$14</f>
        <v>#DIV/0!</v>
      </c>
      <c r="U62" s="223" t="e">
        <f>(Apoio_Efeito!BY15-Apoio_Efeito!C15)/Apoio_Efeito!$R$15</f>
        <v>#DIV/0!</v>
      </c>
      <c r="V62" s="223" t="e">
        <f>(Apoio_Efeito!BY16-Apoio_Efeito!C16)/Apoio_Efeito!$R$16</f>
        <v>#DIV/0!</v>
      </c>
      <c r="W62" s="223" t="e">
        <f>(Apoio_Efeito!BY17-Apoio_Efeito!C17)/Apoio_Efeito!$R$17</f>
        <v>#DIV/0!</v>
      </c>
      <c r="X62" s="223" t="e">
        <f>(Apoio_Efeito!BY18-Apoio_Efeito!C18)/Apoio_Efeito!$R$18</f>
        <v>#DIV/0!</v>
      </c>
      <c r="Y62" s="223" t="e">
        <f>(Apoio_Efeito!BY19-Apoio_Efeito!C19)/Apoio_Efeito!$R$19</f>
        <v>#DIV/0!</v>
      </c>
      <c r="Z62" s="223" t="e">
        <f>(Apoio_Efeito!BY20-Apoio_Efeito!C20)/Apoio_Efeito!$R$20</f>
        <v>#DIV/0!</v>
      </c>
      <c r="AA62" s="223" t="e">
        <f>(Apoio_Efeito!BY21-Apoio_Efeito!C21)/Apoio_Efeito!$R$21</f>
        <v>#DIV/0!</v>
      </c>
      <c r="AB62" s="223" t="e">
        <f>(Apoio_Efeito!BY22-Apoio_Efeito!C22)/Apoio_Efeito!$R$22</f>
        <v>#DIV/0!</v>
      </c>
      <c r="AC62" s="371" t="e">
        <f>(Apoio_Efeito!BY23-Apoio_Efeito!C23)/Apoio_Efeito!$R$23</f>
        <v>#DIV/0!</v>
      </c>
      <c r="AD62" s="223" t="e">
        <f>(Apoio_Efeito!BY24-Apoio_Efeito!C24)/Apoio_Efeito!$R$24</f>
        <v>#DIV/0!</v>
      </c>
      <c r="AE62" s="223" t="e">
        <f>(Apoio_Efeito!BY25-Apoio_Efeito!C25)/Apoio_Efeito!$R$25</f>
        <v>#DIV/0!</v>
      </c>
      <c r="AF62" s="223" t="e">
        <f>(Apoio_Efeito!BY26-Apoio_Efeito!C26)/Apoio_Efeito!$R$26</f>
        <v>#DIV/0!</v>
      </c>
      <c r="AG62" s="223" t="e">
        <f>(Apoio_Efeito!BY27-Apoio_Efeito!C27)/Apoio_Efeito!$R$27</f>
        <v>#DIV/0!</v>
      </c>
      <c r="AH62" s="223" t="e">
        <f>(Apoio_Efeito!BY28-Apoio_Efeito!C28)/Apoio_Efeito!$R$28</f>
        <v>#DIV/0!</v>
      </c>
      <c r="AI62" s="223" t="e">
        <f>(Apoio_Efeito!BY29-Apoio_Efeito!C29)/Apoio_Efeito!$R$29</f>
        <v>#DIV/0!</v>
      </c>
      <c r="AJ62" s="223" t="e">
        <f>(Apoio_Efeito!BY30-Apoio_Efeito!C30)/Apoio_Efeito!$R$30</f>
        <v>#DIV/0!</v>
      </c>
      <c r="AK62" s="223" t="e">
        <f>(Apoio_Efeito!BY55-Apoio_Efeito!C55)/Apoio_Efeito!$R$55</f>
        <v>#DIV/0!</v>
      </c>
      <c r="AL62" s="223" t="e">
        <f>(Apoio_Efeito!BY31-Apoio_Efeito!C31)/Apoio_Efeito!$R$31</f>
        <v>#DIV/0!</v>
      </c>
      <c r="AM62" s="223" t="e">
        <f>(Apoio_Efeito!BY32-Apoio_Efeito!C32)/Apoio_Efeito!$R$32</f>
        <v>#DIV/0!</v>
      </c>
      <c r="AN62" s="223" t="e">
        <f>(Apoio_Efeito!BY33-Apoio_Efeito!C33)/Apoio_Efeito!$R$33</f>
        <v>#DIV/0!</v>
      </c>
      <c r="AO62" s="223" t="e">
        <f>(Apoio_Efeito!BY34-Apoio_Efeito!C34)/Apoio_Efeito!$R$34</f>
        <v>#DIV/0!</v>
      </c>
      <c r="AP62" s="223" t="e">
        <f>(Apoio_Efeito!BY35-Apoio_Efeito!C35)/Apoio_Efeito!$R$35</f>
        <v>#DIV/0!</v>
      </c>
      <c r="AQ62" s="223" t="e">
        <f>(Apoio_Efeito!BY36-Apoio_Efeito!C36)/Apoio_Efeito!$R$36</f>
        <v>#DIV/0!</v>
      </c>
      <c r="AR62" s="223" t="e">
        <f>(Apoio_Efeito!BY37-Apoio_Efeito!C37)/Apoio_Efeito!$R$37</f>
        <v>#DIV/0!</v>
      </c>
      <c r="AS62" s="223" t="e">
        <f>(Apoio_Efeito!BY38-Apoio_Efeito!C38)/Apoio_Efeito!$R$38</f>
        <v>#DIV/0!</v>
      </c>
      <c r="AT62" s="223" t="e">
        <f>(Apoio_Efeito!BY39-Apoio_Efeito!C39)/Apoio_Efeito!$R$39</f>
        <v>#DIV/0!</v>
      </c>
      <c r="AU62" s="223" t="e">
        <f>(Apoio_Efeito!BY40-Apoio_Efeito!C40)/Apoio_Efeito!$R$40</f>
        <v>#DIV/0!</v>
      </c>
      <c r="AV62" s="223" t="e">
        <f>(Apoio_Efeito!BY41-Apoio_Efeito!C41)/Apoio_Efeito!$R$41</f>
        <v>#DIV/0!</v>
      </c>
      <c r="AW62" s="223" t="e">
        <f>(Apoio_Efeito!BY42-Apoio_Efeito!C42)/Apoio_Efeito!$R$42</f>
        <v>#DIV/0!</v>
      </c>
      <c r="AX62" s="223" t="e">
        <f>(Apoio_Efeito!BY43-Apoio_Efeito!C43)/Apoio_Efeito!$R$43</f>
        <v>#DIV/0!</v>
      </c>
      <c r="AY62" s="223" t="e">
        <f>(Apoio_Efeito!BY44-Apoio_Efeito!C44)/Apoio_Efeito!$R$44</f>
        <v>#DIV/0!</v>
      </c>
      <c r="AZ62" s="223" t="e">
        <f>(Apoio_Efeito!BY45-Apoio_Efeito!C45)/Apoio_Efeito!$R$45</f>
        <v>#DIV/0!</v>
      </c>
      <c r="BA62" s="223" t="e">
        <f>(Apoio_Efeito!BY46-Apoio_Efeito!C46)/Apoio_Efeito!$R$46</f>
        <v>#DIV/0!</v>
      </c>
      <c r="BB62" s="223" t="e">
        <f>(Apoio_Efeito!BY47-Apoio_Efeito!C47)/Apoio_Efeito!$R$47</f>
        <v>#DIV/0!</v>
      </c>
      <c r="BC62" s="223" t="e">
        <f>(Apoio_Efeito!BY48-Apoio_Efeito!C48)/Apoio_Efeito!$R$48</f>
        <v>#DIV/0!</v>
      </c>
      <c r="BD62" s="223" t="e">
        <f>(Apoio_Efeito!BY49-Apoio_Efeito!C49)/Apoio_Efeito!$R$49</f>
        <v>#DIV/0!</v>
      </c>
      <c r="BE62" s="223" t="e">
        <f>(Apoio_Efeito!BY50-Apoio_Efeito!C50)/Apoio_Efeito!$R$50</f>
        <v>#DIV/0!</v>
      </c>
      <c r="BF62" s="208" t="e">
        <f>(Apoio_Efeito!BY51-Apoio_Efeito!C51)/Apoio_Efeito!$R$51</f>
        <v>#DIV/0!</v>
      </c>
      <c r="BG62" s="272">
        <f>(Apoio_Efeito!BY52-Apoio_Efeito!C52)/Apoio_Efeito!$R$52</f>
        <v>-3.1711983690491602E-3</v>
      </c>
      <c r="BH62" s="272">
        <f>(Apoio_Efeito!BY53-Apoio_Efeito!C53)/Apoio_Efeito!$R$53</f>
        <v>-2.9975742435394298E-3</v>
      </c>
      <c r="BI62" s="5"/>
      <c r="BJ62" s="277">
        <f>IF(SUMIF(I62:BH62,"&lt;&gt;#DIV/0!",I62:BH62)&lt;&gt;0,1,0)</f>
        <v>1</v>
      </c>
      <c r="BK62" s="96"/>
      <c r="BL62" s="32"/>
      <c r="BM62" s="100"/>
      <c r="BN62" s="5"/>
      <c r="CJ62" s="375"/>
    </row>
    <row r="63" spans="1:88" hidden="1">
      <c r="A63" s="4"/>
      <c r="E63" s="270"/>
      <c r="F63" s="206"/>
      <c r="G63" s="207"/>
      <c r="H63" s="74" t="s">
        <v>307</v>
      </c>
      <c r="I63" s="75" t="e">
        <f>(Apoio_Efeito!BZ4-Apoio_Efeito!D4)/Apoio_Efeito!$R$4</f>
        <v>#DIV/0!</v>
      </c>
      <c r="J63" s="223" t="e">
        <f>(Apoio_Efeito!BZ5-Apoio_Efeito!D5)/Apoio_Efeito!$R$5</f>
        <v>#DIV/0!</v>
      </c>
      <c r="K63" s="223" t="e">
        <f>(Apoio_Efeito!BZ6-Apoio_Efeito!D6)/Apoio_Efeito!$R$6</f>
        <v>#DIV/0!</v>
      </c>
      <c r="L63" s="223">
        <f>(Apoio_Efeito!BZ7-Apoio_Efeito!D7)/Apoio_Efeito!$R$7</f>
        <v>0</v>
      </c>
      <c r="M63" s="223" t="e">
        <f>(Apoio_Efeito!BZ54-Apoio_Efeito!D54)/Apoio_Efeito!$R$54</f>
        <v>#DIV/0!</v>
      </c>
      <c r="N63" s="223" t="e">
        <f>(Apoio_Efeito!BZ8-Apoio_Efeito!D8)/Apoio_Efeito!$R$8</f>
        <v>#DIV/0!</v>
      </c>
      <c r="O63" s="223" t="e">
        <f>(Apoio_Efeito!BZ9-Apoio_Efeito!D9)/Apoio_Efeito!$R$9</f>
        <v>#DIV/0!</v>
      </c>
      <c r="P63" s="223" t="e">
        <f>(Apoio_Efeito!BZ10-Apoio_Efeito!D10)/Apoio_Efeito!$R$10</f>
        <v>#DIV/0!</v>
      </c>
      <c r="Q63" s="223" t="e">
        <f>(Apoio_Efeito!BZ11-Apoio_Efeito!D11)/Apoio_Efeito!$R$11</f>
        <v>#DIV/0!</v>
      </c>
      <c r="R63" s="223" t="e">
        <f>(Apoio_Efeito!BZ12-Apoio_Efeito!D12)/Apoio_Efeito!$R12</f>
        <v>#DIV/0!</v>
      </c>
      <c r="S63" s="223" t="e">
        <f>(Apoio_Efeito!BZ13-Apoio_Efeito!D13)/Apoio_Efeito!$R$13</f>
        <v>#DIV/0!</v>
      </c>
      <c r="T63" s="223" t="e">
        <f>(Apoio_Efeito!BZ14-Apoio_Efeito!D14)/Apoio_Efeito!$R$14</f>
        <v>#DIV/0!</v>
      </c>
      <c r="U63" s="223" t="e">
        <f>(Apoio_Efeito!BZ15-Apoio_Efeito!D15)/Apoio_Efeito!$R$15</f>
        <v>#DIV/0!</v>
      </c>
      <c r="V63" s="223" t="e">
        <f>(Apoio_Efeito!BZ16-Apoio_Efeito!D16)/Apoio_Efeito!$R$16</f>
        <v>#DIV/0!</v>
      </c>
      <c r="W63" s="223" t="e">
        <f>(Apoio_Efeito!BZ17-Apoio_Efeito!D17)/Apoio_Efeito!$R$17</f>
        <v>#DIV/0!</v>
      </c>
      <c r="X63" s="223" t="e">
        <f>(Apoio_Efeito!BZ18-Apoio_Efeito!D18)/Apoio_Efeito!$R$18</f>
        <v>#DIV/0!</v>
      </c>
      <c r="Y63" s="223" t="e">
        <f>(Apoio_Efeito!BZ19-Apoio_Efeito!D19)/Apoio_Efeito!$R$19</f>
        <v>#DIV/0!</v>
      </c>
      <c r="Z63" s="223" t="e">
        <f>(Apoio_Efeito!BZ20-Apoio_Efeito!D20)/Apoio_Efeito!$R$20</f>
        <v>#DIV/0!</v>
      </c>
      <c r="AA63" s="223" t="e">
        <f>(Apoio_Efeito!BZ21-Apoio_Efeito!D21)/Apoio_Efeito!$R$21</f>
        <v>#DIV/0!</v>
      </c>
      <c r="AB63" s="223" t="e">
        <f>(Apoio_Efeito!BZ22-Apoio_Efeito!D22)/Apoio_Efeito!$R$22</f>
        <v>#DIV/0!</v>
      </c>
      <c r="AC63" s="371" t="e">
        <f>(Apoio_Efeito!BZ23-Apoio_Efeito!D23)/Apoio_Efeito!$R$23</f>
        <v>#DIV/0!</v>
      </c>
      <c r="AD63" s="223" t="e">
        <f>(Apoio_Efeito!BZ24-Apoio_Efeito!D24)/Apoio_Efeito!$R$24</f>
        <v>#DIV/0!</v>
      </c>
      <c r="AE63" s="223" t="e">
        <f>(Apoio_Efeito!BZ25-Apoio_Efeito!D25)/Apoio_Efeito!$R$25</f>
        <v>#DIV/0!</v>
      </c>
      <c r="AF63" s="223" t="e">
        <f>(Apoio_Efeito!BZ26-Apoio_Efeito!D26)/Apoio_Efeito!$R$26</f>
        <v>#DIV/0!</v>
      </c>
      <c r="AG63" s="223" t="e">
        <f>(Apoio_Efeito!BZ27-Apoio_Efeito!D27)/Apoio_Efeito!$R$27</f>
        <v>#DIV/0!</v>
      </c>
      <c r="AH63" s="223" t="e">
        <f>(Apoio_Efeito!BZ28-Apoio_Efeito!D28)/Apoio_Efeito!$R$28</f>
        <v>#DIV/0!</v>
      </c>
      <c r="AI63" s="223" t="e">
        <f>(Apoio_Efeito!BZ29-Apoio_Efeito!D29)/Apoio_Efeito!$R$29</f>
        <v>#DIV/0!</v>
      </c>
      <c r="AJ63" s="223" t="e">
        <f>(Apoio_Efeito!BZ30-Apoio_Efeito!D30)/Apoio_Efeito!$R$30</f>
        <v>#DIV/0!</v>
      </c>
      <c r="AK63" s="223" t="e">
        <f>(Apoio_Efeito!BZ55-Apoio_Efeito!D55)/Apoio_Efeito!$R$55</f>
        <v>#DIV/0!</v>
      </c>
      <c r="AL63" s="223" t="e">
        <f>(Apoio_Efeito!BZ31-Apoio_Efeito!D31)/Apoio_Efeito!$R$31</f>
        <v>#DIV/0!</v>
      </c>
      <c r="AM63" s="223" t="e">
        <f>(Apoio_Efeito!BZ32-Apoio_Efeito!D32)/Apoio_Efeito!$R$32</f>
        <v>#DIV/0!</v>
      </c>
      <c r="AN63" s="223" t="e">
        <f>(Apoio_Efeito!BZ33-Apoio_Efeito!D33)/Apoio_Efeito!$R$33</f>
        <v>#DIV/0!</v>
      </c>
      <c r="AO63" s="223" t="e">
        <f>(Apoio_Efeito!BZ34-Apoio_Efeito!D34)/Apoio_Efeito!$R$34</f>
        <v>#DIV/0!</v>
      </c>
      <c r="AP63" s="223" t="e">
        <f>(Apoio_Efeito!BZ35-Apoio_Efeito!D35)/Apoio_Efeito!$R$35</f>
        <v>#DIV/0!</v>
      </c>
      <c r="AQ63" s="223" t="e">
        <f>(Apoio_Efeito!BZ36-Apoio_Efeito!D36)/Apoio_Efeito!$R$36</f>
        <v>#DIV/0!</v>
      </c>
      <c r="AR63" s="223" t="e">
        <f>(Apoio_Efeito!BZ37-Apoio_Efeito!D37)/Apoio_Efeito!$R$37</f>
        <v>#DIV/0!</v>
      </c>
      <c r="AS63" s="223" t="e">
        <f>(Apoio_Efeito!BZ38-Apoio_Efeito!D38)/Apoio_Efeito!$R$38</f>
        <v>#DIV/0!</v>
      </c>
      <c r="AT63" s="223" t="e">
        <f>(Apoio_Efeito!BZ39-Apoio_Efeito!D39)/Apoio_Efeito!$R$39</f>
        <v>#DIV/0!</v>
      </c>
      <c r="AU63" s="223" t="e">
        <f>(Apoio_Efeito!BZ40-Apoio_Efeito!D40)/Apoio_Efeito!$R$40</f>
        <v>#DIV/0!</v>
      </c>
      <c r="AV63" s="223" t="e">
        <f>(Apoio_Efeito!BZ41-Apoio_Efeito!D41)/Apoio_Efeito!$R$41</f>
        <v>#DIV/0!</v>
      </c>
      <c r="AW63" s="223" t="e">
        <f>(Apoio_Efeito!BZ42-Apoio_Efeito!D42)/Apoio_Efeito!$R$42</f>
        <v>#DIV/0!</v>
      </c>
      <c r="AX63" s="223" t="e">
        <f>(Apoio_Efeito!BZ43-Apoio_Efeito!D43)/Apoio_Efeito!$R$43</f>
        <v>#DIV/0!</v>
      </c>
      <c r="AY63" s="223" t="e">
        <f>(Apoio_Efeito!BZ44-Apoio_Efeito!D44)/Apoio_Efeito!$R$44</f>
        <v>#DIV/0!</v>
      </c>
      <c r="AZ63" s="223" t="e">
        <f>(Apoio_Efeito!BZ45-Apoio_Efeito!D45)/Apoio_Efeito!$R$45</f>
        <v>#DIV/0!</v>
      </c>
      <c r="BA63" s="223" t="e">
        <f>(Apoio_Efeito!BZ46-Apoio_Efeito!D46)/Apoio_Efeito!$R$46</f>
        <v>#DIV/0!</v>
      </c>
      <c r="BB63" s="223" t="e">
        <f>(Apoio_Efeito!BZ47-Apoio_Efeito!D47)/Apoio_Efeito!$R$47</f>
        <v>#DIV/0!</v>
      </c>
      <c r="BC63" s="223" t="e">
        <f>(Apoio_Efeito!BZ48-Apoio_Efeito!D48)/Apoio_Efeito!$R$48</f>
        <v>#DIV/0!</v>
      </c>
      <c r="BD63" s="223" t="e">
        <f>(Apoio_Efeito!BZ49-Apoio_Efeito!D49)/Apoio_Efeito!$R$49</f>
        <v>#DIV/0!</v>
      </c>
      <c r="BE63" s="223" t="e">
        <f>(Apoio_Efeito!BZ50-Apoio_Efeito!D50)/Apoio_Efeito!$R$50</f>
        <v>#DIV/0!</v>
      </c>
      <c r="BF63" s="208" t="e">
        <f>(Apoio_Efeito!BZ51-Apoio_Efeito!D51)/Apoio_Efeito!$R$51</f>
        <v>#DIV/0!</v>
      </c>
      <c r="BG63" s="272">
        <f>(Apoio_Efeito!BZ52-Apoio_Efeito!D52)/Apoio_Efeito!$R$52</f>
        <v>0</v>
      </c>
      <c r="BH63" s="272">
        <f>(Apoio_Efeito!BZ53-Apoio_Efeito!D53)/Apoio_Efeito!$R$53</f>
        <v>0</v>
      </c>
      <c r="BI63" s="5"/>
      <c r="BJ63" s="277">
        <f t="shared" ref="BJ63:BJ119" si="11">IF(SUMIF(I63:BH63,"&lt;&gt;#DIV/0!",I63:BH63)&lt;&gt;0,1,0)</f>
        <v>0</v>
      </c>
      <c r="BK63" s="96"/>
      <c r="BL63" s="32"/>
      <c r="BM63" s="100"/>
      <c r="BN63" s="5"/>
      <c r="CJ63" s="375"/>
    </row>
    <row r="64" spans="1:88">
      <c r="E64" s="270"/>
      <c r="F64" s="206"/>
      <c r="G64" s="207"/>
      <c r="H64" s="74" t="s">
        <v>320</v>
      </c>
      <c r="I64" s="75" t="e">
        <f>(Apoio_Efeito!CA4-Apoio_Efeito!E4)/Apoio_Efeito!$R$4</f>
        <v>#DIV/0!</v>
      </c>
      <c r="J64" s="223" t="e">
        <f>(Apoio_Efeito!CA5-Apoio_Efeito!E5)/Apoio_Efeito!$R$5</f>
        <v>#DIV/0!</v>
      </c>
      <c r="K64" s="223" t="e">
        <f>(Apoio_Efeito!CA6-Apoio_Efeito!E6)/Apoio_Efeito!$R$6</f>
        <v>#DIV/0!</v>
      </c>
      <c r="L64" s="371">
        <f>(Apoio_Efeito!CA7-Apoio_Efeito!E7)/Apoio_Efeito!$R$7</f>
        <v>1.4915606043825427E-2</v>
      </c>
      <c r="M64" s="223" t="e">
        <f>(Apoio_Efeito!CA54-Apoio_Efeito!E54)/Apoio_Efeito!$R$54</f>
        <v>#DIV/0!</v>
      </c>
      <c r="N64" s="223" t="e">
        <f>(Apoio_Efeito!CA8-Apoio_Efeito!E8)/Apoio_Efeito!$R$8</f>
        <v>#DIV/0!</v>
      </c>
      <c r="O64" s="223" t="e">
        <f>(Apoio_Efeito!CA9-Apoio_Efeito!E9)/Apoio_Efeito!$R$9</f>
        <v>#DIV/0!</v>
      </c>
      <c r="P64" s="223" t="e">
        <f>(Apoio_Efeito!CA10-Apoio_Efeito!E10)/Apoio_Efeito!$R$10</f>
        <v>#DIV/0!</v>
      </c>
      <c r="Q64" s="223" t="e">
        <f>(Apoio_Efeito!CA11-Apoio_Efeito!E11)/Apoio_Efeito!$R$11</f>
        <v>#DIV/0!</v>
      </c>
      <c r="R64" s="223" t="e">
        <f>(Apoio_Efeito!CA12-Apoio_Efeito!E12)/Apoio_Efeito!$R12</f>
        <v>#DIV/0!</v>
      </c>
      <c r="S64" s="223" t="e">
        <f>(Apoio_Efeito!CA13-Apoio_Efeito!E13)/Apoio_Efeito!$R$13</f>
        <v>#DIV/0!</v>
      </c>
      <c r="T64" s="223" t="e">
        <f>(Apoio_Efeito!CA14-Apoio_Efeito!E14)/Apoio_Efeito!$R$14</f>
        <v>#DIV/0!</v>
      </c>
      <c r="U64" s="223" t="e">
        <f>(Apoio_Efeito!CA15-Apoio_Efeito!E15)/Apoio_Efeito!$R$15</f>
        <v>#DIV/0!</v>
      </c>
      <c r="V64" s="223" t="e">
        <f>(Apoio_Efeito!CA16-Apoio_Efeito!E16)/Apoio_Efeito!$R$16</f>
        <v>#DIV/0!</v>
      </c>
      <c r="W64" s="223" t="e">
        <f>(Apoio_Efeito!CA17-Apoio_Efeito!E17)/Apoio_Efeito!$R$17</f>
        <v>#DIV/0!</v>
      </c>
      <c r="X64" s="223" t="e">
        <f>(Apoio_Efeito!CA18-Apoio_Efeito!E18)/Apoio_Efeito!$R$18</f>
        <v>#DIV/0!</v>
      </c>
      <c r="Y64" s="223" t="e">
        <f>(Apoio_Efeito!CA19-Apoio_Efeito!E19)/Apoio_Efeito!$R$19</f>
        <v>#DIV/0!</v>
      </c>
      <c r="Z64" s="223" t="e">
        <f>(Apoio_Efeito!CA20-Apoio_Efeito!E20)/Apoio_Efeito!$R$20</f>
        <v>#DIV/0!</v>
      </c>
      <c r="AA64" s="223" t="e">
        <f>(Apoio_Efeito!CA21-Apoio_Efeito!E21)/Apoio_Efeito!$R$21</f>
        <v>#DIV/0!</v>
      </c>
      <c r="AB64" s="223" t="e">
        <f>(Apoio_Efeito!CA22-Apoio_Efeito!E22)/Apoio_Efeito!$R$22</f>
        <v>#DIV/0!</v>
      </c>
      <c r="AC64" s="371" t="e">
        <f>(Apoio_Efeito!CA23-Apoio_Efeito!E23)/Apoio_Efeito!$R$23</f>
        <v>#DIV/0!</v>
      </c>
      <c r="AD64" s="223" t="e">
        <f>(Apoio_Efeito!CA24-Apoio_Efeito!E24)/Apoio_Efeito!$R$24</f>
        <v>#DIV/0!</v>
      </c>
      <c r="AE64" s="223" t="e">
        <f>(Apoio_Efeito!CA25-Apoio_Efeito!E25)/Apoio_Efeito!$R$25</f>
        <v>#DIV/0!</v>
      </c>
      <c r="AF64" s="223" t="e">
        <f>(Apoio_Efeito!CA26-Apoio_Efeito!E26)/Apoio_Efeito!$R$26</f>
        <v>#DIV/0!</v>
      </c>
      <c r="AG64" s="223" t="e">
        <f>(Apoio_Efeito!CA27-Apoio_Efeito!E27)/Apoio_Efeito!$R$27</f>
        <v>#DIV/0!</v>
      </c>
      <c r="AH64" s="223" t="e">
        <f>(Apoio_Efeito!CA28-Apoio_Efeito!E28)/Apoio_Efeito!$R$28</f>
        <v>#DIV/0!</v>
      </c>
      <c r="AI64" s="223" t="e">
        <f>(Apoio_Efeito!CA29-Apoio_Efeito!E29)/Apoio_Efeito!$R$29</f>
        <v>#DIV/0!</v>
      </c>
      <c r="AJ64" s="223" t="e">
        <f>(Apoio_Efeito!CA30-Apoio_Efeito!E30)/Apoio_Efeito!$R$30</f>
        <v>#DIV/0!</v>
      </c>
      <c r="AK64" s="223" t="e">
        <f>(Apoio_Efeito!CA55-Apoio_Efeito!E55)/Apoio_Efeito!$R$55</f>
        <v>#DIV/0!</v>
      </c>
      <c r="AL64" s="223" t="e">
        <f>(Apoio_Efeito!CA31-Apoio_Efeito!E31)/Apoio_Efeito!$R$31</f>
        <v>#DIV/0!</v>
      </c>
      <c r="AM64" s="223" t="e">
        <f>(Apoio_Efeito!CA32-Apoio_Efeito!E32)/Apoio_Efeito!$R$32</f>
        <v>#DIV/0!</v>
      </c>
      <c r="AN64" s="223" t="e">
        <f>(Apoio_Efeito!CA33-Apoio_Efeito!E33)/Apoio_Efeito!$R$33</f>
        <v>#DIV/0!</v>
      </c>
      <c r="AO64" s="223" t="e">
        <f>(Apoio_Efeito!CA34-Apoio_Efeito!E34)/Apoio_Efeito!$R$34</f>
        <v>#DIV/0!</v>
      </c>
      <c r="AP64" s="223" t="e">
        <f>(Apoio_Efeito!CA35-Apoio_Efeito!E35)/Apoio_Efeito!$R$35</f>
        <v>#DIV/0!</v>
      </c>
      <c r="AQ64" s="223" t="e">
        <f>(Apoio_Efeito!CA36-Apoio_Efeito!E36)/Apoio_Efeito!$R$36</f>
        <v>#DIV/0!</v>
      </c>
      <c r="AR64" s="223" t="e">
        <f>(Apoio_Efeito!CA37-Apoio_Efeito!E37)/Apoio_Efeito!$R$37</f>
        <v>#DIV/0!</v>
      </c>
      <c r="AS64" s="223" t="e">
        <f>(Apoio_Efeito!CA38-Apoio_Efeito!E38)/Apoio_Efeito!$R$38</f>
        <v>#DIV/0!</v>
      </c>
      <c r="AT64" s="223" t="e">
        <f>(Apoio_Efeito!CA39-Apoio_Efeito!E39)/Apoio_Efeito!$R$39</f>
        <v>#DIV/0!</v>
      </c>
      <c r="AU64" s="223" t="e">
        <f>(Apoio_Efeito!CA40-Apoio_Efeito!E40)/Apoio_Efeito!$R$40</f>
        <v>#DIV/0!</v>
      </c>
      <c r="AV64" s="223" t="e">
        <f>(Apoio_Efeito!CA41-Apoio_Efeito!E41)/Apoio_Efeito!$R$41</f>
        <v>#DIV/0!</v>
      </c>
      <c r="AW64" s="223" t="e">
        <f>(Apoio_Efeito!CA42-Apoio_Efeito!E42)/Apoio_Efeito!$R$42</f>
        <v>#DIV/0!</v>
      </c>
      <c r="AX64" s="223" t="e">
        <f>(Apoio_Efeito!CA43-Apoio_Efeito!E43)/Apoio_Efeito!$R$43</f>
        <v>#DIV/0!</v>
      </c>
      <c r="AY64" s="371" t="e">
        <f>(Apoio_Efeito!CA44-Apoio_Efeito!E44)/Apoio_Efeito!$R$44</f>
        <v>#DIV/0!</v>
      </c>
      <c r="AZ64" s="371" t="e">
        <f>(Apoio_Efeito!CA45-Apoio_Efeito!E45)/Apoio_Efeito!$R$45</f>
        <v>#DIV/0!</v>
      </c>
      <c r="BA64" s="223" t="e">
        <f>(Apoio_Efeito!CA46-Apoio_Efeito!E46)/Apoio_Efeito!$R$46</f>
        <v>#DIV/0!</v>
      </c>
      <c r="BB64" s="223" t="e">
        <f>(Apoio_Efeito!CA47-Apoio_Efeito!E47)/Apoio_Efeito!$R$47</f>
        <v>#DIV/0!</v>
      </c>
      <c r="BC64" s="223" t="e">
        <f>(Apoio_Efeito!CA48-Apoio_Efeito!E48)/Apoio_Efeito!$R$48</f>
        <v>#DIV/0!</v>
      </c>
      <c r="BD64" s="223" t="e">
        <f>(Apoio_Efeito!CA49-Apoio_Efeito!E49)/Apoio_Efeito!$R$49</f>
        <v>#DIV/0!</v>
      </c>
      <c r="BE64" s="223" t="e">
        <f>(Apoio_Efeito!CA50-Apoio_Efeito!E50)/Apoio_Efeito!$R$50</f>
        <v>#DIV/0!</v>
      </c>
      <c r="BF64" s="208" t="e">
        <f>(Apoio_Efeito!CA51-Apoio_Efeito!E51)/Apoio_Efeito!$R$51</f>
        <v>#DIV/0!</v>
      </c>
      <c r="BG64" s="272">
        <f>(Apoio_Efeito!CA52-Apoio_Efeito!E52)/Apoio_Efeito!$R$52</f>
        <v>0</v>
      </c>
      <c r="BH64" s="272">
        <f>(Apoio_Efeito!CA53-Apoio_Efeito!E53)/Apoio_Efeito!$R$53</f>
        <v>0</v>
      </c>
      <c r="BI64" s="5"/>
      <c r="BJ64" s="277">
        <f t="shared" si="11"/>
        <v>1</v>
      </c>
      <c r="BK64" s="151"/>
      <c r="BL64" s="152"/>
      <c r="BM64" s="100"/>
      <c r="BN64" s="5"/>
      <c r="CJ64" s="375"/>
    </row>
    <row r="65" spans="5:88">
      <c r="E65" s="270"/>
      <c r="F65" s="206"/>
      <c r="G65" s="207"/>
      <c r="H65" s="74" t="s">
        <v>337</v>
      </c>
      <c r="I65" s="75" t="e">
        <f>(Apoio_Efeito!CB4-Apoio_Efeito!F4)/Apoio_Efeito!$R$4</f>
        <v>#DIV/0!</v>
      </c>
      <c r="J65" s="223" t="e">
        <f>(Apoio_Efeito!CB5-Apoio_Efeito!F5)/Apoio_Efeito!$R$5</f>
        <v>#DIV/0!</v>
      </c>
      <c r="K65" s="223" t="e">
        <f>(Apoio_Efeito!CB6-Apoio_Efeito!F6)/Apoio_Efeito!$R$6</f>
        <v>#DIV/0!</v>
      </c>
      <c r="L65" s="223">
        <f>(Apoio_Efeito!CB7-Apoio_Efeito!F7)/Apoio_Efeito!$R$7</f>
        <v>6.9700688716987031E-3</v>
      </c>
      <c r="M65" s="223" t="e">
        <f>(Apoio_Efeito!CB54-Apoio_Efeito!F54)/Apoio_Efeito!$R$54</f>
        <v>#DIV/0!</v>
      </c>
      <c r="N65" s="223" t="e">
        <f>(Apoio_Efeito!CB8-Apoio_Efeito!F8)/Apoio_Efeito!$R$8</f>
        <v>#DIV/0!</v>
      </c>
      <c r="O65" s="223" t="e">
        <f>(Apoio_Efeito!CB9-Apoio_Efeito!F9)/Apoio_Efeito!$R$9</f>
        <v>#DIV/0!</v>
      </c>
      <c r="P65" s="371" t="e">
        <f>(Apoio_Efeito!CB10-Apoio_Efeito!F10)/Apoio_Efeito!$R$10</f>
        <v>#DIV/0!</v>
      </c>
      <c r="Q65" s="223" t="e">
        <f>(Apoio_Efeito!CB11-Apoio_Efeito!F11)/Apoio_Efeito!$R$11</f>
        <v>#DIV/0!</v>
      </c>
      <c r="R65" s="223" t="e">
        <f>(Apoio_Efeito!CB12-Apoio_Efeito!F12)/Apoio_Efeito!$R12</f>
        <v>#DIV/0!</v>
      </c>
      <c r="S65" s="223" t="e">
        <f>(Apoio_Efeito!CB13-Apoio_Efeito!F13)/Apoio_Efeito!$R$13</f>
        <v>#DIV/0!</v>
      </c>
      <c r="T65" s="223" t="e">
        <f>(Apoio_Efeito!CB14-Apoio_Efeito!F14)/Apoio_Efeito!$R$14</f>
        <v>#DIV/0!</v>
      </c>
      <c r="U65" s="223" t="e">
        <f>(Apoio_Efeito!CB15-Apoio_Efeito!F15)/Apoio_Efeito!$R$15</f>
        <v>#DIV/0!</v>
      </c>
      <c r="V65" s="223" t="e">
        <f>(Apoio_Efeito!CB16-Apoio_Efeito!F16)/Apoio_Efeito!$R$16</f>
        <v>#DIV/0!</v>
      </c>
      <c r="W65" s="223" t="e">
        <f>(Apoio_Efeito!CB17-Apoio_Efeito!F17)/Apoio_Efeito!$R$17</f>
        <v>#DIV/0!</v>
      </c>
      <c r="X65" s="223" t="e">
        <f>(Apoio_Efeito!CB18-Apoio_Efeito!F18)/Apoio_Efeito!$R$18</f>
        <v>#DIV/0!</v>
      </c>
      <c r="Y65" s="223" t="e">
        <f>(Apoio_Efeito!CB19-Apoio_Efeito!F19)/Apoio_Efeito!$R$19</f>
        <v>#DIV/0!</v>
      </c>
      <c r="Z65" s="223" t="e">
        <f>(Apoio_Efeito!CB20-Apoio_Efeito!F20)/Apoio_Efeito!$R$20</f>
        <v>#DIV/0!</v>
      </c>
      <c r="AA65" s="223" t="e">
        <f>(Apoio_Efeito!CB21-Apoio_Efeito!F21)/Apoio_Efeito!$R$21</f>
        <v>#DIV/0!</v>
      </c>
      <c r="AB65" s="223" t="e">
        <f>(Apoio_Efeito!CB22-Apoio_Efeito!F22)/Apoio_Efeito!$R$22</f>
        <v>#DIV/0!</v>
      </c>
      <c r="AC65" s="371" t="e">
        <f>(Apoio_Efeito!CB23-Apoio_Efeito!F23)/Apoio_Efeito!$R$23</f>
        <v>#DIV/0!</v>
      </c>
      <c r="AD65" s="223" t="e">
        <f>(Apoio_Efeito!CB24-Apoio_Efeito!F24)/Apoio_Efeito!$R$24</f>
        <v>#DIV/0!</v>
      </c>
      <c r="AE65" s="223" t="e">
        <f>(Apoio_Efeito!CB25-Apoio_Efeito!F25)/Apoio_Efeito!$R$25</f>
        <v>#DIV/0!</v>
      </c>
      <c r="AF65" s="223" t="e">
        <f>(Apoio_Efeito!CB26-Apoio_Efeito!F26)/Apoio_Efeito!$R$26</f>
        <v>#DIV/0!</v>
      </c>
      <c r="AG65" s="223" t="e">
        <f>(Apoio_Efeito!CB27-Apoio_Efeito!F27)/Apoio_Efeito!$R$27</f>
        <v>#DIV/0!</v>
      </c>
      <c r="AH65" s="223" t="e">
        <f>(Apoio_Efeito!CB28-Apoio_Efeito!F28)/Apoio_Efeito!$R$28</f>
        <v>#DIV/0!</v>
      </c>
      <c r="AI65" s="223" t="e">
        <f>(Apoio_Efeito!CB29-Apoio_Efeito!F29)/Apoio_Efeito!$R$29</f>
        <v>#DIV/0!</v>
      </c>
      <c r="AJ65" s="223" t="e">
        <f>(Apoio_Efeito!CB30-Apoio_Efeito!F30)/Apoio_Efeito!$R$30</f>
        <v>#DIV/0!</v>
      </c>
      <c r="AK65" s="223" t="e">
        <f>(Apoio_Efeito!CB55-Apoio_Efeito!F55)/Apoio_Efeito!$R$55</f>
        <v>#DIV/0!</v>
      </c>
      <c r="AL65" s="223" t="e">
        <f>(Apoio_Efeito!CB31-Apoio_Efeito!F31)/Apoio_Efeito!$R$31</f>
        <v>#DIV/0!</v>
      </c>
      <c r="AM65" s="223" t="e">
        <f>(Apoio_Efeito!CB32-Apoio_Efeito!F32)/Apoio_Efeito!$R$32</f>
        <v>#DIV/0!</v>
      </c>
      <c r="AN65" s="223" t="e">
        <f>(Apoio_Efeito!CB33-Apoio_Efeito!F33)/Apoio_Efeito!$R$33</f>
        <v>#DIV/0!</v>
      </c>
      <c r="AO65" s="223" t="e">
        <f>(Apoio_Efeito!CB34-Apoio_Efeito!F34)/Apoio_Efeito!$R$34</f>
        <v>#DIV/0!</v>
      </c>
      <c r="AP65" s="223" t="e">
        <f>(Apoio_Efeito!CB35-Apoio_Efeito!F35)/Apoio_Efeito!$R$35</f>
        <v>#DIV/0!</v>
      </c>
      <c r="AQ65" s="223" t="e">
        <f>(Apoio_Efeito!CB36-Apoio_Efeito!F36)/Apoio_Efeito!$R$36</f>
        <v>#DIV/0!</v>
      </c>
      <c r="AR65" s="223" t="e">
        <f>(Apoio_Efeito!CB37-Apoio_Efeito!F37)/Apoio_Efeito!$R$37</f>
        <v>#DIV/0!</v>
      </c>
      <c r="AS65" s="223" t="e">
        <f>(Apoio_Efeito!CB38-Apoio_Efeito!F38)/Apoio_Efeito!$R$38</f>
        <v>#DIV/0!</v>
      </c>
      <c r="AT65" s="223" t="e">
        <f>(Apoio_Efeito!CB39-Apoio_Efeito!F39)/Apoio_Efeito!$R$39</f>
        <v>#DIV/0!</v>
      </c>
      <c r="AU65" s="223" t="e">
        <f>(Apoio_Efeito!CB40-Apoio_Efeito!F40)/Apoio_Efeito!$R$40</f>
        <v>#DIV/0!</v>
      </c>
      <c r="AV65" s="223" t="e">
        <f>(Apoio_Efeito!CB41-Apoio_Efeito!F41)/Apoio_Efeito!$R$41</f>
        <v>#DIV/0!</v>
      </c>
      <c r="AW65" s="223" t="e">
        <f>(Apoio_Efeito!CB42-Apoio_Efeito!F42)/Apoio_Efeito!$R$42</f>
        <v>#DIV/0!</v>
      </c>
      <c r="AX65" s="223" t="e">
        <f>(Apoio_Efeito!CB43-Apoio_Efeito!F43)/Apoio_Efeito!$R$43</f>
        <v>#DIV/0!</v>
      </c>
      <c r="AY65" s="223" t="e">
        <f>(Apoio_Efeito!CB44-Apoio_Efeito!F44)/Apoio_Efeito!$R$44</f>
        <v>#DIV/0!</v>
      </c>
      <c r="AZ65" s="223" t="e">
        <f>(Apoio_Efeito!CB45-Apoio_Efeito!F45)/Apoio_Efeito!$R$45</f>
        <v>#DIV/0!</v>
      </c>
      <c r="BA65" s="371" t="e">
        <f>(Apoio_Efeito!CB46-Apoio_Efeito!F46)/Apoio_Efeito!$R$46</f>
        <v>#DIV/0!</v>
      </c>
      <c r="BB65" s="223" t="e">
        <f>(Apoio_Efeito!CB47-Apoio_Efeito!F47)/Apoio_Efeito!$R$47</f>
        <v>#DIV/0!</v>
      </c>
      <c r="BC65" s="223" t="e">
        <f>(Apoio_Efeito!CB48-Apoio_Efeito!F48)/Apoio_Efeito!$R$48</f>
        <v>#DIV/0!</v>
      </c>
      <c r="BD65" s="223" t="e">
        <f>(Apoio_Efeito!CB49-Apoio_Efeito!F49)/Apoio_Efeito!$R$49</f>
        <v>#DIV/0!</v>
      </c>
      <c r="BE65" s="223" t="e">
        <f>(Apoio_Efeito!CB50-Apoio_Efeito!F50)/Apoio_Efeito!$R$50</f>
        <v>#DIV/0!</v>
      </c>
      <c r="BF65" s="208" t="e">
        <f>(Apoio_Efeito!CB51-Apoio_Efeito!F51)/Apoio_Efeito!$R$51</f>
        <v>#DIV/0!</v>
      </c>
      <c r="BG65" s="75">
        <f>(Apoio_Efeito!CB52-Apoio_Efeito!F52)/Apoio_Efeito!$R$52</f>
        <v>4.9065174512211984E-3</v>
      </c>
      <c r="BH65" s="272">
        <f>(Apoio_Efeito!CB53-Apoio_Efeito!F53)/Apoio_Efeito!$R$53</f>
        <v>5.256864433878853E-3</v>
      </c>
      <c r="BI65" s="5"/>
      <c r="BJ65" s="277">
        <f t="shared" si="11"/>
        <v>1</v>
      </c>
      <c r="BK65" s="96"/>
      <c r="BL65" s="32"/>
      <c r="BM65" s="100"/>
      <c r="BN65" s="5"/>
      <c r="CJ65" s="375"/>
    </row>
    <row r="66" spans="5:88">
      <c r="E66" s="270"/>
      <c r="F66" s="206"/>
      <c r="G66" s="207"/>
      <c r="H66" s="74" t="s">
        <v>338</v>
      </c>
      <c r="I66" s="75" t="e">
        <f>(Apoio_Efeito!CC4-Apoio_Efeito!G4)/Apoio_Efeito!$R$4</f>
        <v>#DIV/0!</v>
      </c>
      <c r="J66" s="223" t="e">
        <f>(Apoio_Efeito!CC5-Apoio_Efeito!G5)/Apoio_Efeito!$R$5</f>
        <v>#DIV/0!</v>
      </c>
      <c r="K66" s="223" t="e">
        <f>(Apoio_Efeito!CC6-Apoio_Efeito!G6)/Apoio_Efeito!$R$6</f>
        <v>#DIV/0!</v>
      </c>
      <c r="L66" s="371">
        <f>(Apoio_Efeito!CC7-Apoio_Efeito!G7)/Apoio_Efeito!$R$7</f>
        <v>1.3651427060188261E-2</v>
      </c>
      <c r="M66" s="223" t="e">
        <f>(Apoio_Efeito!CC54-Apoio_Efeito!G54)/Apoio_Efeito!$R$54</f>
        <v>#DIV/0!</v>
      </c>
      <c r="N66" s="223" t="e">
        <f>(Apoio_Efeito!CC8-Apoio_Efeito!G8)/Apoio_Efeito!$R$8</f>
        <v>#DIV/0!</v>
      </c>
      <c r="O66" s="223" t="e">
        <f>(Apoio_Efeito!CC9-Apoio_Efeito!G9)/Apoio_Efeito!$R$9</f>
        <v>#DIV/0!</v>
      </c>
      <c r="P66" s="223" t="e">
        <f>(Apoio_Efeito!CC10-Apoio_Efeito!G10)/Apoio_Efeito!$R$10</f>
        <v>#DIV/0!</v>
      </c>
      <c r="Q66" s="223" t="e">
        <f>(Apoio_Efeito!CC11-Apoio_Efeito!G11)/Apoio_Efeito!$R$11</f>
        <v>#DIV/0!</v>
      </c>
      <c r="R66" s="223" t="e">
        <f>(Apoio_Efeito!CC12-Apoio_Efeito!G12)/Apoio_Efeito!$R12</f>
        <v>#DIV/0!</v>
      </c>
      <c r="S66" s="223" t="e">
        <f>(Apoio_Efeito!CC13-Apoio_Efeito!G13)/Apoio_Efeito!$R$13</f>
        <v>#DIV/0!</v>
      </c>
      <c r="T66" s="223" t="e">
        <f>(Apoio_Efeito!CC14-Apoio_Efeito!G14)/Apoio_Efeito!$R$14</f>
        <v>#DIV/0!</v>
      </c>
      <c r="U66" s="223" t="e">
        <f>(Apoio_Efeito!CC15-Apoio_Efeito!G15)/Apoio_Efeito!$R$15</f>
        <v>#DIV/0!</v>
      </c>
      <c r="V66" s="223" t="e">
        <f>(Apoio_Efeito!CC16-Apoio_Efeito!G16)/Apoio_Efeito!$R$16</f>
        <v>#DIV/0!</v>
      </c>
      <c r="W66" s="223" t="e">
        <f>(Apoio_Efeito!CC17-Apoio_Efeito!G17)/Apoio_Efeito!$R$17</f>
        <v>#DIV/0!</v>
      </c>
      <c r="X66" s="223" t="e">
        <f>(Apoio_Efeito!CC18-Apoio_Efeito!G18)/Apoio_Efeito!$R$18</f>
        <v>#DIV/0!</v>
      </c>
      <c r="Y66" s="223" t="e">
        <f>(Apoio_Efeito!CC19-Apoio_Efeito!G19)/Apoio_Efeito!$R$19</f>
        <v>#DIV/0!</v>
      </c>
      <c r="Z66" s="223" t="e">
        <f>(Apoio_Efeito!CC20-Apoio_Efeito!G20)/Apoio_Efeito!$R$20</f>
        <v>#DIV/0!</v>
      </c>
      <c r="AA66" s="223" t="e">
        <f>(Apoio_Efeito!CC21-Apoio_Efeito!G21)/Apoio_Efeito!$R$21</f>
        <v>#DIV/0!</v>
      </c>
      <c r="AB66" s="223" t="e">
        <f>(Apoio_Efeito!CC22-Apoio_Efeito!G22)/Apoio_Efeito!$R$22</f>
        <v>#DIV/0!</v>
      </c>
      <c r="AC66" s="371" t="e">
        <f>(Apoio_Efeito!CC23-Apoio_Efeito!G23)/Apoio_Efeito!$R$23</f>
        <v>#DIV/0!</v>
      </c>
      <c r="AD66" s="223" t="e">
        <f>(Apoio_Efeito!CC24-Apoio_Efeito!G24)/Apoio_Efeito!$R$24</f>
        <v>#DIV/0!</v>
      </c>
      <c r="AE66" s="223" t="e">
        <f>(Apoio_Efeito!CC25-Apoio_Efeito!G25)/Apoio_Efeito!$R$25</f>
        <v>#DIV/0!</v>
      </c>
      <c r="AF66" s="223" t="e">
        <f>(Apoio_Efeito!CC26-Apoio_Efeito!G26)/Apoio_Efeito!$R$26</f>
        <v>#DIV/0!</v>
      </c>
      <c r="AG66" s="223" t="e">
        <f>(Apoio_Efeito!CC27-Apoio_Efeito!G27)/Apoio_Efeito!$R$27</f>
        <v>#DIV/0!</v>
      </c>
      <c r="AH66" s="223" t="e">
        <f>(Apoio_Efeito!CC28-Apoio_Efeito!G28)/Apoio_Efeito!$R$28</f>
        <v>#DIV/0!</v>
      </c>
      <c r="AI66" s="223" t="e">
        <f>(Apoio_Efeito!CC29-Apoio_Efeito!G29)/Apoio_Efeito!$R$29</f>
        <v>#DIV/0!</v>
      </c>
      <c r="AJ66" s="223" t="e">
        <f>(Apoio_Efeito!CC30-Apoio_Efeito!G30)/Apoio_Efeito!$R$30</f>
        <v>#DIV/0!</v>
      </c>
      <c r="AK66" s="223" t="e">
        <f>(Apoio_Efeito!CC55-Apoio_Efeito!G55)/Apoio_Efeito!$R$55</f>
        <v>#DIV/0!</v>
      </c>
      <c r="AL66" s="223" t="e">
        <f>(Apoio_Efeito!CC31-Apoio_Efeito!G31)/Apoio_Efeito!$R$31</f>
        <v>#DIV/0!</v>
      </c>
      <c r="AM66" s="223" t="e">
        <f>(Apoio_Efeito!CC32-Apoio_Efeito!G32)/Apoio_Efeito!$R$32</f>
        <v>#DIV/0!</v>
      </c>
      <c r="AN66" s="223" t="e">
        <f>(Apoio_Efeito!CC33-Apoio_Efeito!G33)/Apoio_Efeito!$R$33</f>
        <v>#DIV/0!</v>
      </c>
      <c r="AO66" s="223" t="e">
        <f>(Apoio_Efeito!CC34-Apoio_Efeito!G34)/Apoio_Efeito!$R$34</f>
        <v>#DIV/0!</v>
      </c>
      <c r="AP66" s="223" t="e">
        <f>(Apoio_Efeito!CC35-Apoio_Efeito!G35)/Apoio_Efeito!$R$35</f>
        <v>#DIV/0!</v>
      </c>
      <c r="AQ66" s="223" t="e">
        <f>(Apoio_Efeito!CC36-Apoio_Efeito!G36)/Apoio_Efeito!$R$36</f>
        <v>#DIV/0!</v>
      </c>
      <c r="AR66" s="223" t="e">
        <f>(Apoio_Efeito!CC37-Apoio_Efeito!G37)/Apoio_Efeito!$R$37</f>
        <v>#DIV/0!</v>
      </c>
      <c r="AS66" s="223" t="e">
        <f>(Apoio_Efeito!CC38-Apoio_Efeito!G38)/Apoio_Efeito!$R$38</f>
        <v>#DIV/0!</v>
      </c>
      <c r="AT66" s="223" t="e">
        <f>(Apoio_Efeito!CC39-Apoio_Efeito!G39)/Apoio_Efeito!$R$39</f>
        <v>#DIV/0!</v>
      </c>
      <c r="AU66" s="223" t="e">
        <f>(Apoio_Efeito!CC40-Apoio_Efeito!G40)/Apoio_Efeito!$R$40</f>
        <v>#DIV/0!</v>
      </c>
      <c r="AV66" s="223" t="e">
        <f>(Apoio_Efeito!CC41-Apoio_Efeito!G41)/Apoio_Efeito!$R$41</f>
        <v>#DIV/0!</v>
      </c>
      <c r="AW66" s="223" t="e">
        <f>(Apoio_Efeito!CC42-Apoio_Efeito!G42)/Apoio_Efeito!$R$42</f>
        <v>#DIV/0!</v>
      </c>
      <c r="AX66" s="223" t="e">
        <f>(Apoio_Efeito!CC43-Apoio_Efeito!G43)/Apoio_Efeito!$R$43</f>
        <v>#DIV/0!</v>
      </c>
      <c r="AY66" s="223" t="e">
        <f>(Apoio_Efeito!CC44-Apoio_Efeito!G44)/Apoio_Efeito!$R$44</f>
        <v>#DIV/0!</v>
      </c>
      <c r="AZ66" s="223" t="e">
        <f>(Apoio_Efeito!CC45-Apoio_Efeito!G45)/Apoio_Efeito!$R$45</f>
        <v>#DIV/0!</v>
      </c>
      <c r="BA66" s="223" t="e">
        <f>(Apoio_Efeito!CC46-Apoio_Efeito!G46)/Apoio_Efeito!$R$46</f>
        <v>#DIV/0!</v>
      </c>
      <c r="BB66" s="223" t="e">
        <f>(Apoio_Efeito!CC47-Apoio_Efeito!G47)/Apoio_Efeito!$R$47</f>
        <v>#DIV/0!</v>
      </c>
      <c r="BC66" s="223" t="e">
        <f>(Apoio_Efeito!CC48-Apoio_Efeito!G48)/Apoio_Efeito!$R$48</f>
        <v>#DIV/0!</v>
      </c>
      <c r="BD66" s="223" t="e">
        <f>(Apoio_Efeito!CC49-Apoio_Efeito!G49)/Apoio_Efeito!$R$49</f>
        <v>#DIV/0!</v>
      </c>
      <c r="BE66" s="223" t="e">
        <f>(Apoio_Efeito!CC50-Apoio_Efeito!G50)/Apoio_Efeito!$R$50</f>
        <v>#DIV/0!</v>
      </c>
      <c r="BF66" s="208" t="e">
        <f>(Apoio_Efeito!CC51-Apoio_Efeito!G51)/Apoio_Efeito!$R$51</f>
        <v>#DIV/0!</v>
      </c>
      <c r="BG66" s="75">
        <f>(Apoio_Efeito!CC52-Apoio_Efeito!G52)/Apoio_Efeito!$R$52</f>
        <v>2.9721939889322119E-3</v>
      </c>
      <c r="BH66" s="272">
        <f>(Apoio_Efeito!CC53-Apoio_Efeito!G53)/Apoio_Efeito!$R$53</f>
        <v>3.2539323749342054E-3</v>
      </c>
      <c r="BI66" s="5"/>
      <c r="BJ66" s="277">
        <f t="shared" si="11"/>
        <v>1</v>
      </c>
      <c r="BK66" s="96"/>
      <c r="BL66" s="32"/>
      <c r="BM66" s="100"/>
      <c r="BN66" s="5"/>
      <c r="CJ66" s="375"/>
    </row>
    <row r="67" spans="5:88">
      <c r="E67" s="270"/>
      <c r="F67" s="206"/>
      <c r="G67" s="207"/>
      <c r="H67" s="74" t="s">
        <v>292</v>
      </c>
      <c r="I67" s="75" t="e">
        <f>(Apoio_Efeito!CD4-Apoio_Efeito!H4)/Apoio_Efeito!$R$4</f>
        <v>#DIV/0!</v>
      </c>
      <c r="J67" s="223" t="e">
        <f>(Apoio_Efeito!CD5-Apoio_Efeito!H5)/Apoio_Efeito!$R$5</f>
        <v>#DIV/0!</v>
      </c>
      <c r="K67" s="223" t="e">
        <f>(Apoio_Efeito!CD6-Apoio_Efeito!H6)/Apoio_Efeito!$R$6</f>
        <v>#DIV/0!</v>
      </c>
      <c r="L67" s="223">
        <f>(Apoio_Efeito!CD7-Apoio_Efeito!H7)/Apoio_Efeito!$R$7</f>
        <v>-3.2099949991294463E-4</v>
      </c>
      <c r="M67" s="223" t="e">
        <f>(Apoio_Efeito!CD54-Apoio_Efeito!H54)/Apoio_Efeito!$R$54</f>
        <v>#DIV/0!</v>
      </c>
      <c r="N67" s="223" t="e">
        <f>(Apoio_Efeito!CD8-Apoio_Efeito!H8)/Apoio_Efeito!$R$8</f>
        <v>#DIV/0!</v>
      </c>
      <c r="O67" s="223" t="e">
        <f>(Apoio_Efeito!CD9-Apoio_Efeito!H9)/Apoio_Efeito!$R$9</f>
        <v>#DIV/0!</v>
      </c>
      <c r="P67" s="223" t="e">
        <f>(Apoio_Efeito!CD10-Apoio_Efeito!H10)/Apoio_Efeito!$R$10</f>
        <v>#DIV/0!</v>
      </c>
      <c r="Q67" s="223" t="e">
        <f>(Apoio_Efeito!CD11-Apoio_Efeito!H11)/Apoio_Efeito!$R$11</f>
        <v>#DIV/0!</v>
      </c>
      <c r="R67" s="223" t="e">
        <f>(Apoio_Efeito!CD12-Apoio_Efeito!H12)/Apoio_Efeito!$R12</f>
        <v>#DIV/0!</v>
      </c>
      <c r="S67" s="223" t="e">
        <f>(Apoio_Efeito!CD13-Apoio_Efeito!H13)/Apoio_Efeito!$R$13</f>
        <v>#DIV/0!</v>
      </c>
      <c r="T67" s="223" t="e">
        <f>(Apoio_Efeito!CD14-Apoio_Efeito!H14)/Apoio_Efeito!$R$14</f>
        <v>#DIV/0!</v>
      </c>
      <c r="U67" s="223" t="e">
        <f>(Apoio_Efeito!CD15-Apoio_Efeito!H15)/Apoio_Efeito!$R$15</f>
        <v>#DIV/0!</v>
      </c>
      <c r="V67" s="223" t="e">
        <f>(Apoio_Efeito!CD16-Apoio_Efeito!H16)/Apoio_Efeito!$R$16</f>
        <v>#DIV/0!</v>
      </c>
      <c r="W67" s="223" t="e">
        <f>(Apoio_Efeito!CD17-Apoio_Efeito!H17)/Apoio_Efeito!$R$17</f>
        <v>#DIV/0!</v>
      </c>
      <c r="X67" s="223" t="e">
        <f>(Apoio_Efeito!CD18-Apoio_Efeito!H18)/Apoio_Efeito!$R$18</f>
        <v>#DIV/0!</v>
      </c>
      <c r="Y67" s="223" t="e">
        <f>(Apoio_Efeito!CD19-Apoio_Efeito!H19)/Apoio_Efeito!$R$19</f>
        <v>#DIV/0!</v>
      </c>
      <c r="Z67" s="223" t="e">
        <f>(Apoio_Efeito!CD20-Apoio_Efeito!H20)/Apoio_Efeito!$R$20</f>
        <v>#DIV/0!</v>
      </c>
      <c r="AA67" s="223" t="e">
        <f>(Apoio_Efeito!CD21-Apoio_Efeito!H21)/Apoio_Efeito!$R$21</f>
        <v>#DIV/0!</v>
      </c>
      <c r="AB67" s="223" t="e">
        <f>(Apoio_Efeito!CD22-Apoio_Efeito!H22)/Apoio_Efeito!$R$22</f>
        <v>#DIV/0!</v>
      </c>
      <c r="AC67" s="371" t="e">
        <f>(Apoio_Efeito!CD23-Apoio_Efeito!H23)/Apoio_Efeito!$R$23</f>
        <v>#DIV/0!</v>
      </c>
      <c r="AD67" s="223" t="e">
        <f>(Apoio_Efeito!CD24-Apoio_Efeito!H24)/Apoio_Efeito!$R$24</f>
        <v>#DIV/0!</v>
      </c>
      <c r="AE67" s="223" t="e">
        <f>(Apoio_Efeito!CD25-Apoio_Efeito!H25)/Apoio_Efeito!$R$25</f>
        <v>#DIV/0!</v>
      </c>
      <c r="AF67" s="223" t="e">
        <f>(Apoio_Efeito!CD26-Apoio_Efeito!H26)/Apoio_Efeito!$R$26</f>
        <v>#DIV/0!</v>
      </c>
      <c r="AG67" s="223" t="e">
        <f>(Apoio_Efeito!CD27-Apoio_Efeito!H27)/Apoio_Efeito!$R$27</f>
        <v>#DIV/0!</v>
      </c>
      <c r="AH67" s="223" t="e">
        <f>(Apoio_Efeito!CD28-Apoio_Efeito!H28)/Apoio_Efeito!$R$28</f>
        <v>#DIV/0!</v>
      </c>
      <c r="AI67" s="223" t="e">
        <f>(Apoio_Efeito!CD29-Apoio_Efeito!H29)/Apoio_Efeito!$R$29</f>
        <v>#DIV/0!</v>
      </c>
      <c r="AJ67" s="223" t="e">
        <f>(Apoio_Efeito!CD30-Apoio_Efeito!H30)/Apoio_Efeito!$R$30</f>
        <v>#DIV/0!</v>
      </c>
      <c r="AK67" s="223" t="e">
        <f>(Apoio_Efeito!CD55-Apoio_Efeito!H55)/Apoio_Efeito!$R$55</f>
        <v>#DIV/0!</v>
      </c>
      <c r="AL67" s="223" t="e">
        <f>(Apoio_Efeito!CD31-Apoio_Efeito!H31)/Apoio_Efeito!$R$31</f>
        <v>#DIV/0!</v>
      </c>
      <c r="AM67" s="223" t="e">
        <f>(Apoio_Efeito!CD32-Apoio_Efeito!H32)/Apoio_Efeito!$R$32</f>
        <v>#DIV/0!</v>
      </c>
      <c r="AN67" s="223" t="e">
        <f>(Apoio_Efeito!CD33-Apoio_Efeito!H33)/Apoio_Efeito!$R$33</f>
        <v>#DIV/0!</v>
      </c>
      <c r="AO67" s="223" t="e">
        <f>(Apoio_Efeito!CD34-Apoio_Efeito!H34)/Apoio_Efeito!$R$34</f>
        <v>#DIV/0!</v>
      </c>
      <c r="AP67" s="223" t="e">
        <f>(Apoio_Efeito!CD35-Apoio_Efeito!H35)/Apoio_Efeito!$R$35</f>
        <v>#DIV/0!</v>
      </c>
      <c r="AQ67" s="223" t="e">
        <f>(Apoio_Efeito!CD36-Apoio_Efeito!H36)/Apoio_Efeito!$R$36</f>
        <v>#DIV/0!</v>
      </c>
      <c r="AR67" s="223" t="e">
        <f>(Apoio_Efeito!CD37-Apoio_Efeito!H37)/Apoio_Efeito!$R$37</f>
        <v>#DIV/0!</v>
      </c>
      <c r="AS67" s="223" t="e">
        <f>(Apoio_Efeito!CD38-Apoio_Efeito!H38)/Apoio_Efeito!$R$38</f>
        <v>#DIV/0!</v>
      </c>
      <c r="AT67" s="223" t="e">
        <f>(Apoio_Efeito!CD39-Apoio_Efeito!H39)/Apoio_Efeito!$R$39</f>
        <v>#DIV/0!</v>
      </c>
      <c r="AU67" s="223" t="e">
        <f>(Apoio_Efeito!CD40-Apoio_Efeito!H40)/Apoio_Efeito!$R$40</f>
        <v>#DIV/0!</v>
      </c>
      <c r="AV67" s="223" t="e">
        <f>(Apoio_Efeito!CD41-Apoio_Efeito!H41)/Apoio_Efeito!$R$41</f>
        <v>#DIV/0!</v>
      </c>
      <c r="AW67" s="223" t="e">
        <f>(Apoio_Efeito!CD42-Apoio_Efeito!H42)/Apoio_Efeito!$R$42</f>
        <v>#DIV/0!</v>
      </c>
      <c r="AX67" s="223" t="e">
        <f>(Apoio_Efeito!CD43-Apoio_Efeito!H43)/Apoio_Efeito!$R$43</f>
        <v>#DIV/0!</v>
      </c>
      <c r="AY67" s="223" t="e">
        <f>(Apoio_Efeito!CD44-Apoio_Efeito!H44)/Apoio_Efeito!$R$44</f>
        <v>#DIV/0!</v>
      </c>
      <c r="AZ67" s="223" t="e">
        <f>(Apoio_Efeito!CD45-Apoio_Efeito!H45)/Apoio_Efeito!$R$45</f>
        <v>#DIV/0!</v>
      </c>
      <c r="BA67" s="223" t="e">
        <f>(Apoio_Efeito!CD46-Apoio_Efeito!H46)/Apoio_Efeito!$R$46</f>
        <v>#DIV/0!</v>
      </c>
      <c r="BB67" s="223" t="e">
        <f>(Apoio_Efeito!CD47-Apoio_Efeito!H47)/Apoio_Efeito!$R$47</f>
        <v>#DIV/0!</v>
      </c>
      <c r="BC67" s="223" t="e">
        <f>(Apoio_Efeito!CD48-Apoio_Efeito!H48)/Apoio_Efeito!$R$48</f>
        <v>#DIV/0!</v>
      </c>
      <c r="BD67" s="223" t="e">
        <f>(Apoio_Efeito!CD49-Apoio_Efeito!H49)/Apoio_Efeito!$R$49</f>
        <v>#DIV/0!</v>
      </c>
      <c r="BE67" s="223" t="e">
        <f>(Apoio_Efeito!CD50-Apoio_Efeito!H50)/Apoio_Efeito!$R$50</f>
        <v>#DIV/0!</v>
      </c>
      <c r="BF67" s="208" t="e">
        <f>(Apoio_Efeito!CD51-Apoio_Efeito!H51)/Apoio_Efeito!$R$51</f>
        <v>#DIV/0!</v>
      </c>
      <c r="BG67" s="272">
        <f>(Apoio_Efeito!CD52-Apoio_Efeito!H52)/Apoio_Efeito!$R$52</f>
        <v>0</v>
      </c>
      <c r="BH67" s="272">
        <f>(Apoio_Efeito!CD53-Apoio_Efeito!H53)/Apoio_Efeito!$R$53</f>
        <v>0</v>
      </c>
      <c r="BI67" s="5"/>
      <c r="BJ67" s="277">
        <f t="shared" si="11"/>
        <v>1</v>
      </c>
      <c r="BK67" s="120"/>
      <c r="BL67" s="121"/>
      <c r="BM67" s="100"/>
      <c r="BN67" s="5"/>
      <c r="CJ67" s="375"/>
    </row>
    <row r="68" spans="5:88">
      <c r="E68" s="270"/>
      <c r="F68" s="206"/>
      <c r="G68" s="207"/>
      <c r="H68" s="74" t="s">
        <v>3</v>
      </c>
      <c r="I68" s="75" t="e">
        <f>(Apoio_Efeito!CE4-Apoio_Efeito!I4)/Apoio_Efeito!$R$4</f>
        <v>#DIV/0!</v>
      </c>
      <c r="J68" s="223" t="e">
        <f>(Apoio_Efeito!CE5-Apoio_Efeito!I5)/Apoio_Efeito!$R$5</f>
        <v>#DIV/0!</v>
      </c>
      <c r="K68" s="223" t="e">
        <f>(Apoio_Efeito!CE6-Apoio_Efeito!I6)/Apoio_Efeito!$R$6</f>
        <v>#DIV/0!</v>
      </c>
      <c r="L68" s="223">
        <f>(Apoio_Efeito!CE7-Apoio_Efeito!I7)/Apoio_Efeito!$R$7</f>
        <v>-2.3946469819920912E-3</v>
      </c>
      <c r="M68" s="223" t="e">
        <f>(Apoio_Efeito!CE54-Apoio_Efeito!I54)/Apoio_Efeito!$R$54</f>
        <v>#DIV/0!</v>
      </c>
      <c r="N68" s="223" t="e">
        <f>(Apoio_Efeito!CE8-Apoio_Efeito!I8)/Apoio_Efeito!$R$8</f>
        <v>#DIV/0!</v>
      </c>
      <c r="O68" s="223" t="e">
        <f>(Apoio_Efeito!CE9-Apoio_Efeito!I9)/Apoio_Efeito!$R$9</f>
        <v>#DIV/0!</v>
      </c>
      <c r="P68" s="223" t="e">
        <f>(Apoio_Efeito!CE10-Apoio_Efeito!I10)/Apoio_Efeito!$R$10</f>
        <v>#DIV/0!</v>
      </c>
      <c r="Q68" s="223" t="e">
        <f>(Apoio_Efeito!CE11-Apoio_Efeito!I11)/Apoio_Efeito!$R$11</f>
        <v>#DIV/0!</v>
      </c>
      <c r="R68" s="223" t="e">
        <f>(Apoio_Efeito!CE12-Apoio_Efeito!I12)/Apoio_Efeito!$R12</f>
        <v>#DIV/0!</v>
      </c>
      <c r="S68" s="223" t="e">
        <f>(Apoio_Efeito!CE13-Apoio_Efeito!I13)/Apoio_Efeito!$R$13</f>
        <v>#DIV/0!</v>
      </c>
      <c r="T68" s="223" t="e">
        <f>(Apoio_Efeito!CE14-Apoio_Efeito!I14)/Apoio_Efeito!$R$14</f>
        <v>#DIV/0!</v>
      </c>
      <c r="U68" s="223" t="e">
        <f>(Apoio_Efeito!CE15-Apoio_Efeito!I15)/Apoio_Efeito!$R$15</f>
        <v>#DIV/0!</v>
      </c>
      <c r="V68" s="223" t="e">
        <f>(Apoio_Efeito!CE16-Apoio_Efeito!I16)/Apoio_Efeito!$R$16</f>
        <v>#DIV/0!</v>
      </c>
      <c r="W68" s="223" t="e">
        <f>(Apoio_Efeito!CE17-Apoio_Efeito!I17)/Apoio_Efeito!$R$17</f>
        <v>#DIV/0!</v>
      </c>
      <c r="X68" s="223" t="e">
        <f>(Apoio_Efeito!CE18-Apoio_Efeito!I18)/Apoio_Efeito!$R$18</f>
        <v>#DIV/0!</v>
      </c>
      <c r="Y68" s="223" t="e">
        <f>(Apoio_Efeito!CE19-Apoio_Efeito!I19)/Apoio_Efeito!$R$19</f>
        <v>#DIV/0!</v>
      </c>
      <c r="Z68" s="223" t="e">
        <f>(Apoio_Efeito!CE20-Apoio_Efeito!I20)/Apoio_Efeito!$R$20</f>
        <v>#DIV/0!</v>
      </c>
      <c r="AA68" s="223" t="e">
        <f>(Apoio_Efeito!CE21-Apoio_Efeito!I21)/Apoio_Efeito!$R$21</f>
        <v>#DIV/0!</v>
      </c>
      <c r="AB68" s="223" t="e">
        <f>(Apoio_Efeito!CE22-Apoio_Efeito!I22)/Apoio_Efeito!$R$22</f>
        <v>#DIV/0!</v>
      </c>
      <c r="AC68" s="223" t="e">
        <f>(Apoio_Efeito!CE23-Apoio_Efeito!I23)/Apoio_Efeito!$R$23</f>
        <v>#DIV/0!</v>
      </c>
      <c r="AD68" s="223" t="e">
        <f>(Apoio_Efeito!CE24-Apoio_Efeito!I24)/Apoio_Efeito!$R$24</f>
        <v>#DIV/0!</v>
      </c>
      <c r="AE68" s="223" t="e">
        <f>(Apoio_Efeito!CE25-Apoio_Efeito!I25)/Apoio_Efeito!$R$25</f>
        <v>#DIV/0!</v>
      </c>
      <c r="AF68" s="223" t="e">
        <f>(Apoio_Efeito!CE26-Apoio_Efeito!I26)/Apoio_Efeito!$R$26</f>
        <v>#DIV/0!</v>
      </c>
      <c r="AG68" s="223" t="e">
        <f>(Apoio_Efeito!CE27-Apoio_Efeito!I27)/Apoio_Efeito!$R$27</f>
        <v>#DIV/0!</v>
      </c>
      <c r="AH68" s="223" t="e">
        <f>(Apoio_Efeito!CE28-Apoio_Efeito!I28)/Apoio_Efeito!$R$28</f>
        <v>#DIV/0!</v>
      </c>
      <c r="AI68" s="223" t="e">
        <f>(Apoio_Efeito!CE29-Apoio_Efeito!I29)/Apoio_Efeito!$R$29</f>
        <v>#DIV/0!</v>
      </c>
      <c r="AJ68" s="223" t="e">
        <f>(Apoio_Efeito!CE30-Apoio_Efeito!I30)/Apoio_Efeito!$R$30</f>
        <v>#DIV/0!</v>
      </c>
      <c r="AK68" s="223" t="e">
        <f>(Apoio_Efeito!CE55-Apoio_Efeito!I55)/Apoio_Efeito!$R$55</f>
        <v>#DIV/0!</v>
      </c>
      <c r="AL68" s="223" t="e">
        <f>(Apoio_Efeito!CE31-Apoio_Efeito!I31)/Apoio_Efeito!$R$31</f>
        <v>#DIV/0!</v>
      </c>
      <c r="AM68" s="223" t="e">
        <f>(Apoio_Efeito!CE32-Apoio_Efeito!I32)/Apoio_Efeito!$R$32</f>
        <v>#DIV/0!</v>
      </c>
      <c r="AN68" s="223" t="e">
        <f>(Apoio_Efeito!CE33-Apoio_Efeito!I33)/Apoio_Efeito!$R$33</f>
        <v>#DIV/0!</v>
      </c>
      <c r="AO68" s="223" t="e">
        <f>(Apoio_Efeito!CE34-Apoio_Efeito!I34)/Apoio_Efeito!$R$34</f>
        <v>#DIV/0!</v>
      </c>
      <c r="AP68" s="223" t="e">
        <f>(Apoio_Efeito!CE35-Apoio_Efeito!I35)/Apoio_Efeito!$R$35</f>
        <v>#DIV/0!</v>
      </c>
      <c r="AQ68" s="223" t="e">
        <f>(Apoio_Efeito!CE36-Apoio_Efeito!I36)/Apoio_Efeito!$R$36</f>
        <v>#DIV/0!</v>
      </c>
      <c r="AR68" s="223" t="e">
        <f>(Apoio_Efeito!CE37-Apoio_Efeito!I37)/Apoio_Efeito!$R$37</f>
        <v>#DIV/0!</v>
      </c>
      <c r="AS68" s="223" t="e">
        <f>(Apoio_Efeito!CE38-Apoio_Efeito!I38)/Apoio_Efeito!$R$38</f>
        <v>#DIV/0!</v>
      </c>
      <c r="AT68" s="223" t="e">
        <f>(Apoio_Efeito!CE39-Apoio_Efeito!I39)/Apoio_Efeito!$R$39</f>
        <v>#DIV/0!</v>
      </c>
      <c r="AU68" s="223" t="e">
        <f>(Apoio_Efeito!CE40-Apoio_Efeito!I40)/Apoio_Efeito!$R$40</f>
        <v>#DIV/0!</v>
      </c>
      <c r="AV68" s="223" t="e">
        <f>(Apoio_Efeito!CE41-Apoio_Efeito!I41)/Apoio_Efeito!$R$41</f>
        <v>#DIV/0!</v>
      </c>
      <c r="AW68" s="223" t="e">
        <f>(Apoio_Efeito!CE42-Apoio_Efeito!I42)/Apoio_Efeito!$R$42</f>
        <v>#DIV/0!</v>
      </c>
      <c r="AX68" s="223" t="e">
        <f>(Apoio_Efeito!CE43-Apoio_Efeito!I43)/Apoio_Efeito!$R$43</f>
        <v>#DIV/0!</v>
      </c>
      <c r="AY68" s="223" t="e">
        <f>(Apoio_Efeito!CE44-Apoio_Efeito!I44)/Apoio_Efeito!$R$44</f>
        <v>#DIV/0!</v>
      </c>
      <c r="AZ68" s="223" t="e">
        <f>(Apoio_Efeito!CE45-Apoio_Efeito!I45)/Apoio_Efeito!$R$45</f>
        <v>#DIV/0!</v>
      </c>
      <c r="BA68" s="223" t="e">
        <f>(Apoio_Efeito!CE46-Apoio_Efeito!I46)/Apoio_Efeito!$R$46</f>
        <v>#DIV/0!</v>
      </c>
      <c r="BB68" s="223" t="e">
        <f>(Apoio_Efeito!CE47-Apoio_Efeito!I47)/Apoio_Efeito!$R$47</f>
        <v>#DIV/0!</v>
      </c>
      <c r="BC68" s="223" t="e">
        <f>(Apoio_Efeito!CE48-Apoio_Efeito!I48)/Apoio_Efeito!$R$48</f>
        <v>#DIV/0!</v>
      </c>
      <c r="BD68" s="223" t="e">
        <f>(Apoio_Efeito!CE49-Apoio_Efeito!I49)/Apoio_Efeito!$R$49</f>
        <v>#DIV/0!</v>
      </c>
      <c r="BE68" s="223" t="e">
        <f>(Apoio_Efeito!CE50-Apoio_Efeito!I50)/Apoio_Efeito!$R$50</f>
        <v>#DIV/0!</v>
      </c>
      <c r="BF68" s="208" t="e">
        <f>(Apoio_Efeito!CE51-Apoio_Efeito!I51)/Apoio_Efeito!$R$51</f>
        <v>#DIV/0!</v>
      </c>
      <c r="BG68" s="272">
        <f>(Apoio_Efeito!CE52-Apoio_Efeito!I52)/Apoio_Efeito!$R$52</f>
        <v>-1.7127747963351897E-3</v>
      </c>
      <c r="BH68" s="272">
        <f>(Apoio_Efeito!CE53-Apoio_Efeito!I53)/Apoio_Efeito!$R$53</f>
        <v>-1.7593039177292694E-3</v>
      </c>
      <c r="BI68" s="5"/>
      <c r="BJ68" s="277">
        <f t="shared" si="11"/>
        <v>1</v>
      </c>
      <c r="BK68" s="96"/>
      <c r="BL68" s="32"/>
      <c r="BM68" s="100"/>
      <c r="BN68" s="5"/>
      <c r="CJ68" s="375"/>
    </row>
    <row r="69" spans="5:88">
      <c r="E69" s="270"/>
      <c r="F69" s="206"/>
      <c r="G69" s="207"/>
      <c r="H69" s="74" t="s">
        <v>4</v>
      </c>
      <c r="I69" s="75" t="e">
        <f>(Apoio_Efeito!CF4-Apoio_Efeito!J4)/Apoio_Efeito!$R$4</f>
        <v>#DIV/0!</v>
      </c>
      <c r="J69" s="223" t="e">
        <f>(Apoio_Efeito!CF5-Apoio_Efeito!J5)/Apoio_Efeito!$R$5</f>
        <v>#DIV/0!</v>
      </c>
      <c r="K69" s="223" t="e">
        <f>(Apoio_Efeito!CF6-Apoio_Efeito!J6)/Apoio_Efeito!$R$6</f>
        <v>#DIV/0!</v>
      </c>
      <c r="L69" s="223">
        <f>(Apoio_Efeito!CF7-Apoio_Efeito!J7)/Apoio_Efeito!$R$7</f>
        <v>-2.9407550575399346E-4</v>
      </c>
      <c r="M69" s="223" t="e">
        <f>(Apoio_Efeito!CF54-Apoio_Efeito!J54)/Apoio_Efeito!$R$54</f>
        <v>#DIV/0!</v>
      </c>
      <c r="N69" s="223" t="e">
        <f>(Apoio_Efeito!CF8-Apoio_Efeito!J8)/Apoio_Efeito!$R$8</f>
        <v>#DIV/0!</v>
      </c>
      <c r="O69" s="223" t="e">
        <f>(Apoio_Efeito!CF9-Apoio_Efeito!J9)/Apoio_Efeito!$R$9</f>
        <v>#DIV/0!</v>
      </c>
      <c r="P69" s="223" t="e">
        <f>(Apoio_Efeito!CF10-Apoio_Efeito!J10)/Apoio_Efeito!$R$10</f>
        <v>#DIV/0!</v>
      </c>
      <c r="Q69" s="223" t="e">
        <f>(Apoio_Efeito!CF11-Apoio_Efeito!J11)/Apoio_Efeito!$R$11</f>
        <v>#DIV/0!</v>
      </c>
      <c r="R69" s="223" t="e">
        <f>(Apoio_Efeito!CF12-Apoio_Efeito!J12)/Apoio_Efeito!$R12</f>
        <v>#DIV/0!</v>
      </c>
      <c r="S69" s="223" t="e">
        <f>(Apoio_Efeito!CF13-Apoio_Efeito!J13)/Apoio_Efeito!$R$13</f>
        <v>#DIV/0!</v>
      </c>
      <c r="T69" s="223" t="e">
        <f>(Apoio_Efeito!CF14-Apoio_Efeito!J14)/Apoio_Efeito!$R$14</f>
        <v>#DIV/0!</v>
      </c>
      <c r="U69" s="223" t="e">
        <f>(Apoio_Efeito!CF15-Apoio_Efeito!J15)/Apoio_Efeito!$R$15</f>
        <v>#DIV/0!</v>
      </c>
      <c r="V69" s="223" t="e">
        <f>(Apoio_Efeito!CF16-Apoio_Efeito!J16)/Apoio_Efeito!$R$16</f>
        <v>#DIV/0!</v>
      </c>
      <c r="W69" s="223" t="e">
        <f>(Apoio_Efeito!CF17-Apoio_Efeito!J17)/Apoio_Efeito!$R$17</f>
        <v>#DIV/0!</v>
      </c>
      <c r="X69" s="223" t="e">
        <f>(Apoio_Efeito!CF18-Apoio_Efeito!J18)/Apoio_Efeito!$R$18</f>
        <v>#DIV/0!</v>
      </c>
      <c r="Y69" s="223" t="e">
        <f>(Apoio_Efeito!CF19-Apoio_Efeito!J19)/Apoio_Efeito!$R$19</f>
        <v>#DIV/0!</v>
      </c>
      <c r="Z69" s="223" t="e">
        <f>(Apoio_Efeito!CF20-Apoio_Efeito!J20)/Apoio_Efeito!$R$20</f>
        <v>#DIV/0!</v>
      </c>
      <c r="AA69" s="223" t="e">
        <f>(Apoio_Efeito!CF21-Apoio_Efeito!J21)/Apoio_Efeito!$R$21</f>
        <v>#DIV/0!</v>
      </c>
      <c r="AB69" s="223" t="e">
        <f>(Apoio_Efeito!CF22-Apoio_Efeito!J22)/Apoio_Efeito!$R$22</f>
        <v>#DIV/0!</v>
      </c>
      <c r="AC69" s="223" t="e">
        <f>(Apoio_Efeito!CF23-Apoio_Efeito!J23)/Apoio_Efeito!$R$23</f>
        <v>#DIV/0!</v>
      </c>
      <c r="AD69" s="223" t="e">
        <f>(Apoio_Efeito!CF24-Apoio_Efeito!J24)/Apoio_Efeito!$R$24</f>
        <v>#DIV/0!</v>
      </c>
      <c r="AE69" s="223" t="e">
        <f>(Apoio_Efeito!CF25-Apoio_Efeito!J25)/Apoio_Efeito!$R$25</f>
        <v>#DIV/0!</v>
      </c>
      <c r="AF69" s="223" t="e">
        <f>(Apoio_Efeito!CF26-Apoio_Efeito!J26)/Apoio_Efeito!$R$26</f>
        <v>#DIV/0!</v>
      </c>
      <c r="AG69" s="223" t="e">
        <f>(Apoio_Efeito!CF27-Apoio_Efeito!J27)/Apoio_Efeito!$R$27</f>
        <v>#DIV/0!</v>
      </c>
      <c r="AH69" s="223" t="e">
        <f>(Apoio_Efeito!CF28-Apoio_Efeito!J28)/Apoio_Efeito!$R$28</f>
        <v>#DIV/0!</v>
      </c>
      <c r="AI69" s="223" t="e">
        <f>(Apoio_Efeito!CF29-Apoio_Efeito!J29)/Apoio_Efeito!$R$29</f>
        <v>#DIV/0!</v>
      </c>
      <c r="AJ69" s="223" t="e">
        <f>(Apoio_Efeito!CF30-Apoio_Efeito!J30)/Apoio_Efeito!$R$30</f>
        <v>#DIV/0!</v>
      </c>
      <c r="AK69" s="223" t="e">
        <f>(Apoio_Efeito!CF55-Apoio_Efeito!J55)/Apoio_Efeito!$R$55</f>
        <v>#DIV/0!</v>
      </c>
      <c r="AL69" s="223" t="e">
        <f>(Apoio_Efeito!CF31-Apoio_Efeito!J31)/Apoio_Efeito!$R$31</f>
        <v>#DIV/0!</v>
      </c>
      <c r="AM69" s="223" t="e">
        <f>(Apoio_Efeito!CF32-Apoio_Efeito!J32)/Apoio_Efeito!$R$32</f>
        <v>#DIV/0!</v>
      </c>
      <c r="AN69" s="223" t="e">
        <f>(Apoio_Efeito!CF33-Apoio_Efeito!J33)/Apoio_Efeito!$R$33</f>
        <v>#DIV/0!</v>
      </c>
      <c r="AO69" s="223" t="e">
        <f>(Apoio_Efeito!CF34-Apoio_Efeito!J34)/Apoio_Efeito!$R$34</f>
        <v>#DIV/0!</v>
      </c>
      <c r="AP69" s="223" t="e">
        <f>(Apoio_Efeito!CF35-Apoio_Efeito!J35)/Apoio_Efeito!$R$35</f>
        <v>#DIV/0!</v>
      </c>
      <c r="AQ69" s="223" t="e">
        <f>(Apoio_Efeito!CF36-Apoio_Efeito!J36)/Apoio_Efeito!$R$36</f>
        <v>#DIV/0!</v>
      </c>
      <c r="AR69" s="223" t="e">
        <f>(Apoio_Efeito!CF37-Apoio_Efeito!J37)/Apoio_Efeito!$R$37</f>
        <v>#DIV/0!</v>
      </c>
      <c r="AS69" s="223" t="e">
        <f>(Apoio_Efeito!CF38-Apoio_Efeito!J38)/Apoio_Efeito!$R$38</f>
        <v>#DIV/0!</v>
      </c>
      <c r="AT69" s="223" t="e">
        <f>(Apoio_Efeito!CF39-Apoio_Efeito!J39)/Apoio_Efeito!$R$39</f>
        <v>#DIV/0!</v>
      </c>
      <c r="AU69" s="223" t="e">
        <f>(Apoio_Efeito!CF40-Apoio_Efeito!J40)/Apoio_Efeito!$R$40</f>
        <v>#DIV/0!</v>
      </c>
      <c r="AV69" s="223" t="e">
        <f>(Apoio_Efeito!CF41-Apoio_Efeito!J41)/Apoio_Efeito!$R$41</f>
        <v>#DIV/0!</v>
      </c>
      <c r="AW69" s="223" t="e">
        <f>(Apoio_Efeito!CF42-Apoio_Efeito!J42)/Apoio_Efeito!$R$42</f>
        <v>#DIV/0!</v>
      </c>
      <c r="AX69" s="223" t="e">
        <f>(Apoio_Efeito!CF43-Apoio_Efeito!J43)/Apoio_Efeito!$R$43</f>
        <v>#DIV/0!</v>
      </c>
      <c r="AY69" s="223" t="e">
        <f>(Apoio_Efeito!CF44-Apoio_Efeito!J44)/Apoio_Efeito!$R$44</f>
        <v>#DIV/0!</v>
      </c>
      <c r="AZ69" s="223" t="e">
        <f>(Apoio_Efeito!CF45-Apoio_Efeito!J45)/Apoio_Efeito!$R$45</f>
        <v>#DIV/0!</v>
      </c>
      <c r="BA69" s="223" t="e">
        <f>(Apoio_Efeito!CF46-Apoio_Efeito!J46)/Apoio_Efeito!$R$46</f>
        <v>#DIV/0!</v>
      </c>
      <c r="BB69" s="223" t="e">
        <f>(Apoio_Efeito!CF47-Apoio_Efeito!J47)/Apoio_Efeito!$R$47</f>
        <v>#DIV/0!</v>
      </c>
      <c r="BC69" s="223" t="e">
        <f>(Apoio_Efeito!CF48-Apoio_Efeito!J48)/Apoio_Efeito!$R$48</f>
        <v>#DIV/0!</v>
      </c>
      <c r="BD69" s="223" t="e">
        <f>(Apoio_Efeito!CF49-Apoio_Efeito!J49)/Apoio_Efeito!$R$49</f>
        <v>#DIV/0!</v>
      </c>
      <c r="BE69" s="223" t="e">
        <f>(Apoio_Efeito!CF50-Apoio_Efeito!J50)/Apoio_Efeito!$R$50</f>
        <v>#DIV/0!</v>
      </c>
      <c r="BF69" s="208" t="e">
        <f>(Apoio_Efeito!CF51-Apoio_Efeito!J51)/Apoio_Efeito!$R$51</f>
        <v>#DIV/0!</v>
      </c>
      <c r="BG69" s="272">
        <f>(Apoio_Efeito!CF52-Apoio_Efeito!J52)/Apoio_Efeito!$R$52</f>
        <v>1.7278886017035323E-5</v>
      </c>
      <c r="BH69" s="272">
        <f>(Apoio_Efeito!CF53-Apoio_Efeito!J53)/Apoio_Efeito!$R$53</f>
        <v>-3.192791861872662E-5</v>
      </c>
      <c r="BI69" s="5"/>
      <c r="BJ69" s="277">
        <f t="shared" si="11"/>
        <v>1</v>
      </c>
      <c r="BK69" s="96"/>
      <c r="BL69" s="32"/>
      <c r="BM69" s="100"/>
      <c r="BN69" s="5"/>
      <c r="CJ69" s="375"/>
    </row>
    <row r="70" spans="5:88">
      <c r="E70" s="270"/>
      <c r="F70" s="206"/>
      <c r="G70" s="207"/>
      <c r="H70" s="72" t="s">
        <v>5</v>
      </c>
      <c r="I70" s="73" t="e">
        <f t="shared" ref="I70:AN70" si="12">SUM(I71:I74)</f>
        <v>#DIV/0!</v>
      </c>
      <c r="J70" s="222" t="e">
        <f t="shared" si="12"/>
        <v>#DIV/0!</v>
      </c>
      <c r="K70" s="222" t="e">
        <f t="shared" si="12"/>
        <v>#DIV/0!</v>
      </c>
      <c r="L70" s="222">
        <f t="shared" si="12"/>
        <v>1.2808149041096759E-2</v>
      </c>
      <c r="M70" s="222" t="e">
        <f t="shared" si="12"/>
        <v>#DIV/0!</v>
      </c>
      <c r="N70" s="222" t="e">
        <f t="shared" si="12"/>
        <v>#DIV/0!</v>
      </c>
      <c r="O70" s="222" t="e">
        <f t="shared" si="12"/>
        <v>#DIV/0!</v>
      </c>
      <c r="P70" s="222" t="e">
        <f t="shared" si="12"/>
        <v>#DIV/0!</v>
      </c>
      <c r="Q70" s="222" t="e">
        <f t="shared" si="12"/>
        <v>#DIV/0!</v>
      </c>
      <c r="R70" s="222" t="e">
        <f t="shared" si="12"/>
        <v>#DIV/0!</v>
      </c>
      <c r="S70" s="222" t="e">
        <f t="shared" si="12"/>
        <v>#DIV/0!</v>
      </c>
      <c r="T70" s="222" t="e">
        <f t="shared" si="12"/>
        <v>#DIV/0!</v>
      </c>
      <c r="U70" s="222" t="e">
        <f t="shared" si="12"/>
        <v>#DIV/0!</v>
      </c>
      <c r="V70" s="222" t="e">
        <f t="shared" si="12"/>
        <v>#DIV/0!</v>
      </c>
      <c r="W70" s="222" t="e">
        <f t="shared" si="12"/>
        <v>#DIV/0!</v>
      </c>
      <c r="X70" s="222" t="e">
        <f t="shared" si="12"/>
        <v>#DIV/0!</v>
      </c>
      <c r="Y70" s="222" t="e">
        <f t="shared" si="12"/>
        <v>#DIV/0!</v>
      </c>
      <c r="Z70" s="222" t="e">
        <f t="shared" si="12"/>
        <v>#DIV/0!</v>
      </c>
      <c r="AA70" s="222" t="e">
        <f t="shared" si="12"/>
        <v>#DIV/0!</v>
      </c>
      <c r="AB70" s="222" t="e">
        <f t="shared" si="12"/>
        <v>#DIV/0!</v>
      </c>
      <c r="AC70" s="222" t="e">
        <f t="shared" si="12"/>
        <v>#DIV/0!</v>
      </c>
      <c r="AD70" s="222" t="e">
        <f t="shared" si="12"/>
        <v>#DIV/0!</v>
      </c>
      <c r="AE70" s="222" t="e">
        <f t="shared" si="12"/>
        <v>#DIV/0!</v>
      </c>
      <c r="AF70" s="222" t="e">
        <f t="shared" si="12"/>
        <v>#DIV/0!</v>
      </c>
      <c r="AG70" s="222" t="e">
        <f t="shared" si="12"/>
        <v>#DIV/0!</v>
      </c>
      <c r="AH70" s="222" t="e">
        <f t="shared" si="12"/>
        <v>#DIV/0!</v>
      </c>
      <c r="AI70" s="222" t="e">
        <f t="shared" si="12"/>
        <v>#DIV/0!</v>
      </c>
      <c r="AJ70" s="222" t="e">
        <f t="shared" si="12"/>
        <v>#DIV/0!</v>
      </c>
      <c r="AK70" s="222" t="e">
        <f t="shared" si="12"/>
        <v>#DIV/0!</v>
      </c>
      <c r="AL70" s="222" t="e">
        <f t="shared" si="12"/>
        <v>#DIV/0!</v>
      </c>
      <c r="AM70" s="222" t="e">
        <f t="shared" si="12"/>
        <v>#DIV/0!</v>
      </c>
      <c r="AN70" s="222" t="e">
        <f t="shared" si="12"/>
        <v>#DIV/0!</v>
      </c>
      <c r="AO70" s="222" t="e">
        <f t="shared" ref="AO70:BH70" si="13">SUM(AO71:AO74)</f>
        <v>#DIV/0!</v>
      </c>
      <c r="AP70" s="222" t="e">
        <f t="shared" si="13"/>
        <v>#DIV/0!</v>
      </c>
      <c r="AQ70" s="222" t="e">
        <f t="shared" si="13"/>
        <v>#DIV/0!</v>
      </c>
      <c r="AR70" s="222" t="e">
        <f t="shared" si="13"/>
        <v>#DIV/0!</v>
      </c>
      <c r="AS70" s="222" t="e">
        <f t="shared" si="13"/>
        <v>#DIV/0!</v>
      </c>
      <c r="AT70" s="222" t="e">
        <f t="shared" si="13"/>
        <v>#DIV/0!</v>
      </c>
      <c r="AU70" s="222" t="e">
        <f t="shared" si="13"/>
        <v>#DIV/0!</v>
      </c>
      <c r="AV70" s="222" t="e">
        <f t="shared" si="13"/>
        <v>#DIV/0!</v>
      </c>
      <c r="AW70" s="222" t="e">
        <f t="shared" si="13"/>
        <v>#DIV/0!</v>
      </c>
      <c r="AX70" s="222" t="e">
        <f t="shared" si="13"/>
        <v>#DIV/0!</v>
      </c>
      <c r="AY70" s="222" t="e">
        <f t="shared" si="13"/>
        <v>#DIV/0!</v>
      </c>
      <c r="AZ70" s="222" t="e">
        <f t="shared" si="13"/>
        <v>#DIV/0!</v>
      </c>
      <c r="BA70" s="222" t="e">
        <f t="shared" si="13"/>
        <v>#DIV/0!</v>
      </c>
      <c r="BB70" s="222" t="e">
        <f t="shared" si="13"/>
        <v>#DIV/0!</v>
      </c>
      <c r="BC70" s="222" t="e">
        <f t="shared" si="13"/>
        <v>#DIV/0!</v>
      </c>
      <c r="BD70" s="222" t="e">
        <f t="shared" si="13"/>
        <v>#DIV/0!</v>
      </c>
      <c r="BE70" s="222" t="e">
        <f t="shared" si="13"/>
        <v>#DIV/0!</v>
      </c>
      <c r="BF70" s="222" t="e">
        <f t="shared" si="13"/>
        <v>#DIV/0!</v>
      </c>
      <c r="BG70" s="73">
        <f t="shared" si="13"/>
        <v>-6.6275089441114269E-3</v>
      </c>
      <c r="BH70" s="73">
        <f t="shared" si="13"/>
        <v>1.6265098020797022E-2</v>
      </c>
      <c r="BI70" s="5"/>
      <c r="BJ70" s="277">
        <f t="shared" si="11"/>
        <v>1</v>
      </c>
      <c r="BK70" s="96"/>
      <c r="BL70" s="32"/>
      <c r="BM70" s="100"/>
      <c r="BN70" s="5"/>
      <c r="CJ70" s="375"/>
    </row>
    <row r="71" spans="5:88" hidden="1">
      <c r="E71" s="270"/>
      <c r="F71" s="206"/>
      <c r="G71" s="207"/>
      <c r="H71" s="77" t="s">
        <v>6</v>
      </c>
      <c r="I71" s="78" t="e">
        <f>(Apoio_Efeito!CG4-Apoio_Efeito!K4)/Apoio_Efeito!$R$4</f>
        <v>#DIV/0!</v>
      </c>
      <c r="J71" s="224" t="e">
        <f>(Apoio_Efeito!CG5-Apoio_Efeito!K5)/Apoio_Efeito!$R$5</f>
        <v>#DIV/0!</v>
      </c>
      <c r="K71" s="224" t="e">
        <f>(Apoio_Efeito!CG6-Apoio_Efeito!K6)/Apoio_Efeito!$R$6</f>
        <v>#DIV/0!</v>
      </c>
      <c r="L71" s="224">
        <f>(Apoio_Efeito!CG7-Apoio_Efeito!K7)/Apoio_Efeito!$R$7</f>
        <v>0</v>
      </c>
      <c r="M71" s="224" t="e">
        <f>(Apoio_Efeito!CG54-Apoio_Efeito!K54)/Apoio_Efeito!$R$54</f>
        <v>#DIV/0!</v>
      </c>
      <c r="N71" s="224" t="e">
        <f>(Apoio_Efeito!CG8-Apoio_Efeito!K8)/Apoio_Efeito!$R$8</f>
        <v>#DIV/0!</v>
      </c>
      <c r="O71" s="224" t="e">
        <f>(Apoio_Efeito!CG9-Apoio_Efeito!K9)/Apoio_Efeito!$R$9</f>
        <v>#DIV/0!</v>
      </c>
      <c r="P71" s="224" t="e">
        <f>(Apoio_Efeito!CG10-Apoio_Efeito!K10)/Apoio_Efeito!$R$10</f>
        <v>#DIV/0!</v>
      </c>
      <c r="Q71" s="224" t="e">
        <f>(Apoio_Efeito!CG11-Apoio_Efeito!K11)/Apoio_Efeito!$R$11</f>
        <v>#DIV/0!</v>
      </c>
      <c r="R71" s="224" t="e">
        <f>(Apoio_Efeito!CG12-Apoio_Efeito!K12)/Apoio_Efeito!$R12</f>
        <v>#DIV/0!</v>
      </c>
      <c r="S71" s="224" t="e">
        <f>(Apoio_Efeito!CG13-Apoio_Efeito!K13)/Apoio_Efeito!$R$13</f>
        <v>#DIV/0!</v>
      </c>
      <c r="T71" s="224" t="e">
        <f>(Apoio_Efeito!CG14-Apoio_Efeito!K14)/Apoio_Efeito!$R$14</f>
        <v>#DIV/0!</v>
      </c>
      <c r="U71" s="224" t="e">
        <f>(Apoio_Efeito!CG15-Apoio_Efeito!K15)/Apoio_Efeito!$R$15</f>
        <v>#DIV/0!</v>
      </c>
      <c r="V71" s="224" t="e">
        <f>(Apoio_Efeito!CG16-Apoio_Efeito!K16)/Apoio_Efeito!$R$16</f>
        <v>#DIV/0!</v>
      </c>
      <c r="W71" s="224" t="e">
        <f>(Apoio_Efeito!CG17-Apoio_Efeito!K17)/Apoio_Efeito!$R$17</f>
        <v>#DIV/0!</v>
      </c>
      <c r="X71" s="224" t="e">
        <f>(Apoio_Efeito!CG18-Apoio_Efeito!K18)/Apoio_Efeito!$R$18</f>
        <v>#DIV/0!</v>
      </c>
      <c r="Y71" s="224" t="e">
        <f>(Apoio_Efeito!CG19-Apoio_Efeito!K19)/Apoio_Efeito!$R$19</f>
        <v>#DIV/0!</v>
      </c>
      <c r="Z71" s="224" t="e">
        <f>(Apoio_Efeito!CG20-Apoio_Efeito!K20)/Apoio_Efeito!$R$20</f>
        <v>#DIV/0!</v>
      </c>
      <c r="AA71" s="224" t="e">
        <f>(Apoio_Efeito!CG21-Apoio_Efeito!K21)/Apoio_Efeito!$R$21</f>
        <v>#DIV/0!</v>
      </c>
      <c r="AB71" s="224" t="e">
        <f>(Apoio_Efeito!CG22-Apoio_Efeito!K22)/Apoio_Efeito!$R$22</f>
        <v>#DIV/0!</v>
      </c>
      <c r="AC71" s="224" t="e">
        <f>(Apoio_Efeito!CG23-Apoio_Efeito!K23)/Apoio_Efeito!$R$23</f>
        <v>#DIV/0!</v>
      </c>
      <c r="AD71" s="224" t="e">
        <f>(Apoio_Efeito!CG24-Apoio_Efeito!K24)/Apoio_Efeito!$R$24</f>
        <v>#DIV/0!</v>
      </c>
      <c r="AE71" s="224" t="e">
        <f>(Apoio_Efeito!CG25-Apoio_Efeito!K25)/Apoio_Efeito!$R$25</f>
        <v>#DIV/0!</v>
      </c>
      <c r="AF71" s="224" t="e">
        <f>(Apoio_Efeito!CG26-Apoio_Efeito!K26)/Apoio_Efeito!$R$26</f>
        <v>#DIV/0!</v>
      </c>
      <c r="AG71" s="224" t="e">
        <f>(Apoio_Efeito!CG27-Apoio_Efeito!K27)/Apoio_Efeito!$R$27</f>
        <v>#DIV/0!</v>
      </c>
      <c r="AH71" s="224" t="e">
        <f>(Apoio_Efeito!CG28-Apoio_Efeito!K28)/Apoio_Efeito!$R$28</f>
        <v>#DIV/0!</v>
      </c>
      <c r="AI71" s="224" t="e">
        <f>(Apoio_Efeito!CG29-Apoio_Efeito!K29)/Apoio_Efeito!$R$29</f>
        <v>#DIV/0!</v>
      </c>
      <c r="AJ71" s="224" t="e">
        <f>(Apoio_Efeito!CG30-Apoio_Efeito!K30)/Apoio_Efeito!$R$30</f>
        <v>#DIV/0!</v>
      </c>
      <c r="AK71" s="224" t="e">
        <f>(Apoio_Efeito!CG55-Apoio_Efeito!K55)/Apoio_Efeito!$R$55</f>
        <v>#DIV/0!</v>
      </c>
      <c r="AL71" s="224" t="e">
        <f>(Apoio_Efeito!CG31-Apoio_Efeito!K31)/Apoio_Efeito!$R$31</f>
        <v>#DIV/0!</v>
      </c>
      <c r="AM71" s="224" t="e">
        <f>(Apoio_Efeito!CG32-Apoio_Efeito!K32)/Apoio_Efeito!$R$32</f>
        <v>#DIV/0!</v>
      </c>
      <c r="AN71" s="224" t="e">
        <f>(Apoio_Efeito!CG33-Apoio_Efeito!K33)/Apoio_Efeito!$R$33</f>
        <v>#DIV/0!</v>
      </c>
      <c r="AO71" s="224" t="e">
        <f>(Apoio_Efeito!CG34-Apoio_Efeito!K34)/Apoio_Efeito!$R$34</f>
        <v>#DIV/0!</v>
      </c>
      <c r="AP71" s="224" t="e">
        <f>(Apoio_Efeito!CG35-Apoio_Efeito!K35)/Apoio_Efeito!$R$35</f>
        <v>#DIV/0!</v>
      </c>
      <c r="AQ71" s="224" t="e">
        <f>(Apoio_Efeito!CG36-Apoio_Efeito!K36)/Apoio_Efeito!$R$36</f>
        <v>#DIV/0!</v>
      </c>
      <c r="AR71" s="224" t="e">
        <f>(Apoio_Efeito!CG37-Apoio_Efeito!K37)/Apoio_Efeito!$R$37</f>
        <v>#DIV/0!</v>
      </c>
      <c r="AS71" s="224" t="e">
        <f>(Apoio_Efeito!CG38-Apoio_Efeito!K38)/Apoio_Efeito!$R$38</f>
        <v>#DIV/0!</v>
      </c>
      <c r="AT71" s="224" t="e">
        <f>(Apoio_Efeito!CG39-Apoio_Efeito!K39)/Apoio_Efeito!$R$39</f>
        <v>#DIV/0!</v>
      </c>
      <c r="AU71" s="224" t="e">
        <f>(Apoio_Efeito!CG40-Apoio_Efeito!K40)/Apoio_Efeito!$R$40</f>
        <v>#DIV/0!</v>
      </c>
      <c r="AV71" s="224" t="e">
        <f>(Apoio_Efeito!CG41-Apoio_Efeito!K41)/Apoio_Efeito!$R$41</f>
        <v>#DIV/0!</v>
      </c>
      <c r="AW71" s="224" t="e">
        <f>(Apoio_Efeito!CG42-Apoio_Efeito!K42)/Apoio_Efeito!$R$42</f>
        <v>#DIV/0!</v>
      </c>
      <c r="AX71" s="224" t="e">
        <f>(Apoio_Efeito!CG43-Apoio_Efeito!K43)/Apoio_Efeito!$R$43</f>
        <v>#DIV/0!</v>
      </c>
      <c r="AY71" s="224" t="e">
        <f>(Apoio_Efeito!CG44-Apoio_Efeito!K44)/Apoio_Efeito!$R$44</f>
        <v>#DIV/0!</v>
      </c>
      <c r="AZ71" s="224" t="e">
        <f>(Apoio_Efeito!CG45-Apoio_Efeito!K45)/Apoio_Efeito!$R$45</f>
        <v>#DIV/0!</v>
      </c>
      <c r="BA71" s="224" t="e">
        <f>(Apoio_Efeito!CG46-Apoio_Efeito!K46)/Apoio_Efeito!$R$46</f>
        <v>#DIV/0!</v>
      </c>
      <c r="BB71" s="224" t="e">
        <f>(Apoio_Efeito!CG47-Apoio_Efeito!K47)/Apoio_Efeito!$R$47</f>
        <v>#DIV/0!</v>
      </c>
      <c r="BC71" s="224" t="e">
        <f>(Apoio_Efeito!CG48-Apoio_Efeito!K48)/Apoio_Efeito!$R$48</f>
        <v>#DIV/0!</v>
      </c>
      <c r="BD71" s="224" t="e">
        <f>(Apoio_Efeito!CG49-Apoio_Efeito!K49)/Apoio_Efeito!$R$49</f>
        <v>#DIV/0!</v>
      </c>
      <c r="BE71" s="224" t="e">
        <f>(Apoio_Efeito!CG50-Apoio_Efeito!K50)/Apoio_Efeito!$R$50</f>
        <v>#DIV/0!</v>
      </c>
      <c r="BF71" s="224" t="e">
        <f>(Apoio_Efeito!CG51-Apoio_Efeito!K51)/Apoio_Efeito!$R$51</f>
        <v>#DIV/0!</v>
      </c>
      <c r="BG71" s="78">
        <f>(Apoio_Efeito!CG52-Apoio_Efeito!K52)/Apoio_Efeito!$R$52</f>
        <v>0</v>
      </c>
      <c r="BH71" s="78">
        <f>(Apoio_Efeito!CG53-Apoio_Efeito!K53)/Apoio_Efeito!$R$53</f>
        <v>0</v>
      </c>
      <c r="BI71" s="5"/>
      <c r="BJ71" s="277">
        <f t="shared" si="11"/>
        <v>0</v>
      </c>
      <c r="BK71" s="96"/>
      <c r="BL71" s="32"/>
      <c r="BM71" s="100"/>
      <c r="BN71" s="5"/>
      <c r="CJ71" s="375"/>
    </row>
    <row r="72" spans="5:88" hidden="1">
      <c r="E72" s="270"/>
      <c r="F72" s="206"/>
      <c r="G72" s="207"/>
      <c r="H72" s="148" t="s">
        <v>22</v>
      </c>
      <c r="I72" s="75" t="e">
        <f>(Apoio_Efeito!CH4-Apoio_Efeito!L4)/Apoio_Efeito!$R$4</f>
        <v>#DIV/0!</v>
      </c>
      <c r="J72" s="223" t="e">
        <f>(Apoio_Efeito!CH5-Apoio_Efeito!L5)/Apoio_Efeito!$R$5</f>
        <v>#DIV/0!</v>
      </c>
      <c r="K72" s="223" t="e">
        <f>(Apoio_Efeito!CH6-Apoio_Efeito!L6)/Apoio_Efeito!$R$6</f>
        <v>#DIV/0!</v>
      </c>
      <c r="L72" s="223">
        <f>(Apoio_Efeito!CH7-Apoio_Efeito!L7)/Apoio_Efeito!$R$7</f>
        <v>0</v>
      </c>
      <c r="M72" s="223" t="e">
        <f>(Apoio_Efeito!CH54-Apoio_Efeito!L54)/Apoio_Efeito!$R$54</f>
        <v>#DIV/0!</v>
      </c>
      <c r="N72" s="223" t="e">
        <f>(Apoio_Efeito!CH8-Apoio_Efeito!L8)/Apoio_Efeito!$R$8</f>
        <v>#DIV/0!</v>
      </c>
      <c r="O72" s="223" t="e">
        <f>(Apoio_Efeito!CH9-Apoio_Efeito!L9)/Apoio_Efeito!$R$9</f>
        <v>#DIV/0!</v>
      </c>
      <c r="P72" s="223" t="e">
        <f>(Apoio_Efeito!CH10-Apoio_Efeito!L10)/Apoio_Efeito!$R$10</f>
        <v>#DIV/0!</v>
      </c>
      <c r="Q72" s="223" t="e">
        <f>(Apoio_Efeito!CH11-Apoio_Efeito!L11)/Apoio_Efeito!$R$11</f>
        <v>#DIV/0!</v>
      </c>
      <c r="R72" s="223" t="e">
        <f>(Apoio_Efeito!CH12-Apoio_Efeito!L12)/Apoio_Efeito!$R12</f>
        <v>#DIV/0!</v>
      </c>
      <c r="S72" s="223" t="e">
        <f>(Apoio_Efeito!CH13-Apoio_Efeito!L13)/Apoio_Efeito!$R$13</f>
        <v>#DIV/0!</v>
      </c>
      <c r="T72" s="223" t="e">
        <f>(Apoio_Efeito!CH14-Apoio_Efeito!L14)/Apoio_Efeito!$R$14</f>
        <v>#DIV/0!</v>
      </c>
      <c r="U72" s="223" t="e">
        <f>(Apoio_Efeito!CH15-Apoio_Efeito!L15)/Apoio_Efeito!$R$15</f>
        <v>#DIV/0!</v>
      </c>
      <c r="V72" s="223" t="e">
        <f>(Apoio_Efeito!CH16-Apoio_Efeito!L16)/Apoio_Efeito!$R$16</f>
        <v>#DIV/0!</v>
      </c>
      <c r="W72" s="223" t="e">
        <f>(Apoio_Efeito!CH17-Apoio_Efeito!L17)/Apoio_Efeito!$R$17</f>
        <v>#DIV/0!</v>
      </c>
      <c r="X72" s="223" t="e">
        <f>(Apoio_Efeito!CH18-Apoio_Efeito!L18)/Apoio_Efeito!$R$18</f>
        <v>#DIV/0!</v>
      </c>
      <c r="Y72" s="223" t="e">
        <f>(Apoio_Efeito!CH19-Apoio_Efeito!L19)/Apoio_Efeito!$R$19</f>
        <v>#DIV/0!</v>
      </c>
      <c r="Z72" s="223" t="e">
        <f>(Apoio_Efeito!CH20-Apoio_Efeito!L20)/Apoio_Efeito!$R$20</f>
        <v>#DIV/0!</v>
      </c>
      <c r="AA72" s="223" t="e">
        <f>(Apoio_Efeito!CH21-Apoio_Efeito!L21)/Apoio_Efeito!$R$21</f>
        <v>#DIV/0!</v>
      </c>
      <c r="AB72" s="223" t="e">
        <f>(Apoio_Efeito!CH22-Apoio_Efeito!L22)/Apoio_Efeito!$R$22</f>
        <v>#DIV/0!</v>
      </c>
      <c r="AC72" s="223" t="e">
        <f>(Apoio_Efeito!CH23-Apoio_Efeito!L23)/Apoio_Efeito!$R$23</f>
        <v>#DIV/0!</v>
      </c>
      <c r="AD72" s="223" t="e">
        <f>(Apoio_Efeito!CH24-Apoio_Efeito!L24)/Apoio_Efeito!$R$24</f>
        <v>#DIV/0!</v>
      </c>
      <c r="AE72" s="223" t="e">
        <f>(Apoio_Efeito!CH25-Apoio_Efeito!L25)/Apoio_Efeito!$R$25</f>
        <v>#DIV/0!</v>
      </c>
      <c r="AF72" s="223" t="e">
        <f>(Apoio_Efeito!CH26-Apoio_Efeito!L26)/Apoio_Efeito!$R$26</f>
        <v>#DIV/0!</v>
      </c>
      <c r="AG72" s="223" t="e">
        <f>(Apoio_Efeito!CH27-Apoio_Efeito!L27)/Apoio_Efeito!$R$27</f>
        <v>#DIV/0!</v>
      </c>
      <c r="AH72" s="223" t="e">
        <f>(Apoio_Efeito!CH28-Apoio_Efeito!L28)/Apoio_Efeito!$R$28</f>
        <v>#DIV/0!</v>
      </c>
      <c r="AI72" s="223" t="e">
        <f>(Apoio_Efeito!CH29-Apoio_Efeito!L29)/Apoio_Efeito!$R$29</f>
        <v>#DIV/0!</v>
      </c>
      <c r="AJ72" s="223" t="e">
        <f>(Apoio_Efeito!CH30-Apoio_Efeito!L30)/Apoio_Efeito!$R$30</f>
        <v>#DIV/0!</v>
      </c>
      <c r="AK72" s="223" t="e">
        <f>(Apoio_Efeito!CH55-Apoio_Efeito!L55)/Apoio_Efeito!$R$55</f>
        <v>#DIV/0!</v>
      </c>
      <c r="AL72" s="223" t="e">
        <f>(Apoio_Efeito!CH31-Apoio_Efeito!L31)/Apoio_Efeito!$R$31</f>
        <v>#DIV/0!</v>
      </c>
      <c r="AM72" s="223" t="e">
        <f>(Apoio_Efeito!CH32-Apoio_Efeito!L32)/Apoio_Efeito!$R$32</f>
        <v>#DIV/0!</v>
      </c>
      <c r="AN72" s="223" t="e">
        <f>(Apoio_Efeito!CH33-Apoio_Efeito!L33)/Apoio_Efeito!$R$33</f>
        <v>#DIV/0!</v>
      </c>
      <c r="AO72" s="223" t="e">
        <f>(Apoio_Efeito!CH34-Apoio_Efeito!L34)/Apoio_Efeito!$R$34</f>
        <v>#DIV/0!</v>
      </c>
      <c r="AP72" s="223" t="e">
        <f>(Apoio_Efeito!CH35-Apoio_Efeito!L35)/Apoio_Efeito!$R$35</f>
        <v>#DIV/0!</v>
      </c>
      <c r="AQ72" s="223" t="e">
        <f>(Apoio_Efeito!CH36-Apoio_Efeito!L36)/Apoio_Efeito!$R$36</f>
        <v>#DIV/0!</v>
      </c>
      <c r="AR72" s="223" t="e">
        <f>(Apoio_Efeito!CH37-Apoio_Efeito!L37)/Apoio_Efeito!$R$37</f>
        <v>#DIV/0!</v>
      </c>
      <c r="AS72" s="223" t="e">
        <f>(Apoio_Efeito!CH38-Apoio_Efeito!L38)/Apoio_Efeito!$R$38</f>
        <v>#DIV/0!</v>
      </c>
      <c r="AT72" s="223" t="e">
        <f>(Apoio_Efeito!CH39-Apoio_Efeito!L39)/Apoio_Efeito!$R$39</f>
        <v>#DIV/0!</v>
      </c>
      <c r="AU72" s="223" t="e">
        <f>(Apoio_Efeito!CH40-Apoio_Efeito!L40)/Apoio_Efeito!$R$40</f>
        <v>#DIV/0!</v>
      </c>
      <c r="AV72" s="223" t="e">
        <f>(Apoio_Efeito!CH41-Apoio_Efeito!L41)/Apoio_Efeito!$R$41</f>
        <v>#DIV/0!</v>
      </c>
      <c r="AW72" s="223" t="e">
        <f>(Apoio_Efeito!CH42-Apoio_Efeito!L42)/Apoio_Efeito!$R$42</f>
        <v>#DIV/0!</v>
      </c>
      <c r="AX72" s="223" t="e">
        <f>(Apoio_Efeito!CH43-Apoio_Efeito!L43)/Apoio_Efeito!$R$43</f>
        <v>#DIV/0!</v>
      </c>
      <c r="AY72" s="223" t="e">
        <f>(Apoio_Efeito!CH44-Apoio_Efeito!L44)/Apoio_Efeito!$R$44</f>
        <v>#DIV/0!</v>
      </c>
      <c r="AZ72" s="223" t="e">
        <f>(Apoio_Efeito!CH45-Apoio_Efeito!L45)/Apoio_Efeito!$R$45</f>
        <v>#DIV/0!</v>
      </c>
      <c r="BA72" s="223" t="e">
        <f>(Apoio_Efeito!CH46-Apoio_Efeito!L46)/Apoio_Efeito!$R$46</f>
        <v>#DIV/0!</v>
      </c>
      <c r="BB72" s="223" t="e">
        <f>(Apoio_Efeito!CH47-Apoio_Efeito!L47)/Apoio_Efeito!$R$47</f>
        <v>#DIV/0!</v>
      </c>
      <c r="BC72" s="223" t="e">
        <f>(Apoio_Efeito!CH48-Apoio_Efeito!L48)/Apoio_Efeito!$R$48</f>
        <v>#DIV/0!</v>
      </c>
      <c r="BD72" s="223" t="e">
        <f>(Apoio_Efeito!CH49-Apoio_Efeito!L49)/Apoio_Efeito!$R$49</f>
        <v>#DIV/0!</v>
      </c>
      <c r="BE72" s="223" t="e">
        <f>(Apoio_Efeito!CH50-Apoio_Efeito!L50)/Apoio_Efeito!$R$50</f>
        <v>#DIV/0!</v>
      </c>
      <c r="BF72" s="223" t="e">
        <f>(Apoio_Efeito!CH51-Apoio_Efeito!L51)/Apoio_Efeito!$R$51</f>
        <v>#DIV/0!</v>
      </c>
      <c r="BG72" s="75">
        <f>(Apoio_Efeito!CH52-Apoio_Efeito!L52)/Apoio_Efeito!$R$52</f>
        <v>0</v>
      </c>
      <c r="BH72" s="75">
        <f>(Apoio_Efeito!CH53-Apoio_Efeito!L53)/Apoio_Efeito!$R$53</f>
        <v>0</v>
      </c>
      <c r="BI72" s="5"/>
      <c r="BJ72" s="277">
        <f t="shared" si="11"/>
        <v>0</v>
      </c>
      <c r="BK72" s="96"/>
      <c r="BL72" s="32"/>
      <c r="BM72" s="100"/>
      <c r="BN72" s="5"/>
      <c r="CJ72" s="375"/>
    </row>
    <row r="73" spans="5:88" hidden="1">
      <c r="E73" s="270"/>
      <c r="F73" s="206"/>
      <c r="G73" s="207"/>
      <c r="H73" s="148" t="s">
        <v>279</v>
      </c>
      <c r="I73" s="75" t="e">
        <f>(Apoio_Efeito!CI4-Apoio_Efeito!M4)/Apoio_Efeito!$R$4</f>
        <v>#DIV/0!</v>
      </c>
      <c r="J73" s="223" t="e">
        <f>(Apoio_Efeito!CI5-Apoio_Efeito!M5)/Apoio_Efeito!$R$5</f>
        <v>#DIV/0!</v>
      </c>
      <c r="K73" s="223" t="e">
        <f>(Apoio_Efeito!CI6-Apoio_Efeito!M6)/Apoio_Efeito!$R$6</f>
        <v>#DIV/0!</v>
      </c>
      <c r="L73" s="223">
        <f>(Apoio_Efeito!CI7-Apoio_Efeito!M7)/Apoio_Efeito!$R$7</f>
        <v>0</v>
      </c>
      <c r="M73" s="223" t="e">
        <f>(Apoio_Efeito!CI54-Apoio_Efeito!M54)/Apoio_Efeito!$R$54</f>
        <v>#DIV/0!</v>
      </c>
      <c r="N73" s="223" t="e">
        <f>(Apoio_Efeito!CI8-Apoio_Efeito!M8)/Apoio_Efeito!$R$8</f>
        <v>#DIV/0!</v>
      </c>
      <c r="O73" s="223" t="e">
        <f>(Apoio_Efeito!CI9-Apoio_Efeito!M9)/Apoio_Efeito!$R$9</f>
        <v>#DIV/0!</v>
      </c>
      <c r="P73" s="223" t="e">
        <f>(Apoio_Efeito!CI10-Apoio_Efeito!M10)/Apoio_Efeito!$R$10</f>
        <v>#DIV/0!</v>
      </c>
      <c r="Q73" s="223" t="e">
        <f>(Apoio_Efeito!CI11-Apoio_Efeito!M11)/Apoio_Efeito!$R$11</f>
        <v>#DIV/0!</v>
      </c>
      <c r="R73" s="223" t="e">
        <f>(Apoio_Efeito!CI12-Apoio_Efeito!M12)/Apoio_Efeito!$R12</f>
        <v>#DIV/0!</v>
      </c>
      <c r="S73" s="223" t="e">
        <f>(Apoio_Efeito!CI13-Apoio_Efeito!M13)/Apoio_Efeito!$R$13</f>
        <v>#DIV/0!</v>
      </c>
      <c r="T73" s="223" t="e">
        <f>(Apoio_Efeito!CI14-Apoio_Efeito!M14)/Apoio_Efeito!$R$14</f>
        <v>#DIV/0!</v>
      </c>
      <c r="U73" s="223" t="e">
        <f>(Apoio_Efeito!CI15-Apoio_Efeito!M15)/Apoio_Efeito!$R$15</f>
        <v>#DIV/0!</v>
      </c>
      <c r="V73" s="223" t="e">
        <f>(Apoio_Efeito!CI16-Apoio_Efeito!M16)/Apoio_Efeito!$R$16</f>
        <v>#DIV/0!</v>
      </c>
      <c r="W73" s="223" t="e">
        <f>(Apoio_Efeito!CI17-Apoio_Efeito!M17)/Apoio_Efeito!$R$17</f>
        <v>#DIV/0!</v>
      </c>
      <c r="X73" s="223" t="e">
        <f>(Apoio_Efeito!CI18-Apoio_Efeito!M18)/Apoio_Efeito!$R$18</f>
        <v>#DIV/0!</v>
      </c>
      <c r="Y73" s="223" t="e">
        <f>(Apoio_Efeito!CI19-Apoio_Efeito!M19)/Apoio_Efeito!$R$19</f>
        <v>#DIV/0!</v>
      </c>
      <c r="Z73" s="223" t="e">
        <f>(Apoio_Efeito!CI20-Apoio_Efeito!M20)/Apoio_Efeito!$R$20</f>
        <v>#DIV/0!</v>
      </c>
      <c r="AA73" s="223" t="e">
        <f>(Apoio_Efeito!CI21-Apoio_Efeito!M21)/Apoio_Efeito!$R$21</f>
        <v>#DIV/0!</v>
      </c>
      <c r="AB73" s="223" t="e">
        <f>(Apoio_Efeito!CI22-Apoio_Efeito!M22)/Apoio_Efeito!$R$22</f>
        <v>#DIV/0!</v>
      </c>
      <c r="AC73" s="223" t="e">
        <f>(Apoio_Efeito!CI23-Apoio_Efeito!M23)/Apoio_Efeito!$R$23</f>
        <v>#DIV/0!</v>
      </c>
      <c r="AD73" s="223" t="e">
        <f>(Apoio_Efeito!CI24-Apoio_Efeito!M24)/Apoio_Efeito!$R$24</f>
        <v>#DIV/0!</v>
      </c>
      <c r="AE73" s="223" t="e">
        <f>(Apoio_Efeito!CI25-Apoio_Efeito!M25)/Apoio_Efeito!$R$25</f>
        <v>#DIV/0!</v>
      </c>
      <c r="AF73" s="223" t="e">
        <f>(Apoio_Efeito!CI26-Apoio_Efeito!M26)/Apoio_Efeito!$R$26</f>
        <v>#DIV/0!</v>
      </c>
      <c r="AG73" s="223" t="e">
        <f>(Apoio_Efeito!CI27-Apoio_Efeito!M27)/Apoio_Efeito!$R$27</f>
        <v>#DIV/0!</v>
      </c>
      <c r="AH73" s="223" t="e">
        <f>(Apoio_Efeito!CI28-Apoio_Efeito!M28)/Apoio_Efeito!$R$28</f>
        <v>#DIV/0!</v>
      </c>
      <c r="AI73" s="223" t="e">
        <f>(Apoio_Efeito!CI29-Apoio_Efeito!M29)/Apoio_Efeito!$R$29</f>
        <v>#DIV/0!</v>
      </c>
      <c r="AJ73" s="223" t="e">
        <f>(Apoio_Efeito!CI30-Apoio_Efeito!M30)/Apoio_Efeito!$R$30</f>
        <v>#DIV/0!</v>
      </c>
      <c r="AK73" s="223" t="e">
        <f>(Apoio_Efeito!CI55-Apoio_Efeito!M55)/Apoio_Efeito!$R$55</f>
        <v>#DIV/0!</v>
      </c>
      <c r="AL73" s="223" t="e">
        <f>(Apoio_Efeito!CI31-Apoio_Efeito!M31)/Apoio_Efeito!$R$31</f>
        <v>#DIV/0!</v>
      </c>
      <c r="AM73" s="223" t="e">
        <f>(Apoio_Efeito!CI32-Apoio_Efeito!M32)/Apoio_Efeito!$R$32</f>
        <v>#DIV/0!</v>
      </c>
      <c r="AN73" s="223" t="e">
        <f>(Apoio_Efeito!CI33-Apoio_Efeito!M33)/Apoio_Efeito!$R$33</f>
        <v>#DIV/0!</v>
      </c>
      <c r="AO73" s="223" t="e">
        <f>(Apoio_Efeito!CI34-Apoio_Efeito!M34)/Apoio_Efeito!$R$34</f>
        <v>#DIV/0!</v>
      </c>
      <c r="AP73" s="223" t="e">
        <f>(Apoio_Efeito!CI35-Apoio_Efeito!M35)/Apoio_Efeito!$R$35</f>
        <v>#DIV/0!</v>
      </c>
      <c r="AQ73" s="223" t="e">
        <f>(Apoio_Efeito!CI36-Apoio_Efeito!M36)/Apoio_Efeito!$R$36</f>
        <v>#DIV/0!</v>
      </c>
      <c r="AR73" s="223" t="e">
        <f>(Apoio_Efeito!CI37-Apoio_Efeito!M37)/Apoio_Efeito!$R$37</f>
        <v>#DIV/0!</v>
      </c>
      <c r="AS73" s="223" t="e">
        <f>(Apoio_Efeito!CI38-Apoio_Efeito!M38)/Apoio_Efeito!$R$38</f>
        <v>#DIV/0!</v>
      </c>
      <c r="AT73" s="223" t="e">
        <f>(Apoio_Efeito!CI39-Apoio_Efeito!M39)/Apoio_Efeito!$R$39</f>
        <v>#DIV/0!</v>
      </c>
      <c r="AU73" s="223" t="e">
        <f>(Apoio_Efeito!CI40-Apoio_Efeito!M40)/Apoio_Efeito!$R$40</f>
        <v>#DIV/0!</v>
      </c>
      <c r="AV73" s="223" t="e">
        <f>(Apoio_Efeito!CI41-Apoio_Efeito!M41)/Apoio_Efeito!$R$41</f>
        <v>#DIV/0!</v>
      </c>
      <c r="AW73" s="223" t="e">
        <f>(Apoio_Efeito!CI42-Apoio_Efeito!M42)/Apoio_Efeito!$R$42</f>
        <v>#DIV/0!</v>
      </c>
      <c r="AX73" s="223" t="e">
        <f>(Apoio_Efeito!CI43-Apoio_Efeito!M43)/Apoio_Efeito!$R$43</f>
        <v>#DIV/0!</v>
      </c>
      <c r="AY73" s="223" t="e">
        <f>(Apoio_Efeito!CI44-Apoio_Efeito!M44)/Apoio_Efeito!$R$44</f>
        <v>#DIV/0!</v>
      </c>
      <c r="AZ73" s="223" t="e">
        <f>(Apoio_Efeito!CI45-Apoio_Efeito!M45)/Apoio_Efeito!$R$45</f>
        <v>#DIV/0!</v>
      </c>
      <c r="BA73" s="223" t="e">
        <f>(Apoio_Efeito!CI46-Apoio_Efeito!M46)/Apoio_Efeito!$R$46</f>
        <v>#DIV/0!</v>
      </c>
      <c r="BB73" s="223" t="e">
        <f>(Apoio_Efeito!CI47-Apoio_Efeito!M47)/Apoio_Efeito!$R$47</f>
        <v>#DIV/0!</v>
      </c>
      <c r="BC73" s="223" t="e">
        <f>(Apoio_Efeito!CI48-Apoio_Efeito!M48)/Apoio_Efeito!$R$48</f>
        <v>#DIV/0!</v>
      </c>
      <c r="BD73" s="223" t="e">
        <f>(Apoio_Efeito!CI49-Apoio_Efeito!M49)/Apoio_Efeito!$R$49</f>
        <v>#DIV/0!</v>
      </c>
      <c r="BE73" s="223" t="e">
        <f>(Apoio_Efeito!CI50-Apoio_Efeito!M50)/Apoio_Efeito!$R$50</f>
        <v>#DIV/0!</v>
      </c>
      <c r="BF73" s="223" t="e">
        <f>(Apoio_Efeito!CI51-Apoio_Efeito!M51)/Apoio_Efeito!$R$51</f>
        <v>#DIV/0!</v>
      </c>
      <c r="BG73" s="75">
        <f>(Apoio_Efeito!CI52-Apoio_Efeito!M52)/Apoio_Efeito!$R$52</f>
        <v>0</v>
      </c>
      <c r="BH73" s="75">
        <f>(Apoio_Efeito!CI53-Apoio_Efeito!M53)/Apoio_Efeito!$R$53</f>
        <v>0</v>
      </c>
      <c r="BI73" s="5"/>
      <c r="BJ73" s="277">
        <f t="shared" si="11"/>
        <v>0</v>
      </c>
      <c r="BK73" s="96"/>
      <c r="BL73" s="32"/>
      <c r="BM73" s="100"/>
      <c r="BN73" s="5"/>
      <c r="CJ73" s="375"/>
    </row>
    <row r="74" spans="5:88" ht="17.399999999999999" customHeight="1">
      <c r="E74" s="270"/>
      <c r="F74" s="206"/>
      <c r="G74" s="207"/>
      <c r="H74" s="79" t="s">
        <v>7</v>
      </c>
      <c r="I74" s="76" t="e">
        <f>(Apoio_Efeito!CJ4-Apoio_Efeito!N4)/Apoio_Efeito!$R$4</f>
        <v>#DIV/0!</v>
      </c>
      <c r="J74" s="225" t="e">
        <f>(Apoio_Efeito!CJ5-Apoio_Efeito!N5)/Apoio_Efeito!$R$5</f>
        <v>#DIV/0!</v>
      </c>
      <c r="K74" s="225" t="e">
        <f>(Apoio_Efeito!CJ6-Apoio_Efeito!N6)/Apoio_Efeito!$R$6</f>
        <v>#DIV/0!</v>
      </c>
      <c r="L74" s="225">
        <f>(Apoio_Efeito!CJ7-Apoio_Efeito!N7)/Apoio_Efeito!$R$7</f>
        <v>1.2808149041096759E-2</v>
      </c>
      <c r="M74" s="225" t="e">
        <f>(Apoio_Efeito!CJ54-Apoio_Efeito!N54)/Apoio_Efeito!$R$54</f>
        <v>#DIV/0!</v>
      </c>
      <c r="N74" s="225" t="e">
        <f>(Apoio_Efeito!CJ8-Apoio_Efeito!N8)/Apoio_Efeito!$R$8</f>
        <v>#DIV/0!</v>
      </c>
      <c r="O74" s="225" t="e">
        <f>(Apoio_Efeito!CJ9-Apoio_Efeito!N9)/Apoio_Efeito!$R$9</f>
        <v>#DIV/0!</v>
      </c>
      <c r="P74" s="225" t="e">
        <f>(Apoio_Efeito!CJ10-Apoio_Efeito!N10)/Apoio_Efeito!$R$10</f>
        <v>#DIV/0!</v>
      </c>
      <c r="Q74" s="225" t="e">
        <f>(Apoio_Efeito!CJ11-Apoio_Efeito!N11)/Apoio_Efeito!$R$11</f>
        <v>#DIV/0!</v>
      </c>
      <c r="R74" s="225" t="e">
        <f>(Apoio_Efeito!CJ12-Apoio_Efeito!N12)/Apoio_Efeito!$R12</f>
        <v>#DIV/0!</v>
      </c>
      <c r="S74" s="225" t="e">
        <f>(Apoio_Efeito!CJ13-Apoio_Efeito!N13)/Apoio_Efeito!$R$13</f>
        <v>#DIV/0!</v>
      </c>
      <c r="T74" s="225" t="e">
        <f>(Apoio_Efeito!CJ14-Apoio_Efeito!N14)/Apoio_Efeito!$R$14</f>
        <v>#DIV/0!</v>
      </c>
      <c r="U74" s="225" t="e">
        <f>(Apoio_Efeito!CJ15-Apoio_Efeito!N15)/Apoio_Efeito!$R$15</f>
        <v>#DIV/0!</v>
      </c>
      <c r="V74" s="225" t="e">
        <f>(Apoio_Efeito!CJ16-Apoio_Efeito!N16)/Apoio_Efeito!$R$16</f>
        <v>#DIV/0!</v>
      </c>
      <c r="W74" s="225" t="e">
        <f>(Apoio_Efeito!CJ17-Apoio_Efeito!N17)/Apoio_Efeito!$R$17</f>
        <v>#DIV/0!</v>
      </c>
      <c r="X74" s="225" t="e">
        <f>(Apoio_Efeito!CJ18-Apoio_Efeito!N18)/Apoio_Efeito!$R$18</f>
        <v>#DIV/0!</v>
      </c>
      <c r="Y74" s="225" t="e">
        <f>(Apoio_Efeito!CJ19-Apoio_Efeito!N19)/Apoio_Efeito!$R$19</f>
        <v>#DIV/0!</v>
      </c>
      <c r="Z74" s="225" t="e">
        <f>(Apoio_Efeito!CJ20-Apoio_Efeito!N20)/Apoio_Efeito!$R$20</f>
        <v>#DIV/0!</v>
      </c>
      <c r="AA74" s="225" t="e">
        <f>(Apoio_Efeito!CJ21-Apoio_Efeito!N21)/Apoio_Efeito!$R$21</f>
        <v>#DIV/0!</v>
      </c>
      <c r="AB74" s="225" t="e">
        <f>(Apoio_Efeito!CJ22-Apoio_Efeito!N22)/Apoio_Efeito!$R$22</f>
        <v>#DIV/0!</v>
      </c>
      <c r="AC74" s="225" t="e">
        <f>(Apoio_Efeito!CJ23-Apoio_Efeito!N23)/Apoio_Efeito!$R$23</f>
        <v>#DIV/0!</v>
      </c>
      <c r="AD74" s="225" t="e">
        <f>(Apoio_Efeito!CJ24-Apoio_Efeito!N24)/Apoio_Efeito!$R$24</f>
        <v>#DIV/0!</v>
      </c>
      <c r="AE74" s="225" t="e">
        <f>(Apoio_Efeito!CJ25-Apoio_Efeito!N25)/Apoio_Efeito!$R$25</f>
        <v>#DIV/0!</v>
      </c>
      <c r="AF74" s="225" t="e">
        <f>(Apoio_Efeito!CJ26-Apoio_Efeito!N26)/Apoio_Efeito!$R$26</f>
        <v>#DIV/0!</v>
      </c>
      <c r="AG74" s="225" t="e">
        <f>(Apoio_Efeito!CJ27-Apoio_Efeito!N27)/Apoio_Efeito!$R$27</f>
        <v>#DIV/0!</v>
      </c>
      <c r="AH74" s="225" t="e">
        <f>(Apoio_Efeito!CJ28-Apoio_Efeito!N28)/Apoio_Efeito!$R$28</f>
        <v>#DIV/0!</v>
      </c>
      <c r="AI74" s="225" t="e">
        <f>(Apoio_Efeito!CJ29-Apoio_Efeito!N29)/Apoio_Efeito!$R$29</f>
        <v>#DIV/0!</v>
      </c>
      <c r="AJ74" s="225" t="e">
        <f>(Apoio_Efeito!CJ30-Apoio_Efeito!N30)/Apoio_Efeito!$R$30</f>
        <v>#DIV/0!</v>
      </c>
      <c r="AK74" s="225" t="e">
        <f>(Apoio_Efeito!CJ55-Apoio_Efeito!N55)/Apoio_Efeito!$R$55</f>
        <v>#DIV/0!</v>
      </c>
      <c r="AL74" s="225" t="e">
        <f>(Apoio_Efeito!CJ31-Apoio_Efeito!N31)/Apoio_Efeito!$R$31</f>
        <v>#DIV/0!</v>
      </c>
      <c r="AM74" s="225" t="e">
        <f>(Apoio_Efeito!CJ32-Apoio_Efeito!N32)/Apoio_Efeito!$R$32</f>
        <v>#DIV/0!</v>
      </c>
      <c r="AN74" s="225" t="e">
        <f>(Apoio_Efeito!CJ33-Apoio_Efeito!N33)/Apoio_Efeito!$R$33</f>
        <v>#DIV/0!</v>
      </c>
      <c r="AO74" s="225" t="e">
        <f>(Apoio_Efeito!CJ34-Apoio_Efeito!N34)/Apoio_Efeito!$R$34</f>
        <v>#DIV/0!</v>
      </c>
      <c r="AP74" s="225" t="e">
        <f>(Apoio_Efeito!CJ35-Apoio_Efeito!N35)/Apoio_Efeito!$R$35</f>
        <v>#DIV/0!</v>
      </c>
      <c r="AQ74" s="225" t="e">
        <f>(Apoio_Efeito!CJ36-Apoio_Efeito!N36)/Apoio_Efeito!$R$36</f>
        <v>#DIV/0!</v>
      </c>
      <c r="AR74" s="225" t="e">
        <f>(Apoio_Efeito!CJ37-Apoio_Efeito!N37)/Apoio_Efeito!$R$37</f>
        <v>#DIV/0!</v>
      </c>
      <c r="AS74" s="225" t="e">
        <f>(Apoio_Efeito!CJ38-Apoio_Efeito!N38)/Apoio_Efeito!$R$38</f>
        <v>#DIV/0!</v>
      </c>
      <c r="AT74" s="225" t="e">
        <f>(Apoio_Efeito!CJ39-Apoio_Efeito!N39)/Apoio_Efeito!$R$39</f>
        <v>#DIV/0!</v>
      </c>
      <c r="AU74" s="225" t="e">
        <f>(Apoio_Efeito!CJ40-Apoio_Efeito!N40)/Apoio_Efeito!$R$40</f>
        <v>#DIV/0!</v>
      </c>
      <c r="AV74" s="225" t="e">
        <f>(Apoio_Efeito!CJ41-Apoio_Efeito!N41)/Apoio_Efeito!$R$41</f>
        <v>#DIV/0!</v>
      </c>
      <c r="AW74" s="225" t="e">
        <f>(Apoio_Efeito!CJ42-Apoio_Efeito!N42)/Apoio_Efeito!$R$42</f>
        <v>#DIV/0!</v>
      </c>
      <c r="AX74" s="225" t="e">
        <f>(Apoio_Efeito!CJ43-Apoio_Efeito!N43)/Apoio_Efeito!$R$43</f>
        <v>#DIV/0!</v>
      </c>
      <c r="AY74" s="225" t="e">
        <f>(Apoio_Efeito!CJ44-Apoio_Efeito!N44)/Apoio_Efeito!$R$44</f>
        <v>#DIV/0!</v>
      </c>
      <c r="AZ74" s="225" t="e">
        <f>(Apoio_Efeito!CJ45-Apoio_Efeito!N45)/Apoio_Efeito!$R$45</f>
        <v>#DIV/0!</v>
      </c>
      <c r="BA74" s="225" t="e">
        <f>(Apoio_Efeito!CJ46-Apoio_Efeito!N46)/Apoio_Efeito!$R$46</f>
        <v>#DIV/0!</v>
      </c>
      <c r="BB74" s="225" t="e">
        <f>(Apoio_Efeito!CJ47-Apoio_Efeito!N47)/Apoio_Efeito!$R$47</f>
        <v>#DIV/0!</v>
      </c>
      <c r="BC74" s="225" t="e">
        <f>(Apoio_Efeito!CJ48-Apoio_Efeito!N48)/Apoio_Efeito!$R$48</f>
        <v>#DIV/0!</v>
      </c>
      <c r="BD74" s="225" t="e">
        <f>(Apoio_Efeito!CJ49-Apoio_Efeito!N49)/Apoio_Efeito!$R$49</f>
        <v>#DIV/0!</v>
      </c>
      <c r="BE74" s="225" t="e">
        <f>(Apoio_Efeito!CJ50-Apoio_Efeito!N50)/Apoio_Efeito!$R$50</f>
        <v>#DIV/0!</v>
      </c>
      <c r="BF74" s="225" t="e">
        <f>(Apoio_Efeito!CJ51-Apoio_Efeito!N51)/Apoio_Efeito!$R$51</f>
        <v>#DIV/0!</v>
      </c>
      <c r="BG74" s="76">
        <f>(Apoio_Efeito!CJ52-Apoio_Efeito!N52)/Apoio_Efeito!$R$52</f>
        <v>-6.6275089441114269E-3</v>
      </c>
      <c r="BH74" s="76">
        <f>(Apoio_Efeito!CJ53-Apoio_Efeito!N53)/Apoio_Efeito!$R$53</f>
        <v>1.6265098020797022E-2</v>
      </c>
      <c r="BI74" s="5"/>
      <c r="BJ74" s="277">
        <f t="shared" si="11"/>
        <v>1</v>
      </c>
      <c r="BK74" s="96"/>
      <c r="BL74" s="32"/>
      <c r="BM74" s="100"/>
      <c r="BN74" s="5"/>
      <c r="CJ74" s="375"/>
    </row>
    <row r="75" spans="5:88">
      <c r="G75" s="207"/>
      <c r="H75" s="72" t="s">
        <v>8</v>
      </c>
      <c r="I75" s="73" t="e">
        <f>(Apoio_Efeito!CK4-Apoio_Efeito!O4)/Apoio_Efeito!$R$4</f>
        <v>#DIV/0!</v>
      </c>
      <c r="J75" s="222" t="e">
        <f>(Apoio_Efeito!CK5-Apoio_Efeito!O5)/Apoio_Efeito!$R$5</f>
        <v>#DIV/0!</v>
      </c>
      <c r="K75" s="222" t="e">
        <f>(Apoio_Efeito!CK6-Apoio_Efeito!O6)/Apoio_Efeito!$R$6</f>
        <v>#DIV/0!</v>
      </c>
      <c r="L75" s="222">
        <f>(Apoio_Efeito!CK7-Apoio_Efeito!O7)/Apoio_Efeito!$R$7</f>
        <v>0.20814115695319585</v>
      </c>
      <c r="M75" s="222" t="e">
        <f>(Apoio_Efeito!CK54-Apoio_Efeito!O54)/Apoio_Efeito!$R$54</f>
        <v>#DIV/0!</v>
      </c>
      <c r="N75" s="222" t="e">
        <f>(Apoio_Efeito!CK8-Apoio_Efeito!O8)/Apoio_Efeito!$R$8</f>
        <v>#DIV/0!</v>
      </c>
      <c r="O75" s="222" t="e">
        <f>(Apoio_Efeito!CK9-Apoio_Efeito!O9)/Apoio_Efeito!$R$9</f>
        <v>#DIV/0!</v>
      </c>
      <c r="P75" s="222" t="e">
        <f>(Apoio_Efeito!CK10-Apoio_Efeito!O10)/Apoio_Efeito!$R$10</f>
        <v>#DIV/0!</v>
      </c>
      <c r="Q75" s="222" t="e">
        <f>(Apoio_Efeito!CK11-Apoio_Efeito!O11)/Apoio_Efeito!$R$11</f>
        <v>#DIV/0!</v>
      </c>
      <c r="R75" s="222" t="e">
        <f>(Apoio_Efeito!CK12-Apoio_Efeito!O12)/Apoio_Efeito!$R12</f>
        <v>#DIV/0!</v>
      </c>
      <c r="S75" s="222" t="e">
        <f>(Apoio_Efeito!CK13-Apoio_Efeito!O13)/Apoio_Efeito!$R$13</f>
        <v>#DIV/0!</v>
      </c>
      <c r="T75" s="222" t="e">
        <f>(Apoio_Efeito!CK14-Apoio_Efeito!O14)/Apoio_Efeito!$R$14</f>
        <v>#DIV/0!</v>
      </c>
      <c r="U75" s="222" t="e">
        <f>(Apoio_Efeito!CK15-Apoio_Efeito!O15)/Apoio_Efeito!$R$15</f>
        <v>#DIV/0!</v>
      </c>
      <c r="V75" s="222" t="e">
        <f>(Apoio_Efeito!CK16-Apoio_Efeito!O16)/Apoio_Efeito!$R$16</f>
        <v>#DIV/0!</v>
      </c>
      <c r="W75" s="222" t="e">
        <f>(Apoio_Efeito!CK17-Apoio_Efeito!O17)/Apoio_Efeito!$R$17</f>
        <v>#DIV/0!</v>
      </c>
      <c r="X75" s="222" t="e">
        <f>(Apoio_Efeito!CK18-Apoio_Efeito!O18)/Apoio_Efeito!$R$18</f>
        <v>#DIV/0!</v>
      </c>
      <c r="Y75" s="222" t="e">
        <f>(Apoio_Efeito!CK19-Apoio_Efeito!O19)/Apoio_Efeito!$R$19</f>
        <v>#DIV/0!</v>
      </c>
      <c r="Z75" s="222" t="e">
        <f>(Apoio_Efeito!CK20-Apoio_Efeito!O20)/Apoio_Efeito!$R$20</f>
        <v>#DIV/0!</v>
      </c>
      <c r="AA75" s="222" t="e">
        <f>(Apoio_Efeito!CK21-Apoio_Efeito!O21)/Apoio_Efeito!$R$21</f>
        <v>#DIV/0!</v>
      </c>
      <c r="AB75" s="222" t="e">
        <f>(Apoio_Efeito!CK22-Apoio_Efeito!O22)/Apoio_Efeito!$R$22</f>
        <v>#DIV/0!</v>
      </c>
      <c r="AC75" s="222" t="e">
        <f>(Apoio_Efeito!CK23-Apoio_Efeito!O23)/Apoio_Efeito!$R$23</f>
        <v>#DIV/0!</v>
      </c>
      <c r="AD75" s="222" t="e">
        <f>(Apoio_Efeito!CK24-Apoio_Efeito!O24)/Apoio_Efeito!$R$24</f>
        <v>#DIV/0!</v>
      </c>
      <c r="AE75" s="222" t="e">
        <f>(Apoio_Efeito!CK25-Apoio_Efeito!O25)/Apoio_Efeito!$R$25</f>
        <v>#DIV/0!</v>
      </c>
      <c r="AF75" s="222" t="e">
        <f>(Apoio_Efeito!CK26-Apoio_Efeito!O26)/Apoio_Efeito!$R$26</f>
        <v>#DIV/0!</v>
      </c>
      <c r="AG75" s="222" t="e">
        <f>(Apoio_Efeito!CK27-Apoio_Efeito!O27)/Apoio_Efeito!$R$27</f>
        <v>#DIV/0!</v>
      </c>
      <c r="AH75" s="222" t="e">
        <f>(Apoio_Efeito!CK28-Apoio_Efeito!O28)/Apoio_Efeito!$R$28</f>
        <v>#DIV/0!</v>
      </c>
      <c r="AI75" s="222" t="e">
        <f>(Apoio_Efeito!CK29-Apoio_Efeito!O29)/Apoio_Efeito!$R$29</f>
        <v>#DIV/0!</v>
      </c>
      <c r="AJ75" s="222" t="e">
        <f>(Apoio_Efeito!CK30-Apoio_Efeito!O30)/Apoio_Efeito!$R$30</f>
        <v>#DIV/0!</v>
      </c>
      <c r="AK75" s="222" t="e">
        <f>(Apoio_Efeito!CK55-Apoio_Efeito!O55)/Apoio_Efeito!$R$55</f>
        <v>#DIV/0!</v>
      </c>
      <c r="AL75" s="222" t="e">
        <f>(Apoio_Efeito!CK31-Apoio_Efeito!O31)/Apoio_Efeito!$R$31</f>
        <v>#DIV/0!</v>
      </c>
      <c r="AM75" s="222" t="e">
        <f>(Apoio_Efeito!CK32-Apoio_Efeito!O32)/Apoio_Efeito!$R$32</f>
        <v>#DIV/0!</v>
      </c>
      <c r="AN75" s="222" t="e">
        <f>(Apoio_Efeito!CK33-Apoio_Efeito!O33)/Apoio_Efeito!$R$33</f>
        <v>#DIV/0!</v>
      </c>
      <c r="AO75" s="222" t="e">
        <f>(Apoio_Efeito!CK34-Apoio_Efeito!O34)/Apoio_Efeito!$R$34</f>
        <v>#DIV/0!</v>
      </c>
      <c r="AP75" s="222" t="e">
        <f>(Apoio_Efeito!CK35-Apoio_Efeito!O35)/Apoio_Efeito!$R$35</f>
        <v>#DIV/0!</v>
      </c>
      <c r="AQ75" s="222" t="e">
        <f>(Apoio_Efeito!CK36-Apoio_Efeito!O36)/Apoio_Efeito!$R$36</f>
        <v>#DIV/0!</v>
      </c>
      <c r="AR75" s="222" t="e">
        <f>(Apoio_Efeito!CK37-Apoio_Efeito!O37)/Apoio_Efeito!$R$37</f>
        <v>#DIV/0!</v>
      </c>
      <c r="AS75" s="222" t="e">
        <f>(Apoio_Efeito!CK38-Apoio_Efeito!O38)/Apoio_Efeito!$R$38</f>
        <v>#DIV/0!</v>
      </c>
      <c r="AT75" s="222" t="e">
        <f>(Apoio_Efeito!CK39-Apoio_Efeito!O39)/Apoio_Efeito!$R$39</f>
        <v>#DIV/0!</v>
      </c>
      <c r="AU75" s="222" t="e">
        <f>(Apoio_Efeito!CK40-Apoio_Efeito!O40)/Apoio_Efeito!$R$40</f>
        <v>#DIV/0!</v>
      </c>
      <c r="AV75" s="222" t="e">
        <f>(Apoio_Efeito!CK41-Apoio_Efeito!O41)/Apoio_Efeito!$R$41</f>
        <v>#DIV/0!</v>
      </c>
      <c r="AW75" s="222" t="e">
        <f>(Apoio_Efeito!CK42-Apoio_Efeito!O42)/Apoio_Efeito!$R$42</f>
        <v>#DIV/0!</v>
      </c>
      <c r="AX75" s="222" t="e">
        <f>(Apoio_Efeito!CK43-Apoio_Efeito!O43)/Apoio_Efeito!$R$43</f>
        <v>#DIV/0!</v>
      </c>
      <c r="AY75" s="222" t="e">
        <f>(Apoio_Efeito!CK44-Apoio_Efeito!O44)/Apoio_Efeito!$R$44</f>
        <v>#DIV/0!</v>
      </c>
      <c r="AZ75" s="222" t="e">
        <f>(Apoio_Efeito!CK45-Apoio_Efeito!O45)/Apoio_Efeito!$R$45</f>
        <v>#DIV/0!</v>
      </c>
      <c r="BA75" s="222" t="e">
        <f>(Apoio_Efeito!CK46-Apoio_Efeito!O46)/Apoio_Efeito!$R$46</f>
        <v>#DIV/0!</v>
      </c>
      <c r="BB75" s="222" t="e">
        <f>(Apoio_Efeito!CK47-Apoio_Efeito!O47)/Apoio_Efeito!$R$47</f>
        <v>#DIV/0!</v>
      </c>
      <c r="BC75" s="222" t="e">
        <f>(Apoio_Efeito!CK48-Apoio_Efeito!O48)/Apoio_Efeito!$R$48</f>
        <v>#DIV/0!</v>
      </c>
      <c r="BD75" s="222" t="e">
        <f>(Apoio_Efeito!CK49-Apoio_Efeito!O49)/Apoio_Efeito!$R$49</f>
        <v>#DIV/0!</v>
      </c>
      <c r="BE75" s="222" t="e">
        <f>(Apoio_Efeito!CK50-Apoio_Efeito!O50)/Apoio_Efeito!$R$50</f>
        <v>#DIV/0!</v>
      </c>
      <c r="BF75" s="222" t="e">
        <f>(Apoio_Efeito!CK51-Apoio_Efeito!O51)/Apoio_Efeito!$R$51</f>
        <v>#DIV/0!</v>
      </c>
      <c r="BG75" s="73">
        <f>(Apoio_Efeito!CK52-Apoio_Efeito!O52)/Apoio_Efeito!$R$52</f>
        <v>0.25117883595218538</v>
      </c>
      <c r="BH75" s="73">
        <f>(Apoio_Efeito!CK53-Apoio_Efeito!O53)/Apoio_Efeito!$R$53</f>
        <v>0.20863307682503435</v>
      </c>
      <c r="BI75" s="5"/>
      <c r="BJ75" s="277">
        <f t="shared" si="11"/>
        <v>1</v>
      </c>
      <c r="BK75" s="96"/>
      <c r="BL75" s="321"/>
      <c r="BM75" s="100"/>
      <c r="BN75" s="5"/>
    </row>
    <row r="76" spans="5:88">
      <c r="G76" s="207"/>
      <c r="H76" s="80" t="s">
        <v>9</v>
      </c>
      <c r="I76" s="81" t="e">
        <f>(Apoio_Efeito!CL4-Apoio_Efeito!P4)/Apoio_Efeito!$R$4</f>
        <v>#DIV/0!</v>
      </c>
      <c r="J76" s="226" t="e">
        <f>(Apoio_Efeito!CL5-Apoio_Efeito!P5)/Apoio_Efeito!$R$5</f>
        <v>#DIV/0!</v>
      </c>
      <c r="K76" s="226" t="e">
        <f>(Apoio_Efeito!CL6-Apoio_Efeito!P6)/Apoio_Efeito!$R$6</f>
        <v>#DIV/0!</v>
      </c>
      <c r="L76" s="226">
        <f>(Apoio_Efeito!CL7-Apoio_Efeito!P7)/Apoio_Efeito!$R$7</f>
        <v>3.6692701594524708E-2</v>
      </c>
      <c r="M76" s="226" t="e">
        <f>(Apoio_Efeito!CL54-Apoio_Efeito!P54)/Apoio_Efeito!$R$54</f>
        <v>#DIV/0!</v>
      </c>
      <c r="N76" s="226" t="e">
        <f>(Apoio_Efeito!CL8-Apoio_Efeito!P8)/Apoio_Efeito!$R$8</f>
        <v>#DIV/0!</v>
      </c>
      <c r="O76" s="226" t="e">
        <f>(Apoio_Efeito!CL9-Apoio_Efeito!P9)/Apoio_Efeito!$R$9</f>
        <v>#DIV/0!</v>
      </c>
      <c r="P76" s="226" t="e">
        <f>(Apoio_Efeito!CL10-Apoio_Efeito!P10)/Apoio_Efeito!$R$10</f>
        <v>#DIV/0!</v>
      </c>
      <c r="Q76" s="226" t="e">
        <f>(Apoio_Efeito!CL11-Apoio_Efeito!P11)/Apoio_Efeito!$R$11</f>
        <v>#DIV/0!</v>
      </c>
      <c r="R76" s="226" t="e">
        <f>(Apoio_Efeito!CL12-Apoio_Efeito!P12)/Apoio_Efeito!$R12</f>
        <v>#DIV/0!</v>
      </c>
      <c r="S76" s="226" t="e">
        <f>(Apoio_Efeito!CL13-Apoio_Efeito!P13)/Apoio_Efeito!$R$13</f>
        <v>#DIV/0!</v>
      </c>
      <c r="T76" s="226" t="e">
        <f>(Apoio_Efeito!CL14-Apoio_Efeito!P14)/Apoio_Efeito!$R$14</f>
        <v>#DIV/0!</v>
      </c>
      <c r="U76" s="226" t="e">
        <f>(Apoio_Efeito!CL15-Apoio_Efeito!P15)/Apoio_Efeito!$R$15</f>
        <v>#DIV/0!</v>
      </c>
      <c r="V76" s="226" t="e">
        <f>(Apoio_Efeito!CL16-Apoio_Efeito!P16)/Apoio_Efeito!$R$16</f>
        <v>#DIV/0!</v>
      </c>
      <c r="W76" s="226" t="e">
        <f>(Apoio_Efeito!CL17-Apoio_Efeito!P17)/Apoio_Efeito!$R$17</f>
        <v>#DIV/0!</v>
      </c>
      <c r="X76" s="226" t="e">
        <f>(Apoio_Efeito!CL18-Apoio_Efeito!P18)/Apoio_Efeito!$R$18</f>
        <v>#DIV/0!</v>
      </c>
      <c r="Y76" s="226" t="e">
        <f>(Apoio_Efeito!CL19-Apoio_Efeito!P19)/Apoio_Efeito!$R$19</f>
        <v>#DIV/0!</v>
      </c>
      <c r="Z76" s="226" t="e">
        <f>(Apoio_Efeito!CL20-Apoio_Efeito!P20)/Apoio_Efeito!$R$20</f>
        <v>#DIV/0!</v>
      </c>
      <c r="AA76" s="226" t="e">
        <f>(Apoio_Efeito!CL21-Apoio_Efeito!P21)/Apoio_Efeito!$R$21</f>
        <v>#DIV/0!</v>
      </c>
      <c r="AB76" s="226" t="e">
        <f>(Apoio_Efeito!CL22-Apoio_Efeito!P22)/Apoio_Efeito!$R$22</f>
        <v>#DIV/0!</v>
      </c>
      <c r="AC76" s="226" t="e">
        <f>(Apoio_Efeito!CL23-Apoio_Efeito!P23)/Apoio_Efeito!$R$23</f>
        <v>#DIV/0!</v>
      </c>
      <c r="AD76" s="226" t="e">
        <f>(Apoio_Efeito!CL24-Apoio_Efeito!P24)/Apoio_Efeito!$R$24</f>
        <v>#DIV/0!</v>
      </c>
      <c r="AE76" s="226" t="e">
        <f>(Apoio_Efeito!CL25-Apoio_Efeito!P25)/Apoio_Efeito!$R$25</f>
        <v>#DIV/0!</v>
      </c>
      <c r="AF76" s="226" t="e">
        <f>(Apoio_Efeito!CL26-Apoio_Efeito!P26)/Apoio_Efeito!$R$26</f>
        <v>#DIV/0!</v>
      </c>
      <c r="AG76" s="226" t="e">
        <f>(Apoio_Efeito!CL27-Apoio_Efeito!P27)/Apoio_Efeito!$R$27</f>
        <v>#DIV/0!</v>
      </c>
      <c r="AH76" s="226" t="e">
        <f>(Apoio_Efeito!CL28-Apoio_Efeito!P28)/Apoio_Efeito!$R$28</f>
        <v>#DIV/0!</v>
      </c>
      <c r="AI76" s="226" t="e">
        <f>(Apoio_Efeito!CL29-Apoio_Efeito!P29)/Apoio_Efeito!$R$29</f>
        <v>#DIV/0!</v>
      </c>
      <c r="AJ76" s="226" t="e">
        <f>(Apoio_Efeito!CL30-Apoio_Efeito!P30)/Apoio_Efeito!$R$30</f>
        <v>#DIV/0!</v>
      </c>
      <c r="AK76" s="226" t="e">
        <f>(Apoio_Efeito!CL55-Apoio_Efeito!P55)/Apoio_Efeito!$R$55</f>
        <v>#DIV/0!</v>
      </c>
      <c r="AL76" s="226" t="e">
        <f>(Apoio_Efeito!CL31-Apoio_Efeito!P31)/Apoio_Efeito!$R$31</f>
        <v>#DIV/0!</v>
      </c>
      <c r="AM76" s="226" t="e">
        <f>(Apoio_Efeito!CL32-Apoio_Efeito!P32)/Apoio_Efeito!$R$32</f>
        <v>#DIV/0!</v>
      </c>
      <c r="AN76" s="226" t="e">
        <f>(Apoio_Efeito!CL33-Apoio_Efeito!P33)/Apoio_Efeito!$R$33</f>
        <v>#DIV/0!</v>
      </c>
      <c r="AO76" s="226" t="e">
        <f>(Apoio_Efeito!CL34-Apoio_Efeito!P34)/Apoio_Efeito!$R$34</f>
        <v>#DIV/0!</v>
      </c>
      <c r="AP76" s="226" t="e">
        <f>(Apoio_Efeito!CL35-Apoio_Efeito!P35)/Apoio_Efeito!$R$35</f>
        <v>#DIV/0!</v>
      </c>
      <c r="AQ76" s="226" t="e">
        <f>(Apoio_Efeito!CL36-Apoio_Efeito!P36)/Apoio_Efeito!$R$36</f>
        <v>#DIV/0!</v>
      </c>
      <c r="AR76" s="226" t="e">
        <f>(Apoio_Efeito!CL37-Apoio_Efeito!P37)/Apoio_Efeito!$R$37</f>
        <v>#DIV/0!</v>
      </c>
      <c r="AS76" s="226" t="e">
        <f>(Apoio_Efeito!CL38-Apoio_Efeito!P38)/Apoio_Efeito!$R$38</f>
        <v>#DIV/0!</v>
      </c>
      <c r="AT76" s="226" t="e">
        <f>(Apoio_Efeito!CL39-Apoio_Efeito!P39)/Apoio_Efeito!$R$39</f>
        <v>#DIV/0!</v>
      </c>
      <c r="AU76" s="226" t="e">
        <f>(Apoio_Efeito!CL40-Apoio_Efeito!P40)/Apoio_Efeito!$R$40</f>
        <v>#DIV/0!</v>
      </c>
      <c r="AV76" s="226" t="e">
        <f>(Apoio_Efeito!CL41-Apoio_Efeito!P41)/Apoio_Efeito!$R$41</f>
        <v>#DIV/0!</v>
      </c>
      <c r="AW76" s="226" t="e">
        <f>(Apoio_Efeito!CL42-Apoio_Efeito!P42)/Apoio_Efeito!$R$42</f>
        <v>#DIV/0!</v>
      </c>
      <c r="AX76" s="226" t="e">
        <f>(Apoio_Efeito!CL43-Apoio_Efeito!P43)/Apoio_Efeito!$R$43</f>
        <v>#DIV/0!</v>
      </c>
      <c r="AY76" s="226" t="e">
        <f>(Apoio_Efeito!CL44-Apoio_Efeito!P44)/Apoio_Efeito!$R$44</f>
        <v>#DIV/0!</v>
      </c>
      <c r="AZ76" s="226" t="e">
        <f>(Apoio_Efeito!CL45-Apoio_Efeito!P45)/Apoio_Efeito!$R$45</f>
        <v>#DIV/0!</v>
      </c>
      <c r="BA76" s="226" t="e">
        <f>(Apoio_Efeito!CL46-Apoio_Efeito!P46)/Apoio_Efeito!$R$46</f>
        <v>#DIV/0!</v>
      </c>
      <c r="BB76" s="226" t="e">
        <f>(Apoio_Efeito!CL47-Apoio_Efeito!P47)/Apoio_Efeito!$R$47</f>
        <v>#DIV/0!</v>
      </c>
      <c r="BC76" s="226" t="e">
        <f>(Apoio_Efeito!CL48-Apoio_Efeito!P48)/Apoio_Efeito!$R$48</f>
        <v>#DIV/0!</v>
      </c>
      <c r="BD76" s="226" t="e">
        <f>(Apoio_Efeito!CL49-Apoio_Efeito!P49)/Apoio_Efeito!$R$49</f>
        <v>#DIV/0!</v>
      </c>
      <c r="BE76" s="226" t="e">
        <f>(Apoio_Efeito!CL50-Apoio_Efeito!P50)/Apoio_Efeito!$R$50</f>
        <v>#DIV/0!</v>
      </c>
      <c r="BF76" s="226" t="e">
        <f>(Apoio_Efeito!CL51-Apoio_Efeito!P51)/Apoio_Efeito!$R$51</f>
        <v>#DIV/0!</v>
      </c>
      <c r="BG76" s="81">
        <f>(Apoio_Efeito!CL52-Apoio_Efeito!P52)/Apoio_Efeito!$R$52</f>
        <v>-5.5935414361533275E-3</v>
      </c>
      <c r="BH76" s="81">
        <f>(Apoio_Efeito!CL53-Apoio_Efeito!P53)/Apoio_Efeito!$R$53</f>
        <v>4.5646719118801797E-2</v>
      </c>
      <c r="BI76" s="5"/>
      <c r="BJ76" s="277">
        <f t="shared" si="11"/>
        <v>1</v>
      </c>
      <c r="BK76" s="96"/>
      <c r="BL76" s="32"/>
      <c r="BM76" s="100"/>
      <c r="BN76" s="5"/>
    </row>
    <row r="77" spans="5:88">
      <c r="G77" s="207"/>
      <c r="H77" s="80" t="s">
        <v>10</v>
      </c>
      <c r="I77" s="81" t="e">
        <f>(Apoio_Efeito!CM4-Apoio_Efeito!Q4)/Apoio_Efeito!$R$4</f>
        <v>#DIV/0!</v>
      </c>
      <c r="J77" s="226" t="e">
        <f>(Apoio_Efeito!CM5-Apoio_Efeito!Q5)/Apoio_Efeito!$R$5</f>
        <v>#DIV/0!</v>
      </c>
      <c r="K77" s="226" t="e">
        <f>(Apoio_Efeito!CM6-Apoio_Efeito!Q6)/Apoio_Efeito!$R$6</f>
        <v>#DIV/0!</v>
      </c>
      <c r="L77" s="226">
        <f>(Apoio_Efeito!CM7-Apoio_Efeito!Q7)/Apoio_Efeito!$R$7</f>
        <v>-5.8490454106528346E-2</v>
      </c>
      <c r="M77" s="226" t="e">
        <f>(Apoio_Efeito!CM54-Apoio_Efeito!Q54)/Apoio_Efeito!$R$54</f>
        <v>#DIV/0!</v>
      </c>
      <c r="N77" s="226" t="e">
        <f>(Apoio_Efeito!CM8-Apoio_Efeito!Q8)/Apoio_Efeito!$R$8</f>
        <v>#DIV/0!</v>
      </c>
      <c r="O77" s="226" t="e">
        <f>(Apoio_Efeito!CM9-Apoio_Efeito!Q9)/Apoio_Efeito!$R$9</f>
        <v>#DIV/0!</v>
      </c>
      <c r="P77" s="226" t="e">
        <f>(Apoio_Efeito!CM10-Apoio_Efeito!Q10)/Apoio_Efeito!$R$10</f>
        <v>#DIV/0!</v>
      </c>
      <c r="Q77" s="226" t="e">
        <f>(Apoio_Efeito!CM11-Apoio_Efeito!Q11)/Apoio_Efeito!$R$11</f>
        <v>#DIV/0!</v>
      </c>
      <c r="R77" s="226" t="e">
        <f>(Apoio_Efeito!CM12-Apoio_Efeito!Q12)/Apoio_Efeito!$R12</f>
        <v>#DIV/0!</v>
      </c>
      <c r="S77" s="226" t="e">
        <f>(Apoio_Efeito!CM13-Apoio_Efeito!Q13)/Apoio_Efeito!$R$13</f>
        <v>#DIV/0!</v>
      </c>
      <c r="T77" s="226" t="e">
        <f>(Apoio_Efeito!CM14-Apoio_Efeito!Q14)/Apoio_Efeito!$R$14</f>
        <v>#DIV/0!</v>
      </c>
      <c r="U77" s="226" t="e">
        <f>(Apoio_Efeito!CM15-Apoio_Efeito!Q15)/Apoio_Efeito!$R$15</f>
        <v>#DIV/0!</v>
      </c>
      <c r="V77" s="226" t="e">
        <f>(Apoio_Efeito!CM16-Apoio_Efeito!Q16)/Apoio_Efeito!$R$16</f>
        <v>#DIV/0!</v>
      </c>
      <c r="W77" s="226" t="e">
        <f>(Apoio_Efeito!CM17-Apoio_Efeito!Q17)/Apoio_Efeito!$R$17</f>
        <v>#DIV/0!</v>
      </c>
      <c r="X77" s="226" t="e">
        <f>(Apoio_Efeito!CM18-Apoio_Efeito!Q18)/Apoio_Efeito!$R$18</f>
        <v>#DIV/0!</v>
      </c>
      <c r="Y77" s="226" t="e">
        <f>(Apoio_Efeito!CM19-Apoio_Efeito!Q19)/Apoio_Efeito!$R$19</f>
        <v>#DIV/0!</v>
      </c>
      <c r="Z77" s="226" t="e">
        <f>(Apoio_Efeito!CM20-Apoio_Efeito!Q20)/Apoio_Efeito!$R$20</f>
        <v>#DIV/0!</v>
      </c>
      <c r="AA77" s="226" t="e">
        <f>(Apoio_Efeito!CM21-Apoio_Efeito!Q21)/Apoio_Efeito!$R$21</f>
        <v>#DIV/0!</v>
      </c>
      <c r="AB77" s="226" t="e">
        <f>(Apoio_Efeito!CM22-Apoio_Efeito!Q22)/Apoio_Efeito!$R$22</f>
        <v>#DIV/0!</v>
      </c>
      <c r="AC77" s="226" t="e">
        <f>(Apoio_Efeito!CM23-Apoio_Efeito!Q23)/Apoio_Efeito!$R$23</f>
        <v>#DIV/0!</v>
      </c>
      <c r="AD77" s="226" t="e">
        <f>(Apoio_Efeito!CM24-Apoio_Efeito!Q24)/Apoio_Efeito!$R$24</f>
        <v>#DIV/0!</v>
      </c>
      <c r="AE77" s="226" t="e">
        <f>(Apoio_Efeito!CM25-Apoio_Efeito!Q25)/Apoio_Efeito!$R$25</f>
        <v>#DIV/0!</v>
      </c>
      <c r="AF77" s="226" t="e">
        <f>(Apoio_Efeito!CM26-Apoio_Efeito!Q26)/Apoio_Efeito!$R$26</f>
        <v>#DIV/0!</v>
      </c>
      <c r="AG77" s="226" t="e">
        <f>(Apoio_Efeito!CM27-Apoio_Efeito!Q27)/Apoio_Efeito!$R$27</f>
        <v>#DIV/0!</v>
      </c>
      <c r="AH77" s="226" t="e">
        <f>(Apoio_Efeito!CM28-Apoio_Efeito!Q28)/Apoio_Efeito!$R$28</f>
        <v>#DIV/0!</v>
      </c>
      <c r="AI77" s="226" t="e">
        <f>(Apoio_Efeito!CM29-Apoio_Efeito!Q29)/Apoio_Efeito!$R$29</f>
        <v>#DIV/0!</v>
      </c>
      <c r="AJ77" s="226" t="e">
        <f>(Apoio_Efeito!CM30-Apoio_Efeito!Q30)/Apoio_Efeito!$R$30</f>
        <v>#DIV/0!</v>
      </c>
      <c r="AK77" s="226" t="e">
        <f>(Apoio_Efeito!CM55-Apoio_Efeito!Q55)/Apoio_Efeito!$R$55</f>
        <v>#DIV/0!</v>
      </c>
      <c r="AL77" s="226" t="e">
        <f>(Apoio_Efeito!CM31-Apoio_Efeito!Q31)/Apoio_Efeito!$R$31</f>
        <v>#DIV/0!</v>
      </c>
      <c r="AM77" s="226" t="e">
        <f>(Apoio_Efeito!CM32-Apoio_Efeito!Q32)/Apoio_Efeito!$R$32</f>
        <v>#DIV/0!</v>
      </c>
      <c r="AN77" s="226" t="e">
        <f>(Apoio_Efeito!CM33-Apoio_Efeito!Q33)/Apoio_Efeito!$R$33</f>
        <v>#DIV/0!</v>
      </c>
      <c r="AO77" s="226" t="e">
        <f>(Apoio_Efeito!CM34-Apoio_Efeito!Q34)/Apoio_Efeito!$R$34</f>
        <v>#DIV/0!</v>
      </c>
      <c r="AP77" s="226" t="e">
        <f>(Apoio_Efeito!CM35-Apoio_Efeito!Q35)/Apoio_Efeito!$R$35</f>
        <v>#DIV/0!</v>
      </c>
      <c r="AQ77" s="226" t="e">
        <f>(Apoio_Efeito!CM36-Apoio_Efeito!Q36)/Apoio_Efeito!$R$36</f>
        <v>#DIV/0!</v>
      </c>
      <c r="AR77" s="226" t="e">
        <f>(Apoio_Efeito!CM37-Apoio_Efeito!Q37)/Apoio_Efeito!$R$37</f>
        <v>#DIV/0!</v>
      </c>
      <c r="AS77" s="226" t="e">
        <f>(Apoio_Efeito!CM38-Apoio_Efeito!Q38)/Apoio_Efeito!$R$38</f>
        <v>#DIV/0!</v>
      </c>
      <c r="AT77" s="226" t="e">
        <f>(Apoio_Efeito!CM39-Apoio_Efeito!Q39)/Apoio_Efeito!$R$39</f>
        <v>#DIV/0!</v>
      </c>
      <c r="AU77" s="226" t="e">
        <f>(Apoio_Efeito!CM40-Apoio_Efeito!Q40)/Apoio_Efeito!$R$40</f>
        <v>#DIV/0!</v>
      </c>
      <c r="AV77" s="226" t="e">
        <f>(Apoio_Efeito!CM41-Apoio_Efeito!Q41)/Apoio_Efeito!$R$41</f>
        <v>#DIV/0!</v>
      </c>
      <c r="AW77" s="226" t="e">
        <f>(Apoio_Efeito!CM42-Apoio_Efeito!Q42)/Apoio_Efeito!$R$42</f>
        <v>#DIV/0!</v>
      </c>
      <c r="AX77" s="226" t="e">
        <f>(Apoio_Efeito!CM43-Apoio_Efeito!Q43)/Apoio_Efeito!$R$43</f>
        <v>#DIV/0!</v>
      </c>
      <c r="AY77" s="226" t="e">
        <f>(Apoio_Efeito!CM44-Apoio_Efeito!Q44)/Apoio_Efeito!$R$44</f>
        <v>#DIV/0!</v>
      </c>
      <c r="AZ77" s="226" t="e">
        <f>(Apoio_Efeito!CM45-Apoio_Efeito!Q45)/Apoio_Efeito!$R$45</f>
        <v>#DIV/0!</v>
      </c>
      <c r="BA77" s="226" t="e">
        <f>(Apoio_Efeito!CM46-Apoio_Efeito!Q46)/Apoio_Efeito!$R$46</f>
        <v>#DIV/0!</v>
      </c>
      <c r="BB77" s="226" t="e">
        <f>(Apoio_Efeito!CM47-Apoio_Efeito!Q47)/Apoio_Efeito!$R$47</f>
        <v>#DIV/0!</v>
      </c>
      <c r="BC77" s="226" t="e">
        <f>(Apoio_Efeito!CM48-Apoio_Efeito!Q48)/Apoio_Efeito!$R$48</f>
        <v>#DIV/0!</v>
      </c>
      <c r="BD77" s="226" t="e">
        <f>(Apoio_Efeito!CM49-Apoio_Efeito!Q49)/Apoio_Efeito!$R$49</f>
        <v>#DIV/0!</v>
      </c>
      <c r="BE77" s="226" t="e">
        <f>(Apoio_Efeito!CM50-Apoio_Efeito!Q50)/Apoio_Efeito!$R$50</f>
        <v>#DIV/0!</v>
      </c>
      <c r="BF77" s="226" t="e">
        <f>(Apoio_Efeito!CM51-Apoio_Efeito!Q51)/Apoio_Efeito!$R$51</f>
        <v>#DIV/0!</v>
      </c>
      <c r="BG77" s="81">
        <f>(Apoio_Efeito!CM52-Apoio_Efeito!Q52)/Apoio_Efeito!$R$52</f>
        <v>-1.1278688432328637E-2</v>
      </c>
      <c r="BH77" s="81">
        <f>(Apoio_Efeito!CM53-Apoio_Efeito!Q53)/Apoio_Efeito!$R$53</f>
        <v>3.5326732306422401E-2</v>
      </c>
      <c r="BI77" s="5"/>
      <c r="BJ77" s="277">
        <f t="shared" si="11"/>
        <v>1</v>
      </c>
      <c r="BK77" s="96"/>
      <c r="BL77" s="32"/>
      <c r="BM77" s="100"/>
      <c r="BN77" s="5"/>
    </row>
    <row r="78" spans="5:88">
      <c r="G78" s="207"/>
      <c r="H78" s="71" t="s">
        <v>12</v>
      </c>
      <c r="I78" s="82" t="e">
        <f>ROUND((Apoio_Efeito!CL4+Apoio_Efeito!CM4)/(Apoio_Efeito!P4+Apoio_Efeito!Q4)-1,4)</f>
        <v>#DIV/0!</v>
      </c>
      <c r="J78" s="227" t="e">
        <f>ROUND((Apoio_Efeito!CL5+Apoio_Efeito!CM5)/(Apoio_Efeito!P5+Apoio_Efeito!Q5)-1,4)</f>
        <v>#DIV/0!</v>
      </c>
      <c r="K78" s="227" t="e">
        <f>ROUND((Apoio_Efeito!CL6+Apoio_Efeito!CM6)/(Apoio_Efeito!P6+Apoio_Efeito!Q6)-1,4)</f>
        <v>#DIV/0!</v>
      </c>
      <c r="L78" s="227">
        <f>ROUND((Apoio_Efeito!CL7+Apoio_Efeito!CM7)/(Apoio_Efeito!P7+Apoio_Efeito!Q7)-1,4)</f>
        <v>-2.18E-2</v>
      </c>
      <c r="M78" s="227" t="e">
        <f>ROUND((Apoio_Efeito!CL54+Apoio_Efeito!CM54)/(Apoio_Efeito!P54+Apoio_Efeito!Q54)-1,4)</f>
        <v>#DIV/0!</v>
      </c>
      <c r="N78" s="227" t="e">
        <f>ROUND((Apoio_Efeito!CL8+Apoio_Efeito!CM8)/(Apoio_Efeito!P8+Apoio_Efeito!Q8)-1,4)</f>
        <v>#DIV/0!</v>
      </c>
      <c r="O78" s="227" t="e">
        <f>ROUND((Apoio_Efeito!CL9+Apoio_Efeito!CM9)/(Apoio_Efeito!P9+Apoio_Efeito!Q9)-1,4)</f>
        <v>#DIV/0!</v>
      </c>
      <c r="P78" s="227" t="e">
        <f>ROUND((Apoio_Efeito!CL10+Apoio_Efeito!CM10)/(Apoio_Efeito!P10+Apoio_Efeito!Q10)-1,4)</f>
        <v>#DIV/0!</v>
      </c>
      <c r="Q78" s="227" t="e">
        <f>ROUND((Apoio_Efeito!CL11+Apoio_Efeito!CM11)/(Apoio_Efeito!P11+Apoio_Efeito!Q11)-1,4)</f>
        <v>#DIV/0!</v>
      </c>
      <c r="R78" s="227" t="e">
        <f>ROUND((Apoio_Efeito!CL12+Apoio_Efeito!CM12)/(Apoio_Efeito!P12+Apoio_Efeito!Q12)-1,4)</f>
        <v>#DIV/0!</v>
      </c>
      <c r="S78" s="227" t="e">
        <f>ROUND((Apoio_Efeito!CL13+Apoio_Efeito!CM13)/(Apoio_Efeito!P13+Apoio_Efeito!Q13)-1,4)</f>
        <v>#DIV/0!</v>
      </c>
      <c r="T78" s="227" t="e">
        <f>ROUND((Apoio_Efeito!CL14+Apoio_Efeito!CM14)/(Apoio_Efeito!P14+Apoio_Efeito!Q14)-1,4)</f>
        <v>#DIV/0!</v>
      </c>
      <c r="U78" s="227" t="e">
        <f>ROUND((Apoio_Efeito!CL15+Apoio_Efeito!CM15)/(Apoio_Efeito!P15+Apoio_Efeito!Q15)-1,4)</f>
        <v>#DIV/0!</v>
      </c>
      <c r="V78" s="227" t="e">
        <f>ROUND((Apoio_Efeito!CL16+Apoio_Efeito!CM16)/(Apoio_Efeito!P16+Apoio_Efeito!Q16)-1,4)</f>
        <v>#DIV/0!</v>
      </c>
      <c r="W78" s="227" t="e">
        <f>ROUND((Apoio_Efeito!CL17+Apoio_Efeito!CM17)/(Apoio_Efeito!P17+Apoio_Efeito!Q17)-1,4)</f>
        <v>#DIV/0!</v>
      </c>
      <c r="X78" s="227" t="e">
        <f>ROUND((Apoio_Efeito!CL18+Apoio_Efeito!CM18)/(Apoio_Efeito!P18+Apoio_Efeito!Q18)-1,4)</f>
        <v>#DIV/0!</v>
      </c>
      <c r="Y78" s="227" t="e">
        <f>ROUND((Apoio_Efeito!CL19+Apoio_Efeito!CM19)/(Apoio_Efeito!P19+Apoio_Efeito!Q19)-1,4)</f>
        <v>#DIV/0!</v>
      </c>
      <c r="Z78" s="227" t="e">
        <f>ROUND((Apoio_Efeito!CL20+Apoio_Efeito!CM20)/(Apoio_Efeito!P20+Apoio_Efeito!Q20)-1,4)</f>
        <v>#DIV/0!</v>
      </c>
      <c r="AA78" s="227" t="e">
        <f>ROUND((Apoio_Efeito!CL21+Apoio_Efeito!CM21)/(Apoio_Efeito!P21+Apoio_Efeito!Q21)-1,4)</f>
        <v>#DIV/0!</v>
      </c>
      <c r="AB78" s="227" t="e">
        <f>ROUND((Apoio_Efeito!CL22+Apoio_Efeito!CM22)/(Apoio_Efeito!P22+Apoio_Efeito!Q22)-1,4)</f>
        <v>#DIV/0!</v>
      </c>
      <c r="AC78" s="227" t="e">
        <f>ROUND((Apoio_Efeito!CL23+Apoio_Efeito!CM23)/(Apoio_Efeito!P23+Apoio_Efeito!Q23)-1,4)</f>
        <v>#DIV/0!</v>
      </c>
      <c r="AD78" s="227" t="e">
        <f>ROUND((Apoio_Efeito!CL24+Apoio_Efeito!CM24)/(Apoio_Efeito!P24+Apoio_Efeito!Q24)-1,4)</f>
        <v>#DIV/0!</v>
      </c>
      <c r="AE78" s="227" t="e">
        <f>ROUND((Apoio_Efeito!CL25+Apoio_Efeito!CM25)/(Apoio_Efeito!P25+Apoio_Efeito!Q25)-1,4)</f>
        <v>#DIV/0!</v>
      </c>
      <c r="AF78" s="227" t="e">
        <f>ROUND((Apoio_Efeito!CL26+Apoio_Efeito!CM26)/(Apoio_Efeito!P26+Apoio_Efeito!Q26)-1,4)</f>
        <v>#DIV/0!</v>
      </c>
      <c r="AG78" s="227" t="e">
        <f>ROUND((Apoio_Efeito!CL27+Apoio_Efeito!CM27)/(Apoio_Efeito!P27+Apoio_Efeito!Q27)-1,4)</f>
        <v>#DIV/0!</v>
      </c>
      <c r="AH78" s="227" t="e">
        <f>ROUND((Apoio_Efeito!CL28+Apoio_Efeito!CM28)/(Apoio_Efeito!P28+Apoio_Efeito!Q28)-1,4)</f>
        <v>#DIV/0!</v>
      </c>
      <c r="AI78" s="227" t="e">
        <f>ROUND((Apoio_Efeito!CL29+Apoio_Efeito!CM29)/(Apoio_Efeito!P29+Apoio_Efeito!Q29)-1,4)</f>
        <v>#DIV/0!</v>
      </c>
      <c r="AJ78" s="227" t="e">
        <f>ROUND((Apoio_Efeito!CL30+Apoio_Efeito!CM30)/(Apoio_Efeito!P30+Apoio_Efeito!Q30)-1,4)</f>
        <v>#DIV/0!</v>
      </c>
      <c r="AK78" s="227" t="e">
        <f>ROUND((Apoio_Efeito!CL55+Apoio_Efeito!CM55)/(Apoio_Efeito!P55+Apoio_Efeito!Q55)-1,4)</f>
        <v>#DIV/0!</v>
      </c>
      <c r="AL78" s="227" t="e">
        <f>ROUND((Apoio_Efeito!CL31+Apoio_Efeito!CM31)/(Apoio_Efeito!P31+Apoio_Efeito!Q31)-1,4)</f>
        <v>#DIV/0!</v>
      </c>
      <c r="AM78" s="227" t="e">
        <f>ROUND((Apoio_Efeito!CL32+Apoio_Efeito!CM32)/(Apoio_Efeito!P32+Apoio_Efeito!Q32)-1,4)</f>
        <v>#DIV/0!</v>
      </c>
      <c r="AN78" s="227" t="e">
        <f>ROUND((Apoio_Efeito!CL33+Apoio_Efeito!CM33)/(Apoio_Efeito!P33+Apoio_Efeito!Q33)-1,4)</f>
        <v>#DIV/0!</v>
      </c>
      <c r="AO78" s="227" t="e">
        <f>ROUND((Apoio_Efeito!CL34+Apoio_Efeito!CM34)/(Apoio_Efeito!P34+Apoio_Efeito!Q34)-1,4)</f>
        <v>#DIV/0!</v>
      </c>
      <c r="AP78" s="227" t="e">
        <f>ROUND((Apoio_Efeito!CL35+Apoio_Efeito!CM35)/(Apoio_Efeito!P35+Apoio_Efeito!Q35)-1,4)</f>
        <v>#DIV/0!</v>
      </c>
      <c r="AQ78" s="227" t="e">
        <f>ROUND((Apoio_Efeito!CL36+Apoio_Efeito!CM36)/(Apoio_Efeito!P36+Apoio_Efeito!Q36)-1,4)</f>
        <v>#DIV/0!</v>
      </c>
      <c r="AR78" s="227" t="e">
        <f>ROUND((Apoio_Efeito!CL37+Apoio_Efeito!CM37)/(Apoio_Efeito!P37+Apoio_Efeito!Q37)-1,4)</f>
        <v>#DIV/0!</v>
      </c>
      <c r="AS78" s="227" t="e">
        <f>ROUND((Apoio_Efeito!CL38+Apoio_Efeito!CM38)/(Apoio_Efeito!P38+Apoio_Efeito!Q38)-1,4)</f>
        <v>#DIV/0!</v>
      </c>
      <c r="AT78" s="227" t="e">
        <f>ROUND((Apoio_Efeito!CL39+Apoio_Efeito!CM39)/(Apoio_Efeito!P39+Apoio_Efeito!Q39)-1,4)</f>
        <v>#DIV/0!</v>
      </c>
      <c r="AU78" s="227" t="e">
        <f>ROUND((Apoio_Efeito!CL40+Apoio_Efeito!CM40)/(Apoio_Efeito!P40+Apoio_Efeito!Q40)-1,4)</f>
        <v>#DIV/0!</v>
      </c>
      <c r="AV78" s="227" t="e">
        <f>ROUND((Apoio_Efeito!CL41+Apoio_Efeito!CM41)/(Apoio_Efeito!P41+Apoio_Efeito!Q41)-1,4)</f>
        <v>#DIV/0!</v>
      </c>
      <c r="AW78" s="227" t="e">
        <f>ROUND((Apoio_Efeito!CL42+Apoio_Efeito!CM42)/(Apoio_Efeito!P42+Apoio_Efeito!Q42)-1,4)</f>
        <v>#DIV/0!</v>
      </c>
      <c r="AX78" s="227" t="e">
        <f>ROUND((Apoio_Efeito!CL43+Apoio_Efeito!CM43)/(Apoio_Efeito!P43+Apoio_Efeito!Q43)-1,4)</f>
        <v>#DIV/0!</v>
      </c>
      <c r="AY78" s="227" t="e">
        <f>ROUND((Apoio_Efeito!CL44+Apoio_Efeito!CM44)/(Apoio_Efeito!P44+Apoio_Efeito!Q44)-1,4)</f>
        <v>#DIV/0!</v>
      </c>
      <c r="AZ78" s="227" t="e">
        <f>ROUND((Apoio_Efeito!CL45+Apoio_Efeito!CM45)/(Apoio_Efeito!P45+Apoio_Efeito!Q45)-1,4)</f>
        <v>#DIV/0!</v>
      </c>
      <c r="BA78" s="227" t="e">
        <f>ROUND((Apoio_Efeito!CL46+Apoio_Efeito!CM46)/(Apoio_Efeito!P46+Apoio_Efeito!Q46)-1,4)</f>
        <v>#DIV/0!</v>
      </c>
      <c r="BB78" s="227" t="e">
        <f>ROUND((Apoio_Efeito!CL47+Apoio_Efeito!CM47)/(Apoio_Efeito!P47+Apoio_Efeito!Q47)-1,4)</f>
        <v>#DIV/0!</v>
      </c>
      <c r="BC78" s="227" t="e">
        <f>ROUND((Apoio_Efeito!CL48+Apoio_Efeito!CM48)/(Apoio_Efeito!P48+Apoio_Efeito!Q48)-1,4)</f>
        <v>#DIV/0!</v>
      </c>
      <c r="BD78" s="227" t="e">
        <f>ROUND((Apoio_Efeito!CL49+Apoio_Efeito!CM49)/(Apoio_Efeito!P49+Apoio_Efeito!Q49)-1,4)</f>
        <v>#DIV/0!</v>
      </c>
      <c r="BE78" s="227" t="e">
        <f>ROUND((Apoio_Efeito!CL50+Apoio_Efeito!CM50)/(Apoio_Efeito!P50+Apoio_Efeito!Q50)-1,4)</f>
        <v>#DIV/0!</v>
      </c>
      <c r="BF78" s="227" t="e">
        <f>ROUND((Apoio_Efeito!CL51+Apoio_Efeito!CM51)/(Apoio_Efeito!P51+Apoio_Efeito!Q51)-1,4)</f>
        <v>#DIV/0!</v>
      </c>
      <c r="BG78" s="82">
        <f>ROUND((Apoio_Efeito!CL52+Apoio_Efeito!CM52)/(Apoio_Efeito!P52+Apoio_Efeito!Q52)-1,4)</f>
        <v>-1.6899999999999998E-2</v>
      </c>
      <c r="BH78" s="82">
        <f>ROUND((Apoio_Efeito!CL53+Apoio_Efeito!CM53)/(Apoio_Efeito!P53+Apoio_Efeito!Q53)-1,4)</f>
        <v>8.1000000000000003E-2</v>
      </c>
      <c r="BI78" s="5"/>
      <c r="BJ78" s="277">
        <f t="shared" si="11"/>
        <v>1</v>
      </c>
      <c r="BK78" s="96"/>
      <c r="BL78" s="32"/>
      <c r="BM78" s="100"/>
      <c r="BN78" s="5"/>
    </row>
    <row r="79" spans="5:88">
      <c r="G79" s="207"/>
      <c r="H79" s="83" t="s">
        <v>13</v>
      </c>
      <c r="I79" s="84" t="e">
        <f>(Apoio_Efeito!V4)/Apoio_Efeito!$R$4</f>
        <v>#DIV/0!</v>
      </c>
      <c r="J79" s="343" t="e">
        <f>(Apoio_Efeito!V5)/Apoio_Efeito!$R$5</f>
        <v>#DIV/0!</v>
      </c>
      <c r="K79" s="343" t="e">
        <f>(Apoio_Efeito!V6)/Apoio_Efeito!$R$6</f>
        <v>#DIV/0!</v>
      </c>
      <c r="L79" s="343">
        <f>(Apoio_Efeito!V7)/Apoio_Efeito!$R$7</f>
        <v>4.9260744084124244E-3</v>
      </c>
      <c r="M79" s="343" t="e">
        <f>(Apoio_Efeito!V54)/Apoio_Efeito!$R$54</f>
        <v>#DIV/0!</v>
      </c>
      <c r="N79" s="343" t="e">
        <f>(Apoio_Efeito!V8)/Apoio_Efeito!$R$8</f>
        <v>#DIV/0!</v>
      </c>
      <c r="O79" s="343" t="e">
        <f>(Apoio_Efeito!V9)/Apoio_Efeito!$R$9</f>
        <v>#DIV/0!</v>
      </c>
      <c r="P79" s="345" t="e">
        <f>(Apoio_Efeito!V10)/Apoio_Efeito!$R$10</f>
        <v>#DIV/0!</v>
      </c>
      <c r="Q79" s="343" t="e">
        <f>(Apoio_Efeito!V11)/Apoio_Efeito!$R$11</f>
        <v>#DIV/0!</v>
      </c>
      <c r="R79" s="343" t="e">
        <f>(Apoio_Efeito!V12)/Apoio_Efeito!$R12</f>
        <v>#DIV/0!</v>
      </c>
      <c r="S79" s="343" t="e">
        <f>(Apoio_Efeito!V13)/Apoio_Efeito!$R$13</f>
        <v>#DIV/0!</v>
      </c>
      <c r="T79" s="343" t="e">
        <f>(Apoio_Efeito!V14)/Apoio_Efeito!$R$14</f>
        <v>#DIV/0!</v>
      </c>
      <c r="U79" s="343" t="e">
        <f>(Apoio_Efeito!V15)/Apoio_Efeito!$R$15</f>
        <v>#DIV/0!</v>
      </c>
      <c r="V79" s="343" t="e">
        <f>(Apoio_Efeito!V16)/Apoio_Efeito!$R$16</f>
        <v>#DIV/0!</v>
      </c>
      <c r="W79" s="343" t="e">
        <f>(Apoio_Efeito!V17)/Apoio_Efeito!$R$17</f>
        <v>#DIV/0!</v>
      </c>
      <c r="X79" s="350" t="e">
        <f>(Apoio_Efeito!V18)/Apoio_Efeito!$R$18</f>
        <v>#DIV/0!</v>
      </c>
      <c r="Y79" s="350" t="e">
        <f>(Apoio_Efeito!V19)/Apoio_Efeito!$R$19</f>
        <v>#DIV/0!</v>
      </c>
      <c r="Z79" s="350" t="e">
        <f>(Apoio_Efeito!V20)/Apoio_Efeito!$R$20</f>
        <v>#DIV/0!</v>
      </c>
      <c r="AA79" s="350" t="e">
        <f>(Apoio_Efeito!V21)/Apoio_Efeito!$R$21</f>
        <v>#DIV/0!</v>
      </c>
      <c r="AB79" s="350" t="e">
        <f>(Apoio_Efeito!V22)/Apoio_Efeito!$R$22</f>
        <v>#DIV/0!</v>
      </c>
      <c r="AC79" s="350" t="e">
        <f>(Apoio_Efeito!V23)/Apoio_Efeito!$R$23</f>
        <v>#DIV/0!</v>
      </c>
      <c r="AD79" s="350" t="e">
        <f>(Apoio_Efeito!V24)/Apoio_Efeito!$R$24</f>
        <v>#DIV/0!</v>
      </c>
      <c r="AE79" s="350" t="e">
        <f>(Apoio_Efeito!V25)/Apoio_Efeito!$R$25</f>
        <v>#DIV/0!</v>
      </c>
      <c r="AF79" s="350" t="e">
        <f>(Apoio_Efeito!V26)/Apoio_Efeito!$R$26</f>
        <v>#DIV/0!</v>
      </c>
      <c r="AG79" s="350" t="e">
        <f>(Apoio_Efeito!V27)/Apoio_Efeito!$R$27</f>
        <v>#DIV/0!</v>
      </c>
      <c r="AH79" s="350" t="e">
        <f>(Apoio_Efeito!V28)/Apoio_Efeito!$R$28</f>
        <v>#DIV/0!</v>
      </c>
      <c r="AI79" s="350" t="e">
        <f>(Apoio_Efeito!V29)/Apoio_Efeito!$R$29</f>
        <v>#DIV/0!</v>
      </c>
      <c r="AJ79" s="350" t="e">
        <f>(Apoio_Efeito!V30)/Apoio_Efeito!$R$30</f>
        <v>#DIV/0!</v>
      </c>
      <c r="AK79" s="350" t="e">
        <f>(Apoio_Efeito!V55)/Apoio_Efeito!$R$55</f>
        <v>#DIV/0!</v>
      </c>
      <c r="AL79" s="350" t="e">
        <f>(Apoio_Efeito!V31)/Apoio_Efeito!$R$31</f>
        <v>#DIV/0!</v>
      </c>
      <c r="AM79" s="350" t="e">
        <f>(Apoio_Efeito!V32)/Apoio_Efeito!$R$32</f>
        <v>#DIV/0!</v>
      </c>
      <c r="AN79" s="350" t="e">
        <f>(Apoio_Efeito!V33)/Apoio_Efeito!$R$33</f>
        <v>#DIV/0!</v>
      </c>
      <c r="AO79" s="350" t="e">
        <f>(Apoio_Efeito!V34)/Apoio_Efeito!$R$34</f>
        <v>#DIV/0!</v>
      </c>
      <c r="AP79" s="350" t="e">
        <f>(Apoio_Efeito!V35)/Apoio_Efeito!$R$35</f>
        <v>#DIV/0!</v>
      </c>
      <c r="AQ79" s="350" t="e">
        <f>(Apoio_Efeito!V36)/Apoio_Efeito!$R$36</f>
        <v>#DIV/0!</v>
      </c>
      <c r="AR79" s="350" t="e">
        <f>(Apoio_Efeito!V37)/Apoio_Efeito!$R$37</f>
        <v>#DIV/0!</v>
      </c>
      <c r="AS79" s="350" t="e">
        <f>(Apoio_Efeito!V38)/Apoio_Efeito!$R$38</f>
        <v>#DIV/0!</v>
      </c>
      <c r="AT79" s="350" t="e">
        <f>(Apoio_Efeito!V39)/Apoio_Efeito!$R$39</f>
        <v>#DIV/0!</v>
      </c>
      <c r="AU79" s="343" t="e">
        <f>(Apoio_Efeito!V40)/Apoio_Efeito!$R$40</f>
        <v>#DIV/0!</v>
      </c>
      <c r="AV79" s="343" t="e">
        <f>(Apoio_Efeito!V41)/Apoio_Efeito!$R$41</f>
        <v>#DIV/0!</v>
      </c>
      <c r="AW79" s="343" t="e">
        <f>(Apoio_Efeito!V42)/Apoio_Efeito!$R$42</f>
        <v>#DIV/0!</v>
      </c>
      <c r="AX79" s="343" t="e">
        <f>(Apoio_Efeito!V43)/Apoio_Efeito!$R$43</f>
        <v>#DIV/0!</v>
      </c>
      <c r="AY79" s="343" t="e">
        <f>(Apoio_Efeito!V44)/Apoio_Efeito!$R$44</f>
        <v>#DIV/0!</v>
      </c>
      <c r="AZ79" s="343" t="e">
        <f>(Apoio_Efeito!V45)/Apoio_Efeito!$R$45</f>
        <v>#DIV/0!</v>
      </c>
      <c r="BA79" s="345" t="e">
        <f>(Apoio_Efeito!V46)/Apoio_Efeito!$R$46</f>
        <v>#DIV/0!</v>
      </c>
      <c r="BB79" s="343" t="e">
        <f>(Apoio_Efeito!V47)/Apoio_Efeito!$R$47</f>
        <v>#DIV/0!</v>
      </c>
      <c r="BC79" s="343" t="e">
        <f>(Apoio_Efeito!V48)/Apoio_Efeito!$R$48</f>
        <v>#DIV/0!</v>
      </c>
      <c r="BD79" s="343" t="e">
        <f>(Apoio_Efeito!V49)/Apoio_Efeito!$R$49</f>
        <v>#DIV/0!</v>
      </c>
      <c r="BE79" s="343" t="e">
        <f>(Apoio_Efeito!V50)/Apoio_Efeito!$R$50</f>
        <v>#DIV/0!</v>
      </c>
      <c r="BF79" s="343" t="e">
        <f>(Apoio_Efeito!V51)/Apoio_Efeito!$R$51</f>
        <v>#DIV/0!</v>
      </c>
      <c r="BG79" s="344">
        <f>(Apoio_Efeito!V52)/Apoio_Efeito!$R$52</f>
        <v>1.8727337298108923E-2</v>
      </c>
      <c r="BH79" s="344">
        <f>(Apoio_Efeito!V53)/Apoio_Efeito!$R$53</f>
        <v>1.2796373319364339E-2</v>
      </c>
      <c r="BI79" s="100"/>
      <c r="BJ79" s="277">
        <f t="shared" si="11"/>
        <v>1</v>
      </c>
      <c r="BK79" s="96"/>
      <c r="BL79" s="32"/>
      <c r="BN79" s="5"/>
    </row>
    <row r="80" spans="5:88">
      <c r="G80" s="207"/>
      <c r="H80" s="83" t="s">
        <v>14</v>
      </c>
      <c r="I80" s="84" t="e">
        <f>(Apoio_Efeito!W4)/Apoio_Efeito!$R$4</f>
        <v>#DIV/0!</v>
      </c>
      <c r="J80" s="343" t="e">
        <f>(Apoio_Efeito!W5)/Apoio_Efeito!$R$5</f>
        <v>#DIV/0!</v>
      </c>
      <c r="K80" s="343" t="e">
        <f>(Apoio_Efeito!W6)/Apoio_Efeito!$R$6</f>
        <v>#DIV/0!</v>
      </c>
      <c r="L80" s="343">
        <f>(Apoio_Efeito!W7)/Apoio_Efeito!$R$7</f>
        <v>-1.7210784018637439E-2</v>
      </c>
      <c r="M80" s="343" t="e">
        <f>(Apoio_Efeito!W54)/Apoio_Efeito!$R$54</f>
        <v>#DIV/0!</v>
      </c>
      <c r="N80" s="343" t="e">
        <f>(Apoio_Efeito!W8)/Apoio_Efeito!$R$8</f>
        <v>#DIV/0!</v>
      </c>
      <c r="O80" s="343" t="e">
        <f>(Apoio_Efeito!W9)/Apoio_Efeito!$R$9</f>
        <v>#DIV/0!</v>
      </c>
      <c r="P80" s="345" t="e">
        <f>(Apoio_Efeito!W10)/Apoio_Efeito!$R$10</f>
        <v>#DIV/0!</v>
      </c>
      <c r="Q80" s="343" t="e">
        <f>(Apoio_Efeito!W11)/Apoio_Efeito!$R$11</f>
        <v>#DIV/0!</v>
      </c>
      <c r="R80" s="343" t="e">
        <f>(Apoio_Efeito!W12)/Apoio_Efeito!$R12</f>
        <v>#DIV/0!</v>
      </c>
      <c r="S80" s="343" t="e">
        <f>(Apoio_Efeito!W13)/Apoio_Efeito!$R$13</f>
        <v>#DIV/0!</v>
      </c>
      <c r="T80" s="343" t="e">
        <f>(Apoio_Efeito!W14)/Apoio_Efeito!$R$14</f>
        <v>#DIV/0!</v>
      </c>
      <c r="U80" s="343" t="e">
        <f>(Apoio_Efeito!W15)/Apoio_Efeito!$R$15</f>
        <v>#DIV/0!</v>
      </c>
      <c r="V80" s="343" t="e">
        <f>(Apoio_Efeito!W16)/Apoio_Efeito!$R$16</f>
        <v>#DIV/0!</v>
      </c>
      <c r="W80" s="343" t="e">
        <f>(Apoio_Efeito!W17)/Apoio_Efeito!$R$17</f>
        <v>#DIV/0!</v>
      </c>
      <c r="X80" s="372" t="e">
        <f>(Apoio_Efeito!W18)/Apoio_Efeito!$R$18</f>
        <v>#DIV/0!</v>
      </c>
      <c r="Y80" s="350" t="e">
        <f>(Apoio_Efeito!W19)/Apoio_Efeito!$R$19</f>
        <v>#DIV/0!</v>
      </c>
      <c r="Z80" s="350" t="e">
        <f>(Apoio_Efeito!W20)/Apoio_Efeito!$R$20</f>
        <v>#DIV/0!</v>
      </c>
      <c r="AA80" s="350" t="e">
        <f>(Apoio_Efeito!W21)/Apoio_Efeito!$R$21</f>
        <v>#DIV/0!</v>
      </c>
      <c r="AB80" s="350" t="e">
        <f>(Apoio_Efeito!W22)/Apoio_Efeito!$R$22</f>
        <v>#DIV/0!</v>
      </c>
      <c r="AC80" s="350" t="e">
        <f>(Apoio_Efeito!W23)/Apoio_Efeito!$R$23</f>
        <v>#DIV/0!</v>
      </c>
      <c r="AD80" s="350" t="e">
        <f>(Apoio_Efeito!W24)/Apoio_Efeito!$R$24</f>
        <v>#DIV/0!</v>
      </c>
      <c r="AE80" s="350" t="e">
        <f>(Apoio_Efeito!W25)/Apoio_Efeito!$R$25</f>
        <v>#DIV/0!</v>
      </c>
      <c r="AF80" s="350" t="e">
        <f>(Apoio_Efeito!W26)/Apoio_Efeito!$R$26</f>
        <v>#DIV/0!</v>
      </c>
      <c r="AG80" s="350" t="e">
        <f>(Apoio_Efeito!W27)/Apoio_Efeito!$R$27</f>
        <v>#DIV/0!</v>
      </c>
      <c r="AH80" s="350" t="e">
        <f>(Apoio_Efeito!W28)/Apoio_Efeito!$R$28</f>
        <v>#DIV/0!</v>
      </c>
      <c r="AI80" s="350" t="e">
        <f>(Apoio_Efeito!W29)/Apoio_Efeito!$R$29</f>
        <v>#DIV/0!</v>
      </c>
      <c r="AJ80" s="350" t="e">
        <f>(Apoio_Efeito!W30)/Apoio_Efeito!$R$30</f>
        <v>#DIV/0!</v>
      </c>
      <c r="AK80" s="350" t="e">
        <f>(Apoio_Efeito!W55)/Apoio_Efeito!$R$55</f>
        <v>#DIV/0!</v>
      </c>
      <c r="AL80" s="350" t="e">
        <f>(Apoio_Efeito!W31)/Apoio_Efeito!$R$31</f>
        <v>#DIV/0!</v>
      </c>
      <c r="AM80" s="350" t="e">
        <f>(Apoio_Efeito!W32)/Apoio_Efeito!$R$32</f>
        <v>#DIV/0!</v>
      </c>
      <c r="AN80" s="350" t="e">
        <f>(Apoio_Efeito!W33)/Apoio_Efeito!$R$33</f>
        <v>#DIV/0!</v>
      </c>
      <c r="AO80" s="350" t="e">
        <f>(Apoio_Efeito!W34)/Apoio_Efeito!$R$34</f>
        <v>#DIV/0!</v>
      </c>
      <c r="AP80" s="350" t="e">
        <f>(Apoio_Efeito!W35)/Apoio_Efeito!$R$35</f>
        <v>#DIV/0!</v>
      </c>
      <c r="AQ80" s="350" t="e">
        <f>(Apoio_Efeito!W36)/Apoio_Efeito!$R$36</f>
        <v>#DIV/0!</v>
      </c>
      <c r="AR80" s="350" t="e">
        <f>(Apoio_Efeito!W37)/Apoio_Efeito!$R$37</f>
        <v>#DIV/0!</v>
      </c>
      <c r="AS80" s="350" t="e">
        <f>(Apoio_Efeito!W38)/Apoio_Efeito!$R$38</f>
        <v>#DIV/0!</v>
      </c>
      <c r="AT80" s="350" t="e">
        <f>(Apoio_Efeito!W39)/Apoio_Efeito!$R$39</f>
        <v>#DIV/0!</v>
      </c>
      <c r="AU80" s="343" t="e">
        <f>(Apoio_Efeito!W40)/Apoio_Efeito!$R$40</f>
        <v>#DIV/0!</v>
      </c>
      <c r="AV80" s="343" t="e">
        <f>(Apoio_Efeito!W41)/Apoio_Efeito!$R$41</f>
        <v>#DIV/0!</v>
      </c>
      <c r="AW80" s="343" t="e">
        <f>(Apoio_Efeito!W42)/Apoio_Efeito!$R$42</f>
        <v>#DIV/0!</v>
      </c>
      <c r="AX80" s="343" t="e">
        <f>(Apoio_Efeito!W43)/Apoio_Efeito!$R$43</f>
        <v>#DIV/0!</v>
      </c>
      <c r="AY80" s="343" t="e">
        <f>(Apoio_Efeito!W44)/Apoio_Efeito!$R$44</f>
        <v>#DIV/0!</v>
      </c>
      <c r="AZ80" s="343" t="e">
        <f>(Apoio_Efeito!W45)/Apoio_Efeito!$R$45</f>
        <v>#DIV/0!</v>
      </c>
      <c r="BA80" s="345" t="e">
        <f>(Apoio_Efeito!W46)/Apoio_Efeito!$R$46</f>
        <v>#DIV/0!</v>
      </c>
      <c r="BB80" s="343" t="e">
        <f>(Apoio_Efeito!W47)/Apoio_Efeito!$R$47</f>
        <v>#DIV/0!</v>
      </c>
      <c r="BC80" s="343" t="e">
        <f>(Apoio_Efeito!W48)/Apoio_Efeito!$R$48</f>
        <v>#DIV/0!</v>
      </c>
      <c r="BD80" s="343" t="e">
        <f>(Apoio_Efeito!W49)/Apoio_Efeito!$R$49</f>
        <v>#DIV/0!</v>
      </c>
      <c r="BE80" s="343" t="e">
        <f>(Apoio_Efeito!W50)/Apoio_Efeito!$R$50</f>
        <v>#DIV/0!</v>
      </c>
      <c r="BF80" s="343" t="e">
        <f>(Apoio_Efeito!W51)/Apoio_Efeito!$R$51</f>
        <v>#DIV/0!</v>
      </c>
      <c r="BG80" s="344">
        <f>(Apoio_Efeito!W52)/Apoio_Efeito!$R$52</f>
        <v>-1.0559200249659917E-2</v>
      </c>
      <c r="BH80" s="344">
        <f>(Apoio_Efeito!W53)/Apoio_Efeito!$R$53</f>
        <v>-6.0365158966904572E-3</v>
      </c>
      <c r="BI80" s="100"/>
      <c r="BJ80" s="277">
        <f t="shared" si="11"/>
        <v>1</v>
      </c>
      <c r="BK80" s="96"/>
      <c r="BL80" s="32"/>
      <c r="BN80" s="5"/>
    </row>
    <row r="81" spans="7:66" hidden="1">
      <c r="G81" s="207"/>
      <c r="H81" s="83" t="s">
        <v>324</v>
      </c>
      <c r="I81" s="84" t="e">
        <f>(Apoio_Efeito!X4)/Apoio_Efeito!$R$4</f>
        <v>#DIV/0!</v>
      </c>
      <c r="J81" s="343" t="e">
        <f>(Apoio_Efeito!X5)/Apoio_Efeito!$R$5</f>
        <v>#DIV/0!</v>
      </c>
      <c r="K81" s="343" t="e">
        <f>(Apoio_Efeito!X6)/Apoio_Efeito!$R$6</f>
        <v>#DIV/0!</v>
      </c>
      <c r="L81" s="343">
        <f>(Apoio_Efeito!X7)/Apoio_Efeito!$R$7</f>
        <v>0</v>
      </c>
      <c r="M81" s="343" t="e">
        <f>(Apoio_Efeito!X54)/Apoio_Efeito!$R$54</f>
        <v>#DIV/0!</v>
      </c>
      <c r="N81" s="343" t="e">
        <f>(Apoio_Efeito!X8)/Apoio_Efeito!$R$8</f>
        <v>#DIV/0!</v>
      </c>
      <c r="O81" s="343" t="e">
        <f>(Apoio_Efeito!X9)/Apoio_Efeito!$R$9</f>
        <v>#DIV/0!</v>
      </c>
      <c r="P81" s="345" t="e">
        <f>(Apoio_Efeito!X10)/Apoio_Efeito!$R$10</f>
        <v>#DIV/0!</v>
      </c>
      <c r="Q81" s="343" t="e">
        <f>(Apoio_Efeito!X11)/Apoio_Efeito!$R$11</f>
        <v>#DIV/0!</v>
      </c>
      <c r="R81" s="343" t="e">
        <f>(Apoio_Efeito!X12)/Apoio_Efeito!$R12</f>
        <v>#DIV/0!</v>
      </c>
      <c r="S81" s="343" t="e">
        <f>(Apoio_Efeito!X13)/Apoio_Efeito!$R$13</f>
        <v>#DIV/0!</v>
      </c>
      <c r="T81" s="343" t="e">
        <f>(Apoio_Efeito!X14)/Apoio_Efeito!$R$14</f>
        <v>#DIV/0!</v>
      </c>
      <c r="U81" s="343" t="e">
        <f>(Apoio_Efeito!X15)/Apoio_Efeito!$R$15</f>
        <v>#DIV/0!</v>
      </c>
      <c r="V81" s="343" t="e">
        <f>(Apoio_Efeito!X16)/Apoio_Efeito!$R$16</f>
        <v>#DIV/0!</v>
      </c>
      <c r="W81" s="343" t="e">
        <f>(Apoio_Efeito!X17)/Apoio_Efeito!$R$17</f>
        <v>#DIV/0!</v>
      </c>
      <c r="X81" s="350" t="e">
        <f>(Apoio_Efeito!X18)/Apoio_Efeito!$R$18</f>
        <v>#DIV/0!</v>
      </c>
      <c r="Y81" s="350" t="e">
        <f>(Apoio_Efeito!X19)/Apoio_Efeito!$R$19</f>
        <v>#DIV/0!</v>
      </c>
      <c r="Z81" s="350" t="e">
        <f>(Apoio_Efeito!X20)/Apoio_Efeito!$R$20</f>
        <v>#DIV/0!</v>
      </c>
      <c r="AA81" s="350" t="e">
        <f>(Apoio_Efeito!X21)/Apoio_Efeito!$R$21</f>
        <v>#DIV/0!</v>
      </c>
      <c r="AB81" s="350" t="e">
        <f>(Apoio_Efeito!X22)/Apoio_Efeito!$R$22</f>
        <v>#DIV/0!</v>
      </c>
      <c r="AC81" s="350" t="e">
        <f>(Apoio_Efeito!X23)/Apoio_Efeito!$R$23</f>
        <v>#DIV/0!</v>
      </c>
      <c r="AD81" s="350" t="e">
        <f>(Apoio_Efeito!X24)/Apoio_Efeito!$R$24</f>
        <v>#DIV/0!</v>
      </c>
      <c r="AE81" s="350" t="e">
        <f>(Apoio_Efeito!X25)/Apoio_Efeito!$R$25</f>
        <v>#DIV/0!</v>
      </c>
      <c r="AF81" s="350" t="e">
        <f>(Apoio_Efeito!X26)/Apoio_Efeito!$R$26</f>
        <v>#DIV/0!</v>
      </c>
      <c r="AG81" s="350" t="e">
        <f>(Apoio_Efeito!X27)/Apoio_Efeito!$R$27</f>
        <v>#DIV/0!</v>
      </c>
      <c r="AH81" s="350" t="e">
        <f>(Apoio_Efeito!X28)/Apoio_Efeito!$R$28</f>
        <v>#DIV/0!</v>
      </c>
      <c r="AI81" s="350" t="e">
        <f>(Apoio_Efeito!X29)/Apoio_Efeito!$R$29</f>
        <v>#DIV/0!</v>
      </c>
      <c r="AJ81" s="350" t="e">
        <f>(Apoio_Efeito!X30)/Apoio_Efeito!$R$30</f>
        <v>#DIV/0!</v>
      </c>
      <c r="AK81" s="350" t="e">
        <f>(Apoio_Efeito!X55)/Apoio_Efeito!$R$55</f>
        <v>#DIV/0!</v>
      </c>
      <c r="AL81" s="350" t="e">
        <f>(Apoio_Efeito!X31)/Apoio_Efeito!$R$31</f>
        <v>#DIV/0!</v>
      </c>
      <c r="AM81" s="350" t="e">
        <f>(Apoio_Efeito!X32)/Apoio_Efeito!$R$32</f>
        <v>#DIV/0!</v>
      </c>
      <c r="AN81" s="350" t="e">
        <f>(Apoio_Efeito!X33)/Apoio_Efeito!$R$33</f>
        <v>#DIV/0!</v>
      </c>
      <c r="AO81" s="350" t="e">
        <f>(Apoio_Efeito!X34)/Apoio_Efeito!$R$34</f>
        <v>#DIV/0!</v>
      </c>
      <c r="AP81" s="350" t="e">
        <f>(Apoio_Efeito!X35)/Apoio_Efeito!$R$35</f>
        <v>#DIV/0!</v>
      </c>
      <c r="AQ81" s="350" t="e">
        <f>(Apoio_Efeito!X36)/Apoio_Efeito!$R$36</f>
        <v>#DIV/0!</v>
      </c>
      <c r="AR81" s="350" t="e">
        <f>(Apoio_Efeito!X37)/Apoio_Efeito!$R$37</f>
        <v>#DIV/0!</v>
      </c>
      <c r="AS81" s="350" t="e">
        <f>(Apoio_Efeito!X38)/Apoio_Efeito!$R$38</f>
        <v>#DIV/0!</v>
      </c>
      <c r="AT81" s="350" t="e">
        <f>(Apoio_Efeito!X39)/Apoio_Efeito!$R$39</f>
        <v>#DIV/0!</v>
      </c>
      <c r="AU81" s="343" t="e">
        <f>(Apoio_Efeito!X40)/Apoio_Efeito!$R$40</f>
        <v>#DIV/0!</v>
      </c>
      <c r="AV81" s="343" t="e">
        <f>(Apoio_Efeito!X41)/Apoio_Efeito!$R$41</f>
        <v>#DIV/0!</v>
      </c>
      <c r="AW81" s="343" t="e">
        <f>(Apoio_Efeito!X42)/Apoio_Efeito!$R$42</f>
        <v>#DIV/0!</v>
      </c>
      <c r="AX81" s="343" t="e">
        <f>(Apoio_Efeito!X43)/Apoio_Efeito!$R$43</f>
        <v>#DIV/0!</v>
      </c>
      <c r="AY81" s="343" t="e">
        <f>(Apoio_Efeito!X44)/Apoio_Efeito!$R$44</f>
        <v>#DIV/0!</v>
      </c>
      <c r="AZ81" s="343" t="e">
        <f>(Apoio_Efeito!X45)/Apoio_Efeito!$R$45</f>
        <v>#DIV/0!</v>
      </c>
      <c r="BA81" s="345" t="e">
        <f>(Apoio_Efeito!X46)/Apoio_Efeito!$R$46</f>
        <v>#DIV/0!</v>
      </c>
      <c r="BB81" s="343" t="e">
        <f>(Apoio_Efeito!X47)/Apoio_Efeito!$R$47</f>
        <v>#DIV/0!</v>
      </c>
      <c r="BC81" s="343" t="e">
        <f>(Apoio_Efeito!X48)/Apoio_Efeito!$R$48</f>
        <v>#DIV/0!</v>
      </c>
      <c r="BD81" s="343" t="e">
        <f>(Apoio_Efeito!X49)/Apoio_Efeito!$R$49</f>
        <v>#DIV/0!</v>
      </c>
      <c r="BE81" s="343" t="e">
        <f>(Apoio_Efeito!X50)/Apoio_Efeito!$R$50</f>
        <v>#DIV/0!</v>
      </c>
      <c r="BF81" s="343" t="e">
        <f>(Apoio_Efeito!X51)/Apoio_Efeito!$R$51</f>
        <v>#DIV/0!</v>
      </c>
      <c r="BG81" s="344">
        <f>(Apoio_Efeito!X52)/Apoio_Efeito!$R$52</f>
        <v>0</v>
      </c>
      <c r="BH81" s="344">
        <f>(Apoio_Efeito!X53)/Apoio_Efeito!$R$53</f>
        <v>0</v>
      </c>
      <c r="BI81" s="100"/>
      <c r="BJ81" s="277">
        <f t="shared" si="11"/>
        <v>0</v>
      </c>
      <c r="BK81" s="96"/>
      <c r="BL81" s="321" t="e">
        <f>BA80+BA113</f>
        <v>#DIV/0!</v>
      </c>
      <c r="BN81" s="5"/>
    </row>
    <row r="82" spans="7:66" hidden="1">
      <c r="G82" s="207"/>
      <c r="H82" s="83" t="s">
        <v>325</v>
      </c>
      <c r="I82" s="84" t="e">
        <f>(Apoio_Efeito!Y4)/Apoio_Efeito!$R$4</f>
        <v>#DIV/0!</v>
      </c>
      <c r="J82" s="343" t="e">
        <f>(Apoio_Efeito!Y5)/Apoio_Efeito!$R$5</f>
        <v>#DIV/0!</v>
      </c>
      <c r="K82" s="343" t="e">
        <f>(Apoio_Efeito!Y6)/Apoio_Efeito!$R$6</f>
        <v>#DIV/0!</v>
      </c>
      <c r="L82" s="343">
        <f>(Apoio_Efeito!Y7)/Apoio_Efeito!$R$7</f>
        <v>0</v>
      </c>
      <c r="M82" s="343" t="e">
        <f>(Apoio_Efeito!Y54)/Apoio_Efeito!$R$54</f>
        <v>#DIV/0!</v>
      </c>
      <c r="N82" s="343" t="e">
        <f>(Apoio_Efeito!Y8)/Apoio_Efeito!$R$8</f>
        <v>#DIV/0!</v>
      </c>
      <c r="O82" s="343" t="e">
        <f>(Apoio_Efeito!Y9)/Apoio_Efeito!$R$9</f>
        <v>#DIV/0!</v>
      </c>
      <c r="P82" s="345" t="e">
        <f>(Apoio_Efeito!Y10)/Apoio_Efeito!$R$10</f>
        <v>#DIV/0!</v>
      </c>
      <c r="Q82" s="343" t="e">
        <f>(Apoio_Efeito!Y11)/Apoio_Efeito!$R$11</f>
        <v>#DIV/0!</v>
      </c>
      <c r="R82" s="343" t="e">
        <f>(Apoio_Efeito!Y12)/Apoio_Efeito!$R12</f>
        <v>#DIV/0!</v>
      </c>
      <c r="S82" s="343" t="e">
        <f>(Apoio_Efeito!Y13)/Apoio_Efeito!$R$13</f>
        <v>#DIV/0!</v>
      </c>
      <c r="T82" s="343" t="e">
        <f>(Apoio_Efeito!Y14)/Apoio_Efeito!$R$14</f>
        <v>#DIV/0!</v>
      </c>
      <c r="U82" s="343" t="e">
        <f>(Apoio_Efeito!Y15)/Apoio_Efeito!$R$15</f>
        <v>#DIV/0!</v>
      </c>
      <c r="V82" s="343" t="e">
        <f>(Apoio_Efeito!Y16)/Apoio_Efeito!$R$16</f>
        <v>#DIV/0!</v>
      </c>
      <c r="W82" s="343" t="e">
        <f>(Apoio_Efeito!Y17)/Apoio_Efeito!$R$17</f>
        <v>#DIV/0!</v>
      </c>
      <c r="X82" s="350" t="e">
        <f>(Apoio_Efeito!Y18)/Apoio_Efeito!$R$18</f>
        <v>#DIV/0!</v>
      </c>
      <c r="Y82" s="350" t="e">
        <f>(Apoio_Efeito!Y19)/Apoio_Efeito!$R$19</f>
        <v>#DIV/0!</v>
      </c>
      <c r="Z82" s="350" t="e">
        <f>(Apoio_Efeito!Y20)/Apoio_Efeito!$R$20</f>
        <v>#DIV/0!</v>
      </c>
      <c r="AA82" s="350" t="e">
        <f>(Apoio_Efeito!Y21)/Apoio_Efeito!$R$21</f>
        <v>#DIV/0!</v>
      </c>
      <c r="AB82" s="350" t="e">
        <f>(Apoio_Efeito!Y22)/Apoio_Efeito!$R$22</f>
        <v>#DIV/0!</v>
      </c>
      <c r="AC82" s="350" t="e">
        <f>(Apoio_Efeito!Y23)/Apoio_Efeito!$R$23</f>
        <v>#DIV/0!</v>
      </c>
      <c r="AD82" s="350" t="e">
        <f>(Apoio_Efeito!Y24)/Apoio_Efeito!$R$24</f>
        <v>#DIV/0!</v>
      </c>
      <c r="AE82" s="350" t="e">
        <f>(Apoio_Efeito!Y25)/Apoio_Efeito!$R$25</f>
        <v>#DIV/0!</v>
      </c>
      <c r="AF82" s="350" t="e">
        <f>(Apoio_Efeito!Y26)/Apoio_Efeito!$R$26</f>
        <v>#DIV/0!</v>
      </c>
      <c r="AG82" s="350" t="e">
        <f>(Apoio_Efeito!Y27)/Apoio_Efeito!$R$27</f>
        <v>#DIV/0!</v>
      </c>
      <c r="AH82" s="350" t="e">
        <f>(Apoio_Efeito!Y28)/Apoio_Efeito!$R$28</f>
        <v>#DIV/0!</v>
      </c>
      <c r="AI82" s="350" t="e">
        <f>(Apoio_Efeito!Y29)/Apoio_Efeito!$R$29</f>
        <v>#DIV/0!</v>
      </c>
      <c r="AJ82" s="350" t="e">
        <f>(Apoio_Efeito!Y30)/Apoio_Efeito!$R$30</f>
        <v>#DIV/0!</v>
      </c>
      <c r="AK82" s="350" t="e">
        <f>(Apoio_Efeito!Y55)/Apoio_Efeito!$R$55</f>
        <v>#DIV/0!</v>
      </c>
      <c r="AL82" s="350" t="e">
        <f>(Apoio_Efeito!Y31)/Apoio_Efeito!$R$31</f>
        <v>#DIV/0!</v>
      </c>
      <c r="AM82" s="350" t="e">
        <f>(Apoio_Efeito!Y32)/Apoio_Efeito!$R$32</f>
        <v>#DIV/0!</v>
      </c>
      <c r="AN82" s="350" t="e">
        <f>(Apoio_Efeito!Y33)/Apoio_Efeito!$R$33</f>
        <v>#DIV/0!</v>
      </c>
      <c r="AO82" s="350" t="e">
        <f>(Apoio_Efeito!Y34)/Apoio_Efeito!$R$34</f>
        <v>#DIV/0!</v>
      </c>
      <c r="AP82" s="350" t="e">
        <f>(Apoio_Efeito!Y35)/Apoio_Efeito!$R$35</f>
        <v>#DIV/0!</v>
      </c>
      <c r="AQ82" s="350" t="e">
        <f>(Apoio_Efeito!Y36)/Apoio_Efeito!$R$36</f>
        <v>#DIV/0!</v>
      </c>
      <c r="AR82" s="350" t="e">
        <f>(Apoio_Efeito!Y37)/Apoio_Efeito!$R$37</f>
        <v>#DIV/0!</v>
      </c>
      <c r="AS82" s="350" t="e">
        <f>(Apoio_Efeito!Y38)/Apoio_Efeito!$R$38</f>
        <v>#DIV/0!</v>
      </c>
      <c r="AT82" s="350" t="e">
        <f>(Apoio_Efeito!Y39)/Apoio_Efeito!$R$39</f>
        <v>#DIV/0!</v>
      </c>
      <c r="AU82" s="343" t="e">
        <f>(Apoio_Efeito!Y40)/Apoio_Efeito!$R$40</f>
        <v>#DIV/0!</v>
      </c>
      <c r="AV82" s="343" t="e">
        <f>(Apoio_Efeito!Y41)/Apoio_Efeito!$R$41</f>
        <v>#DIV/0!</v>
      </c>
      <c r="AW82" s="343" t="e">
        <f>(Apoio_Efeito!Y42)/Apoio_Efeito!$R$42</f>
        <v>#DIV/0!</v>
      </c>
      <c r="AX82" s="343" t="e">
        <f>(Apoio_Efeito!Y43)/Apoio_Efeito!$R$43</f>
        <v>#DIV/0!</v>
      </c>
      <c r="AY82" s="343" t="e">
        <f>(Apoio_Efeito!Y44)/Apoio_Efeito!$R$44</f>
        <v>#DIV/0!</v>
      </c>
      <c r="AZ82" s="343" t="e">
        <f>(Apoio_Efeito!Y45)/Apoio_Efeito!$R$45</f>
        <v>#DIV/0!</v>
      </c>
      <c r="BA82" s="345" t="e">
        <f>(Apoio_Efeito!Y46)/Apoio_Efeito!$R$46</f>
        <v>#DIV/0!</v>
      </c>
      <c r="BB82" s="343" t="e">
        <f>(Apoio_Efeito!Y47)/Apoio_Efeito!$R$47</f>
        <v>#DIV/0!</v>
      </c>
      <c r="BC82" s="343" t="e">
        <f>(Apoio_Efeito!Y48)/Apoio_Efeito!$R$48</f>
        <v>#DIV/0!</v>
      </c>
      <c r="BD82" s="343" t="e">
        <f>(Apoio_Efeito!Y49)/Apoio_Efeito!$R$49</f>
        <v>#DIV/0!</v>
      </c>
      <c r="BE82" s="343" t="e">
        <f>(Apoio_Efeito!Y50)/Apoio_Efeito!$R$50</f>
        <v>#DIV/0!</v>
      </c>
      <c r="BF82" s="343" t="e">
        <f>(Apoio_Efeito!Y51)/Apoio_Efeito!$R$51</f>
        <v>#DIV/0!</v>
      </c>
      <c r="BG82" s="344">
        <f>(Apoio_Efeito!Y52)/Apoio_Efeito!$R$52</f>
        <v>0</v>
      </c>
      <c r="BH82" s="344">
        <f>(Apoio_Efeito!Y53)/Apoio_Efeito!$R$53</f>
        <v>0</v>
      </c>
      <c r="BI82" s="100"/>
      <c r="BJ82" s="277">
        <f t="shared" si="11"/>
        <v>0</v>
      </c>
      <c r="BK82" s="96"/>
      <c r="BL82" s="32"/>
      <c r="BN82" s="5"/>
    </row>
    <row r="83" spans="7:66">
      <c r="G83" s="207"/>
      <c r="H83" s="193" t="s">
        <v>349</v>
      </c>
      <c r="I83" s="84" t="e">
        <f>(Apoio_Efeito!Z4)/Apoio_Efeito!$R$4</f>
        <v>#DIV/0!</v>
      </c>
      <c r="J83" s="343" t="e">
        <f>(Apoio_Efeito!Z5)/Apoio_Efeito!$R$5</f>
        <v>#DIV/0!</v>
      </c>
      <c r="K83" s="343" t="e">
        <f>(Apoio_Efeito!Z6)/Apoio_Efeito!$R$6</f>
        <v>#DIV/0!</v>
      </c>
      <c r="L83" s="343">
        <f>(Apoio_Efeito!Z7)/Apoio_Efeito!$R$7</f>
        <v>2.277472930208324E-3</v>
      </c>
      <c r="M83" s="343" t="e">
        <f>(Apoio_Efeito!Z54)/Apoio_Efeito!$R$54</f>
        <v>#DIV/0!</v>
      </c>
      <c r="N83" s="343" t="e">
        <f>(Apoio_Efeito!Z8)/Apoio_Efeito!$R$8</f>
        <v>#DIV/0!</v>
      </c>
      <c r="O83" s="343" t="e">
        <f>(Apoio_Efeito!Z9)/Apoio_Efeito!$R$9</f>
        <v>#DIV/0!</v>
      </c>
      <c r="P83" s="345" t="e">
        <f>(Apoio_Efeito!Z10)/Apoio_Efeito!$R$10</f>
        <v>#DIV/0!</v>
      </c>
      <c r="Q83" s="343" t="e">
        <f>(Apoio_Efeito!Z11)/Apoio_Efeito!$R$11</f>
        <v>#DIV/0!</v>
      </c>
      <c r="R83" s="343" t="e">
        <f>(Apoio_Efeito!Z12)/Apoio_Efeito!$R12</f>
        <v>#DIV/0!</v>
      </c>
      <c r="S83" s="343" t="e">
        <f>(Apoio_Efeito!Z13)/Apoio_Efeito!$R$13</f>
        <v>#DIV/0!</v>
      </c>
      <c r="T83" s="343" t="e">
        <f>(Apoio_Efeito!Z14)/Apoio_Efeito!$R$14</f>
        <v>#DIV/0!</v>
      </c>
      <c r="U83" s="343" t="e">
        <f>(Apoio_Efeito!Z15)/Apoio_Efeito!$R$15</f>
        <v>#DIV/0!</v>
      </c>
      <c r="V83" s="343" t="e">
        <f>(Apoio_Efeito!Z16)/Apoio_Efeito!$R$16</f>
        <v>#DIV/0!</v>
      </c>
      <c r="W83" s="343" t="e">
        <f>(Apoio_Efeito!Z17)/Apoio_Efeito!$R$17</f>
        <v>#DIV/0!</v>
      </c>
      <c r="X83" s="350" t="e">
        <f>(Apoio_Efeito!Z18)/Apoio_Efeito!$R$18</f>
        <v>#DIV/0!</v>
      </c>
      <c r="Y83" s="350" t="e">
        <f>(Apoio_Efeito!Z19)/Apoio_Efeito!$R$19</f>
        <v>#DIV/0!</v>
      </c>
      <c r="Z83" s="350" t="e">
        <f>(Apoio_Efeito!Z20)/Apoio_Efeito!$R$20</f>
        <v>#DIV/0!</v>
      </c>
      <c r="AA83" s="350" t="e">
        <f>(Apoio_Efeito!Z21)/Apoio_Efeito!$R$21</f>
        <v>#DIV/0!</v>
      </c>
      <c r="AB83" s="350" t="e">
        <f>(Apoio_Efeito!Z22)/Apoio_Efeito!$R$22</f>
        <v>#DIV/0!</v>
      </c>
      <c r="AC83" s="350" t="e">
        <f>(Apoio_Efeito!Z23)/Apoio_Efeito!$R$23</f>
        <v>#DIV/0!</v>
      </c>
      <c r="AD83" s="350" t="e">
        <f>(Apoio_Efeito!Z24)/Apoio_Efeito!$R$24</f>
        <v>#DIV/0!</v>
      </c>
      <c r="AE83" s="350" t="e">
        <f>(Apoio_Efeito!Z25)/Apoio_Efeito!$R$25</f>
        <v>#DIV/0!</v>
      </c>
      <c r="AF83" s="350" t="e">
        <f>(Apoio_Efeito!Z26)/Apoio_Efeito!$R$26</f>
        <v>#DIV/0!</v>
      </c>
      <c r="AG83" s="350" t="e">
        <f>(Apoio_Efeito!Z27)/Apoio_Efeito!$R$27</f>
        <v>#DIV/0!</v>
      </c>
      <c r="AH83" s="350" t="e">
        <f>(Apoio_Efeito!Z28)/Apoio_Efeito!$R$28</f>
        <v>#DIV/0!</v>
      </c>
      <c r="AI83" s="350" t="e">
        <f>(Apoio_Efeito!Z29)/Apoio_Efeito!$R$29</f>
        <v>#DIV/0!</v>
      </c>
      <c r="AJ83" s="350" t="e">
        <f>(Apoio_Efeito!Z30)/Apoio_Efeito!$R$30</f>
        <v>#DIV/0!</v>
      </c>
      <c r="AK83" s="350" t="e">
        <f>(Apoio_Efeito!Z55)/Apoio_Efeito!$R$55</f>
        <v>#DIV/0!</v>
      </c>
      <c r="AL83" s="350" t="e">
        <f>(Apoio_Efeito!Z31)/Apoio_Efeito!$R$31</f>
        <v>#DIV/0!</v>
      </c>
      <c r="AM83" s="350" t="e">
        <f>(Apoio_Efeito!Z32)/Apoio_Efeito!$R$32</f>
        <v>#DIV/0!</v>
      </c>
      <c r="AN83" s="350" t="e">
        <f>(Apoio_Efeito!Z33)/Apoio_Efeito!$R$33</f>
        <v>#DIV/0!</v>
      </c>
      <c r="AO83" s="350" t="e">
        <f>(Apoio_Efeito!Z34)/Apoio_Efeito!$R$34</f>
        <v>#DIV/0!</v>
      </c>
      <c r="AP83" s="350" t="e">
        <f>(Apoio_Efeito!Z35)/Apoio_Efeito!$R$35</f>
        <v>#DIV/0!</v>
      </c>
      <c r="AQ83" s="350" t="e">
        <f>(Apoio_Efeito!Z36)/Apoio_Efeito!$R$36</f>
        <v>#DIV/0!</v>
      </c>
      <c r="AR83" s="350" t="e">
        <f>(Apoio_Efeito!Z37)/Apoio_Efeito!$R$37</f>
        <v>#DIV/0!</v>
      </c>
      <c r="AS83" s="350" t="e">
        <f>(Apoio_Efeito!Z38)/Apoio_Efeito!$R$38</f>
        <v>#DIV/0!</v>
      </c>
      <c r="AT83" s="350" t="e">
        <f>(Apoio_Efeito!Z39)/Apoio_Efeito!$R$39</f>
        <v>#DIV/0!</v>
      </c>
      <c r="AU83" s="343" t="e">
        <f>(Apoio_Efeito!Z40)/Apoio_Efeito!$R$40</f>
        <v>#DIV/0!</v>
      </c>
      <c r="AV83" s="343" t="e">
        <f>(Apoio_Efeito!Z41)/Apoio_Efeito!$R$41</f>
        <v>#DIV/0!</v>
      </c>
      <c r="AW83" s="343" t="e">
        <f>(Apoio_Efeito!Z42)/Apoio_Efeito!$R$42</f>
        <v>#DIV/0!</v>
      </c>
      <c r="AX83" s="343" t="e">
        <f>(Apoio_Efeito!Z43)/Apoio_Efeito!$R$43</f>
        <v>#DIV/0!</v>
      </c>
      <c r="AY83" s="343" t="e">
        <f>(Apoio_Efeito!Z44)/Apoio_Efeito!$R$44</f>
        <v>#DIV/0!</v>
      </c>
      <c r="AZ83" s="343" t="e">
        <f>(Apoio_Efeito!Z45)/Apoio_Efeito!$R$45</f>
        <v>#DIV/0!</v>
      </c>
      <c r="BA83" s="345" t="e">
        <f>(Apoio_Efeito!Z46)/Apoio_Efeito!$R$46</f>
        <v>#DIV/0!</v>
      </c>
      <c r="BB83" s="343" t="e">
        <f>(Apoio_Efeito!Z47)/Apoio_Efeito!$R$47</f>
        <v>#DIV/0!</v>
      </c>
      <c r="BC83" s="343" t="e">
        <f>(Apoio_Efeito!Z48)/Apoio_Efeito!$R$48</f>
        <v>#DIV/0!</v>
      </c>
      <c r="BD83" s="343" t="e">
        <f>(Apoio_Efeito!Z49)/Apoio_Efeito!$R$49</f>
        <v>#DIV/0!</v>
      </c>
      <c r="BE83" s="343" t="e">
        <f>(Apoio_Efeito!Z50)/Apoio_Efeito!$R$50</f>
        <v>#DIV/0!</v>
      </c>
      <c r="BF83" s="343" t="e">
        <f>(Apoio_Efeito!Z51)/Apoio_Efeito!$R$51</f>
        <v>#DIV/0!</v>
      </c>
      <c r="BG83" s="344">
        <f>(Apoio_Efeito!Z52)/Apoio_Efeito!$R$52</f>
        <v>0</v>
      </c>
      <c r="BH83" s="344">
        <f>(Apoio_Efeito!Z53)/Apoio_Efeito!$R$53</f>
        <v>0</v>
      </c>
      <c r="BI83" s="100"/>
      <c r="BJ83" s="277">
        <f t="shared" si="11"/>
        <v>1</v>
      </c>
      <c r="BK83" s="96"/>
      <c r="BL83" s="32"/>
      <c r="BN83" s="5"/>
    </row>
    <row r="84" spans="7:66" hidden="1">
      <c r="G84" s="207"/>
      <c r="H84" s="83" t="s">
        <v>37</v>
      </c>
      <c r="I84" s="84" t="e">
        <f>(Apoio_Efeito!AA4)/Apoio_Efeito!$R$4</f>
        <v>#DIV/0!</v>
      </c>
      <c r="J84" s="343" t="e">
        <f>(Apoio_Efeito!AA5)/Apoio_Efeito!$R$5</f>
        <v>#DIV/0!</v>
      </c>
      <c r="K84" s="343" t="e">
        <f>(Apoio_Efeito!AA6)/Apoio_Efeito!$R$6</f>
        <v>#DIV/0!</v>
      </c>
      <c r="L84" s="343">
        <f>(Apoio_Efeito!AA7)/Apoio_Efeito!$R$7</f>
        <v>0</v>
      </c>
      <c r="M84" s="343" t="e">
        <f>(Apoio_Efeito!AA54)/Apoio_Efeito!$R$54</f>
        <v>#DIV/0!</v>
      </c>
      <c r="N84" s="343" t="e">
        <f>(Apoio_Efeito!AA8)/Apoio_Efeito!$R$8</f>
        <v>#DIV/0!</v>
      </c>
      <c r="O84" s="343" t="e">
        <f>(Apoio_Efeito!AA9)/Apoio_Efeito!$R$9</f>
        <v>#DIV/0!</v>
      </c>
      <c r="P84" s="345" t="e">
        <f>(Apoio_Efeito!AA10)/Apoio_Efeito!$R$10</f>
        <v>#DIV/0!</v>
      </c>
      <c r="Q84" s="343" t="e">
        <f>(Apoio_Efeito!AA11)/Apoio_Efeito!$R$11</f>
        <v>#DIV/0!</v>
      </c>
      <c r="R84" s="343" t="e">
        <f>(Apoio_Efeito!AA12)/Apoio_Efeito!$R12</f>
        <v>#DIV/0!</v>
      </c>
      <c r="S84" s="343" t="e">
        <f>(Apoio_Efeito!AA13)/Apoio_Efeito!$R$13</f>
        <v>#DIV/0!</v>
      </c>
      <c r="T84" s="343" t="e">
        <f>(Apoio_Efeito!AA14)/Apoio_Efeito!$R$14</f>
        <v>#DIV/0!</v>
      </c>
      <c r="U84" s="343" t="e">
        <f>(Apoio_Efeito!AA15)/Apoio_Efeito!$R$15</f>
        <v>#DIV/0!</v>
      </c>
      <c r="V84" s="343" t="e">
        <f>(Apoio_Efeito!AA16)/Apoio_Efeito!$R$16</f>
        <v>#DIV/0!</v>
      </c>
      <c r="W84" s="343" t="e">
        <f>(Apoio_Efeito!AA17)/Apoio_Efeito!$R$17</f>
        <v>#DIV/0!</v>
      </c>
      <c r="X84" s="350" t="e">
        <f>(Apoio_Efeito!AA18)/Apoio_Efeito!$R$18</f>
        <v>#DIV/0!</v>
      </c>
      <c r="Y84" s="350" t="e">
        <f>(Apoio_Efeito!AA19)/Apoio_Efeito!$R$19</f>
        <v>#DIV/0!</v>
      </c>
      <c r="Z84" s="350" t="e">
        <f>(Apoio_Efeito!AA20)/Apoio_Efeito!$R$20</f>
        <v>#DIV/0!</v>
      </c>
      <c r="AA84" s="350" t="e">
        <f>(Apoio_Efeito!AA21)/Apoio_Efeito!$R$21</f>
        <v>#DIV/0!</v>
      </c>
      <c r="AB84" s="350" t="e">
        <f>(Apoio_Efeito!AA22)/Apoio_Efeito!$R$22</f>
        <v>#DIV/0!</v>
      </c>
      <c r="AC84" s="350" t="e">
        <f>(Apoio_Efeito!AA23)/Apoio_Efeito!$R$23</f>
        <v>#DIV/0!</v>
      </c>
      <c r="AD84" s="350" t="e">
        <f>(Apoio_Efeito!AA24)/Apoio_Efeito!$R$24</f>
        <v>#DIV/0!</v>
      </c>
      <c r="AE84" s="350" t="e">
        <f>(Apoio_Efeito!AA25)/Apoio_Efeito!$R$25</f>
        <v>#DIV/0!</v>
      </c>
      <c r="AF84" s="350" t="e">
        <f>(Apoio_Efeito!AA26)/Apoio_Efeito!$R$26</f>
        <v>#DIV/0!</v>
      </c>
      <c r="AG84" s="350" t="e">
        <f>(Apoio_Efeito!AA27)/Apoio_Efeito!$R$27</f>
        <v>#DIV/0!</v>
      </c>
      <c r="AH84" s="350" t="e">
        <f>(Apoio_Efeito!AA28)/Apoio_Efeito!$R$28</f>
        <v>#DIV/0!</v>
      </c>
      <c r="AI84" s="350" t="e">
        <f>(Apoio_Efeito!AA29)/Apoio_Efeito!$R$29</f>
        <v>#DIV/0!</v>
      </c>
      <c r="AJ84" s="350" t="e">
        <f>(Apoio_Efeito!AA30)/Apoio_Efeito!$R$30</f>
        <v>#DIV/0!</v>
      </c>
      <c r="AK84" s="350" t="e">
        <f>(Apoio_Efeito!AA55)/Apoio_Efeito!$R$55</f>
        <v>#DIV/0!</v>
      </c>
      <c r="AL84" s="350" t="e">
        <f>(Apoio_Efeito!AA31)/Apoio_Efeito!$R$31</f>
        <v>#DIV/0!</v>
      </c>
      <c r="AM84" s="350" t="e">
        <f>(Apoio_Efeito!AA32)/Apoio_Efeito!$R$32</f>
        <v>#DIV/0!</v>
      </c>
      <c r="AN84" s="350" t="e">
        <f>(Apoio_Efeito!AA33)/Apoio_Efeito!$R$33</f>
        <v>#DIV/0!</v>
      </c>
      <c r="AO84" s="350" t="e">
        <f>(Apoio_Efeito!AA34)/Apoio_Efeito!$R$34</f>
        <v>#DIV/0!</v>
      </c>
      <c r="AP84" s="350" t="e">
        <f>(Apoio_Efeito!AA35)/Apoio_Efeito!$R$35</f>
        <v>#DIV/0!</v>
      </c>
      <c r="AQ84" s="350" t="e">
        <f>(Apoio_Efeito!AA36)/Apoio_Efeito!$R$36</f>
        <v>#DIV/0!</v>
      </c>
      <c r="AR84" s="350" t="e">
        <f>(Apoio_Efeito!AA37)/Apoio_Efeito!$R$37</f>
        <v>#DIV/0!</v>
      </c>
      <c r="AS84" s="350" t="e">
        <f>(Apoio_Efeito!AA38)/Apoio_Efeito!$R$38</f>
        <v>#DIV/0!</v>
      </c>
      <c r="AT84" s="350" t="e">
        <f>(Apoio_Efeito!AA39)/Apoio_Efeito!$R$39</f>
        <v>#DIV/0!</v>
      </c>
      <c r="AU84" s="343" t="e">
        <f>(Apoio_Efeito!AA40)/Apoio_Efeito!$R$40</f>
        <v>#DIV/0!</v>
      </c>
      <c r="AV84" s="343" t="e">
        <f>(Apoio_Efeito!AA41)/Apoio_Efeito!$R$41</f>
        <v>#DIV/0!</v>
      </c>
      <c r="AW84" s="343" t="e">
        <f>(Apoio_Efeito!AA42)/Apoio_Efeito!$R$42</f>
        <v>#DIV/0!</v>
      </c>
      <c r="AX84" s="343" t="e">
        <f>(Apoio_Efeito!AA43)/Apoio_Efeito!$R$43</f>
        <v>#DIV/0!</v>
      </c>
      <c r="AY84" s="343" t="e">
        <f>(Apoio_Efeito!AA44)/Apoio_Efeito!$R$44</f>
        <v>#DIV/0!</v>
      </c>
      <c r="AZ84" s="343" t="e">
        <f>(Apoio_Efeito!AA45)/Apoio_Efeito!$R$45</f>
        <v>#DIV/0!</v>
      </c>
      <c r="BA84" s="345" t="e">
        <f>(Apoio_Efeito!AA46)/Apoio_Efeito!$R$46</f>
        <v>#DIV/0!</v>
      </c>
      <c r="BB84" s="343" t="e">
        <f>(Apoio_Efeito!AA47)/Apoio_Efeito!$R$47</f>
        <v>#DIV/0!</v>
      </c>
      <c r="BC84" s="343" t="e">
        <f>(Apoio_Efeito!AA48)/Apoio_Efeito!$R$48</f>
        <v>#DIV/0!</v>
      </c>
      <c r="BD84" s="343" t="e">
        <f>(Apoio_Efeito!AA49)/Apoio_Efeito!$R$49</f>
        <v>#DIV/0!</v>
      </c>
      <c r="BE84" s="343" t="e">
        <f>(Apoio_Efeito!AA50)/Apoio_Efeito!$R$50</f>
        <v>#DIV/0!</v>
      </c>
      <c r="BF84" s="343" t="e">
        <f>(Apoio_Efeito!AA51)/Apoio_Efeito!$R$51</f>
        <v>#DIV/0!</v>
      </c>
      <c r="BG84" s="344">
        <f>(Apoio_Efeito!AA52)/Apoio_Efeito!$R$52</f>
        <v>0</v>
      </c>
      <c r="BH84" s="344">
        <f>(Apoio_Efeito!AA53)/Apoio_Efeito!$R$53</f>
        <v>0</v>
      </c>
      <c r="BI84" s="100"/>
      <c r="BJ84" s="277">
        <f t="shared" si="11"/>
        <v>0</v>
      </c>
      <c r="BK84" s="96"/>
      <c r="BL84" s="32"/>
      <c r="BN84" s="5"/>
    </row>
    <row r="85" spans="7:66" hidden="1">
      <c r="G85" s="207"/>
      <c r="H85" s="83" t="s">
        <v>351</v>
      </c>
      <c r="I85" s="275" t="e">
        <f>(Apoio_Efeito!AB4)/Apoio_Efeito!$R$4</f>
        <v>#DIV/0!</v>
      </c>
      <c r="J85" s="343" t="e">
        <f>(Apoio_Efeito!AB5)/Apoio_Efeito!$R$5</f>
        <v>#DIV/0!</v>
      </c>
      <c r="K85" s="343" t="e">
        <f>(Apoio_Efeito!AB6)/Apoio_Efeito!$R$6</f>
        <v>#DIV/0!</v>
      </c>
      <c r="L85" s="343">
        <f>(Apoio_Efeito!AB7)/Apoio_Efeito!$R$7</f>
        <v>0</v>
      </c>
      <c r="M85" s="343" t="e">
        <f>(Apoio_Efeito!AB54)/Apoio_Efeito!$R$54</f>
        <v>#DIV/0!</v>
      </c>
      <c r="N85" s="343" t="e">
        <f>(Apoio_Efeito!AB8)/Apoio_Efeito!$R$8</f>
        <v>#DIV/0!</v>
      </c>
      <c r="O85" s="343" t="e">
        <f>(Apoio_Efeito!AB9)/Apoio_Efeito!$R$9</f>
        <v>#DIV/0!</v>
      </c>
      <c r="P85" s="345" t="e">
        <f>(Apoio_Efeito!AB10)/Apoio_Efeito!$R$10</f>
        <v>#DIV/0!</v>
      </c>
      <c r="Q85" s="343" t="e">
        <f>(Apoio_Efeito!AB11)/Apoio_Efeito!$R$11</f>
        <v>#DIV/0!</v>
      </c>
      <c r="R85" s="343" t="e">
        <f>(Apoio_Efeito!AB12)/Apoio_Efeito!$R12</f>
        <v>#DIV/0!</v>
      </c>
      <c r="S85" s="343" t="e">
        <f>(Apoio_Efeito!AB13)/Apoio_Efeito!$R$13</f>
        <v>#DIV/0!</v>
      </c>
      <c r="T85" s="343" t="e">
        <f>(Apoio_Efeito!AB14)/Apoio_Efeito!$R$14</f>
        <v>#DIV/0!</v>
      </c>
      <c r="U85" s="343" t="e">
        <f>(Apoio_Efeito!AB15)/Apoio_Efeito!$R$15</f>
        <v>#DIV/0!</v>
      </c>
      <c r="V85" s="343" t="e">
        <f>(Apoio_Efeito!AB16)/Apoio_Efeito!$R$16</f>
        <v>#DIV/0!</v>
      </c>
      <c r="W85" s="343" t="e">
        <f>(Apoio_Efeito!AB17)/Apoio_Efeito!$R$17</f>
        <v>#DIV/0!</v>
      </c>
      <c r="X85" s="350" t="e">
        <f>(Apoio_Efeito!AB18)/Apoio_Efeito!$R$18</f>
        <v>#DIV/0!</v>
      </c>
      <c r="Y85" s="350" t="e">
        <f>(Apoio_Efeito!AB19)/Apoio_Efeito!$R$19</f>
        <v>#DIV/0!</v>
      </c>
      <c r="Z85" s="350" t="e">
        <f>(Apoio_Efeito!AB20)/Apoio_Efeito!$R$20</f>
        <v>#DIV/0!</v>
      </c>
      <c r="AA85" s="350" t="e">
        <f>(Apoio_Efeito!AB21)/Apoio_Efeito!$R$21</f>
        <v>#DIV/0!</v>
      </c>
      <c r="AB85" s="350" t="e">
        <f>(Apoio_Efeito!AB22)/Apoio_Efeito!$R$22</f>
        <v>#DIV/0!</v>
      </c>
      <c r="AC85" s="350" t="e">
        <f>(Apoio_Efeito!AB23)/Apoio_Efeito!$R$23</f>
        <v>#DIV/0!</v>
      </c>
      <c r="AD85" s="350" t="e">
        <f>(Apoio_Efeito!AB24)/Apoio_Efeito!$R$24</f>
        <v>#DIV/0!</v>
      </c>
      <c r="AE85" s="350" t="e">
        <f>(Apoio_Efeito!AB25)/Apoio_Efeito!$R$25</f>
        <v>#DIV/0!</v>
      </c>
      <c r="AF85" s="350" t="e">
        <f>(Apoio_Efeito!AB26)/Apoio_Efeito!$R$26</f>
        <v>#DIV/0!</v>
      </c>
      <c r="AG85" s="350" t="e">
        <f>(Apoio_Efeito!AB27)/Apoio_Efeito!$R$27</f>
        <v>#DIV/0!</v>
      </c>
      <c r="AH85" s="350" t="e">
        <f>(Apoio_Efeito!AB28)/Apoio_Efeito!$R$28</f>
        <v>#DIV/0!</v>
      </c>
      <c r="AI85" s="350" t="e">
        <f>(Apoio_Efeito!AB29)/Apoio_Efeito!$R$29</f>
        <v>#DIV/0!</v>
      </c>
      <c r="AJ85" s="350" t="e">
        <f>(Apoio_Efeito!AB30)/Apoio_Efeito!$R$30</f>
        <v>#DIV/0!</v>
      </c>
      <c r="AK85" s="350" t="e">
        <f>(Apoio_Efeito!AB55)/Apoio_Efeito!$R$55</f>
        <v>#DIV/0!</v>
      </c>
      <c r="AL85" s="350" t="e">
        <f>(Apoio_Efeito!AB31)/Apoio_Efeito!$R$31</f>
        <v>#DIV/0!</v>
      </c>
      <c r="AM85" s="350" t="e">
        <f>(Apoio_Efeito!AB32)/Apoio_Efeito!$R$32</f>
        <v>#DIV/0!</v>
      </c>
      <c r="AN85" s="350" t="e">
        <f>(Apoio_Efeito!AB33)/Apoio_Efeito!$R$33</f>
        <v>#DIV/0!</v>
      </c>
      <c r="AO85" s="350" t="e">
        <f>(Apoio_Efeito!AB34)/Apoio_Efeito!$R$34</f>
        <v>#DIV/0!</v>
      </c>
      <c r="AP85" s="350" t="e">
        <f>(Apoio_Efeito!AB35)/Apoio_Efeito!$R$35</f>
        <v>#DIV/0!</v>
      </c>
      <c r="AQ85" s="350" t="e">
        <f>(Apoio_Efeito!AB36)/Apoio_Efeito!$R$36</f>
        <v>#DIV/0!</v>
      </c>
      <c r="AR85" s="350" t="e">
        <f>(Apoio_Efeito!AB37)/Apoio_Efeito!$R$37</f>
        <v>#DIV/0!</v>
      </c>
      <c r="AS85" s="350" t="e">
        <f>(Apoio_Efeito!AB38)/Apoio_Efeito!$R$38</f>
        <v>#DIV/0!</v>
      </c>
      <c r="AT85" s="350" t="e">
        <f>(Apoio_Efeito!AB39)/Apoio_Efeito!$R$39</f>
        <v>#DIV/0!</v>
      </c>
      <c r="AU85" s="343" t="e">
        <f>(Apoio_Efeito!AB40)/Apoio_Efeito!$R$40</f>
        <v>#DIV/0!</v>
      </c>
      <c r="AV85" s="343" t="e">
        <f>(Apoio_Efeito!AB41)/Apoio_Efeito!$R$41</f>
        <v>#DIV/0!</v>
      </c>
      <c r="AW85" s="343" t="e">
        <f>(Apoio_Efeito!AB42)/Apoio_Efeito!$R$42</f>
        <v>#DIV/0!</v>
      </c>
      <c r="AX85" s="343" t="e">
        <f>(Apoio_Efeito!AB43)/Apoio_Efeito!$R$43</f>
        <v>#DIV/0!</v>
      </c>
      <c r="AY85" s="343" t="e">
        <f>(Apoio_Efeito!AB44)/Apoio_Efeito!$R$44</f>
        <v>#DIV/0!</v>
      </c>
      <c r="AZ85" s="343" t="e">
        <f>(Apoio_Efeito!AB45)/Apoio_Efeito!$R$45</f>
        <v>#DIV/0!</v>
      </c>
      <c r="BA85" s="345" t="e">
        <f>(Apoio_Efeito!AB46)/Apoio_Efeito!$R$46</f>
        <v>#DIV/0!</v>
      </c>
      <c r="BB85" s="343" t="e">
        <f>(Apoio_Efeito!AB47)/Apoio_Efeito!$R$47</f>
        <v>#DIV/0!</v>
      </c>
      <c r="BC85" s="343" t="e">
        <f>(Apoio_Efeito!AB48)/Apoio_Efeito!$R$48</f>
        <v>#DIV/0!</v>
      </c>
      <c r="BD85" s="343" t="e">
        <f>(Apoio_Efeito!AB49)/Apoio_Efeito!$R$49</f>
        <v>#DIV/0!</v>
      </c>
      <c r="BE85" s="343" t="e">
        <f>(Apoio_Efeito!AB50)/Apoio_Efeito!$R$50</f>
        <v>#DIV/0!</v>
      </c>
      <c r="BF85" s="343" t="e">
        <f>(Apoio_Efeito!AB51)/Apoio_Efeito!$R$51</f>
        <v>#DIV/0!</v>
      </c>
      <c r="BG85" s="344">
        <f>(Apoio_Efeito!AB52)/Apoio_Efeito!$R$52</f>
        <v>0</v>
      </c>
      <c r="BH85" s="344">
        <f>(Apoio_Efeito!AB53)/Apoio_Efeito!$R$53</f>
        <v>0</v>
      </c>
      <c r="BI85" s="100"/>
      <c r="BJ85" s="277">
        <f t="shared" si="11"/>
        <v>0</v>
      </c>
      <c r="BK85" s="215"/>
      <c r="BL85" s="216"/>
      <c r="BN85" s="5"/>
    </row>
    <row r="86" spans="7:66" hidden="1">
      <c r="G86" s="207"/>
      <c r="H86" s="83" t="s">
        <v>18</v>
      </c>
      <c r="I86" s="275" t="e">
        <f>(Apoio_Efeito!AC4)/Apoio_Efeito!$R$4</f>
        <v>#DIV/0!</v>
      </c>
      <c r="J86" s="343" t="e">
        <f>(Apoio_Efeito!AC5)/Apoio_Efeito!$R$5</f>
        <v>#DIV/0!</v>
      </c>
      <c r="K86" s="343" t="e">
        <f>(Apoio_Efeito!AC6)/Apoio_Efeito!$R$6</f>
        <v>#DIV/0!</v>
      </c>
      <c r="L86" s="343">
        <f>(Apoio_Efeito!AC7)/Apoio_Efeito!$R$7</f>
        <v>0</v>
      </c>
      <c r="M86" s="343" t="e">
        <f>(Apoio_Efeito!AC54)/Apoio_Efeito!$R$54</f>
        <v>#DIV/0!</v>
      </c>
      <c r="N86" s="343" t="e">
        <f>(Apoio_Efeito!AC8)/Apoio_Efeito!$R$8</f>
        <v>#DIV/0!</v>
      </c>
      <c r="O86" s="343" t="e">
        <f>(Apoio_Efeito!AC9)/Apoio_Efeito!$R$9</f>
        <v>#DIV/0!</v>
      </c>
      <c r="P86" s="345" t="e">
        <f>(Apoio_Efeito!AC10)/Apoio_Efeito!$R$10</f>
        <v>#DIV/0!</v>
      </c>
      <c r="Q86" s="343" t="e">
        <f>(Apoio_Efeito!AC11)/Apoio_Efeito!$R$11</f>
        <v>#DIV/0!</v>
      </c>
      <c r="R86" s="343" t="e">
        <f>(Apoio_Efeito!AC12)/Apoio_Efeito!$R12</f>
        <v>#DIV/0!</v>
      </c>
      <c r="S86" s="343" t="e">
        <f>(Apoio_Efeito!AC13)/Apoio_Efeito!$R$13</f>
        <v>#DIV/0!</v>
      </c>
      <c r="T86" s="343" t="e">
        <f>(Apoio_Efeito!AC14)/Apoio_Efeito!$R$14</f>
        <v>#DIV/0!</v>
      </c>
      <c r="U86" s="343" t="e">
        <f>(Apoio_Efeito!AC15)/Apoio_Efeito!$R$15</f>
        <v>#DIV/0!</v>
      </c>
      <c r="V86" s="343" t="e">
        <f>(Apoio_Efeito!AC16)/Apoio_Efeito!$R$16</f>
        <v>#DIV/0!</v>
      </c>
      <c r="W86" s="343" t="e">
        <f>(Apoio_Efeito!AC17)/Apoio_Efeito!$R$17</f>
        <v>#DIV/0!</v>
      </c>
      <c r="X86" s="350" t="e">
        <f>(Apoio_Efeito!AC18)/Apoio_Efeito!$R$18</f>
        <v>#DIV/0!</v>
      </c>
      <c r="Y86" s="350" t="e">
        <f>(Apoio_Efeito!AC19)/Apoio_Efeito!$R$19</f>
        <v>#DIV/0!</v>
      </c>
      <c r="Z86" s="350" t="e">
        <f>(Apoio_Efeito!AC20)/Apoio_Efeito!$R$20</f>
        <v>#DIV/0!</v>
      </c>
      <c r="AA86" s="350" t="e">
        <f>(Apoio_Efeito!AC21)/Apoio_Efeito!$R$21</f>
        <v>#DIV/0!</v>
      </c>
      <c r="AB86" s="350" t="e">
        <f>(Apoio_Efeito!AC22)/Apoio_Efeito!$R$22</f>
        <v>#DIV/0!</v>
      </c>
      <c r="AC86" s="350" t="e">
        <f>(Apoio_Efeito!AC23)/Apoio_Efeito!$R$23</f>
        <v>#DIV/0!</v>
      </c>
      <c r="AD86" s="350" t="e">
        <f>(Apoio_Efeito!AC24)/Apoio_Efeito!$R$24</f>
        <v>#DIV/0!</v>
      </c>
      <c r="AE86" s="350" t="e">
        <f>(Apoio_Efeito!AC25)/Apoio_Efeito!$R$25</f>
        <v>#DIV/0!</v>
      </c>
      <c r="AF86" s="350" t="e">
        <f>(Apoio_Efeito!AC26)/Apoio_Efeito!$R$26</f>
        <v>#DIV/0!</v>
      </c>
      <c r="AG86" s="350" t="e">
        <f>(Apoio_Efeito!AC27)/Apoio_Efeito!$R$27</f>
        <v>#DIV/0!</v>
      </c>
      <c r="AH86" s="350" t="e">
        <f>(Apoio_Efeito!AC28)/Apoio_Efeito!$R$28</f>
        <v>#DIV/0!</v>
      </c>
      <c r="AI86" s="350" t="e">
        <f>(Apoio_Efeito!AC29)/Apoio_Efeito!$R$29</f>
        <v>#DIV/0!</v>
      </c>
      <c r="AJ86" s="350" t="e">
        <f>(Apoio_Efeito!AC30)/Apoio_Efeito!$R$30</f>
        <v>#DIV/0!</v>
      </c>
      <c r="AK86" s="350" t="e">
        <f>(Apoio_Efeito!AC55)/Apoio_Efeito!$R$55</f>
        <v>#DIV/0!</v>
      </c>
      <c r="AL86" s="350" t="e">
        <f>(Apoio_Efeito!AC31)/Apoio_Efeito!$R$31</f>
        <v>#DIV/0!</v>
      </c>
      <c r="AM86" s="350" t="e">
        <f>(Apoio_Efeito!AC32)/Apoio_Efeito!$R$32</f>
        <v>#DIV/0!</v>
      </c>
      <c r="AN86" s="350" t="e">
        <f>(Apoio_Efeito!AC33)/Apoio_Efeito!$R$33</f>
        <v>#DIV/0!</v>
      </c>
      <c r="AO86" s="350" t="e">
        <f>(Apoio_Efeito!AC34)/Apoio_Efeito!$R$34</f>
        <v>#DIV/0!</v>
      </c>
      <c r="AP86" s="350" t="e">
        <f>(Apoio_Efeito!AC35)/Apoio_Efeito!$R$35</f>
        <v>#DIV/0!</v>
      </c>
      <c r="AQ86" s="350" t="e">
        <f>(Apoio_Efeito!AC36)/Apoio_Efeito!$R$36</f>
        <v>#DIV/0!</v>
      </c>
      <c r="AR86" s="350" t="e">
        <f>(Apoio_Efeito!AC37)/Apoio_Efeito!$R$37</f>
        <v>#DIV/0!</v>
      </c>
      <c r="AS86" s="350" t="e">
        <f>(Apoio_Efeito!AC38)/Apoio_Efeito!$R$38</f>
        <v>#DIV/0!</v>
      </c>
      <c r="AT86" s="350" t="e">
        <f>(Apoio_Efeito!AC39)/Apoio_Efeito!$R$39</f>
        <v>#DIV/0!</v>
      </c>
      <c r="AU86" s="343" t="e">
        <f>(Apoio_Efeito!AC40)/Apoio_Efeito!$R$40</f>
        <v>#DIV/0!</v>
      </c>
      <c r="AV86" s="343" t="e">
        <f>(Apoio_Efeito!AC41)/Apoio_Efeito!$R$41</f>
        <v>#DIV/0!</v>
      </c>
      <c r="AW86" s="343" t="e">
        <f>(Apoio_Efeito!AC42)/Apoio_Efeito!$R$42</f>
        <v>#DIV/0!</v>
      </c>
      <c r="AX86" s="343" t="e">
        <f>(Apoio_Efeito!AC43)/Apoio_Efeito!$R$43</f>
        <v>#DIV/0!</v>
      </c>
      <c r="AY86" s="343" t="e">
        <f>(Apoio_Efeito!AC44)/Apoio_Efeito!$R$44</f>
        <v>#DIV/0!</v>
      </c>
      <c r="AZ86" s="343" t="e">
        <f>(Apoio_Efeito!AC45)/Apoio_Efeito!$R$45</f>
        <v>#DIV/0!</v>
      </c>
      <c r="BA86" s="345" t="e">
        <f>(Apoio_Efeito!AC46)/Apoio_Efeito!$R$46</f>
        <v>#DIV/0!</v>
      </c>
      <c r="BB86" s="343" t="e">
        <f>(Apoio_Efeito!AC47)/Apoio_Efeito!$R$47</f>
        <v>#DIV/0!</v>
      </c>
      <c r="BC86" s="343" t="e">
        <f>(Apoio_Efeito!AC48)/Apoio_Efeito!$R$48</f>
        <v>#DIV/0!</v>
      </c>
      <c r="BD86" s="343" t="e">
        <f>(Apoio_Efeito!AC49)/Apoio_Efeito!$R$49</f>
        <v>#DIV/0!</v>
      </c>
      <c r="BE86" s="343" t="e">
        <f>(Apoio_Efeito!AC50)/Apoio_Efeito!$R$50</f>
        <v>#DIV/0!</v>
      </c>
      <c r="BF86" s="343" t="e">
        <f>(Apoio_Efeito!AC51)/Apoio_Efeito!$R$51</f>
        <v>#DIV/0!</v>
      </c>
      <c r="BG86" s="344">
        <f>(Apoio_Efeito!AC52)/Apoio_Efeito!$R$52</f>
        <v>0</v>
      </c>
      <c r="BH86" s="344">
        <f>(Apoio_Efeito!AC53)/Apoio_Efeito!$R$53</f>
        <v>0</v>
      </c>
      <c r="BI86" s="100"/>
      <c r="BJ86" s="277">
        <f t="shared" si="11"/>
        <v>0</v>
      </c>
      <c r="BK86" s="96"/>
      <c r="BL86" s="32"/>
      <c r="BN86" s="5"/>
    </row>
    <row r="87" spans="7:66">
      <c r="G87" s="207"/>
      <c r="H87" s="83" t="s">
        <v>15</v>
      </c>
      <c r="I87" s="84" t="e">
        <f>(Apoio_Efeito!AD4)/Apoio_Efeito!$R$4</f>
        <v>#DIV/0!</v>
      </c>
      <c r="J87" s="343" t="e">
        <f>(Apoio_Efeito!AD5)/Apoio_Efeito!$R$5</f>
        <v>#DIV/0!</v>
      </c>
      <c r="K87" s="343" t="e">
        <f>(Apoio_Efeito!AD6)/Apoio_Efeito!$R$6</f>
        <v>#DIV/0!</v>
      </c>
      <c r="L87" s="343">
        <f>(Apoio_Efeito!AD7)/Apoio_Efeito!$R$7</f>
        <v>-2.2499729301340835E-4</v>
      </c>
      <c r="M87" s="343" t="e">
        <f>(Apoio_Efeito!AD54)/Apoio_Efeito!$R$54</f>
        <v>#DIV/0!</v>
      </c>
      <c r="N87" s="343" t="e">
        <f>(Apoio_Efeito!AD8)/Apoio_Efeito!$R$8</f>
        <v>#DIV/0!</v>
      </c>
      <c r="O87" s="343" t="e">
        <f>(Apoio_Efeito!AD9)/Apoio_Efeito!$R$9</f>
        <v>#DIV/0!</v>
      </c>
      <c r="P87" s="345" t="e">
        <f>(Apoio_Efeito!AD10)/Apoio_Efeito!$R$10</f>
        <v>#DIV/0!</v>
      </c>
      <c r="Q87" s="343" t="e">
        <f>(Apoio_Efeito!AD11)/Apoio_Efeito!$R$11</f>
        <v>#DIV/0!</v>
      </c>
      <c r="R87" s="343" t="e">
        <f>(Apoio_Efeito!AD12)/Apoio_Efeito!$R12</f>
        <v>#DIV/0!</v>
      </c>
      <c r="S87" s="343" t="e">
        <f>(Apoio_Efeito!AD13)/Apoio_Efeito!$R$13</f>
        <v>#DIV/0!</v>
      </c>
      <c r="T87" s="343" t="e">
        <f>(Apoio_Efeito!AD14)/Apoio_Efeito!$R$14</f>
        <v>#DIV/0!</v>
      </c>
      <c r="U87" s="343" t="e">
        <f>(Apoio_Efeito!AD15)/Apoio_Efeito!$R$15</f>
        <v>#DIV/0!</v>
      </c>
      <c r="V87" s="343" t="e">
        <f>(Apoio_Efeito!AD16)/Apoio_Efeito!$R$16</f>
        <v>#DIV/0!</v>
      </c>
      <c r="W87" s="343" t="e">
        <f>(Apoio_Efeito!AD17)/Apoio_Efeito!$R$17</f>
        <v>#DIV/0!</v>
      </c>
      <c r="X87" s="350" t="e">
        <f>(Apoio_Efeito!AD18)/Apoio_Efeito!$R$18</f>
        <v>#DIV/0!</v>
      </c>
      <c r="Y87" s="350" t="e">
        <f>(Apoio_Efeito!AD19)/Apoio_Efeito!$R$19</f>
        <v>#DIV/0!</v>
      </c>
      <c r="Z87" s="350" t="e">
        <f>(Apoio_Efeito!AD20)/Apoio_Efeito!$R$20</f>
        <v>#DIV/0!</v>
      </c>
      <c r="AA87" s="350" t="e">
        <f>(Apoio_Efeito!AD21)/Apoio_Efeito!$R$21</f>
        <v>#DIV/0!</v>
      </c>
      <c r="AB87" s="350" t="e">
        <f>(Apoio_Efeito!AD22)/Apoio_Efeito!$R$22</f>
        <v>#DIV/0!</v>
      </c>
      <c r="AC87" s="350" t="e">
        <f>(Apoio_Efeito!AD23)/Apoio_Efeito!$R$23</f>
        <v>#DIV/0!</v>
      </c>
      <c r="AD87" s="350" t="e">
        <f>(Apoio_Efeito!AD24)/Apoio_Efeito!$R$24</f>
        <v>#DIV/0!</v>
      </c>
      <c r="AE87" s="350" t="e">
        <f>(Apoio_Efeito!AD25)/Apoio_Efeito!$R$25</f>
        <v>#DIV/0!</v>
      </c>
      <c r="AF87" s="350" t="e">
        <f>(Apoio_Efeito!AD26)/Apoio_Efeito!$R$26</f>
        <v>#DIV/0!</v>
      </c>
      <c r="AG87" s="350" t="e">
        <f>(Apoio_Efeito!AD27)/Apoio_Efeito!$R$27</f>
        <v>#DIV/0!</v>
      </c>
      <c r="AH87" s="350" t="e">
        <f>(Apoio_Efeito!AD28)/Apoio_Efeito!$R$28</f>
        <v>#DIV/0!</v>
      </c>
      <c r="AI87" s="350" t="e">
        <f>(Apoio_Efeito!AD29)/Apoio_Efeito!$R$29</f>
        <v>#DIV/0!</v>
      </c>
      <c r="AJ87" s="350" t="e">
        <f>(Apoio_Efeito!AD30)/Apoio_Efeito!$R$30</f>
        <v>#DIV/0!</v>
      </c>
      <c r="AK87" s="350" t="e">
        <f>(Apoio_Efeito!AD55)/Apoio_Efeito!$R$55</f>
        <v>#DIV/0!</v>
      </c>
      <c r="AL87" s="350" t="e">
        <f>(Apoio_Efeito!AD31)/Apoio_Efeito!$R$31</f>
        <v>#DIV/0!</v>
      </c>
      <c r="AM87" s="350" t="e">
        <f>(Apoio_Efeito!AD32)/Apoio_Efeito!$R$32</f>
        <v>#DIV/0!</v>
      </c>
      <c r="AN87" s="350" t="e">
        <f>(Apoio_Efeito!AD33)/Apoio_Efeito!$R$33</f>
        <v>#DIV/0!</v>
      </c>
      <c r="AO87" s="350" t="e">
        <f>(Apoio_Efeito!AD34)/Apoio_Efeito!$R$34</f>
        <v>#DIV/0!</v>
      </c>
      <c r="AP87" s="350" t="e">
        <f>(Apoio_Efeito!AD35)/Apoio_Efeito!$R$35</f>
        <v>#DIV/0!</v>
      </c>
      <c r="AQ87" s="350" t="e">
        <f>(Apoio_Efeito!AD36)/Apoio_Efeito!$R$36</f>
        <v>#DIV/0!</v>
      </c>
      <c r="AR87" s="350" t="e">
        <f>(Apoio_Efeito!AD37)/Apoio_Efeito!$R$37</f>
        <v>#DIV/0!</v>
      </c>
      <c r="AS87" s="350" t="e">
        <f>(Apoio_Efeito!AD38)/Apoio_Efeito!$R$38</f>
        <v>#DIV/0!</v>
      </c>
      <c r="AT87" s="350" t="e">
        <f>(Apoio_Efeito!AD39)/Apoio_Efeito!$R$39</f>
        <v>#DIV/0!</v>
      </c>
      <c r="AU87" s="343" t="e">
        <f>(Apoio_Efeito!AD40)/Apoio_Efeito!$R$40</f>
        <v>#DIV/0!</v>
      </c>
      <c r="AV87" s="343" t="e">
        <f>(Apoio_Efeito!AD41)/Apoio_Efeito!$R$41</f>
        <v>#DIV/0!</v>
      </c>
      <c r="AW87" s="343" t="e">
        <f>(Apoio_Efeito!AD42)/Apoio_Efeito!$R$42</f>
        <v>#DIV/0!</v>
      </c>
      <c r="AX87" s="343" t="e">
        <f>(Apoio_Efeito!AD43)/Apoio_Efeito!$R$43</f>
        <v>#DIV/0!</v>
      </c>
      <c r="AY87" s="343" t="e">
        <f>(Apoio_Efeito!AD44)/Apoio_Efeito!$R$44</f>
        <v>#DIV/0!</v>
      </c>
      <c r="AZ87" s="343" t="e">
        <f>(Apoio_Efeito!AD45)/Apoio_Efeito!$R$45</f>
        <v>#DIV/0!</v>
      </c>
      <c r="BA87" s="345" t="e">
        <f>(Apoio_Efeito!AD46)/Apoio_Efeito!$R$46</f>
        <v>#DIV/0!</v>
      </c>
      <c r="BB87" s="343" t="e">
        <f>(Apoio_Efeito!AD47)/Apoio_Efeito!$R$47</f>
        <v>#DIV/0!</v>
      </c>
      <c r="BC87" s="343" t="e">
        <f>(Apoio_Efeito!AD48)/Apoio_Efeito!$R$48</f>
        <v>#DIV/0!</v>
      </c>
      <c r="BD87" s="343" t="e">
        <f>(Apoio_Efeito!AD49)/Apoio_Efeito!$R$49</f>
        <v>#DIV/0!</v>
      </c>
      <c r="BE87" s="343" t="e">
        <f>(Apoio_Efeito!AD50)/Apoio_Efeito!$R$50</f>
        <v>#DIV/0!</v>
      </c>
      <c r="BF87" s="343" t="e">
        <f>(Apoio_Efeito!AD51)/Apoio_Efeito!$R$51</f>
        <v>#DIV/0!</v>
      </c>
      <c r="BG87" s="344">
        <f>(Apoio_Efeito!AD52)/Apoio_Efeito!$R$52</f>
        <v>-1.9993500801111438E-2</v>
      </c>
      <c r="BH87" s="344">
        <f>(Apoio_Efeito!AD53)/Apoio_Efeito!$R$53</f>
        <v>-2.6158123739818016E-3</v>
      </c>
      <c r="BI87" s="100"/>
      <c r="BJ87" s="277">
        <f t="shared" si="11"/>
        <v>1</v>
      </c>
      <c r="BK87" s="96"/>
      <c r="BL87" s="32"/>
      <c r="BN87" s="5"/>
    </row>
    <row r="88" spans="7:66">
      <c r="G88" s="207"/>
      <c r="H88" s="149" t="s">
        <v>16</v>
      </c>
      <c r="I88" s="275" t="e">
        <f>(Apoio_Efeito!AE4)/Apoio_Efeito!$R$4</f>
        <v>#DIV/0!</v>
      </c>
      <c r="J88" s="343" t="e">
        <f>(Apoio_Efeito!AE5)/Apoio_Efeito!$R$5</f>
        <v>#DIV/0!</v>
      </c>
      <c r="K88" s="343" t="e">
        <f>(Apoio_Efeito!AE6)/Apoio_Efeito!$R$6</f>
        <v>#DIV/0!</v>
      </c>
      <c r="L88" s="343">
        <f>(Apoio_Efeito!AE7)/Apoio_Efeito!$R$7</f>
        <v>-0.23398245214623725</v>
      </c>
      <c r="M88" s="343" t="e">
        <f>(Apoio_Efeito!AE54)/Apoio_Efeito!$R$54</f>
        <v>#DIV/0!</v>
      </c>
      <c r="N88" s="343" t="e">
        <f>(Apoio_Efeito!AE8)/Apoio_Efeito!$R$8</f>
        <v>#DIV/0!</v>
      </c>
      <c r="O88" s="343" t="e">
        <f>(Apoio_Efeito!AE9)/Apoio_Efeito!$R$9</f>
        <v>#DIV/0!</v>
      </c>
      <c r="P88" s="345" t="e">
        <f>(Apoio_Efeito!AE10)/Apoio_Efeito!$R$10</f>
        <v>#DIV/0!</v>
      </c>
      <c r="Q88" s="343" t="e">
        <f>(Apoio_Efeito!AE11)/Apoio_Efeito!$R$11</f>
        <v>#DIV/0!</v>
      </c>
      <c r="R88" s="343" t="e">
        <f>(Apoio_Efeito!AE12)/Apoio_Efeito!$R12</f>
        <v>#DIV/0!</v>
      </c>
      <c r="S88" s="343" t="e">
        <f>(Apoio_Efeito!AE13)/Apoio_Efeito!$R$13</f>
        <v>#DIV/0!</v>
      </c>
      <c r="T88" s="343" t="e">
        <f>(Apoio_Efeito!AE14)/Apoio_Efeito!$R$14</f>
        <v>#DIV/0!</v>
      </c>
      <c r="U88" s="343" t="e">
        <f>(Apoio_Efeito!AE15)/Apoio_Efeito!$R$15</f>
        <v>#DIV/0!</v>
      </c>
      <c r="V88" s="343" t="e">
        <f>(Apoio_Efeito!AE16)/Apoio_Efeito!$R$16</f>
        <v>#DIV/0!</v>
      </c>
      <c r="W88" s="343" t="e">
        <f>(Apoio_Efeito!AE17)/Apoio_Efeito!$R$17</f>
        <v>#DIV/0!</v>
      </c>
      <c r="X88" s="350" t="e">
        <f>(Apoio_Efeito!AE18)/Apoio_Efeito!$R$18</f>
        <v>#DIV/0!</v>
      </c>
      <c r="Y88" s="350" t="e">
        <f>(Apoio_Efeito!AE19)/Apoio_Efeito!$R$19</f>
        <v>#DIV/0!</v>
      </c>
      <c r="Z88" s="350" t="e">
        <f>(Apoio_Efeito!AE20)/Apoio_Efeito!$R$20</f>
        <v>#DIV/0!</v>
      </c>
      <c r="AA88" s="350" t="e">
        <f>(Apoio_Efeito!AE21)/Apoio_Efeito!$R$21</f>
        <v>#DIV/0!</v>
      </c>
      <c r="AB88" s="350" t="e">
        <f>(Apoio_Efeito!AE22)/Apoio_Efeito!$R$22</f>
        <v>#DIV/0!</v>
      </c>
      <c r="AC88" s="350" t="e">
        <f>(Apoio_Efeito!AE23)/Apoio_Efeito!$R$23</f>
        <v>#DIV/0!</v>
      </c>
      <c r="AD88" s="350" t="e">
        <f>(Apoio_Efeito!AE24)/Apoio_Efeito!$R$24</f>
        <v>#DIV/0!</v>
      </c>
      <c r="AE88" s="350" t="e">
        <f>(Apoio_Efeito!AE25)/Apoio_Efeito!$R$25</f>
        <v>#DIV/0!</v>
      </c>
      <c r="AF88" s="350" t="e">
        <f>(Apoio_Efeito!AE26)/Apoio_Efeito!$R$26</f>
        <v>#DIV/0!</v>
      </c>
      <c r="AG88" s="350" t="e">
        <f>(Apoio_Efeito!AE27)/Apoio_Efeito!$R$27</f>
        <v>#DIV/0!</v>
      </c>
      <c r="AH88" s="350" t="e">
        <f>(Apoio_Efeito!AE28)/Apoio_Efeito!$R$28</f>
        <v>#DIV/0!</v>
      </c>
      <c r="AI88" s="350" t="e">
        <f>(Apoio_Efeito!AE29)/Apoio_Efeito!$R$29</f>
        <v>#DIV/0!</v>
      </c>
      <c r="AJ88" s="350" t="e">
        <f>(Apoio_Efeito!AE30)/Apoio_Efeito!$R$30</f>
        <v>#DIV/0!</v>
      </c>
      <c r="AK88" s="350" t="e">
        <f>(Apoio_Efeito!AE55)/Apoio_Efeito!$R$55</f>
        <v>#DIV/0!</v>
      </c>
      <c r="AL88" s="350" t="e">
        <f>(Apoio_Efeito!AE31)/Apoio_Efeito!$R$31</f>
        <v>#DIV/0!</v>
      </c>
      <c r="AM88" s="350" t="e">
        <f>(Apoio_Efeito!AE32)/Apoio_Efeito!$R$32</f>
        <v>#DIV/0!</v>
      </c>
      <c r="AN88" s="350" t="e">
        <f>(Apoio_Efeito!AE33)/Apoio_Efeito!$R$33</f>
        <v>#DIV/0!</v>
      </c>
      <c r="AO88" s="350" t="e">
        <f>(Apoio_Efeito!AE34)/Apoio_Efeito!$R$34</f>
        <v>#DIV/0!</v>
      </c>
      <c r="AP88" s="350" t="e">
        <f>(Apoio_Efeito!AE35)/Apoio_Efeito!$R$35</f>
        <v>#DIV/0!</v>
      </c>
      <c r="AQ88" s="350" t="e">
        <f>(Apoio_Efeito!AE36)/Apoio_Efeito!$R$36</f>
        <v>#DIV/0!</v>
      </c>
      <c r="AR88" s="350" t="e">
        <f>(Apoio_Efeito!AE37)/Apoio_Efeito!$R$37</f>
        <v>#DIV/0!</v>
      </c>
      <c r="AS88" s="350" t="e">
        <f>(Apoio_Efeito!AE38)/Apoio_Efeito!$R$38</f>
        <v>#DIV/0!</v>
      </c>
      <c r="AT88" s="350" t="e">
        <f>(Apoio_Efeito!AE39)/Apoio_Efeito!$R$39</f>
        <v>#DIV/0!</v>
      </c>
      <c r="AU88" s="343" t="e">
        <f>(Apoio_Efeito!AE40)/Apoio_Efeito!$R$40</f>
        <v>#DIV/0!</v>
      </c>
      <c r="AV88" s="343" t="e">
        <f>(Apoio_Efeito!AE41)/Apoio_Efeito!$R$41</f>
        <v>#DIV/0!</v>
      </c>
      <c r="AW88" s="343" t="e">
        <f>(Apoio_Efeito!AE42)/Apoio_Efeito!$R$42</f>
        <v>#DIV/0!</v>
      </c>
      <c r="AX88" s="343" t="e">
        <f>(Apoio_Efeito!AE43)/Apoio_Efeito!$R$43</f>
        <v>#DIV/0!</v>
      </c>
      <c r="AY88" s="343" t="e">
        <f>(Apoio_Efeito!AE44)/Apoio_Efeito!$R$44</f>
        <v>#DIV/0!</v>
      </c>
      <c r="AZ88" s="343" t="e">
        <f>(Apoio_Efeito!AE45)/Apoio_Efeito!$R$45</f>
        <v>#DIV/0!</v>
      </c>
      <c r="BA88" s="345" t="e">
        <f>(Apoio_Efeito!AE46)/Apoio_Efeito!$R$46</f>
        <v>#DIV/0!</v>
      </c>
      <c r="BB88" s="343" t="e">
        <f>(Apoio_Efeito!AE47)/Apoio_Efeito!$R$47</f>
        <v>#DIV/0!</v>
      </c>
      <c r="BC88" s="343" t="e">
        <f>(Apoio_Efeito!AE48)/Apoio_Efeito!$R$48</f>
        <v>#DIV/0!</v>
      </c>
      <c r="BD88" s="343" t="e">
        <f>(Apoio_Efeito!AE49)/Apoio_Efeito!$R$49</f>
        <v>#DIV/0!</v>
      </c>
      <c r="BE88" s="343" t="e">
        <f>(Apoio_Efeito!AE50)/Apoio_Efeito!$R$50</f>
        <v>#DIV/0!</v>
      </c>
      <c r="BF88" s="343" t="e">
        <f>(Apoio_Efeito!AE51)/Apoio_Efeito!$R$51</f>
        <v>#DIV/0!</v>
      </c>
      <c r="BG88" s="344">
        <f>(Apoio_Efeito!AE52)/Apoio_Efeito!$R$52</f>
        <v>-0.39831568526338806</v>
      </c>
      <c r="BH88" s="344">
        <f>(Apoio_Efeito!AE53)/Apoio_Efeito!$R$53</f>
        <v>-0.32132323573433519</v>
      </c>
      <c r="BI88" s="100"/>
      <c r="BJ88" s="277">
        <f t="shared" si="11"/>
        <v>1</v>
      </c>
      <c r="BK88" s="96"/>
      <c r="BL88" s="32" t="s">
        <v>282</v>
      </c>
      <c r="BN88" s="5"/>
    </row>
    <row r="89" spans="7:66">
      <c r="G89" s="207"/>
      <c r="H89" s="83" t="s">
        <v>17</v>
      </c>
      <c r="I89" s="275" t="e">
        <f>(Apoio_Efeito!AF4)/Apoio_Efeito!$R$4</f>
        <v>#DIV/0!</v>
      </c>
      <c r="J89" s="343" t="e">
        <f>(Apoio_Efeito!AF5)/Apoio_Efeito!$R$5</f>
        <v>#DIV/0!</v>
      </c>
      <c r="K89" s="343" t="e">
        <f>(Apoio_Efeito!AF6)/Apoio_Efeito!$R$6</f>
        <v>#DIV/0!</v>
      </c>
      <c r="L89" s="343">
        <f>(Apoio_Efeito!AF7)/Apoio_Efeito!$R$7</f>
        <v>0</v>
      </c>
      <c r="M89" s="343" t="e">
        <f>(Apoio_Efeito!AF54)/Apoio_Efeito!$R$54</f>
        <v>#DIV/0!</v>
      </c>
      <c r="N89" s="343" t="e">
        <f>(Apoio_Efeito!AF8)/Apoio_Efeito!$R$8</f>
        <v>#DIV/0!</v>
      </c>
      <c r="O89" s="343" t="e">
        <f>(Apoio_Efeito!AF9)/Apoio_Efeito!$R$9</f>
        <v>#DIV/0!</v>
      </c>
      <c r="P89" s="345" t="e">
        <f>(Apoio_Efeito!AF10)/Apoio_Efeito!$R$10</f>
        <v>#DIV/0!</v>
      </c>
      <c r="Q89" s="343" t="e">
        <f>(Apoio_Efeito!AF11)/Apoio_Efeito!$R$11</f>
        <v>#DIV/0!</v>
      </c>
      <c r="R89" s="343" t="e">
        <f>(Apoio_Efeito!AF12)/Apoio_Efeito!$R12</f>
        <v>#DIV/0!</v>
      </c>
      <c r="S89" s="343" t="e">
        <f>(Apoio_Efeito!AF13)/Apoio_Efeito!$R$13</f>
        <v>#DIV/0!</v>
      </c>
      <c r="T89" s="343" t="e">
        <f>(Apoio_Efeito!AF14)/Apoio_Efeito!$R$14</f>
        <v>#DIV/0!</v>
      </c>
      <c r="U89" s="343" t="e">
        <f>(Apoio_Efeito!AF15)/Apoio_Efeito!$R$15</f>
        <v>#DIV/0!</v>
      </c>
      <c r="V89" s="343" t="e">
        <f>(Apoio_Efeito!AF16)/Apoio_Efeito!$R$16</f>
        <v>#DIV/0!</v>
      </c>
      <c r="W89" s="343" t="e">
        <f>(Apoio_Efeito!AF17)/Apoio_Efeito!$R$17</f>
        <v>#DIV/0!</v>
      </c>
      <c r="X89" s="350" t="e">
        <f>(Apoio_Efeito!AF18)/Apoio_Efeito!$R$18</f>
        <v>#DIV/0!</v>
      </c>
      <c r="Y89" s="350" t="e">
        <f>(Apoio_Efeito!AF19)/Apoio_Efeito!$R$19</f>
        <v>#DIV/0!</v>
      </c>
      <c r="Z89" s="350" t="e">
        <f>(Apoio_Efeito!AF20)/Apoio_Efeito!$R$20</f>
        <v>#DIV/0!</v>
      </c>
      <c r="AA89" s="350" t="e">
        <f>(Apoio_Efeito!AF21)/Apoio_Efeito!$R$21</f>
        <v>#DIV/0!</v>
      </c>
      <c r="AB89" s="350" t="e">
        <f>(Apoio_Efeito!AF22)/Apoio_Efeito!$R$22</f>
        <v>#DIV/0!</v>
      </c>
      <c r="AC89" s="350" t="e">
        <f>(Apoio_Efeito!AF23)/Apoio_Efeito!$R$23</f>
        <v>#DIV/0!</v>
      </c>
      <c r="AD89" s="350" t="e">
        <f>(Apoio_Efeito!AF24)/Apoio_Efeito!$R$24</f>
        <v>#DIV/0!</v>
      </c>
      <c r="AE89" s="350" t="e">
        <f>(Apoio_Efeito!AF25)/Apoio_Efeito!$R$25</f>
        <v>#DIV/0!</v>
      </c>
      <c r="AF89" s="350" t="e">
        <f>(Apoio_Efeito!AF26)/Apoio_Efeito!$R$26</f>
        <v>#DIV/0!</v>
      </c>
      <c r="AG89" s="350" t="e">
        <f>(Apoio_Efeito!AF27)/Apoio_Efeito!$R$27</f>
        <v>#DIV/0!</v>
      </c>
      <c r="AH89" s="350" t="e">
        <f>(Apoio_Efeito!AF28)/Apoio_Efeito!$R$28</f>
        <v>#DIV/0!</v>
      </c>
      <c r="AI89" s="350" t="e">
        <f>(Apoio_Efeito!AF29)/Apoio_Efeito!$R$29</f>
        <v>#DIV/0!</v>
      </c>
      <c r="AJ89" s="350" t="e">
        <f>(Apoio_Efeito!AF30)/Apoio_Efeito!$R$30</f>
        <v>#DIV/0!</v>
      </c>
      <c r="AK89" s="350" t="e">
        <f>(Apoio_Efeito!AF55)/Apoio_Efeito!$R$55</f>
        <v>#DIV/0!</v>
      </c>
      <c r="AL89" s="350" t="e">
        <f>(Apoio_Efeito!AF31)/Apoio_Efeito!$R$31</f>
        <v>#DIV/0!</v>
      </c>
      <c r="AM89" s="350" t="e">
        <f>(Apoio_Efeito!AF32)/Apoio_Efeito!$R$32</f>
        <v>#DIV/0!</v>
      </c>
      <c r="AN89" s="350" t="e">
        <f>(Apoio_Efeito!AF33)/Apoio_Efeito!$R$33</f>
        <v>#DIV/0!</v>
      </c>
      <c r="AO89" s="350" t="e">
        <f>(Apoio_Efeito!AF34)/Apoio_Efeito!$R$34</f>
        <v>#DIV/0!</v>
      </c>
      <c r="AP89" s="350" t="e">
        <f>(Apoio_Efeito!AF35)/Apoio_Efeito!$R$35</f>
        <v>#DIV/0!</v>
      </c>
      <c r="AQ89" s="350" t="e">
        <f>(Apoio_Efeito!AF36)/Apoio_Efeito!$R$36</f>
        <v>#DIV/0!</v>
      </c>
      <c r="AR89" s="350" t="e">
        <f>(Apoio_Efeito!AF37)/Apoio_Efeito!$R$37</f>
        <v>#DIV/0!</v>
      </c>
      <c r="AS89" s="350" t="e">
        <f>(Apoio_Efeito!AF38)/Apoio_Efeito!$R$38</f>
        <v>#DIV/0!</v>
      </c>
      <c r="AT89" s="350" t="e">
        <f>(Apoio_Efeito!AF39)/Apoio_Efeito!$R$39</f>
        <v>#DIV/0!</v>
      </c>
      <c r="AU89" s="343" t="e">
        <f>(Apoio_Efeito!AF40)/Apoio_Efeito!$R$40</f>
        <v>#DIV/0!</v>
      </c>
      <c r="AV89" s="343" t="e">
        <f>(Apoio_Efeito!AF41)/Apoio_Efeito!$R$41</f>
        <v>#DIV/0!</v>
      </c>
      <c r="AW89" s="343" t="e">
        <f>(Apoio_Efeito!AF42)/Apoio_Efeito!$R$42</f>
        <v>#DIV/0!</v>
      </c>
      <c r="AX89" s="343" t="e">
        <f>(Apoio_Efeito!AF43)/Apoio_Efeito!$R$43</f>
        <v>#DIV/0!</v>
      </c>
      <c r="AY89" s="343" t="e">
        <f>(Apoio_Efeito!AF44)/Apoio_Efeito!$R$44</f>
        <v>#DIV/0!</v>
      </c>
      <c r="AZ89" s="343" t="e">
        <f>(Apoio_Efeito!AF45)/Apoio_Efeito!$R$45</f>
        <v>#DIV/0!</v>
      </c>
      <c r="BA89" s="345" t="e">
        <f>(Apoio_Efeito!AF46)/Apoio_Efeito!$R$46</f>
        <v>#DIV/0!</v>
      </c>
      <c r="BB89" s="343" t="e">
        <f>(Apoio_Efeito!AF47)/Apoio_Efeito!$R$47</f>
        <v>#DIV/0!</v>
      </c>
      <c r="BC89" s="343" t="e">
        <f>(Apoio_Efeito!AF48)/Apoio_Efeito!$R$48</f>
        <v>#DIV/0!</v>
      </c>
      <c r="BD89" s="343" t="e">
        <f>(Apoio_Efeito!AF49)/Apoio_Efeito!$R$49</f>
        <v>#DIV/0!</v>
      </c>
      <c r="BE89" s="343" t="e">
        <f>(Apoio_Efeito!AF50)/Apoio_Efeito!$R$50</f>
        <v>#DIV/0!</v>
      </c>
      <c r="BF89" s="343" t="e">
        <f>(Apoio_Efeito!AF51)/Apoio_Efeito!$R$51</f>
        <v>#DIV/0!</v>
      </c>
      <c r="BG89" s="344">
        <f>(Apoio_Efeito!AF52)/Apoio_Efeito!$R$52</f>
        <v>-2.7393574953756299E-6</v>
      </c>
      <c r="BH89" s="344">
        <f>(Apoio_Efeito!AF53)/Apoio_Efeito!$R$53</f>
        <v>-1.0287089023740844E-6</v>
      </c>
      <c r="BI89" s="100"/>
      <c r="BJ89" s="277">
        <f t="shared" si="11"/>
        <v>1</v>
      </c>
      <c r="BK89" s="96"/>
      <c r="BL89" s="32"/>
      <c r="BN89" s="5"/>
    </row>
    <row r="90" spans="7:66" hidden="1">
      <c r="G90" s="207"/>
      <c r="H90" s="83" t="s">
        <v>317</v>
      </c>
      <c r="I90" s="275" t="e">
        <f>(Apoio_Efeito!AG4)/Apoio_Efeito!$R$4</f>
        <v>#DIV/0!</v>
      </c>
      <c r="J90" s="343" t="e">
        <f>(Apoio_Efeito!AG5)/Apoio_Efeito!$R$5</f>
        <v>#DIV/0!</v>
      </c>
      <c r="K90" s="343" t="e">
        <f>(Apoio_Efeito!AG6)/Apoio_Efeito!$R$6</f>
        <v>#DIV/0!</v>
      </c>
      <c r="L90" s="343">
        <f>(Apoio_Efeito!AG7)/Apoio_Efeito!$R$7</f>
        <v>0</v>
      </c>
      <c r="M90" s="343" t="e">
        <f>(Apoio_Efeito!AG54)/Apoio_Efeito!$R$54</f>
        <v>#DIV/0!</v>
      </c>
      <c r="N90" s="343" t="e">
        <f>(Apoio_Efeito!AG8)/Apoio_Efeito!$R$8</f>
        <v>#DIV/0!</v>
      </c>
      <c r="O90" s="343" t="e">
        <f>(Apoio_Efeito!AG9)/Apoio_Efeito!$R$9</f>
        <v>#DIV/0!</v>
      </c>
      <c r="P90" s="345" t="e">
        <f>(Apoio_Efeito!AG10)/Apoio_Efeito!$R$10</f>
        <v>#DIV/0!</v>
      </c>
      <c r="Q90" s="343" t="e">
        <f>(Apoio_Efeito!AG11)/Apoio_Efeito!$R$11</f>
        <v>#DIV/0!</v>
      </c>
      <c r="R90" s="343" t="e">
        <f>(Apoio_Efeito!AG12)/Apoio_Efeito!$R12</f>
        <v>#DIV/0!</v>
      </c>
      <c r="S90" s="343" t="e">
        <f>(Apoio_Efeito!AG13)/Apoio_Efeito!$R$13</f>
        <v>#DIV/0!</v>
      </c>
      <c r="T90" s="343" t="e">
        <f>(Apoio_Efeito!AG14)/Apoio_Efeito!$R$14</f>
        <v>#DIV/0!</v>
      </c>
      <c r="U90" s="343" t="e">
        <f>(Apoio_Efeito!AG15)/Apoio_Efeito!$R$15</f>
        <v>#DIV/0!</v>
      </c>
      <c r="V90" s="343" t="e">
        <f>(Apoio_Efeito!AG16)/Apoio_Efeito!$R$16</f>
        <v>#DIV/0!</v>
      </c>
      <c r="W90" s="343" t="e">
        <f>(Apoio_Efeito!AG17)/Apoio_Efeito!$R$17</f>
        <v>#DIV/0!</v>
      </c>
      <c r="X90" s="350" t="e">
        <f>(Apoio_Efeito!AG18)/Apoio_Efeito!$R$18</f>
        <v>#DIV/0!</v>
      </c>
      <c r="Y90" s="350" t="e">
        <f>(Apoio_Efeito!AG19)/Apoio_Efeito!$R$19</f>
        <v>#DIV/0!</v>
      </c>
      <c r="Z90" s="350" t="e">
        <f>(Apoio_Efeito!AG20)/Apoio_Efeito!$R$20</f>
        <v>#DIV/0!</v>
      </c>
      <c r="AA90" s="350" t="e">
        <f>(Apoio_Efeito!AG21)/Apoio_Efeito!$R$21</f>
        <v>#DIV/0!</v>
      </c>
      <c r="AB90" s="350" t="e">
        <f>(Apoio_Efeito!AG22)/Apoio_Efeito!$R$22</f>
        <v>#DIV/0!</v>
      </c>
      <c r="AC90" s="350" t="e">
        <f>(Apoio_Efeito!AG23)/Apoio_Efeito!$R$23</f>
        <v>#DIV/0!</v>
      </c>
      <c r="AD90" s="350" t="e">
        <f>(Apoio_Efeito!AG24)/Apoio_Efeito!$R$24</f>
        <v>#DIV/0!</v>
      </c>
      <c r="AE90" s="350" t="e">
        <f>(Apoio_Efeito!AG25)/Apoio_Efeito!$R$25</f>
        <v>#DIV/0!</v>
      </c>
      <c r="AF90" s="350" t="e">
        <f>(Apoio_Efeito!AG26)/Apoio_Efeito!$R$26</f>
        <v>#DIV/0!</v>
      </c>
      <c r="AG90" s="350" t="e">
        <f>(Apoio_Efeito!AG27)/Apoio_Efeito!$R$27</f>
        <v>#DIV/0!</v>
      </c>
      <c r="AH90" s="350" t="e">
        <f>(Apoio_Efeito!AG28)/Apoio_Efeito!$R$28</f>
        <v>#DIV/0!</v>
      </c>
      <c r="AI90" s="350" t="e">
        <f>(Apoio_Efeito!AG29)/Apoio_Efeito!$R$29</f>
        <v>#DIV/0!</v>
      </c>
      <c r="AJ90" s="350" t="e">
        <f>(Apoio_Efeito!AG30)/Apoio_Efeito!$R$30</f>
        <v>#DIV/0!</v>
      </c>
      <c r="AK90" s="350" t="e">
        <f>(Apoio_Efeito!AG55)/Apoio_Efeito!$R$55</f>
        <v>#DIV/0!</v>
      </c>
      <c r="AL90" s="350" t="e">
        <f>(Apoio_Efeito!AG31)/Apoio_Efeito!$R$31</f>
        <v>#DIV/0!</v>
      </c>
      <c r="AM90" s="350" t="e">
        <f>(Apoio_Efeito!AG32)/Apoio_Efeito!$R$32</f>
        <v>#DIV/0!</v>
      </c>
      <c r="AN90" s="350" t="e">
        <f>(Apoio_Efeito!AG33)/Apoio_Efeito!$R$33</f>
        <v>#DIV/0!</v>
      </c>
      <c r="AO90" s="350" t="e">
        <f>(Apoio_Efeito!AG34)/Apoio_Efeito!$R$34</f>
        <v>#DIV/0!</v>
      </c>
      <c r="AP90" s="350" t="e">
        <f>(Apoio_Efeito!AG35)/Apoio_Efeito!$R$35</f>
        <v>#DIV/0!</v>
      </c>
      <c r="AQ90" s="350" t="e">
        <f>(Apoio_Efeito!AG36)/Apoio_Efeito!$R$36</f>
        <v>#DIV/0!</v>
      </c>
      <c r="AR90" s="350" t="e">
        <f>(Apoio_Efeito!AG37)/Apoio_Efeito!$R$37</f>
        <v>#DIV/0!</v>
      </c>
      <c r="AS90" s="350" t="e">
        <f>(Apoio_Efeito!AG38)/Apoio_Efeito!$R$38</f>
        <v>#DIV/0!</v>
      </c>
      <c r="AT90" s="350" t="e">
        <f>(Apoio_Efeito!AG39)/Apoio_Efeito!$R$39</f>
        <v>#DIV/0!</v>
      </c>
      <c r="AU90" s="343" t="e">
        <f>(Apoio_Efeito!AG40)/Apoio_Efeito!$R$40</f>
        <v>#DIV/0!</v>
      </c>
      <c r="AV90" s="343" t="e">
        <f>(Apoio_Efeito!AG41)/Apoio_Efeito!$R$41</f>
        <v>#DIV/0!</v>
      </c>
      <c r="AW90" s="343" t="e">
        <f>(Apoio_Efeito!AG42)/Apoio_Efeito!$R$42</f>
        <v>#DIV/0!</v>
      </c>
      <c r="AX90" s="343" t="e">
        <f>(Apoio_Efeito!AG43)/Apoio_Efeito!$R$43</f>
        <v>#DIV/0!</v>
      </c>
      <c r="AY90" s="343" t="e">
        <f>(Apoio_Efeito!AG44)/Apoio_Efeito!$R$44</f>
        <v>#DIV/0!</v>
      </c>
      <c r="AZ90" s="343" t="e">
        <f>(Apoio_Efeito!AG45)/Apoio_Efeito!$R$45</f>
        <v>#DIV/0!</v>
      </c>
      <c r="BA90" s="345" t="e">
        <f>(Apoio_Efeito!AG46)/Apoio_Efeito!$R$46</f>
        <v>#DIV/0!</v>
      </c>
      <c r="BB90" s="343" t="e">
        <f>(Apoio_Efeito!AG47)/Apoio_Efeito!$R$47</f>
        <v>#DIV/0!</v>
      </c>
      <c r="BC90" s="343" t="e">
        <f>(Apoio_Efeito!AG48)/Apoio_Efeito!$R$48</f>
        <v>#DIV/0!</v>
      </c>
      <c r="BD90" s="343" t="e">
        <f>(Apoio_Efeito!AG49)/Apoio_Efeito!$R$49</f>
        <v>#DIV/0!</v>
      </c>
      <c r="BE90" s="343" t="e">
        <f>(Apoio_Efeito!AG50)/Apoio_Efeito!$R$50</f>
        <v>#DIV/0!</v>
      </c>
      <c r="BF90" s="343" t="e">
        <f>(Apoio_Efeito!AG51)/Apoio_Efeito!$R$51</f>
        <v>#DIV/0!</v>
      </c>
      <c r="BG90" s="344">
        <f>(Apoio_Efeito!AG52)/Apoio_Efeito!$R$52</f>
        <v>0</v>
      </c>
      <c r="BH90" s="344">
        <f>(Apoio_Efeito!AG53)/Apoio_Efeito!$R$53</f>
        <v>0</v>
      </c>
      <c r="BI90" s="100"/>
      <c r="BJ90" s="277">
        <f t="shared" si="11"/>
        <v>0</v>
      </c>
      <c r="BK90" s="96"/>
      <c r="BL90" s="32"/>
      <c r="BN90" s="5"/>
    </row>
    <row r="91" spans="7:66" hidden="1">
      <c r="G91" s="207"/>
      <c r="H91" s="149" t="s">
        <v>289</v>
      </c>
      <c r="I91" s="275" t="e">
        <f>(Apoio_Efeito!AH4)/Apoio_Efeito!$R$4</f>
        <v>#DIV/0!</v>
      </c>
      <c r="J91" s="343" t="e">
        <f>(Apoio_Efeito!AH5)/Apoio_Efeito!$R$5</f>
        <v>#DIV/0!</v>
      </c>
      <c r="K91" s="343" t="e">
        <f>(Apoio_Efeito!AH6)/Apoio_Efeito!$R$6</f>
        <v>#DIV/0!</v>
      </c>
      <c r="L91" s="343">
        <f>(Apoio_Efeito!AH7)/Apoio_Efeito!$R$7</f>
        <v>0</v>
      </c>
      <c r="M91" s="343" t="e">
        <f>(Apoio_Efeito!AH54)/Apoio_Efeito!$R$54</f>
        <v>#DIV/0!</v>
      </c>
      <c r="N91" s="343" t="e">
        <f>(Apoio_Efeito!AH8)/Apoio_Efeito!$R$8</f>
        <v>#DIV/0!</v>
      </c>
      <c r="O91" s="343" t="e">
        <f>(Apoio_Efeito!AH9)/Apoio_Efeito!$R$9</f>
        <v>#DIV/0!</v>
      </c>
      <c r="P91" s="345" t="e">
        <f>(Apoio_Efeito!AH10)/Apoio_Efeito!$R$10</f>
        <v>#DIV/0!</v>
      </c>
      <c r="Q91" s="343" t="e">
        <f>(Apoio_Efeito!AH11)/Apoio_Efeito!$R$11</f>
        <v>#DIV/0!</v>
      </c>
      <c r="R91" s="343" t="e">
        <f>(Apoio_Efeito!AH12)/Apoio_Efeito!$R12</f>
        <v>#DIV/0!</v>
      </c>
      <c r="S91" s="343" t="e">
        <f>(Apoio_Efeito!AH13)/Apoio_Efeito!$R$13</f>
        <v>#DIV/0!</v>
      </c>
      <c r="T91" s="343" t="e">
        <f>(Apoio_Efeito!AH14)/Apoio_Efeito!$R$14</f>
        <v>#DIV/0!</v>
      </c>
      <c r="U91" s="343" t="e">
        <f>(Apoio_Efeito!AH15)/Apoio_Efeito!$R$15</f>
        <v>#DIV/0!</v>
      </c>
      <c r="V91" s="343" t="e">
        <f>(Apoio_Efeito!AH16)/Apoio_Efeito!$R$16</f>
        <v>#DIV/0!</v>
      </c>
      <c r="W91" s="343" t="e">
        <f>(Apoio_Efeito!AH17)/Apoio_Efeito!$R$17</f>
        <v>#DIV/0!</v>
      </c>
      <c r="X91" s="350" t="e">
        <f>(Apoio_Efeito!AH18)/Apoio_Efeito!$R$18</f>
        <v>#DIV/0!</v>
      </c>
      <c r="Y91" s="350" t="e">
        <f>(Apoio_Efeito!AH19)/Apoio_Efeito!$R$19</f>
        <v>#DIV/0!</v>
      </c>
      <c r="Z91" s="350" t="e">
        <f>(Apoio_Efeito!AH20)/Apoio_Efeito!$R$20</f>
        <v>#DIV/0!</v>
      </c>
      <c r="AA91" s="350" t="e">
        <f>(Apoio_Efeito!AH21)/Apoio_Efeito!$R$21</f>
        <v>#DIV/0!</v>
      </c>
      <c r="AB91" s="350" t="e">
        <f>(Apoio_Efeito!AH22)/Apoio_Efeito!$R$22</f>
        <v>#DIV/0!</v>
      </c>
      <c r="AC91" s="350" t="e">
        <f>(Apoio_Efeito!AH23)/Apoio_Efeito!$R$23</f>
        <v>#DIV/0!</v>
      </c>
      <c r="AD91" s="350" t="e">
        <f>(Apoio_Efeito!AH24)/Apoio_Efeito!$R$24</f>
        <v>#DIV/0!</v>
      </c>
      <c r="AE91" s="350" t="e">
        <f>(Apoio_Efeito!AH25)/Apoio_Efeito!$R$25</f>
        <v>#DIV/0!</v>
      </c>
      <c r="AF91" s="350" t="e">
        <f>(Apoio_Efeito!AH26)/Apoio_Efeito!$R$26</f>
        <v>#DIV/0!</v>
      </c>
      <c r="AG91" s="350" t="e">
        <f>(Apoio_Efeito!AH27)/Apoio_Efeito!$R$27</f>
        <v>#DIV/0!</v>
      </c>
      <c r="AH91" s="350" t="e">
        <f>(Apoio_Efeito!AH28)/Apoio_Efeito!$R$28</f>
        <v>#DIV/0!</v>
      </c>
      <c r="AI91" s="350" t="e">
        <f>(Apoio_Efeito!AH29)/Apoio_Efeito!$R$29</f>
        <v>#DIV/0!</v>
      </c>
      <c r="AJ91" s="350" t="e">
        <f>(Apoio_Efeito!AH30)/Apoio_Efeito!$R$30</f>
        <v>#DIV/0!</v>
      </c>
      <c r="AK91" s="350" t="e">
        <f>(Apoio_Efeito!AH55)/Apoio_Efeito!$R$55</f>
        <v>#DIV/0!</v>
      </c>
      <c r="AL91" s="350" t="e">
        <f>(Apoio_Efeito!AH31)/Apoio_Efeito!$R$31</f>
        <v>#DIV/0!</v>
      </c>
      <c r="AM91" s="350" t="e">
        <f>(Apoio_Efeito!AH32)/Apoio_Efeito!$R$32</f>
        <v>#DIV/0!</v>
      </c>
      <c r="AN91" s="350" t="e">
        <f>(Apoio_Efeito!AH33)/Apoio_Efeito!$R$33</f>
        <v>#DIV/0!</v>
      </c>
      <c r="AO91" s="350" t="e">
        <f>(Apoio_Efeito!AH34)/Apoio_Efeito!$R$34</f>
        <v>#DIV/0!</v>
      </c>
      <c r="AP91" s="350" t="e">
        <f>(Apoio_Efeito!AH35)/Apoio_Efeito!$R$35</f>
        <v>#DIV/0!</v>
      </c>
      <c r="AQ91" s="350" t="e">
        <f>(Apoio_Efeito!AH36)/Apoio_Efeito!$R$36</f>
        <v>#DIV/0!</v>
      </c>
      <c r="AR91" s="350" t="e">
        <f>(Apoio_Efeito!AH37)/Apoio_Efeito!$R$37</f>
        <v>#DIV/0!</v>
      </c>
      <c r="AS91" s="350" t="e">
        <f>(Apoio_Efeito!AH38)/Apoio_Efeito!$R$38</f>
        <v>#DIV/0!</v>
      </c>
      <c r="AT91" s="350" t="e">
        <f>(Apoio_Efeito!AH39)/Apoio_Efeito!$R$39</f>
        <v>#DIV/0!</v>
      </c>
      <c r="AU91" s="343" t="e">
        <f>(Apoio_Efeito!AH40)/Apoio_Efeito!$R$40</f>
        <v>#DIV/0!</v>
      </c>
      <c r="AV91" s="343" t="e">
        <f>(Apoio_Efeito!AH41)/Apoio_Efeito!$R$41</f>
        <v>#DIV/0!</v>
      </c>
      <c r="AW91" s="343" t="e">
        <f>(Apoio_Efeito!AH42)/Apoio_Efeito!$R$42</f>
        <v>#DIV/0!</v>
      </c>
      <c r="AX91" s="343" t="e">
        <f>(Apoio_Efeito!AH43)/Apoio_Efeito!$R$43</f>
        <v>#DIV/0!</v>
      </c>
      <c r="AY91" s="343" t="e">
        <f>(Apoio_Efeito!AH44)/Apoio_Efeito!$R$44</f>
        <v>#DIV/0!</v>
      </c>
      <c r="AZ91" s="343" t="e">
        <f>(Apoio_Efeito!AH45)/Apoio_Efeito!$R$45</f>
        <v>#DIV/0!</v>
      </c>
      <c r="BA91" s="345" t="e">
        <f>(Apoio_Efeito!AH46)/Apoio_Efeito!$R$46</f>
        <v>#DIV/0!</v>
      </c>
      <c r="BB91" s="343" t="e">
        <f>(Apoio_Efeito!AH47)/Apoio_Efeito!$R$47</f>
        <v>#DIV/0!</v>
      </c>
      <c r="BC91" s="343" t="e">
        <f>(Apoio_Efeito!AH48)/Apoio_Efeito!$R$48</f>
        <v>#DIV/0!</v>
      </c>
      <c r="BD91" s="343" t="e">
        <f>(Apoio_Efeito!AH49)/Apoio_Efeito!$R$49</f>
        <v>#DIV/0!</v>
      </c>
      <c r="BE91" s="343" t="e">
        <f>(Apoio_Efeito!AH50)/Apoio_Efeito!$R$50</f>
        <v>#DIV/0!</v>
      </c>
      <c r="BF91" s="343" t="e">
        <f>(Apoio_Efeito!AH51)/Apoio_Efeito!$R$51</f>
        <v>#DIV/0!</v>
      </c>
      <c r="BG91" s="344">
        <f>(Apoio_Efeito!AH52)/Apoio_Efeito!$R$52</f>
        <v>0</v>
      </c>
      <c r="BH91" s="344">
        <f>(Apoio_Efeito!AH53)/Apoio_Efeito!$R$53</f>
        <v>0</v>
      </c>
      <c r="BI91" s="100"/>
      <c r="BJ91" s="277">
        <f t="shared" si="11"/>
        <v>0</v>
      </c>
      <c r="BK91" s="96"/>
      <c r="BL91" s="32"/>
      <c r="BN91" s="5"/>
    </row>
    <row r="92" spans="7:66" hidden="1">
      <c r="G92" s="207"/>
      <c r="H92" s="149" t="s">
        <v>301</v>
      </c>
      <c r="I92" s="275" t="e">
        <f>(Apoio_Efeito!AI4)/Apoio_Efeito!$R$4</f>
        <v>#DIV/0!</v>
      </c>
      <c r="J92" s="343" t="e">
        <f>(Apoio_Efeito!AI5)/Apoio_Efeito!$R$5</f>
        <v>#DIV/0!</v>
      </c>
      <c r="K92" s="343" t="e">
        <f>(Apoio_Efeito!AI6)/Apoio_Efeito!$R$6</f>
        <v>#DIV/0!</v>
      </c>
      <c r="L92" s="343">
        <f>(Apoio_Efeito!AI7)/Apoio_Efeito!$R$7</f>
        <v>0</v>
      </c>
      <c r="M92" s="343" t="e">
        <f>(Apoio_Efeito!AI54)/Apoio_Efeito!$R$54</f>
        <v>#DIV/0!</v>
      </c>
      <c r="N92" s="343" t="e">
        <f>(Apoio_Efeito!AI8)/Apoio_Efeito!$R$8</f>
        <v>#DIV/0!</v>
      </c>
      <c r="O92" s="343" t="e">
        <f>(Apoio_Efeito!AI9)/Apoio_Efeito!$R$9</f>
        <v>#DIV/0!</v>
      </c>
      <c r="P92" s="345" t="e">
        <f>(Apoio_Efeito!AI10)/Apoio_Efeito!$R$10</f>
        <v>#DIV/0!</v>
      </c>
      <c r="Q92" s="343" t="e">
        <f>(Apoio_Efeito!AI11)/Apoio_Efeito!$R$11</f>
        <v>#DIV/0!</v>
      </c>
      <c r="R92" s="343" t="e">
        <f>(Apoio_Efeito!AI12)/Apoio_Efeito!$R12</f>
        <v>#DIV/0!</v>
      </c>
      <c r="S92" s="343" t="e">
        <f>(Apoio_Efeito!AI13)/Apoio_Efeito!$R$13</f>
        <v>#DIV/0!</v>
      </c>
      <c r="T92" s="343" t="e">
        <f>(Apoio_Efeito!AI14)/Apoio_Efeito!$R$14</f>
        <v>#DIV/0!</v>
      </c>
      <c r="U92" s="343" t="e">
        <f>(Apoio_Efeito!AI15)/Apoio_Efeito!$R$15</f>
        <v>#DIV/0!</v>
      </c>
      <c r="V92" s="343" t="e">
        <f>(Apoio_Efeito!AI16)/Apoio_Efeito!$R$16</f>
        <v>#DIV/0!</v>
      </c>
      <c r="W92" s="343" t="e">
        <f>(Apoio_Efeito!AI17)/Apoio_Efeito!$R$17</f>
        <v>#DIV/0!</v>
      </c>
      <c r="X92" s="350" t="e">
        <f>(Apoio_Efeito!AI18)/Apoio_Efeito!$R$18</f>
        <v>#DIV/0!</v>
      </c>
      <c r="Y92" s="350" t="e">
        <f>(Apoio_Efeito!AI19)/Apoio_Efeito!$R$19</f>
        <v>#DIV/0!</v>
      </c>
      <c r="Z92" s="350" t="e">
        <f>(Apoio_Efeito!AI20)/Apoio_Efeito!$R$20</f>
        <v>#DIV/0!</v>
      </c>
      <c r="AA92" s="350" t="e">
        <f>(Apoio_Efeito!AI21)/Apoio_Efeito!$R$21</f>
        <v>#DIV/0!</v>
      </c>
      <c r="AB92" s="350" t="e">
        <f>(Apoio_Efeito!AI22)/Apoio_Efeito!$R$22</f>
        <v>#DIV/0!</v>
      </c>
      <c r="AC92" s="350" t="e">
        <f>(Apoio_Efeito!AI23)/Apoio_Efeito!$R$23</f>
        <v>#DIV/0!</v>
      </c>
      <c r="AD92" s="350" t="e">
        <f>(Apoio_Efeito!AI24)/Apoio_Efeito!$R$24</f>
        <v>#DIV/0!</v>
      </c>
      <c r="AE92" s="350" t="e">
        <f>(Apoio_Efeito!AI25)/Apoio_Efeito!$R$25</f>
        <v>#DIV/0!</v>
      </c>
      <c r="AF92" s="350" t="e">
        <f>(Apoio_Efeito!AI26)/Apoio_Efeito!$R$26</f>
        <v>#DIV/0!</v>
      </c>
      <c r="AG92" s="350" t="e">
        <f>(Apoio_Efeito!AI27)/Apoio_Efeito!$R$27</f>
        <v>#DIV/0!</v>
      </c>
      <c r="AH92" s="350" t="e">
        <f>(Apoio_Efeito!AI28)/Apoio_Efeito!$R$28</f>
        <v>#DIV/0!</v>
      </c>
      <c r="AI92" s="350" t="e">
        <f>(Apoio_Efeito!AI29)/Apoio_Efeito!$R$29</f>
        <v>#DIV/0!</v>
      </c>
      <c r="AJ92" s="350" t="e">
        <f>(Apoio_Efeito!AI30)/Apoio_Efeito!$R$30</f>
        <v>#DIV/0!</v>
      </c>
      <c r="AK92" s="350" t="e">
        <f>(Apoio_Efeito!AI55)/Apoio_Efeito!$R$55</f>
        <v>#DIV/0!</v>
      </c>
      <c r="AL92" s="350" t="e">
        <f>(Apoio_Efeito!AI31)/Apoio_Efeito!$R$31</f>
        <v>#DIV/0!</v>
      </c>
      <c r="AM92" s="350" t="e">
        <f>(Apoio_Efeito!AI32)/Apoio_Efeito!$R$32</f>
        <v>#DIV/0!</v>
      </c>
      <c r="AN92" s="350" t="e">
        <f>(Apoio_Efeito!AI33)/Apoio_Efeito!$R$33</f>
        <v>#DIV/0!</v>
      </c>
      <c r="AO92" s="350" t="e">
        <f>(Apoio_Efeito!AI34)/Apoio_Efeito!$R$34</f>
        <v>#DIV/0!</v>
      </c>
      <c r="AP92" s="350" t="e">
        <f>(Apoio_Efeito!AI35)/Apoio_Efeito!$R$35</f>
        <v>#DIV/0!</v>
      </c>
      <c r="AQ92" s="350" t="e">
        <f>(Apoio_Efeito!AI36)/Apoio_Efeito!$R$36</f>
        <v>#DIV/0!</v>
      </c>
      <c r="AR92" s="350" t="e">
        <f>(Apoio_Efeito!AI37)/Apoio_Efeito!$R$37</f>
        <v>#DIV/0!</v>
      </c>
      <c r="AS92" s="350" t="e">
        <f>(Apoio_Efeito!AI38)/Apoio_Efeito!$R$38</f>
        <v>#DIV/0!</v>
      </c>
      <c r="AT92" s="350" t="e">
        <f>(Apoio_Efeito!AI39)/Apoio_Efeito!$R$39</f>
        <v>#DIV/0!</v>
      </c>
      <c r="AU92" s="343" t="e">
        <f>(Apoio_Efeito!AI40)/Apoio_Efeito!$R$40</f>
        <v>#DIV/0!</v>
      </c>
      <c r="AV92" s="343" t="e">
        <f>(Apoio_Efeito!AI41)/Apoio_Efeito!$R$41</f>
        <v>#DIV/0!</v>
      </c>
      <c r="AW92" s="343" t="e">
        <f>(Apoio_Efeito!AI42)/Apoio_Efeito!$R$42</f>
        <v>#DIV/0!</v>
      </c>
      <c r="AX92" s="343" t="e">
        <f>(Apoio_Efeito!AI43)/Apoio_Efeito!$R$43</f>
        <v>#DIV/0!</v>
      </c>
      <c r="AY92" s="343" t="e">
        <f>(Apoio_Efeito!AI44)/Apoio_Efeito!$R$44</f>
        <v>#DIV/0!</v>
      </c>
      <c r="AZ92" s="343" t="e">
        <f>(Apoio_Efeito!AI45)/Apoio_Efeito!$R$45</f>
        <v>#DIV/0!</v>
      </c>
      <c r="BA92" s="345" t="e">
        <f>(Apoio_Efeito!AI46)/Apoio_Efeito!$R$46</f>
        <v>#DIV/0!</v>
      </c>
      <c r="BB92" s="343" t="e">
        <f>(Apoio_Efeito!AI47)/Apoio_Efeito!$R$47</f>
        <v>#DIV/0!</v>
      </c>
      <c r="BC92" s="343" t="e">
        <f>(Apoio_Efeito!AI48)/Apoio_Efeito!$R$48</f>
        <v>#DIV/0!</v>
      </c>
      <c r="BD92" s="343" t="e">
        <f>(Apoio_Efeito!AI49)/Apoio_Efeito!$R$49</f>
        <v>#DIV/0!</v>
      </c>
      <c r="BE92" s="343" t="e">
        <f>(Apoio_Efeito!AI50)/Apoio_Efeito!$R$50</f>
        <v>#DIV/0!</v>
      </c>
      <c r="BF92" s="343" t="e">
        <f>(Apoio_Efeito!AI51)/Apoio_Efeito!$R$51</f>
        <v>#DIV/0!</v>
      </c>
      <c r="BG92" s="344">
        <f>(Apoio_Efeito!AI52)/Apoio_Efeito!$R$52</f>
        <v>0</v>
      </c>
      <c r="BH92" s="344">
        <f>(Apoio_Efeito!AI53)/Apoio_Efeito!$R$53</f>
        <v>0</v>
      </c>
      <c r="BI92" s="100"/>
      <c r="BJ92" s="277">
        <f t="shared" si="11"/>
        <v>0</v>
      </c>
      <c r="BK92" s="96"/>
      <c r="BL92" s="32"/>
      <c r="BN92" s="5"/>
    </row>
    <row r="93" spans="7:66" hidden="1">
      <c r="G93" s="207"/>
      <c r="H93" s="149" t="s">
        <v>340</v>
      </c>
      <c r="I93" s="275" t="e">
        <f>(Apoio_Efeito!AJ4)/Apoio_Efeito!$R$4</f>
        <v>#DIV/0!</v>
      </c>
      <c r="J93" s="343" t="e">
        <f>(Apoio_Efeito!AJ5)/Apoio_Efeito!$R$5</f>
        <v>#DIV/0!</v>
      </c>
      <c r="K93" s="343" t="e">
        <f>(Apoio_Efeito!AJ6)/Apoio_Efeito!$R$6</f>
        <v>#DIV/0!</v>
      </c>
      <c r="L93" s="343">
        <f>(Apoio_Efeito!AJ7)/Apoio_Efeito!$R$7</f>
        <v>0</v>
      </c>
      <c r="M93" s="343" t="e">
        <f>(Apoio_Efeito!AJ54)/Apoio_Efeito!$R$54</f>
        <v>#DIV/0!</v>
      </c>
      <c r="N93" s="343" t="e">
        <f>(Apoio_Efeito!AJ8)/Apoio_Efeito!$R$8</f>
        <v>#DIV/0!</v>
      </c>
      <c r="O93" s="343" t="e">
        <f>(Apoio_Efeito!AJ9)/Apoio_Efeito!$R$9</f>
        <v>#DIV/0!</v>
      </c>
      <c r="P93" s="345" t="e">
        <f>(Apoio_Efeito!AJ10)/Apoio_Efeito!$R$10</f>
        <v>#DIV/0!</v>
      </c>
      <c r="Q93" s="343" t="e">
        <f>(Apoio_Efeito!AJ11)/Apoio_Efeito!$R$11</f>
        <v>#DIV/0!</v>
      </c>
      <c r="R93" s="343" t="e">
        <f>(Apoio_Efeito!AJ12)/Apoio_Efeito!$R12</f>
        <v>#DIV/0!</v>
      </c>
      <c r="S93" s="343" t="e">
        <f>(Apoio_Efeito!AJ13)/Apoio_Efeito!$R$13</f>
        <v>#DIV/0!</v>
      </c>
      <c r="T93" s="343" t="e">
        <f>(Apoio_Efeito!AJ14)/Apoio_Efeito!$R$14</f>
        <v>#DIV/0!</v>
      </c>
      <c r="U93" s="343" t="e">
        <f>(Apoio_Efeito!AJ15)/Apoio_Efeito!$R$15</f>
        <v>#DIV/0!</v>
      </c>
      <c r="V93" s="343" t="e">
        <f>(Apoio_Efeito!AJ16)/Apoio_Efeito!$R$16</f>
        <v>#DIV/0!</v>
      </c>
      <c r="W93" s="343" t="e">
        <f>(Apoio_Efeito!AJ17)/Apoio_Efeito!$R$17</f>
        <v>#DIV/0!</v>
      </c>
      <c r="X93" s="350" t="e">
        <f>(Apoio_Efeito!AJ18)/Apoio_Efeito!$R$18</f>
        <v>#DIV/0!</v>
      </c>
      <c r="Y93" s="350" t="e">
        <f>(Apoio_Efeito!AJ19)/Apoio_Efeito!$R$19</f>
        <v>#DIV/0!</v>
      </c>
      <c r="Z93" s="350" t="e">
        <f>(Apoio_Efeito!AJ20)/Apoio_Efeito!$R$20</f>
        <v>#DIV/0!</v>
      </c>
      <c r="AA93" s="350" t="e">
        <f>(Apoio_Efeito!AJ21)/Apoio_Efeito!$R$21</f>
        <v>#DIV/0!</v>
      </c>
      <c r="AB93" s="350" t="e">
        <f>(Apoio_Efeito!AJ22)/Apoio_Efeito!$R$22</f>
        <v>#DIV/0!</v>
      </c>
      <c r="AC93" s="350" t="e">
        <f>(Apoio_Efeito!AJ23)/Apoio_Efeito!$R$23</f>
        <v>#DIV/0!</v>
      </c>
      <c r="AD93" s="350" t="e">
        <f>(Apoio_Efeito!AJ24)/Apoio_Efeito!$R$24</f>
        <v>#DIV/0!</v>
      </c>
      <c r="AE93" s="350" t="e">
        <f>(Apoio_Efeito!AJ25)/Apoio_Efeito!$R$25</f>
        <v>#DIV/0!</v>
      </c>
      <c r="AF93" s="350" t="e">
        <f>(Apoio_Efeito!AJ26)/Apoio_Efeito!$R$26</f>
        <v>#DIV/0!</v>
      </c>
      <c r="AG93" s="350" t="e">
        <f>(Apoio_Efeito!AJ27)/Apoio_Efeito!$R$27</f>
        <v>#DIV/0!</v>
      </c>
      <c r="AH93" s="350" t="e">
        <f>(Apoio_Efeito!AJ28)/Apoio_Efeito!$R$28</f>
        <v>#DIV/0!</v>
      </c>
      <c r="AI93" s="350" t="e">
        <f>(Apoio_Efeito!AJ29)/Apoio_Efeito!$R$29</f>
        <v>#DIV/0!</v>
      </c>
      <c r="AJ93" s="350" t="e">
        <f>(Apoio_Efeito!AJ30)/Apoio_Efeito!$R$30</f>
        <v>#DIV/0!</v>
      </c>
      <c r="AK93" s="350" t="e">
        <f>(Apoio_Efeito!AJ55)/Apoio_Efeito!$R$55</f>
        <v>#DIV/0!</v>
      </c>
      <c r="AL93" s="350" t="e">
        <f>(Apoio_Efeito!AJ31)/Apoio_Efeito!$R$31</f>
        <v>#DIV/0!</v>
      </c>
      <c r="AM93" s="350" t="e">
        <f>(Apoio_Efeito!AJ32)/Apoio_Efeito!$R$32</f>
        <v>#DIV/0!</v>
      </c>
      <c r="AN93" s="350" t="e">
        <f>(Apoio_Efeito!AJ33)/Apoio_Efeito!$R$33</f>
        <v>#DIV/0!</v>
      </c>
      <c r="AO93" s="350" t="e">
        <f>(Apoio_Efeito!AJ34)/Apoio_Efeito!$R$34</f>
        <v>#DIV/0!</v>
      </c>
      <c r="AP93" s="350" t="e">
        <f>(Apoio_Efeito!AJ35)/Apoio_Efeito!$R$35</f>
        <v>#DIV/0!</v>
      </c>
      <c r="AQ93" s="350" t="e">
        <f>(Apoio_Efeito!AJ36)/Apoio_Efeito!$R$36</f>
        <v>#DIV/0!</v>
      </c>
      <c r="AR93" s="350" t="e">
        <f>(Apoio_Efeito!AJ37)/Apoio_Efeito!$R$37</f>
        <v>#DIV/0!</v>
      </c>
      <c r="AS93" s="350" t="e">
        <f>(Apoio_Efeito!AJ38)/Apoio_Efeito!$R$38</f>
        <v>#DIV/0!</v>
      </c>
      <c r="AT93" s="350" t="e">
        <f>(Apoio_Efeito!AJ39)/Apoio_Efeito!$R$39</f>
        <v>#DIV/0!</v>
      </c>
      <c r="AU93" s="343" t="e">
        <f>(Apoio_Efeito!AJ40)/Apoio_Efeito!$R$40</f>
        <v>#DIV/0!</v>
      </c>
      <c r="AV93" s="343" t="e">
        <f>(Apoio_Efeito!AJ41)/Apoio_Efeito!$R$41</f>
        <v>#DIV/0!</v>
      </c>
      <c r="AW93" s="343" t="e">
        <f>(Apoio_Efeito!AJ42)/Apoio_Efeito!$R$42</f>
        <v>#DIV/0!</v>
      </c>
      <c r="AX93" s="343" t="e">
        <f>(Apoio_Efeito!AJ43)/Apoio_Efeito!$R$43</f>
        <v>#DIV/0!</v>
      </c>
      <c r="AY93" s="343" t="e">
        <f>(Apoio_Efeito!AJ44)/Apoio_Efeito!$R$44</f>
        <v>#DIV/0!</v>
      </c>
      <c r="AZ93" s="343" t="e">
        <f>(Apoio_Efeito!AJ45)/Apoio_Efeito!$R$45</f>
        <v>#DIV/0!</v>
      </c>
      <c r="BA93" s="345" t="e">
        <f>(Apoio_Efeito!AJ46)/Apoio_Efeito!$R$46</f>
        <v>#DIV/0!</v>
      </c>
      <c r="BB93" s="343" t="e">
        <f>(Apoio_Efeito!AJ47)/Apoio_Efeito!$R$47</f>
        <v>#DIV/0!</v>
      </c>
      <c r="BC93" s="343" t="e">
        <f>(Apoio_Efeito!AJ48)/Apoio_Efeito!$R$48</f>
        <v>#DIV/0!</v>
      </c>
      <c r="BD93" s="343" t="e">
        <f>(Apoio_Efeito!AJ49)/Apoio_Efeito!$R$49</f>
        <v>#DIV/0!</v>
      </c>
      <c r="BE93" s="343" t="e">
        <f>(Apoio_Efeito!AJ50)/Apoio_Efeito!$R$50</f>
        <v>#DIV/0!</v>
      </c>
      <c r="BF93" s="343" t="e">
        <f>(Apoio_Efeito!AJ51)/Apoio_Efeito!$R$51</f>
        <v>#DIV/0!</v>
      </c>
      <c r="BG93" s="344">
        <f>(Apoio_Efeito!AJ52)/Apoio_Efeito!$R$52</f>
        <v>0</v>
      </c>
      <c r="BH93" s="344">
        <f>(Apoio_Efeito!AJ53)/Apoio_Efeito!$R$53</f>
        <v>0</v>
      </c>
      <c r="BI93" s="100"/>
      <c r="BJ93" s="277">
        <f t="shared" si="11"/>
        <v>0</v>
      </c>
      <c r="BK93" s="164"/>
      <c r="BL93" s="165"/>
      <c r="BN93" s="5"/>
    </row>
    <row r="94" spans="7:66" hidden="1">
      <c r="G94" s="207"/>
      <c r="H94" s="149" t="s">
        <v>339</v>
      </c>
      <c r="I94" s="275" t="e">
        <f>(Apoio_Efeito!AK4)/Apoio_Efeito!$R$4</f>
        <v>#DIV/0!</v>
      </c>
      <c r="J94" s="343" t="e">
        <f>(Apoio_Efeito!AK5)/Apoio_Efeito!$R$5</f>
        <v>#DIV/0!</v>
      </c>
      <c r="K94" s="343" t="e">
        <f>(Apoio_Efeito!AK6)/Apoio_Efeito!$R$6</f>
        <v>#DIV/0!</v>
      </c>
      <c r="L94" s="343">
        <f>(Apoio_Efeito!AK7)/Apoio_Efeito!$R$7</f>
        <v>0</v>
      </c>
      <c r="M94" s="343" t="e">
        <f>(Apoio_Efeito!AK54)/Apoio_Efeito!$R$54</f>
        <v>#DIV/0!</v>
      </c>
      <c r="N94" s="343" t="e">
        <f>(Apoio_Efeito!AK8)/Apoio_Efeito!$R$8</f>
        <v>#DIV/0!</v>
      </c>
      <c r="O94" s="343" t="e">
        <f>(Apoio_Efeito!AK9)/Apoio_Efeito!$R$9</f>
        <v>#DIV/0!</v>
      </c>
      <c r="P94" s="345" t="e">
        <f>(Apoio_Efeito!AK10)/Apoio_Efeito!$R$10</f>
        <v>#DIV/0!</v>
      </c>
      <c r="Q94" s="343" t="e">
        <f>(Apoio_Efeito!AK11)/Apoio_Efeito!$R$11</f>
        <v>#DIV/0!</v>
      </c>
      <c r="R94" s="343" t="e">
        <f>(Apoio_Efeito!AK12)/Apoio_Efeito!$R12</f>
        <v>#DIV/0!</v>
      </c>
      <c r="S94" s="343" t="e">
        <f>(Apoio_Efeito!AK13)/Apoio_Efeito!$R$13</f>
        <v>#DIV/0!</v>
      </c>
      <c r="T94" s="343" t="e">
        <f>(Apoio_Efeito!AK14)/Apoio_Efeito!$R$14</f>
        <v>#DIV/0!</v>
      </c>
      <c r="U94" s="343" t="e">
        <f>(Apoio_Efeito!AK15)/Apoio_Efeito!$R$15</f>
        <v>#DIV/0!</v>
      </c>
      <c r="V94" s="343" t="e">
        <f>(Apoio_Efeito!AK16)/Apoio_Efeito!$R$16</f>
        <v>#DIV/0!</v>
      </c>
      <c r="W94" s="343" t="e">
        <f>(Apoio_Efeito!AK17)/Apoio_Efeito!$R$17</f>
        <v>#DIV/0!</v>
      </c>
      <c r="X94" s="350" t="e">
        <f>(Apoio_Efeito!AK18)/Apoio_Efeito!$R$18</f>
        <v>#DIV/0!</v>
      </c>
      <c r="Y94" s="350" t="e">
        <f>(Apoio_Efeito!AK19)/Apoio_Efeito!$R$19</f>
        <v>#DIV/0!</v>
      </c>
      <c r="Z94" s="350" t="e">
        <f>(Apoio_Efeito!AK20)/Apoio_Efeito!$R$20</f>
        <v>#DIV/0!</v>
      </c>
      <c r="AA94" s="350" t="e">
        <f>(Apoio_Efeito!AK21)/Apoio_Efeito!$R$21</f>
        <v>#DIV/0!</v>
      </c>
      <c r="AB94" s="350" t="e">
        <f>(Apoio_Efeito!AK22)/Apoio_Efeito!$R$22</f>
        <v>#DIV/0!</v>
      </c>
      <c r="AC94" s="350" t="e">
        <f>(Apoio_Efeito!AK23)/Apoio_Efeito!$R$23</f>
        <v>#DIV/0!</v>
      </c>
      <c r="AD94" s="350" t="e">
        <f>(Apoio_Efeito!AK24)/Apoio_Efeito!$R$24</f>
        <v>#DIV/0!</v>
      </c>
      <c r="AE94" s="350" t="e">
        <f>(Apoio_Efeito!AK25)/Apoio_Efeito!$R$25</f>
        <v>#DIV/0!</v>
      </c>
      <c r="AF94" s="350" t="e">
        <f>(Apoio_Efeito!AK26)/Apoio_Efeito!$R$26</f>
        <v>#DIV/0!</v>
      </c>
      <c r="AG94" s="350" t="e">
        <f>(Apoio_Efeito!AK27)/Apoio_Efeito!$R$27</f>
        <v>#DIV/0!</v>
      </c>
      <c r="AH94" s="350" t="e">
        <f>(Apoio_Efeito!AK28)/Apoio_Efeito!$R$28</f>
        <v>#DIV/0!</v>
      </c>
      <c r="AI94" s="350" t="e">
        <f>(Apoio_Efeito!AK29)/Apoio_Efeito!$R$29</f>
        <v>#DIV/0!</v>
      </c>
      <c r="AJ94" s="350" t="e">
        <f>(Apoio_Efeito!AK30)/Apoio_Efeito!$R$30</f>
        <v>#DIV/0!</v>
      </c>
      <c r="AK94" s="350" t="e">
        <f>(Apoio_Efeito!AK55)/Apoio_Efeito!$R$55</f>
        <v>#DIV/0!</v>
      </c>
      <c r="AL94" s="350" t="e">
        <f>(Apoio_Efeito!AK31)/Apoio_Efeito!$R$31</f>
        <v>#DIV/0!</v>
      </c>
      <c r="AM94" s="350" t="e">
        <f>(Apoio_Efeito!AK32)/Apoio_Efeito!$R$32</f>
        <v>#DIV/0!</v>
      </c>
      <c r="AN94" s="350" t="e">
        <f>(Apoio_Efeito!AK33)/Apoio_Efeito!$R$33</f>
        <v>#DIV/0!</v>
      </c>
      <c r="AO94" s="350" t="e">
        <f>(Apoio_Efeito!AK34)/Apoio_Efeito!$R$34</f>
        <v>#DIV/0!</v>
      </c>
      <c r="AP94" s="350" t="e">
        <f>(Apoio_Efeito!AK35)/Apoio_Efeito!$R$35</f>
        <v>#DIV/0!</v>
      </c>
      <c r="AQ94" s="350" t="e">
        <f>(Apoio_Efeito!AK36)/Apoio_Efeito!$R$36</f>
        <v>#DIV/0!</v>
      </c>
      <c r="AR94" s="350" t="e">
        <f>(Apoio_Efeito!AK37)/Apoio_Efeito!$R$37</f>
        <v>#DIV/0!</v>
      </c>
      <c r="AS94" s="350" t="e">
        <f>(Apoio_Efeito!AK38)/Apoio_Efeito!$R$38</f>
        <v>#DIV/0!</v>
      </c>
      <c r="AT94" s="350" t="e">
        <f>(Apoio_Efeito!AK39)/Apoio_Efeito!$R$39</f>
        <v>#DIV/0!</v>
      </c>
      <c r="AU94" s="343" t="e">
        <f>(Apoio_Efeito!AK40)/Apoio_Efeito!$R$40</f>
        <v>#DIV/0!</v>
      </c>
      <c r="AV94" s="343" t="e">
        <f>(Apoio_Efeito!AK41)/Apoio_Efeito!$R$41</f>
        <v>#DIV/0!</v>
      </c>
      <c r="AW94" s="343" t="e">
        <f>(Apoio_Efeito!AK42)/Apoio_Efeito!$R$42</f>
        <v>#DIV/0!</v>
      </c>
      <c r="AX94" s="343" t="e">
        <f>(Apoio_Efeito!AK43)/Apoio_Efeito!$R$43</f>
        <v>#DIV/0!</v>
      </c>
      <c r="AY94" s="343" t="e">
        <f>(Apoio_Efeito!AK44)/Apoio_Efeito!$R$44</f>
        <v>#DIV/0!</v>
      </c>
      <c r="AZ94" s="343" t="e">
        <f>(Apoio_Efeito!AK45)/Apoio_Efeito!$R$45</f>
        <v>#DIV/0!</v>
      </c>
      <c r="BA94" s="345" t="e">
        <f>(Apoio_Efeito!AK46)/Apoio_Efeito!$R$46</f>
        <v>#DIV/0!</v>
      </c>
      <c r="BB94" s="343" t="e">
        <f>(Apoio_Efeito!AK47)/Apoio_Efeito!$R$47</f>
        <v>#DIV/0!</v>
      </c>
      <c r="BC94" s="343" t="e">
        <f>(Apoio_Efeito!AK48)/Apoio_Efeito!$R$48</f>
        <v>#DIV/0!</v>
      </c>
      <c r="BD94" s="343" t="e">
        <f>(Apoio_Efeito!AK49)/Apoio_Efeito!$R$49</f>
        <v>#DIV/0!</v>
      </c>
      <c r="BE94" s="343" t="e">
        <f>(Apoio_Efeito!AK50)/Apoio_Efeito!$R$50</f>
        <v>#DIV/0!</v>
      </c>
      <c r="BF94" s="343" t="e">
        <f>(Apoio_Efeito!AK51)/Apoio_Efeito!$R$51</f>
        <v>#DIV/0!</v>
      </c>
      <c r="BG94" s="344">
        <f>(Apoio_Efeito!AK52)/Apoio_Efeito!$R$52</f>
        <v>0</v>
      </c>
      <c r="BH94" s="344">
        <f>(Apoio_Efeito!AK53)/Apoio_Efeito!$R$53</f>
        <v>0</v>
      </c>
      <c r="BI94" s="100"/>
      <c r="BJ94" s="277">
        <f t="shared" si="11"/>
        <v>0</v>
      </c>
      <c r="BK94" s="164"/>
      <c r="BL94" s="165"/>
      <c r="BN94" s="5"/>
    </row>
    <row r="95" spans="7:66" hidden="1">
      <c r="G95" s="207"/>
      <c r="H95" s="149" t="s">
        <v>357</v>
      </c>
      <c r="I95" s="275" t="e">
        <f>(Apoio_Efeito!AL4)/Apoio_Efeito!$R$4</f>
        <v>#DIV/0!</v>
      </c>
      <c r="J95" s="343" t="e">
        <f>(Apoio_Efeito!AL5)/Apoio_Efeito!$R$5</f>
        <v>#DIV/0!</v>
      </c>
      <c r="K95" s="343" t="e">
        <f>(Apoio_Efeito!AL6)/Apoio_Efeito!$R$6</f>
        <v>#DIV/0!</v>
      </c>
      <c r="L95" s="343">
        <f>(Apoio_Efeito!AL7)/Apoio_Efeito!$R$7</f>
        <v>0</v>
      </c>
      <c r="M95" s="343" t="e">
        <f>(Apoio_Efeito!AL54)/Apoio_Efeito!$R$54</f>
        <v>#DIV/0!</v>
      </c>
      <c r="N95" s="343" t="e">
        <f>(Apoio_Efeito!AL8)/Apoio_Efeito!$R$8</f>
        <v>#DIV/0!</v>
      </c>
      <c r="O95" s="343" t="e">
        <f>(Apoio_Efeito!AL9)/Apoio_Efeito!$R$9</f>
        <v>#DIV/0!</v>
      </c>
      <c r="P95" s="345" t="e">
        <f>(Apoio_Efeito!AL10)/Apoio_Efeito!$R$10</f>
        <v>#DIV/0!</v>
      </c>
      <c r="Q95" s="343" t="e">
        <f>(Apoio_Efeito!AL11)/Apoio_Efeito!$R$11</f>
        <v>#DIV/0!</v>
      </c>
      <c r="R95" s="343" t="e">
        <f>(Apoio_Efeito!AL12)/Apoio_Efeito!$R12</f>
        <v>#DIV/0!</v>
      </c>
      <c r="S95" s="343" t="e">
        <f>(Apoio_Efeito!AL13)/Apoio_Efeito!$R$13</f>
        <v>#DIV/0!</v>
      </c>
      <c r="T95" s="343" t="e">
        <f>(Apoio_Efeito!AL14)/Apoio_Efeito!$R$14</f>
        <v>#DIV/0!</v>
      </c>
      <c r="U95" s="343" t="e">
        <f>(Apoio_Efeito!AL15)/Apoio_Efeito!$R$15</f>
        <v>#DIV/0!</v>
      </c>
      <c r="V95" s="343" t="e">
        <f>(Apoio_Efeito!AL16)/Apoio_Efeito!$R$16</f>
        <v>#DIV/0!</v>
      </c>
      <c r="W95" s="343" t="e">
        <f>(Apoio_Efeito!AL17)/Apoio_Efeito!$R$17</f>
        <v>#DIV/0!</v>
      </c>
      <c r="X95" s="350" t="e">
        <f>(Apoio_Efeito!AL18)/Apoio_Efeito!$R$18</f>
        <v>#DIV/0!</v>
      </c>
      <c r="Y95" s="350" t="e">
        <f>(Apoio_Efeito!AL19)/Apoio_Efeito!$R$19</f>
        <v>#DIV/0!</v>
      </c>
      <c r="Z95" s="350" t="e">
        <f>(Apoio_Efeito!AL20)/Apoio_Efeito!$R$20</f>
        <v>#DIV/0!</v>
      </c>
      <c r="AA95" s="350" t="e">
        <f>(Apoio_Efeito!AL21)/Apoio_Efeito!$R$21</f>
        <v>#DIV/0!</v>
      </c>
      <c r="AB95" s="350" t="e">
        <f>(Apoio_Efeito!AL22)/Apoio_Efeito!$R$22</f>
        <v>#DIV/0!</v>
      </c>
      <c r="AC95" s="350" t="e">
        <f>(Apoio_Efeito!AL23)/Apoio_Efeito!$R$23</f>
        <v>#DIV/0!</v>
      </c>
      <c r="AD95" s="350" t="e">
        <f>(Apoio_Efeito!AL24)/Apoio_Efeito!$R$24</f>
        <v>#DIV/0!</v>
      </c>
      <c r="AE95" s="350" t="e">
        <f>(Apoio_Efeito!AL25)/Apoio_Efeito!$R$25</f>
        <v>#DIV/0!</v>
      </c>
      <c r="AF95" s="350" t="e">
        <f>(Apoio_Efeito!AL26)/Apoio_Efeito!$R$26</f>
        <v>#DIV/0!</v>
      </c>
      <c r="AG95" s="350" t="e">
        <f>(Apoio_Efeito!AL27)/Apoio_Efeito!$R$27</f>
        <v>#DIV/0!</v>
      </c>
      <c r="AH95" s="350" t="e">
        <f>(Apoio_Efeito!AL28)/Apoio_Efeito!$R$28</f>
        <v>#DIV/0!</v>
      </c>
      <c r="AI95" s="350" t="e">
        <f>(Apoio_Efeito!AL29)/Apoio_Efeito!$R$29</f>
        <v>#DIV/0!</v>
      </c>
      <c r="AJ95" s="350" t="e">
        <f>(Apoio_Efeito!AL30)/Apoio_Efeito!$R$30</f>
        <v>#DIV/0!</v>
      </c>
      <c r="AK95" s="350" t="e">
        <f>(Apoio_Efeito!AL55)/Apoio_Efeito!$R$55</f>
        <v>#DIV/0!</v>
      </c>
      <c r="AL95" s="350" t="e">
        <f>(Apoio_Efeito!AL31)/Apoio_Efeito!$R$31</f>
        <v>#DIV/0!</v>
      </c>
      <c r="AM95" s="350" t="e">
        <f>(Apoio_Efeito!AL32)/Apoio_Efeito!$R$32</f>
        <v>#DIV/0!</v>
      </c>
      <c r="AN95" s="350" t="e">
        <f>(Apoio_Efeito!AL33)/Apoio_Efeito!$R$33</f>
        <v>#DIV/0!</v>
      </c>
      <c r="AO95" s="350" t="e">
        <f>(Apoio_Efeito!AL34)/Apoio_Efeito!$R$34</f>
        <v>#DIV/0!</v>
      </c>
      <c r="AP95" s="350" t="e">
        <f>(Apoio_Efeito!AL35)/Apoio_Efeito!$R$35</f>
        <v>#DIV/0!</v>
      </c>
      <c r="AQ95" s="350" t="e">
        <f>(Apoio_Efeito!AL36)/Apoio_Efeito!$R$36</f>
        <v>#DIV/0!</v>
      </c>
      <c r="AR95" s="350" t="e">
        <f>(Apoio_Efeito!AL37)/Apoio_Efeito!$R$37</f>
        <v>#DIV/0!</v>
      </c>
      <c r="AS95" s="350" t="e">
        <f>(Apoio_Efeito!AL38)/Apoio_Efeito!$R$38</f>
        <v>#DIV/0!</v>
      </c>
      <c r="AT95" s="350" t="e">
        <f>(Apoio_Efeito!AL39)/Apoio_Efeito!$R$39</f>
        <v>#DIV/0!</v>
      </c>
      <c r="AU95" s="343" t="e">
        <f>(Apoio_Efeito!AL40)/Apoio_Efeito!$R$40</f>
        <v>#DIV/0!</v>
      </c>
      <c r="AV95" s="343" t="e">
        <f>(Apoio_Efeito!AL41)/Apoio_Efeito!$R$41</f>
        <v>#DIV/0!</v>
      </c>
      <c r="AW95" s="343" t="e">
        <f>(Apoio_Efeito!AL42)/Apoio_Efeito!$R$42</f>
        <v>#DIV/0!</v>
      </c>
      <c r="AX95" s="343" t="e">
        <f>(Apoio_Efeito!AL43)/Apoio_Efeito!$R$43</f>
        <v>#DIV/0!</v>
      </c>
      <c r="AY95" s="343" t="e">
        <f>(Apoio_Efeito!AL44)/Apoio_Efeito!$R$44</f>
        <v>#DIV/0!</v>
      </c>
      <c r="AZ95" s="343" t="e">
        <f>(Apoio_Efeito!AL45)/Apoio_Efeito!$R$45</f>
        <v>#DIV/0!</v>
      </c>
      <c r="BA95" s="345" t="e">
        <f>(Apoio_Efeito!AL46)/Apoio_Efeito!$R$46</f>
        <v>#DIV/0!</v>
      </c>
      <c r="BB95" s="343" t="e">
        <f>(Apoio_Efeito!AL47)/Apoio_Efeito!$R$47</f>
        <v>#DIV/0!</v>
      </c>
      <c r="BC95" s="343" t="e">
        <f>(Apoio_Efeito!AL48)/Apoio_Efeito!$R$48</f>
        <v>#DIV/0!</v>
      </c>
      <c r="BD95" s="343" t="e">
        <f>(Apoio_Efeito!AL49)/Apoio_Efeito!$R$49</f>
        <v>#DIV/0!</v>
      </c>
      <c r="BE95" s="343" t="e">
        <f>(Apoio_Efeito!AL50)/Apoio_Efeito!$R$50</f>
        <v>#DIV/0!</v>
      </c>
      <c r="BF95" s="343" t="e">
        <f>(Apoio_Efeito!AL51)/Apoio_Efeito!$R$51</f>
        <v>#DIV/0!</v>
      </c>
      <c r="BG95" s="344">
        <f>(Apoio_Efeito!AL52)/Apoio_Efeito!$R$52</f>
        <v>0</v>
      </c>
      <c r="BH95" s="344">
        <f>(Apoio_Efeito!AL53)/Apoio_Efeito!$R$53</f>
        <v>0</v>
      </c>
      <c r="BI95" s="100"/>
      <c r="BJ95" s="277">
        <f t="shared" si="11"/>
        <v>0</v>
      </c>
      <c r="BK95" s="164"/>
      <c r="BL95" s="165"/>
      <c r="BN95" s="5"/>
    </row>
    <row r="96" spans="7:66" hidden="1">
      <c r="G96" s="207"/>
      <c r="H96" s="149" t="s">
        <v>358</v>
      </c>
      <c r="I96" s="275" t="e">
        <f>(Apoio_Efeito!AM4)/Apoio_Efeito!$R$4</f>
        <v>#DIV/0!</v>
      </c>
      <c r="J96" s="343" t="e">
        <f>(Apoio_Efeito!AM5)/Apoio_Efeito!$R$5</f>
        <v>#DIV/0!</v>
      </c>
      <c r="K96" s="343" t="e">
        <f>(Apoio_Efeito!AM6)/Apoio_Efeito!$R$6</f>
        <v>#DIV/0!</v>
      </c>
      <c r="L96" s="343">
        <f>(Apoio_Efeito!AM7)/Apoio_Efeito!$R$7</f>
        <v>0</v>
      </c>
      <c r="M96" s="343" t="e">
        <f>(Apoio_Efeito!AM54)/Apoio_Efeito!$R$54</f>
        <v>#DIV/0!</v>
      </c>
      <c r="N96" s="343" t="e">
        <f>(Apoio_Efeito!AM8)/Apoio_Efeito!$R$8</f>
        <v>#DIV/0!</v>
      </c>
      <c r="O96" s="343" t="e">
        <f>(Apoio_Efeito!AM9)/Apoio_Efeito!$R$9</f>
        <v>#DIV/0!</v>
      </c>
      <c r="P96" s="345" t="e">
        <f>(Apoio_Efeito!AM10)/Apoio_Efeito!$R$10</f>
        <v>#DIV/0!</v>
      </c>
      <c r="Q96" s="343" t="e">
        <f>(Apoio_Efeito!AM11)/Apoio_Efeito!$R$11</f>
        <v>#DIV/0!</v>
      </c>
      <c r="R96" s="343" t="e">
        <f>(Apoio_Efeito!AM12)/Apoio_Efeito!$R12</f>
        <v>#DIV/0!</v>
      </c>
      <c r="S96" s="343" t="e">
        <f>(Apoio_Efeito!AM13)/Apoio_Efeito!$R$13</f>
        <v>#DIV/0!</v>
      </c>
      <c r="T96" s="343" t="e">
        <f>(Apoio_Efeito!AM14)/Apoio_Efeito!$R$14</f>
        <v>#DIV/0!</v>
      </c>
      <c r="U96" s="343" t="e">
        <f>(Apoio_Efeito!AM15)/Apoio_Efeito!$R$15</f>
        <v>#DIV/0!</v>
      </c>
      <c r="V96" s="343" t="e">
        <f>(Apoio_Efeito!AM16)/Apoio_Efeito!$R$16</f>
        <v>#DIV/0!</v>
      </c>
      <c r="W96" s="343" t="e">
        <f>(Apoio_Efeito!AM17)/Apoio_Efeito!$R$17</f>
        <v>#DIV/0!</v>
      </c>
      <c r="X96" s="350" t="e">
        <f>(Apoio_Efeito!AM18)/Apoio_Efeito!$R$18</f>
        <v>#DIV/0!</v>
      </c>
      <c r="Y96" s="350" t="e">
        <f>(Apoio_Efeito!AM19)/Apoio_Efeito!$R$19</f>
        <v>#DIV/0!</v>
      </c>
      <c r="Z96" s="350" t="e">
        <f>(Apoio_Efeito!AM20)/Apoio_Efeito!$R$20</f>
        <v>#DIV/0!</v>
      </c>
      <c r="AA96" s="350" t="e">
        <f>(Apoio_Efeito!AM21)/Apoio_Efeito!$R$21</f>
        <v>#DIV/0!</v>
      </c>
      <c r="AB96" s="350" t="e">
        <f>(Apoio_Efeito!AM22)/Apoio_Efeito!$R$22</f>
        <v>#DIV/0!</v>
      </c>
      <c r="AC96" s="350" t="e">
        <f>(Apoio_Efeito!AM23)/Apoio_Efeito!$R$23</f>
        <v>#DIV/0!</v>
      </c>
      <c r="AD96" s="350" t="e">
        <f>(Apoio_Efeito!AM24)/Apoio_Efeito!$R$24</f>
        <v>#DIV/0!</v>
      </c>
      <c r="AE96" s="350" t="e">
        <f>(Apoio_Efeito!AM25)/Apoio_Efeito!$R$25</f>
        <v>#DIV/0!</v>
      </c>
      <c r="AF96" s="350" t="e">
        <f>(Apoio_Efeito!AM26)/Apoio_Efeito!$R$26</f>
        <v>#DIV/0!</v>
      </c>
      <c r="AG96" s="350" t="e">
        <f>(Apoio_Efeito!AM27)/Apoio_Efeito!$R$27</f>
        <v>#DIV/0!</v>
      </c>
      <c r="AH96" s="350" t="e">
        <f>(Apoio_Efeito!AM28)/Apoio_Efeito!$R$28</f>
        <v>#DIV/0!</v>
      </c>
      <c r="AI96" s="350" t="e">
        <f>(Apoio_Efeito!AM29)/Apoio_Efeito!$R$29</f>
        <v>#DIV/0!</v>
      </c>
      <c r="AJ96" s="350" t="e">
        <f>(Apoio_Efeito!AM30)/Apoio_Efeito!$R$30</f>
        <v>#DIV/0!</v>
      </c>
      <c r="AK96" s="350" t="e">
        <f>(Apoio_Efeito!AM55)/Apoio_Efeito!$R$55</f>
        <v>#DIV/0!</v>
      </c>
      <c r="AL96" s="350" t="e">
        <f>(Apoio_Efeito!AM31)/Apoio_Efeito!$R$31</f>
        <v>#DIV/0!</v>
      </c>
      <c r="AM96" s="350" t="e">
        <f>(Apoio_Efeito!AM32)/Apoio_Efeito!$R$32</f>
        <v>#DIV/0!</v>
      </c>
      <c r="AN96" s="350" t="e">
        <f>(Apoio_Efeito!AM33)/Apoio_Efeito!$R$33</f>
        <v>#DIV/0!</v>
      </c>
      <c r="AO96" s="350" t="e">
        <f>(Apoio_Efeito!AM34)/Apoio_Efeito!$R$34</f>
        <v>#DIV/0!</v>
      </c>
      <c r="AP96" s="350" t="e">
        <f>(Apoio_Efeito!AM35)/Apoio_Efeito!$R$35</f>
        <v>#DIV/0!</v>
      </c>
      <c r="AQ96" s="350" t="e">
        <f>(Apoio_Efeito!AM36)/Apoio_Efeito!$R$36</f>
        <v>#DIV/0!</v>
      </c>
      <c r="AR96" s="350" t="e">
        <f>(Apoio_Efeito!AM37)/Apoio_Efeito!$R$37</f>
        <v>#DIV/0!</v>
      </c>
      <c r="AS96" s="350" t="e">
        <f>(Apoio_Efeito!AM38)/Apoio_Efeito!$R$38</f>
        <v>#DIV/0!</v>
      </c>
      <c r="AT96" s="350" t="e">
        <f>(Apoio_Efeito!AM39)/Apoio_Efeito!$R$39</f>
        <v>#DIV/0!</v>
      </c>
      <c r="AU96" s="343" t="e">
        <f>(Apoio_Efeito!AM40)/Apoio_Efeito!$R$40</f>
        <v>#DIV/0!</v>
      </c>
      <c r="AV96" s="343" t="e">
        <f>(Apoio_Efeito!AM41)/Apoio_Efeito!$R$41</f>
        <v>#DIV/0!</v>
      </c>
      <c r="AW96" s="343" t="e">
        <f>(Apoio_Efeito!AM42)/Apoio_Efeito!$R$42</f>
        <v>#DIV/0!</v>
      </c>
      <c r="AX96" s="343" t="e">
        <f>(Apoio_Efeito!AM43)/Apoio_Efeito!$R$43</f>
        <v>#DIV/0!</v>
      </c>
      <c r="AY96" s="343" t="e">
        <f>(Apoio_Efeito!AM44)/Apoio_Efeito!$R$44</f>
        <v>#DIV/0!</v>
      </c>
      <c r="AZ96" s="343" t="e">
        <f>(Apoio_Efeito!AM45)/Apoio_Efeito!$R$45</f>
        <v>#DIV/0!</v>
      </c>
      <c r="BA96" s="345" t="e">
        <f>(Apoio_Efeito!AM46)/Apoio_Efeito!$R$46</f>
        <v>#DIV/0!</v>
      </c>
      <c r="BB96" s="343" t="e">
        <f>(Apoio_Efeito!AM47)/Apoio_Efeito!$R$47</f>
        <v>#DIV/0!</v>
      </c>
      <c r="BC96" s="343" t="e">
        <f>(Apoio_Efeito!AM48)/Apoio_Efeito!$R$48</f>
        <v>#DIV/0!</v>
      </c>
      <c r="BD96" s="343" t="e">
        <f>(Apoio_Efeito!AM49)/Apoio_Efeito!$R$49</f>
        <v>#DIV/0!</v>
      </c>
      <c r="BE96" s="343" t="e">
        <f>(Apoio_Efeito!AM50)/Apoio_Efeito!$R$50</f>
        <v>#DIV/0!</v>
      </c>
      <c r="BF96" s="343" t="e">
        <f>(Apoio_Efeito!AM51)/Apoio_Efeito!$R$51</f>
        <v>#DIV/0!</v>
      </c>
      <c r="BG96" s="344">
        <f>(Apoio_Efeito!AM52)/Apoio_Efeito!$R$52</f>
        <v>0</v>
      </c>
      <c r="BH96" s="344">
        <f>(Apoio_Efeito!AM53)/Apoio_Efeito!$R$53</f>
        <v>0</v>
      </c>
      <c r="BI96" s="100"/>
      <c r="BJ96" s="277">
        <f t="shared" si="11"/>
        <v>0</v>
      </c>
      <c r="BK96" s="164"/>
      <c r="BL96" s="165"/>
      <c r="BN96" s="5"/>
    </row>
    <row r="97" spans="7:66" hidden="1">
      <c r="G97" s="207"/>
      <c r="H97" s="149" t="s">
        <v>363</v>
      </c>
      <c r="I97" s="275" t="e">
        <f>(Apoio_Efeito!AN4)/Apoio_Efeito!$R$4</f>
        <v>#DIV/0!</v>
      </c>
      <c r="J97" s="343" t="e">
        <f>(Apoio_Efeito!AN5)/Apoio_Efeito!$R$5</f>
        <v>#DIV/0!</v>
      </c>
      <c r="K97" s="343" t="e">
        <f>(Apoio_Efeito!AN6)/Apoio_Efeito!$R$6</f>
        <v>#DIV/0!</v>
      </c>
      <c r="L97" s="343">
        <f>(Apoio_Efeito!AN7)/Apoio_Efeito!$R$7</f>
        <v>0</v>
      </c>
      <c r="M97" s="343" t="e">
        <f>(Apoio_Efeito!AN54)/Apoio_Efeito!$R$54</f>
        <v>#DIV/0!</v>
      </c>
      <c r="N97" s="343" t="e">
        <f>(Apoio_Efeito!AN8)/Apoio_Efeito!$R$8</f>
        <v>#DIV/0!</v>
      </c>
      <c r="O97" s="343" t="e">
        <f>(Apoio_Efeito!AN9)/Apoio_Efeito!$R$9</f>
        <v>#DIV/0!</v>
      </c>
      <c r="P97" s="345" t="e">
        <f>(Apoio_Efeito!AN10)/Apoio_Efeito!$R$10</f>
        <v>#DIV/0!</v>
      </c>
      <c r="Q97" s="343" t="e">
        <f>(Apoio_Efeito!AN11)/Apoio_Efeito!$R$11</f>
        <v>#DIV/0!</v>
      </c>
      <c r="R97" s="343" t="e">
        <f>(Apoio_Efeito!AN12)/Apoio_Efeito!$R12</f>
        <v>#DIV/0!</v>
      </c>
      <c r="S97" s="343" t="e">
        <f>(Apoio_Efeito!AN13)/Apoio_Efeito!$R$13</f>
        <v>#DIV/0!</v>
      </c>
      <c r="T97" s="343" t="e">
        <f>(Apoio_Efeito!AN14)/Apoio_Efeito!$R$14</f>
        <v>#DIV/0!</v>
      </c>
      <c r="U97" s="343" t="e">
        <f>(Apoio_Efeito!AN15)/Apoio_Efeito!$R$15</f>
        <v>#DIV/0!</v>
      </c>
      <c r="V97" s="343" t="e">
        <f>(Apoio_Efeito!AN16)/Apoio_Efeito!$R$16</f>
        <v>#DIV/0!</v>
      </c>
      <c r="W97" s="343" t="e">
        <f>(Apoio_Efeito!AN17)/Apoio_Efeito!$R$17</f>
        <v>#DIV/0!</v>
      </c>
      <c r="X97" s="350" t="e">
        <f>(Apoio_Efeito!AN18)/Apoio_Efeito!$R$18</f>
        <v>#DIV/0!</v>
      </c>
      <c r="Y97" s="350" t="e">
        <f>(Apoio_Efeito!AN19)/Apoio_Efeito!$R$19</f>
        <v>#DIV/0!</v>
      </c>
      <c r="Z97" s="350" t="e">
        <f>(Apoio_Efeito!AN20)/Apoio_Efeito!$R$20</f>
        <v>#DIV/0!</v>
      </c>
      <c r="AA97" s="350" t="e">
        <f>(Apoio_Efeito!AN21)/Apoio_Efeito!$R$21</f>
        <v>#DIV/0!</v>
      </c>
      <c r="AB97" s="350" t="e">
        <f>(Apoio_Efeito!AN22)/Apoio_Efeito!$R$22</f>
        <v>#DIV/0!</v>
      </c>
      <c r="AC97" s="350" t="e">
        <f>(Apoio_Efeito!AN23)/Apoio_Efeito!$R$23</f>
        <v>#DIV/0!</v>
      </c>
      <c r="AD97" s="350" t="e">
        <f>(Apoio_Efeito!AN24)/Apoio_Efeito!$R$24</f>
        <v>#DIV/0!</v>
      </c>
      <c r="AE97" s="350" t="e">
        <f>(Apoio_Efeito!AN25)/Apoio_Efeito!$R$25</f>
        <v>#DIV/0!</v>
      </c>
      <c r="AF97" s="350" t="e">
        <f>(Apoio_Efeito!AN26)/Apoio_Efeito!$R$26</f>
        <v>#DIV/0!</v>
      </c>
      <c r="AG97" s="350" t="e">
        <f>(Apoio_Efeito!AN27)/Apoio_Efeito!$R$27</f>
        <v>#DIV/0!</v>
      </c>
      <c r="AH97" s="350" t="e">
        <f>(Apoio_Efeito!AN28)/Apoio_Efeito!$R$28</f>
        <v>#DIV/0!</v>
      </c>
      <c r="AI97" s="350" t="e">
        <f>(Apoio_Efeito!AN29)/Apoio_Efeito!$R$29</f>
        <v>#DIV/0!</v>
      </c>
      <c r="AJ97" s="350" t="e">
        <f>(Apoio_Efeito!AN30)/Apoio_Efeito!$R$30</f>
        <v>#DIV/0!</v>
      </c>
      <c r="AK97" s="350" t="e">
        <f>(Apoio_Efeito!AN55)/Apoio_Efeito!$R$55</f>
        <v>#DIV/0!</v>
      </c>
      <c r="AL97" s="350" t="e">
        <f>(Apoio_Efeito!AN31)/Apoio_Efeito!$R$31</f>
        <v>#DIV/0!</v>
      </c>
      <c r="AM97" s="350" t="e">
        <f>(Apoio_Efeito!AN32)/Apoio_Efeito!$R$32</f>
        <v>#DIV/0!</v>
      </c>
      <c r="AN97" s="350" t="e">
        <f>(Apoio_Efeito!AN33)/Apoio_Efeito!$R$33</f>
        <v>#DIV/0!</v>
      </c>
      <c r="AO97" s="350" t="e">
        <f>(Apoio_Efeito!AN34)/Apoio_Efeito!$R$34</f>
        <v>#DIV/0!</v>
      </c>
      <c r="AP97" s="350" t="e">
        <f>(Apoio_Efeito!AN35)/Apoio_Efeito!$R$35</f>
        <v>#DIV/0!</v>
      </c>
      <c r="AQ97" s="350" t="e">
        <f>(Apoio_Efeito!AN36)/Apoio_Efeito!$R$36</f>
        <v>#DIV/0!</v>
      </c>
      <c r="AR97" s="350" t="e">
        <f>(Apoio_Efeito!AN37)/Apoio_Efeito!$R$37</f>
        <v>#DIV/0!</v>
      </c>
      <c r="AS97" s="350" t="e">
        <f>(Apoio_Efeito!AN38)/Apoio_Efeito!$R$38</f>
        <v>#DIV/0!</v>
      </c>
      <c r="AT97" s="350" t="e">
        <f>(Apoio_Efeito!AN39)/Apoio_Efeito!$R$39</f>
        <v>#DIV/0!</v>
      </c>
      <c r="AU97" s="343" t="e">
        <f>(Apoio_Efeito!AN40)/Apoio_Efeito!$R$40</f>
        <v>#DIV/0!</v>
      </c>
      <c r="AV97" s="343" t="e">
        <f>(Apoio_Efeito!AN41)/Apoio_Efeito!$R$41</f>
        <v>#DIV/0!</v>
      </c>
      <c r="AW97" s="343" t="e">
        <f>(Apoio_Efeito!AN42)/Apoio_Efeito!$R$42</f>
        <v>#DIV/0!</v>
      </c>
      <c r="AX97" s="343" t="e">
        <f>(Apoio_Efeito!AN43)/Apoio_Efeito!$R$43</f>
        <v>#DIV/0!</v>
      </c>
      <c r="AY97" s="343" t="e">
        <f>(Apoio_Efeito!AN44)/Apoio_Efeito!$R$44</f>
        <v>#DIV/0!</v>
      </c>
      <c r="AZ97" s="343" t="e">
        <f>(Apoio_Efeito!AN45)/Apoio_Efeito!$R$45</f>
        <v>#DIV/0!</v>
      </c>
      <c r="BA97" s="345" t="e">
        <f>(Apoio_Efeito!AN46)/Apoio_Efeito!$R$46</f>
        <v>#DIV/0!</v>
      </c>
      <c r="BB97" s="343" t="e">
        <f>(Apoio_Efeito!AN47)/Apoio_Efeito!$R$47</f>
        <v>#DIV/0!</v>
      </c>
      <c r="BC97" s="343" t="e">
        <f>(Apoio_Efeito!AN48)/Apoio_Efeito!$R$48</f>
        <v>#DIV/0!</v>
      </c>
      <c r="BD97" s="343" t="e">
        <f>(Apoio_Efeito!AN49)/Apoio_Efeito!$R$49</f>
        <v>#DIV/0!</v>
      </c>
      <c r="BE97" s="343" t="e">
        <f>(Apoio_Efeito!AN50)/Apoio_Efeito!$R$50</f>
        <v>#DIV/0!</v>
      </c>
      <c r="BF97" s="343" t="e">
        <f>(Apoio_Efeito!AN51)/Apoio_Efeito!$R$51</f>
        <v>#DIV/0!</v>
      </c>
      <c r="BG97" s="344">
        <f>(Apoio_Efeito!AN52)/Apoio_Efeito!$R$52</f>
        <v>0</v>
      </c>
      <c r="BH97" s="344">
        <f>(Apoio_Efeito!AN53)/Apoio_Efeito!$R$53</f>
        <v>0</v>
      </c>
      <c r="BI97" s="100"/>
      <c r="BJ97" s="277">
        <f t="shared" si="11"/>
        <v>0</v>
      </c>
      <c r="BK97" s="164"/>
      <c r="BL97" s="165"/>
      <c r="BN97" s="5"/>
    </row>
    <row r="98" spans="7:66" hidden="1">
      <c r="G98" s="207"/>
      <c r="H98" s="149" t="s">
        <v>362</v>
      </c>
      <c r="I98" s="275" t="e">
        <f>(Apoio_Efeito!AO4)/Apoio_Efeito!$R$4</f>
        <v>#DIV/0!</v>
      </c>
      <c r="J98" s="343" t="e">
        <f>(Apoio_Efeito!AO5)/Apoio_Efeito!$R$5</f>
        <v>#DIV/0!</v>
      </c>
      <c r="K98" s="343" t="e">
        <f>(Apoio_Efeito!AO6)/Apoio_Efeito!$R$6</f>
        <v>#DIV/0!</v>
      </c>
      <c r="L98" s="343">
        <f>(Apoio_Efeito!AO7)/Apoio_Efeito!$R$7</f>
        <v>0</v>
      </c>
      <c r="M98" s="343" t="e">
        <f>(Apoio_Efeito!AO54)/Apoio_Efeito!$R$54</f>
        <v>#DIV/0!</v>
      </c>
      <c r="N98" s="343" t="e">
        <f>(Apoio_Efeito!AO8)/Apoio_Efeito!$R$8</f>
        <v>#DIV/0!</v>
      </c>
      <c r="O98" s="343" t="e">
        <f>(Apoio_Efeito!AO9)/Apoio_Efeito!$R$9</f>
        <v>#DIV/0!</v>
      </c>
      <c r="P98" s="345" t="e">
        <f>(Apoio_Efeito!AO10)/Apoio_Efeito!$R$10</f>
        <v>#DIV/0!</v>
      </c>
      <c r="Q98" s="343" t="e">
        <f>(Apoio_Efeito!AO11)/Apoio_Efeito!$R$11</f>
        <v>#DIV/0!</v>
      </c>
      <c r="R98" s="343" t="e">
        <f>(Apoio_Efeito!AO12)/Apoio_Efeito!$R12</f>
        <v>#DIV/0!</v>
      </c>
      <c r="S98" s="343" t="e">
        <f>(Apoio_Efeito!AO13)/Apoio_Efeito!$R$13</f>
        <v>#DIV/0!</v>
      </c>
      <c r="T98" s="343" t="e">
        <f>(Apoio_Efeito!AO14)/Apoio_Efeito!$R$14</f>
        <v>#DIV/0!</v>
      </c>
      <c r="U98" s="343" t="e">
        <f>(Apoio_Efeito!AO15)/Apoio_Efeito!$R$15</f>
        <v>#DIV/0!</v>
      </c>
      <c r="V98" s="343" t="e">
        <f>(Apoio_Efeito!AO16)/Apoio_Efeito!$R$16</f>
        <v>#DIV/0!</v>
      </c>
      <c r="W98" s="343" t="e">
        <f>(Apoio_Efeito!AO17)/Apoio_Efeito!$R$17</f>
        <v>#DIV/0!</v>
      </c>
      <c r="X98" s="350" t="e">
        <f>(Apoio_Efeito!AO18)/Apoio_Efeito!$R$18</f>
        <v>#DIV/0!</v>
      </c>
      <c r="Y98" s="350" t="e">
        <f>(Apoio_Efeito!AO19)/Apoio_Efeito!$R$19</f>
        <v>#DIV/0!</v>
      </c>
      <c r="Z98" s="350" t="e">
        <f>(Apoio_Efeito!AO20)/Apoio_Efeito!$R$20</f>
        <v>#DIV/0!</v>
      </c>
      <c r="AA98" s="350" t="e">
        <f>(Apoio_Efeito!AO21)/Apoio_Efeito!$R$21</f>
        <v>#DIV/0!</v>
      </c>
      <c r="AB98" s="350" t="e">
        <f>(Apoio_Efeito!AO22)/Apoio_Efeito!$R$22</f>
        <v>#DIV/0!</v>
      </c>
      <c r="AC98" s="350" t="e">
        <f>(Apoio_Efeito!AO23)/Apoio_Efeito!$R$23</f>
        <v>#DIV/0!</v>
      </c>
      <c r="AD98" s="350" t="e">
        <f>(Apoio_Efeito!AO24)/Apoio_Efeito!$R$24</f>
        <v>#DIV/0!</v>
      </c>
      <c r="AE98" s="350" t="e">
        <f>(Apoio_Efeito!AO25)/Apoio_Efeito!$R$25</f>
        <v>#DIV/0!</v>
      </c>
      <c r="AF98" s="350" t="e">
        <f>(Apoio_Efeito!AO26)/Apoio_Efeito!$R$26</f>
        <v>#DIV/0!</v>
      </c>
      <c r="AG98" s="350" t="e">
        <f>(Apoio_Efeito!AO27)/Apoio_Efeito!$R$27</f>
        <v>#DIV/0!</v>
      </c>
      <c r="AH98" s="350" t="e">
        <f>(Apoio_Efeito!AO28)/Apoio_Efeito!$R$28</f>
        <v>#DIV/0!</v>
      </c>
      <c r="AI98" s="350" t="e">
        <f>(Apoio_Efeito!AO29)/Apoio_Efeito!$R$29</f>
        <v>#DIV/0!</v>
      </c>
      <c r="AJ98" s="350" t="e">
        <f>(Apoio_Efeito!AO30)/Apoio_Efeito!$R$30</f>
        <v>#DIV/0!</v>
      </c>
      <c r="AK98" s="350" t="e">
        <f>(Apoio_Efeito!AO55)/Apoio_Efeito!$R$55</f>
        <v>#DIV/0!</v>
      </c>
      <c r="AL98" s="350" t="e">
        <f>(Apoio_Efeito!AO31)/Apoio_Efeito!$R$31</f>
        <v>#DIV/0!</v>
      </c>
      <c r="AM98" s="350" t="e">
        <f>(Apoio_Efeito!AO32)/Apoio_Efeito!$R$32</f>
        <v>#DIV/0!</v>
      </c>
      <c r="AN98" s="350" t="e">
        <f>(Apoio_Efeito!AO33)/Apoio_Efeito!$R$33</f>
        <v>#DIV/0!</v>
      </c>
      <c r="AO98" s="350" t="e">
        <f>(Apoio_Efeito!AO34)/Apoio_Efeito!$R$34</f>
        <v>#DIV/0!</v>
      </c>
      <c r="AP98" s="350" t="e">
        <f>(Apoio_Efeito!AO35)/Apoio_Efeito!$R$35</f>
        <v>#DIV/0!</v>
      </c>
      <c r="AQ98" s="350" t="e">
        <f>(Apoio_Efeito!AO36)/Apoio_Efeito!$R$36</f>
        <v>#DIV/0!</v>
      </c>
      <c r="AR98" s="350" t="e">
        <f>(Apoio_Efeito!AO37)/Apoio_Efeito!$R$37</f>
        <v>#DIV/0!</v>
      </c>
      <c r="AS98" s="350" t="e">
        <f>(Apoio_Efeito!AO38)/Apoio_Efeito!$R$38</f>
        <v>#DIV/0!</v>
      </c>
      <c r="AT98" s="350" t="e">
        <f>(Apoio_Efeito!AO39)/Apoio_Efeito!$R$39</f>
        <v>#DIV/0!</v>
      </c>
      <c r="AU98" s="343" t="e">
        <f>(Apoio_Efeito!AO40)/Apoio_Efeito!$R$40</f>
        <v>#DIV/0!</v>
      </c>
      <c r="AV98" s="343" t="e">
        <f>(Apoio_Efeito!AO41)/Apoio_Efeito!$R$41</f>
        <v>#DIV/0!</v>
      </c>
      <c r="AW98" s="343" t="e">
        <f>(Apoio_Efeito!AO42)/Apoio_Efeito!$R$42</f>
        <v>#DIV/0!</v>
      </c>
      <c r="AX98" s="343" t="e">
        <f>(Apoio_Efeito!AO43)/Apoio_Efeito!$R$43</f>
        <v>#DIV/0!</v>
      </c>
      <c r="AY98" s="343" t="e">
        <f>(Apoio_Efeito!AO44)/Apoio_Efeito!$R$44</f>
        <v>#DIV/0!</v>
      </c>
      <c r="AZ98" s="343" t="e">
        <f>(Apoio_Efeito!AO45)/Apoio_Efeito!$R$45</f>
        <v>#DIV/0!</v>
      </c>
      <c r="BA98" s="345" t="e">
        <f>(Apoio_Efeito!AO46)/Apoio_Efeito!$R$46</f>
        <v>#DIV/0!</v>
      </c>
      <c r="BB98" s="343" t="e">
        <f>(Apoio_Efeito!AO47)/Apoio_Efeito!$R$47</f>
        <v>#DIV/0!</v>
      </c>
      <c r="BC98" s="343" t="e">
        <f>(Apoio_Efeito!AO48)/Apoio_Efeito!$R$48</f>
        <v>#DIV/0!</v>
      </c>
      <c r="BD98" s="343" t="e">
        <f>(Apoio_Efeito!AO49)/Apoio_Efeito!$R$49</f>
        <v>#DIV/0!</v>
      </c>
      <c r="BE98" s="343" t="e">
        <f>(Apoio_Efeito!AO50)/Apoio_Efeito!$R$50</f>
        <v>#DIV/0!</v>
      </c>
      <c r="BF98" s="343" t="e">
        <f>(Apoio_Efeito!AO51)/Apoio_Efeito!$R$51</f>
        <v>#DIV/0!</v>
      </c>
      <c r="BG98" s="344">
        <f>(Apoio_Efeito!AO52)/Apoio_Efeito!$R$52</f>
        <v>0</v>
      </c>
      <c r="BH98" s="344">
        <f>(Apoio_Efeito!AO53)/Apoio_Efeito!$R$53</f>
        <v>0</v>
      </c>
      <c r="BI98" s="100"/>
      <c r="BJ98" s="277">
        <f t="shared" si="11"/>
        <v>0</v>
      </c>
      <c r="BK98" s="164"/>
      <c r="BL98" s="165"/>
      <c r="BN98" s="5"/>
    </row>
    <row r="99" spans="7:66" hidden="1">
      <c r="G99" s="207"/>
      <c r="H99" s="149" t="s">
        <v>361</v>
      </c>
      <c r="I99" s="275" t="e">
        <f>(Apoio_Efeito!AP4)/Apoio_Efeito!$R$4</f>
        <v>#DIV/0!</v>
      </c>
      <c r="J99" s="343" t="e">
        <f>(Apoio_Efeito!AP5)/Apoio_Efeito!$R$5</f>
        <v>#DIV/0!</v>
      </c>
      <c r="K99" s="343" t="e">
        <f>(Apoio_Efeito!AP6)/Apoio_Efeito!$R$6</f>
        <v>#DIV/0!</v>
      </c>
      <c r="L99" s="343">
        <f>(Apoio_Efeito!AP7)/Apoio_Efeito!$R$7</f>
        <v>0</v>
      </c>
      <c r="M99" s="343" t="e">
        <f>(Apoio_Efeito!AP54)/Apoio_Efeito!$R$54</f>
        <v>#DIV/0!</v>
      </c>
      <c r="N99" s="343" t="e">
        <f>(Apoio_Efeito!AP8)/Apoio_Efeito!$R$8</f>
        <v>#DIV/0!</v>
      </c>
      <c r="O99" s="343" t="e">
        <f>(Apoio_Efeito!AP9)/Apoio_Efeito!$R$9</f>
        <v>#DIV/0!</v>
      </c>
      <c r="P99" s="345" t="e">
        <f>(Apoio_Efeito!AP10)/Apoio_Efeito!$R$10</f>
        <v>#DIV/0!</v>
      </c>
      <c r="Q99" s="343" t="e">
        <f>(Apoio_Efeito!AP11)/Apoio_Efeito!$R$11</f>
        <v>#DIV/0!</v>
      </c>
      <c r="R99" s="343" t="e">
        <f>(Apoio_Efeito!AP12)/Apoio_Efeito!$R12</f>
        <v>#DIV/0!</v>
      </c>
      <c r="S99" s="343" t="e">
        <f>(Apoio_Efeito!AP13)/Apoio_Efeito!$R$13</f>
        <v>#DIV/0!</v>
      </c>
      <c r="T99" s="343" t="e">
        <f>(Apoio_Efeito!AP14)/Apoio_Efeito!$R$14</f>
        <v>#DIV/0!</v>
      </c>
      <c r="U99" s="343" t="e">
        <f>(Apoio_Efeito!AP15)/Apoio_Efeito!$R$15</f>
        <v>#DIV/0!</v>
      </c>
      <c r="V99" s="343" t="e">
        <f>(Apoio_Efeito!AP16)/Apoio_Efeito!$R$16</f>
        <v>#DIV/0!</v>
      </c>
      <c r="W99" s="343" t="e">
        <f>(Apoio_Efeito!AP17)/Apoio_Efeito!$R$17</f>
        <v>#DIV/0!</v>
      </c>
      <c r="X99" s="350" t="e">
        <f>(Apoio_Efeito!AP18)/Apoio_Efeito!$R$18</f>
        <v>#DIV/0!</v>
      </c>
      <c r="Y99" s="350" t="e">
        <f>(Apoio_Efeito!AP19)/Apoio_Efeito!$R$19</f>
        <v>#DIV/0!</v>
      </c>
      <c r="Z99" s="350" t="e">
        <f>(Apoio_Efeito!AP20)/Apoio_Efeito!$R$20</f>
        <v>#DIV/0!</v>
      </c>
      <c r="AA99" s="350" t="e">
        <f>(Apoio_Efeito!AP21)/Apoio_Efeito!$R$21</f>
        <v>#DIV/0!</v>
      </c>
      <c r="AB99" s="350" t="e">
        <f>(Apoio_Efeito!AP22)/Apoio_Efeito!$R$22</f>
        <v>#DIV/0!</v>
      </c>
      <c r="AC99" s="350" t="e">
        <f>(Apoio_Efeito!AP23)/Apoio_Efeito!$R$23</f>
        <v>#DIV/0!</v>
      </c>
      <c r="AD99" s="350" t="e">
        <f>(Apoio_Efeito!AP24)/Apoio_Efeito!$R$24</f>
        <v>#DIV/0!</v>
      </c>
      <c r="AE99" s="350" t="e">
        <f>(Apoio_Efeito!AP25)/Apoio_Efeito!$R$25</f>
        <v>#DIV/0!</v>
      </c>
      <c r="AF99" s="350" t="e">
        <f>(Apoio_Efeito!AP26)/Apoio_Efeito!$R$26</f>
        <v>#DIV/0!</v>
      </c>
      <c r="AG99" s="350" t="e">
        <f>(Apoio_Efeito!AP27)/Apoio_Efeito!$R$27</f>
        <v>#DIV/0!</v>
      </c>
      <c r="AH99" s="350" t="e">
        <f>(Apoio_Efeito!AP28)/Apoio_Efeito!$R$28</f>
        <v>#DIV/0!</v>
      </c>
      <c r="AI99" s="350" t="e">
        <f>(Apoio_Efeito!AP29)/Apoio_Efeito!$R$29</f>
        <v>#DIV/0!</v>
      </c>
      <c r="AJ99" s="350" t="e">
        <f>(Apoio_Efeito!AP30)/Apoio_Efeito!$R$30</f>
        <v>#DIV/0!</v>
      </c>
      <c r="AK99" s="350" t="e">
        <f>(Apoio_Efeito!AP55)/Apoio_Efeito!$R$55</f>
        <v>#DIV/0!</v>
      </c>
      <c r="AL99" s="350" t="e">
        <f>(Apoio_Efeito!AP31)/Apoio_Efeito!$R$31</f>
        <v>#DIV/0!</v>
      </c>
      <c r="AM99" s="350" t="e">
        <f>(Apoio_Efeito!AP32)/Apoio_Efeito!$R$32</f>
        <v>#DIV/0!</v>
      </c>
      <c r="AN99" s="350" t="e">
        <f>(Apoio_Efeito!AP33)/Apoio_Efeito!$R$33</f>
        <v>#DIV/0!</v>
      </c>
      <c r="AO99" s="350" t="e">
        <f>(Apoio_Efeito!AP34)/Apoio_Efeito!$R$34</f>
        <v>#DIV/0!</v>
      </c>
      <c r="AP99" s="350" t="e">
        <f>(Apoio_Efeito!AP35)/Apoio_Efeito!$R$35</f>
        <v>#DIV/0!</v>
      </c>
      <c r="AQ99" s="350" t="e">
        <f>(Apoio_Efeito!AP36)/Apoio_Efeito!$R$36</f>
        <v>#DIV/0!</v>
      </c>
      <c r="AR99" s="350" t="e">
        <f>(Apoio_Efeito!AP37)/Apoio_Efeito!$R$37</f>
        <v>#DIV/0!</v>
      </c>
      <c r="AS99" s="350" t="e">
        <f>(Apoio_Efeito!AP38)/Apoio_Efeito!$R$38</f>
        <v>#DIV/0!</v>
      </c>
      <c r="AT99" s="350" t="e">
        <f>(Apoio_Efeito!AP39)/Apoio_Efeito!$R$39</f>
        <v>#DIV/0!</v>
      </c>
      <c r="AU99" s="343" t="e">
        <f>(Apoio_Efeito!AP40)/Apoio_Efeito!$R$40</f>
        <v>#DIV/0!</v>
      </c>
      <c r="AV99" s="343" t="e">
        <f>(Apoio_Efeito!AP41)/Apoio_Efeito!$R$41</f>
        <v>#DIV/0!</v>
      </c>
      <c r="AW99" s="343" t="e">
        <f>(Apoio_Efeito!AP42)/Apoio_Efeito!$R$42</f>
        <v>#DIV/0!</v>
      </c>
      <c r="AX99" s="343" t="e">
        <f>(Apoio_Efeito!AP43)/Apoio_Efeito!$R$43</f>
        <v>#DIV/0!</v>
      </c>
      <c r="AY99" s="343" t="e">
        <f>(Apoio_Efeito!AP44)/Apoio_Efeito!$R$44</f>
        <v>#DIV/0!</v>
      </c>
      <c r="AZ99" s="343" t="e">
        <f>(Apoio_Efeito!AP45)/Apoio_Efeito!$R$45</f>
        <v>#DIV/0!</v>
      </c>
      <c r="BA99" s="345" t="e">
        <f>(Apoio_Efeito!AP46)/Apoio_Efeito!$R$46</f>
        <v>#DIV/0!</v>
      </c>
      <c r="BB99" s="343" t="e">
        <f>(Apoio_Efeito!AP47)/Apoio_Efeito!$R$47</f>
        <v>#DIV/0!</v>
      </c>
      <c r="BC99" s="343" t="e">
        <f>(Apoio_Efeito!AP48)/Apoio_Efeito!$R$48</f>
        <v>#DIV/0!</v>
      </c>
      <c r="BD99" s="343" t="e">
        <f>(Apoio_Efeito!AP49)/Apoio_Efeito!$R$49</f>
        <v>#DIV/0!</v>
      </c>
      <c r="BE99" s="343" t="e">
        <f>(Apoio_Efeito!AP50)/Apoio_Efeito!$R$50</f>
        <v>#DIV/0!</v>
      </c>
      <c r="BF99" s="343" t="e">
        <f>(Apoio_Efeito!AP51)/Apoio_Efeito!$R$51</f>
        <v>#DIV/0!</v>
      </c>
      <c r="BG99" s="344">
        <f>(Apoio_Efeito!AP52)/Apoio_Efeito!$R$52</f>
        <v>0</v>
      </c>
      <c r="BH99" s="344">
        <f>(Apoio_Efeito!AP53)/Apoio_Efeito!$R$53</f>
        <v>0</v>
      </c>
      <c r="BI99" s="100"/>
      <c r="BJ99" s="277">
        <f t="shared" si="11"/>
        <v>0</v>
      </c>
      <c r="BK99" s="164"/>
      <c r="BL99" s="165"/>
      <c r="BN99" s="5"/>
    </row>
    <row r="100" spans="7:66" hidden="1">
      <c r="G100" s="207"/>
      <c r="H100" s="149" t="s">
        <v>359</v>
      </c>
      <c r="I100" s="275" t="e">
        <f>(Apoio_Efeito!AQ4)/Apoio_Efeito!$R$4</f>
        <v>#DIV/0!</v>
      </c>
      <c r="J100" s="343" t="e">
        <f>(Apoio_Efeito!AQ5)/Apoio_Efeito!$R$5</f>
        <v>#DIV/0!</v>
      </c>
      <c r="K100" s="343" t="e">
        <f>(Apoio_Efeito!AQ6)/Apoio_Efeito!$R$6</f>
        <v>#DIV/0!</v>
      </c>
      <c r="L100" s="343">
        <f>(Apoio_Efeito!AQ7)/Apoio_Efeito!$R$7</f>
        <v>0</v>
      </c>
      <c r="M100" s="343" t="e">
        <f>(Apoio_Efeito!AQ54)/Apoio_Efeito!$R$54</f>
        <v>#DIV/0!</v>
      </c>
      <c r="N100" s="343" t="e">
        <f>(Apoio_Efeito!AQ8)/Apoio_Efeito!$R$8</f>
        <v>#DIV/0!</v>
      </c>
      <c r="O100" s="343" t="e">
        <f>(Apoio_Efeito!AQ9)/Apoio_Efeito!$R$9</f>
        <v>#DIV/0!</v>
      </c>
      <c r="P100" s="345" t="e">
        <f>(Apoio_Efeito!AQ10)/Apoio_Efeito!$R$10</f>
        <v>#DIV/0!</v>
      </c>
      <c r="Q100" s="343" t="e">
        <f>(Apoio_Efeito!AQ11)/Apoio_Efeito!$R$11</f>
        <v>#DIV/0!</v>
      </c>
      <c r="R100" s="343" t="e">
        <f>(Apoio_Efeito!AQ12)/Apoio_Efeito!$R12</f>
        <v>#DIV/0!</v>
      </c>
      <c r="S100" s="343" t="e">
        <f>(Apoio_Efeito!AQ13)/Apoio_Efeito!$R$13</f>
        <v>#DIV/0!</v>
      </c>
      <c r="T100" s="343" t="e">
        <f>(Apoio_Efeito!AQ14)/Apoio_Efeito!$R$14</f>
        <v>#DIV/0!</v>
      </c>
      <c r="U100" s="343" t="e">
        <f>(Apoio_Efeito!AQ15)/Apoio_Efeito!$R$15</f>
        <v>#DIV/0!</v>
      </c>
      <c r="V100" s="343" t="e">
        <f>(Apoio_Efeito!AQ16)/Apoio_Efeito!$R$16</f>
        <v>#DIV/0!</v>
      </c>
      <c r="W100" s="343" t="e">
        <f>(Apoio_Efeito!AQ17)/Apoio_Efeito!$R$17</f>
        <v>#DIV/0!</v>
      </c>
      <c r="X100" s="350" t="e">
        <f>(Apoio_Efeito!AQ18)/Apoio_Efeito!$R$18</f>
        <v>#DIV/0!</v>
      </c>
      <c r="Y100" s="350" t="e">
        <f>(Apoio_Efeito!AQ19)/Apoio_Efeito!$R$19</f>
        <v>#DIV/0!</v>
      </c>
      <c r="Z100" s="350" t="e">
        <f>(Apoio_Efeito!AQ20)/Apoio_Efeito!$R$20</f>
        <v>#DIV/0!</v>
      </c>
      <c r="AA100" s="350" t="e">
        <f>(Apoio_Efeito!AQ21)/Apoio_Efeito!$R$21</f>
        <v>#DIV/0!</v>
      </c>
      <c r="AB100" s="350" t="e">
        <f>(Apoio_Efeito!AQ22)/Apoio_Efeito!$R$22</f>
        <v>#DIV/0!</v>
      </c>
      <c r="AC100" s="350" t="e">
        <f>(Apoio_Efeito!AQ23)/Apoio_Efeito!$R$23</f>
        <v>#DIV/0!</v>
      </c>
      <c r="AD100" s="350" t="e">
        <f>(Apoio_Efeito!AQ24)/Apoio_Efeito!$R$24</f>
        <v>#DIV/0!</v>
      </c>
      <c r="AE100" s="350" t="e">
        <f>(Apoio_Efeito!AQ25)/Apoio_Efeito!$R$25</f>
        <v>#DIV/0!</v>
      </c>
      <c r="AF100" s="350" t="e">
        <f>(Apoio_Efeito!AQ26)/Apoio_Efeito!$R$26</f>
        <v>#DIV/0!</v>
      </c>
      <c r="AG100" s="350" t="e">
        <f>(Apoio_Efeito!AQ27)/Apoio_Efeito!$R$27</f>
        <v>#DIV/0!</v>
      </c>
      <c r="AH100" s="350" t="e">
        <f>(Apoio_Efeito!AQ28)/Apoio_Efeito!$R$28</f>
        <v>#DIV/0!</v>
      </c>
      <c r="AI100" s="350" t="e">
        <f>(Apoio_Efeito!AQ29)/Apoio_Efeito!$R$29</f>
        <v>#DIV/0!</v>
      </c>
      <c r="AJ100" s="350" t="e">
        <f>(Apoio_Efeito!AQ30)/Apoio_Efeito!$R$30</f>
        <v>#DIV/0!</v>
      </c>
      <c r="AK100" s="350" t="e">
        <f>(Apoio_Efeito!AQ55)/Apoio_Efeito!$R$55</f>
        <v>#DIV/0!</v>
      </c>
      <c r="AL100" s="350" t="e">
        <f>(Apoio_Efeito!AQ31)/Apoio_Efeito!$R$31</f>
        <v>#DIV/0!</v>
      </c>
      <c r="AM100" s="350" t="e">
        <f>(Apoio_Efeito!AQ32)/Apoio_Efeito!$R$32</f>
        <v>#DIV/0!</v>
      </c>
      <c r="AN100" s="350" t="e">
        <f>(Apoio_Efeito!AQ33)/Apoio_Efeito!$R$33</f>
        <v>#DIV/0!</v>
      </c>
      <c r="AO100" s="350" t="e">
        <f>(Apoio_Efeito!AQ34)/Apoio_Efeito!$R$34</f>
        <v>#DIV/0!</v>
      </c>
      <c r="AP100" s="350" t="e">
        <f>(Apoio_Efeito!AQ35)/Apoio_Efeito!$R$35</f>
        <v>#DIV/0!</v>
      </c>
      <c r="AQ100" s="350" t="e">
        <f>(Apoio_Efeito!AQ36)/Apoio_Efeito!$R$36</f>
        <v>#DIV/0!</v>
      </c>
      <c r="AR100" s="350" t="e">
        <f>(Apoio_Efeito!AQ37)/Apoio_Efeito!$R$37</f>
        <v>#DIV/0!</v>
      </c>
      <c r="AS100" s="350" t="e">
        <f>(Apoio_Efeito!AQ38)/Apoio_Efeito!$R$38</f>
        <v>#DIV/0!</v>
      </c>
      <c r="AT100" s="350" t="e">
        <f>(Apoio_Efeito!AQ39)/Apoio_Efeito!$R$39</f>
        <v>#DIV/0!</v>
      </c>
      <c r="AU100" s="343" t="e">
        <f>(Apoio_Efeito!AQ40)/Apoio_Efeito!$R$40</f>
        <v>#DIV/0!</v>
      </c>
      <c r="AV100" s="343" t="e">
        <f>(Apoio_Efeito!AQ41)/Apoio_Efeito!$R$41</f>
        <v>#DIV/0!</v>
      </c>
      <c r="AW100" s="343" t="e">
        <f>(Apoio_Efeito!AQ42)/Apoio_Efeito!$R$42</f>
        <v>#DIV/0!</v>
      </c>
      <c r="AX100" s="343" t="e">
        <f>(Apoio_Efeito!AQ43)/Apoio_Efeito!$R$43</f>
        <v>#DIV/0!</v>
      </c>
      <c r="AY100" s="343" t="e">
        <f>(Apoio_Efeito!AQ44)/Apoio_Efeito!$R$44</f>
        <v>#DIV/0!</v>
      </c>
      <c r="AZ100" s="343" t="e">
        <f>(Apoio_Efeito!AQ45)/Apoio_Efeito!$R$45</f>
        <v>#DIV/0!</v>
      </c>
      <c r="BA100" s="345" t="e">
        <f>(Apoio_Efeito!AQ46)/Apoio_Efeito!$R$46</f>
        <v>#DIV/0!</v>
      </c>
      <c r="BB100" s="343" t="e">
        <f>(Apoio_Efeito!AQ47)/Apoio_Efeito!$R$47</f>
        <v>#DIV/0!</v>
      </c>
      <c r="BC100" s="343" t="e">
        <f>(Apoio_Efeito!AQ48)/Apoio_Efeito!$R$48</f>
        <v>#DIV/0!</v>
      </c>
      <c r="BD100" s="343" t="e">
        <f>(Apoio_Efeito!AQ49)/Apoio_Efeito!$R$49</f>
        <v>#DIV/0!</v>
      </c>
      <c r="BE100" s="343" t="e">
        <f>(Apoio_Efeito!AQ50)/Apoio_Efeito!$R$50</f>
        <v>#DIV/0!</v>
      </c>
      <c r="BF100" s="343" t="e">
        <f>(Apoio_Efeito!AQ51)/Apoio_Efeito!$R$51</f>
        <v>#DIV/0!</v>
      </c>
      <c r="BG100" s="344">
        <f>(Apoio_Efeito!AQ52)/Apoio_Efeito!$R$52</f>
        <v>0</v>
      </c>
      <c r="BH100" s="344">
        <f>(Apoio_Efeito!AQ53)/Apoio_Efeito!$R$53</f>
        <v>0</v>
      </c>
      <c r="BI100" s="100"/>
      <c r="BJ100" s="277">
        <f t="shared" si="11"/>
        <v>0</v>
      </c>
      <c r="BK100" s="164"/>
      <c r="BL100" s="165"/>
      <c r="BN100" s="5"/>
    </row>
    <row r="101" spans="7:66" hidden="1">
      <c r="G101" s="207"/>
      <c r="H101" s="149" t="s">
        <v>360</v>
      </c>
      <c r="I101" s="275" t="e">
        <f>(Apoio_Efeito!AR4)/Apoio_Efeito!$R$4</f>
        <v>#DIV/0!</v>
      </c>
      <c r="J101" s="343" t="e">
        <f>(Apoio_Efeito!AR5)/Apoio_Efeito!$R$5</f>
        <v>#DIV/0!</v>
      </c>
      <c r="K101" s="343" t="e">
        <f>(Apoio_Efeito!AR6)/Apoio_Efeito!$R$6</f>
        <v>#DIV/0!</v>
      </c>
      <c r="L101" s="343">
        <f>(Apoio_Efeito!AR7)/Apoio_Efeito!$R$7</f>
        <v>0</v>
      </c>
      <c r="M101" s="343" t="e">
        <f>(Apoio_Efeito!AR54)/Apoio_Efeito!$R$54</f>
        <v>#DIV/0!</v>
      </c>
      <c r="N101" s="343" t="e">
        <f>(Apoio_Efeito!AR8)/Apoio_Efeito!$R$8</f>
        <v>#DIV/0!</v>
      </c>
      <c r="O101" s="343" t="e">
        <f>(Apoio_Efeito!AR9)/Apoio_Efeito!$R$9</f>
        <v>#DIV/0!</v>
      </c>
      <c r="P101" s="345" t="e">
        <f>(Apoio_Efeito!AR10)/Apoio_Efeito!$R$10</f>
        <v>#DIV/0!</v>
      </c>
      <c r="Q101" s="343" t="e">
        <f>(Apoio_Efeito!AR11)/Apoio_Efeito!$R$11</f>
        <v>#DIV/0!</v>
      </c>
      <c r="R101" s="343" t="e">
        <f>(Apoio_Efeito!AR12)/Apoio_Efeito!$R12</f>
        <v>#DIV/0!</v>
      </c>
      <c r="S101" s="343" t="e">
        <f>(Apoio_Efeito!AR13)/Apoio_Efeito!$R$13</f>
        <v>#DIV/0!</v>
      </c>
      <c r="T101" s="343" t="e">
        <f>(Apoio_Efeito!AR14)/Apoio_Efeito!$R$14</f>
        <v>#DIV/0!</v>
      </c>
      <c r="U101" s="343" t="e">
        <f>(Apoio_Efeito!AR15)/Apoio_Efeito!$R$15</f>
        <v>#DIV/0!</v>
      </c>
      <c r="V101" s="343" t="e">
        <f>(Apoio_Efeito!AR16)/Apoio_Efeito!$R$16</f>
        <v>#DIV/0!</v>
      </c>
      <c r="W101" s="343" t="e">
        <f>(Apoio_Efeito!AR17)/Apoio_Efeito!$R$17</f>
        <v>#DIV/0!</v>
      </c>
      <c r="X101" s="350" t="e">
        <f>(Apoio_Efeito!AR18)/Apoio_Efeito!$R$18</f>
        <v>#DIV/0!</v>
      </c>
      <c r="Y101" s="350" t="e">
        <f>(Apoio_Efeito!AR19)/Apoio_Efeito!$R$19</f>
        <v>#DIV/0!</v>
      </c>
      <c r="Z101" s="350" t="e">
        <f>(Apoio_Efeito!AR20)/Apoio_Efeito!$R$20</f>
        <v>#DIV/0!</v>
      </c>
      <c r="AA101" s="350" t="e">
        <f>(Apoio_Efeito!AR21)/Apoio_Efeito!$R$21</f>
        <v>#DIV/0!</v>
      </c>
      <c r="AB101" s="350" t="e">
        <f>(Apoio_Efeito!AR22)/Apoio_Efeito!$R$22</f>
        <v>#DIV/0!</v>
      </c>
      <c r="AC101" s="350" t="e">
        <f>(Apoio_Efeito!AR23)/Apoio_Efeito!$R$23</f>
        <v>#DIV/0!</v>
      </c>
      <c r="AD101" s="350" t="e">
        <f>(Apoio_Efeito!AR24)/Apoio_Efeito!$R$24</f>
        <v>#DIV/0!</v>
      </c>
      <c r="AE101" s="350" t="e">
        <f>(Apoio_Efeito!AR25)/Apoio_Efeito!$R$25</f>
        <v>#DIV/0!</v>
      </c>
      <c r="AF101" s="350" t="e">
        <f>(Apoio_Efeito!AR26)/Apoio_Efeito!$R$26</f>
        <v>#DIV/0!</v>
      </c>
      <c r="AG101" s="350" t="e">
        <f>(Apoio_Efeito!AR27)/Apoio_Efeito!$R$27</f>
        <v>#DIV/0!</v>
      </c>
      <c r="AH101" s="350" t="e">
        <f>(Apoio_Efeito!AR28)/Apoio_Efeito!$R$28</f>
        <v>#DIV/0!</v>
      </c>
      <c r="AI101" s="350" t="e">
        <f>(Apoio_Efeito!AR29)/Apoio_Efeito!$R$29</f>
        <v>#DIV/0!</v>
      </c>
      <c r="AJ101" s="350" t="e">
        <f>(Apoio_Efeito!AR30)/Apoio_Efeito!$R$30</f>
        <v>#DIV/0!</v>
      </c>
      <c r="AK101" s="350" t="e">
        <f>(Apoio_Efeito!AR55)/Apoio_Efeito!$R$55</f>
        <v>#DIV/0!</v>
      </c>
      <c r="AL101" s="350" t="e">
        <f>(Apoio_Efeito!AR31)/Apoio_Efeito!$R$31</f>
        <v>#DIV/0!</v>
      </c>
      <c r="AM101" s="350" t="e">
        <f>(Apoio_Efeito!AR32)/Apoio_Efeito!$R$32</f>
        <v>#DIV/0!</v>
      </c>
      <c r="AN101" s="350" t="e">
        <f>(Apoio_Efeito!AR33)/Apoio_Efeito!$R$33</f>
        <v>#DIV/0!</v>
      </c>
      <c r="AO101" s="350" t="e">
        <f>(Apoio_Efeito!AR34)/Apoio_Efeito!$R$34</f>
        <v>#DIV/0!</v>
      </c>
      <c r="AP101" s="350" t="e">
        <f>(Apoio_Efeito!AR35)/Apoio_Efeito!$R$35</f>
        <v>#DIV/0!</v>
      </c>
      <c r="AQ101" s="350" t="e">
        <f>(Apoio_Efeito!AR36)/Apoio_Efeito!$R$36</f>
        <v>#DIV/0!</v>
      </c>
      <c r="AR101" s="350" t="e">
        <f>(Apoio_Efeito!AR37)/Apoio_Efeito!$R$37</f>
        <v>#DIV/0!</v>
      </c>
      <c r="AS101" s="350" t="e">
        <f>(Apoio_Efeito!AR38)/Apoio_Efeito!$R$38</f>
        <v>#DIV/0!</v>
      </c>
      <c r="AT101" s="350" t="e">
        <f>(Apoio_Efeito!AR39)/Apoio_Efeito!$R$39</f>
        <v>#DIV/0!</v>
      </c>
      <c r="AU101" s="343" t="e">
        <f>(Apoio_Efeito!AR40)/Apoio_Efeito!$R$40</f>
        <v>#DIV/0!</v>
      </c>
      <c r="AV101" s="343" t="e">
        <f>(Apoio_Efeito!AR41)/Apoio_Efeito!$R$41</f>
        <v>#DIV/0!</v>
      </c>
      <c r="AW101" s="343" t="e">
        <f>(Apoio_Efeito!AR42)/Apoio_Efeito!$R$42</f>
        <v>#DIV/0!</v>
      </c>
      <c r="AX101" s="343" t="e">
        <f>(Apoio_Efeito!AR43)/Apoio_Efeito!$R$43</f>
        <v>#DIV/0!</v>
      </c>
      <c r="AY101" s="343" t="e">
        <f>(Apoio_Efeito!AR44)/Apoio_Efeito!$R$44</f>
        <v>#DIV/0!</v>
      </c>
      <c r="AZ101" s="343" t="e">
        <f>(Apoio_Efeito!AR45)/Apoio_Efeito!$R$45</f>
        <v>#DIV/0!</v>
      </c>
      <c r="BA101" s="345" t="e">
        <f>(Apoio_Efeito!AR46)/Apoio_Efeito!$R$46</f>
        <v>#DIV/0!</v>
      </c>
      <c r="BB101" s="343" t="e">
        <f>(Apoio_Efeito!AR47)/Apoio_Efeito!$R$47</f>
        <v>#DIV/0!</v>
      </c>
      <c r="BC101" s="343" t="e">
        <f>(Apoio_Efeito!AR48)/Apoio_Efeito!$R$48</f>
        <v>#DIV/0!</v>
      </c>
      <c r="BD101" s="343" t="e">
        <f>(Apoio_Efeito!AR49)/Apoio_Efeito!$R$49</f>
        <v>#DIV/0!</v>
      </c>
      <c r="BE101" s="343" t="e">
        <f>(Apoio_Efeito!AR50)/Apoio_Efeito!$R$50</f>
        <v>#DIV/0!</v>
      </c>
      <c r="BF101" s="343" t="e">
        <f>(Apoio_Efeito!AR51)/Apoio_Efeito!$R$51</f>
        <v>#DIV/0!</v>
      </c>
      <c r="BG101" s="344">
        <f>(Apoio_Efeito!AR52)/Apoio_Efeito!$R$52</f>
        <v>0</v>
      </c>
      <c r="BH101" s="344">
        <f>(Apoio_Efeito!AR53)/Apoio_Efeito!$R$53</f>
        <v>0</v>
      </c>
      <c r="BI101" s="100"/>
      <c r="BJ101" s="277">
        <f t="shared" si="11"/>
        <v>0</v>
      </c>
      <c r="BK101" s="164"/>
      <c r="BL101" s="165"/>
      <c r="BN101" s="5"/>
    </row>
    <row r="102" spans="7:66" hidden="1">
      <c r="G102" s="207"/>
      <c r="H102" s="149" t="s">
        <v>316</v>
      </c>
      <c r="I102" s="275" t="e">
        <f>(Apoio_Efeito!AS4)/Apoio_Efeito!$R$4</f>
        <v>#DIV/0!</v>
      </c>
      <c r="J102" s="343" t="e">
        <f>(Apoio_Efeito!AS5)/Apoio_Efeito!$R$5</f>
        <v>#DIV/0!</v>
      </c>
      <c r="K102" s="343" t="e">
        <f>(Apoio_Efeito!AS6)/Apoio_Efeito!$R$6</f>
        <v>#DIV/0!</v>
      </c>
      <c r="L102" s="343">
        <f>(Apoio_Efeito!AS7)/Apoio_Efeito!$R$7</f>
        <v>0</v>
      </c>
      <c r="M102" s="343" t="e">
        <f>(Apoio_Efeito!AS54)/Apoio_Efeito!$R$54</f>
        <v>#DIV/0!</v>
      </c>
      <c r="N102" s="343" t="e">
        <f>(Apoio_Efeito!AS8)/Apoio_Efeito!$R$8</f>
        <v>#DIV/0!</v>
      </c>
      <c r="O102" s="343" t="e">
        <f>(Apoio_Efeito!AS9)/Apoio_Efeito!$R$9</f>
        <v>#DIV/0!</v>
      </c>
      <c r="P102" s="345" t="e">
        <f>(Apoio_Efeito!AS10)/Apoio_Efeito!$R$10</f>
        <v>#DIV/0!</v>
      </c>
      <c r="Q102" s="343" t="e">
        <f>(Apoio_Efeito!AS11)/Apoio_Efeito!$R$11</f>
        <v>#DIV/0!</v>
      </c>
      <c r="R102" s="343" t="e">
        <f>(Apoio_Efeito!AS12)/Apoio_Efeito!$R12</f>
        <v>#DIV/0!</v>
      </c>
      <c r="S102" s="343" t="e">
        <f>(Apoio_Efeito!AS13)/Apoio_Efeito!$R$13</f>
        <v>#DIV/0!</v>
      </c>
      <c r="T102" s="343" t="e">
        <f>(Apoio_Efeito!AS14)/Apoio_Efeito!$R$14</f>
        <v>#DIV/0!</v>
      </c>
      <c r="U102" s="343" t="e">
        <f>(Apoio_Efeito!AS15)/Apoio_Efeito!$R$15</f>
        <v>#DIV/0!</v>
      </c>
      <c r="V102" s="343" t="e">
        <f>(Apoio_Efeito!AS16)/Apoio_Efeito!$R$16</f>
        <v>#DIV/0!</v>
      </c>
      <c r="W102" s="343" t="e">
        <f>(Apoio_Efeito!AS17)/Apoio_Efeito!$R$17</f>
        <v>#DIV/0!</v>
      </c>
      <c r="X102" s="350" t="e">
        <f>(Apoio_Efeito!AS18)/Apoio_Efeito!$R$18</f>
        <v>#DIV/0!</v>
      </c>
      <c r="Y102" s="350" t="e">
        <f>(Apoio_Efeito!AS19)/Apoio_Efeito!$R$19</f>
        <v>#DIV/0!</v>
      </c>
      <c r="Z102" s="350" t="e">
        <f>(Apoio_Efeito!AS20)/Apoio_Efeito!$R$20</f>
        <v>#DIV/0!</v>
      </c>
      <c r="AA102" s="350" t="e">
        <f>(Apoio_Efeito!AS21)/Apoio_Efeito!$R$21</f>
        <v>#DIV/0!</v>
      </c>
      <c r="AB102" s="350" t="e">
        <f>(Apoio_Efeito!AS22)/Apoio_Efeito!$R$22</f>
        <v>#DIV/0!</v>
      </c>
      <c r="AC102" s="350" t="e">
        <f>(Apoio_Efeito!AS23)/Apoio_Efeito!$R$23</f>
        <v>#DIV/0!</v>
      </c>
      <c r="AD102" s="350" t="e">
        <f>(Apoio_Efeito!AS24)/Apoio_Efeito!$R$24</f>
        <v>#DIV/0!</v>
      </c>
      <c r="AE102" s="350" t="e">
        <f>(Apoio_Efeito!AS25)/Apoio_Efeito!$R$25</f>
        <v>#DIV/0!</v>
      </c>
      <c r="AF102" s="350" t="e">
        <f>(Apoio_Efeito!AS26)/Apoio_Efeito!$R$26</f>
        <v>#DIV/0!</v>
      </c>
      <c r="AG102" s="350" t="e">
        <f>(Apoio_Efeito!AS27)/Apoio_Efeito!$R$27</f>
        <v>#DIV/0!</v>
      </c>
      <c r="AH102" s="350" t="e">
        <f>(Apoio_Efeito!AS28)/Apoio_Efeito!$R$28</f>
        <v>#DIV/0!</v>
      </c>
      <c r="AI102" s="350" t="e">
        <f>(Apoio_Efeito!AS29)/Apoio_Efeito!$R$29</f>
        <v>#DIV/0!</v>
      </c>
      <c r="AJ102" s="350" t="e">
        <f>(Apoio_Efeito!AS30)/Apoio_Efeito!$R$30</f>
        <v>#DIV/0!</v>
      </c>
      <c r="AK102" s="350" t="e">
        <f>(Apoio_Efeito!AS55)/Apoio_Efeito!$R$55</f>
        <v>#DIV/0!</v>
      </c>
      <c r="AL102" s="350" t="e">
        <f>(Apoio_Efeito!AS31)/Apoio_Efeito!$R$31</f>
        <v>#DIV/0!</v>
      </c>
      <c r="AM102" s="350" t="e">
        <f>(Apoio_Efeito!AS32)/Apoio_Efeito!$R$32</f>
        <v>#DIV/0!</v>
      </c>
      <c r="AN102" s="350" t="e">
        <f>(Apoio_Efeito!AS33)/Apoio_Efeito!$R$33</f>
        <v>#DIV/0!</v>
      </c>
      <c r="AO102" s="350" t="e">
        <f>(Apoio_Efeito!AS34)/Apoio_Efeito!$R$34</f>
        <v>#DIV/0!</v>
      </c>
      <c r="AP102" s="350" t="e">
        <f>(Apoio_Efeito!AS35)/Apoio_Efeito!$R$35</f>
        <v>#DIV/0!</v>
      </c>
      <c r="AQ102" s="350" t="e">
        <f>(Apoio_Efeito!AS36)/Apoio_Efeito!$R$36</f>
        <v>#DIV/0!</v>
      </c>
      <c r="AR102" s="350" t="e">
        <f>(Apoio_Efeito!AS37)/Apoio_Efeito!$R$37</f>
        <v>#DIV/0!</v>
      </c>
      <c r="AS102" s="350" t="e">
        <f>(Apoio_Efeito!AS38)/Apoio_Efeito!$R$38</f>
        <v>#DIV/0!</v>
      </c>
      <c r="AT102" s="350" t="e">
        <f>(Apoio_Efeito!AS39)/Apoio_Efeito!$R$39</f>
        <v>#DIV/0!</v>
      </c>
      <c r="AU102" s="343" t="e">
        <f>(Apoio_Efeito!AS40)/Apoio_Efeito!$R$40</f>
        <v>#DIV/0!</v>
      </c>
      <c r="AV102" s="343" t="e">
        <f>(Apoio_Efeito!AS41)/Apoio_Efeito!$R$41</f>
        <v>#DIV/0!</v>
      </c>
      <c r="AW102" s="343" t="e">
        <f>(Apoio_Efeito!AS42)/Apoio_Efeito!$R$42</f>
        <v>#DIV/0!</v>
      </c>
      <c r="AX102" s="343" t="e">
        <f>(Apoio_Efeito!AS43)/Apoio_Efeito!$R$43</f>
        <v>#DIV/0!</v>
      </c>
      <c r="AY102" s="343" t="e">
        <f>(Apoio_Efeito!AS44)/Apoio_Efeito!$R$44</f>
        <v>#DIV/0!</v>
      </c>
      <c r="AZ102" s="343" t="e">
        <f>(Apoio_Efeito!AS45)/Apoio_Efeito!$R$45</f>
        <v>#DIV/0!</v>
      </c>
      <c r="BA102" s="345" t="e">
        <f>(Apoio_Efeito!AS46)/Apoio_Efeito!$R$46</f>
        <v>#DIV/0!</v>
      </c>
      <c r="BB102" s="343" t="e">
        <f>(Apoio_Efeito!AS47)/Apoio_Efeito!$R$47</f>
        <v>#DIV/0!</v>
      </c>
      <c r="BC102" s="343" t="e">
        <f>(Apoio_Efeito!AS48)/Apoio_Efeito!$R$48</f>
        <v>#DIV/0!</v>
      </c>
      <c r="BD102" s="343" t="e">
        <f>(Apoio_Efeito!AS49)/Apoio_Efeito!$R$49</f>
        <v>#DIV/0!</v>
      </c>
      <c r="BE102" s="343" t="e">
        <f>(Apoio_Efeito!AS50)/Apoio_Efeito!$R$50</f>
        <v>#DIV/0!</v>
      </c>
      <c r="BF102" s="343" t="e">
        <f>(Apoio_Efeito!AS51)/Apoio_Efeito!$R$51</f>
        <v>#DIV/0!</v>
      </c>
      <c r="BG102" s="344">
        <f>(Apoio_Efeito!AS52)/Apoio_Efeito!$R$52</f>
        <v>0</v>
      </c>
      <c r="BH102" s="344">
        <f>(Apoio_Efeito!AS53)/Apoio_Efeito!$R$53</f>
        <v>0</v>
      </c>
      <c r="BI102" s="100"/>
      <c r="BJ102" s="277">
        <f t="shared" si="11"/>
        <v>0</v>
      </c>
      <c r="BK102" s="164"/>
      <c r="BL102" s="165"/>
      <c r="BN102" s="5"/>
    </row>
    <row r="103" spans="7:66" hidden="1">
      <c r="G103" s="207"/>
      <c r="H103" s="149" t="s">
        <v>330</v>
      </c>
      <c r="I103" s="275" t="e">
        <f>(Apoio_Efeito!AT4)/Apoio_Efeito!$R$4</f>
        <v>#DIV/0!</v>
      </c>
      <c r="J103" s="343" t="e">
        <f>(Apoio_Efeito!AT5)/Apoio_Efeito!$R$5</f>
        <v>#DIV/0!</v>
      </c>
      <c r="K103" s="343" t="e">
        <f>(Apoio_Efeito!AT6)/Apoio_Efeito!$R$6</f>
        <v>#DIV/0!</v>
      </c>
      <c r="L103" s="343">
        <f>(Apoio_Efeito!AT7)/Apoio_Efeito!$R$7</f>
        <v>0</v>
      </c>
      <c r="M103" s="343" t="e">
        <f>(Apoio_Efeito!AT54)/Apoio_Efeito!$R$54</f>
        <v>#DIV/0!</v>
      </c>
      <c r="N103" s="343" t="e">
        <f>(Apoio_Efeito!AT8)/Apoio_Efeito!$R$8</f>
        <v>#DIV/0!</v>
      </c>
      <c r="O103" s="343" t="e">
        <f>(Apoio_Efeito!AT9)/Apoio_Efeito!$R$9</f>
        <v>#DIV/0!</v>
      </c>
      <c r="P103" s="345" t="e">
        <f>(Apoio_Efeito!AT10)/Apoio_Efeito!$R$10</f>
        <v>#DIV/0!</v>
      </c>
      <c r="Q103" s="343" t="e">
        <f>(Apoio_Efeito!AT11)/Apoio_Efeito!$R$11</f>
        <v>#DIV/0!</v>
      </c>
      <c r="R103" s="343" t="e">
        <f>(Apoio_Efeito!AT12)/Apoio_Efeito!$R12</f>
        <v>#DIV/0!</v>
      </c>
      <c r="S103" s="343" t="e">
        <f>(Apoio_Efeito!AT13)/Apoio_Efeito!$R$13</f>
        <v>#DIV/0!</v>
      </c>
      <c r="T103" s="343" t="e">
        <f>(Apoio_Efeito!AT14)/Apoio_Efeito!$R$14</f>
        <v>#DIV/0!</v>
      </c>
      <c r="U103" s="343" t="e">
        <f>(Apoio_Efeito!AT15)/Apoio_Efeito!$R$15</f>
        <v>#DIV/0!</v>
      </c>
      <c r="V103" s="343" t="e">
        <f>(Apoio_Efeito!AT16)/Apoio_Efeito!$R$16</f>
        <v>#DIV/0!</v>
      </c>
      <c r="W103" s="343" t="e">
        <f>(Apoio_Efeito!AT17)/Apoio_Efeito!$R$17</f>
        <v>#DIV/0!</v>
      </c>
      <c r="X103" s="350" t="e">
        <f>(Apoio_Efeito!AT18)/Apoio_Efeito!$R$18</f>
        <v>#DIV/0!</v>
      </c>
      <c r="Y103" s="350" t="e">
        <f>(Apoio_Efeito!AT19)/Apoio_Efeito!$R$19</f>
        <v>#DIV/0!</v>
      </c>
      <c r="Z103" s="350" t="e">
        <f>(Apoio_Efeito!AT20)/Apoio_Efeito!$R$20</f>
        <v>#DIV/0!</v>
      </c>
      <c r="AA103" s="350" t="e">
        <f>(Apoio_Efeito!AT21)/Apoio_Efeito!$R$21</f>
        <v>#DIV/0!</v>
      </c>
      <c r="AB103" s="350" t="e">
        <f>(Apoio_Efeito!AT22)/Apoio_Efeito!$R$22</f>
        <v>#DIV/0!</v>
      </c>
      <c r="AC103" s="350" t="e">
        <f>(Apoio_Efeito!AT23)/Apoio_Efeito!$R$23</f>
        <v>#DIV/0!</v>
      </c>
      <c r="AD103" s="350" t="e">
        <f>(Apoio_Efeito!AT24)/Apoio_Efeito!$R$24</f>
        <v>#DIV/0!</v>
      </c>
      <c r="AE103" s="350" t="e">
        <f>(Apoio_Efeito!AT25)/Apoio_Efeito!$R$25</f>
        <v>#DIV/0!</v>
      </c>
      <c r="AF103" s="350" t="e">
        <f>(Apoio_Efeito!AT26)/Apoio_Efeito!$R$26</f>
        <v>#DIV/0!</v>
      </c>
      <c r="AG103" s="350" t="e">
        <f>(Apoio_Efeito!AT27)/Apoio_Efeito!$R$27</f>
        <v>#DIV/0!</v>
      </c>
      <c r="AH103" s="350" t="e">
        <f>(Apoio_Efeito!AT28)/Apoio_Efeito!$R$28</f>
        <v>#DIV/0!</v>
      </c>
      <c r="AI103" s="350" t="e">
        <f>(Apoio_Efeito!AT29)/Apoio_Efeito!$R$29</f>
        <v>#DIV/0!</v>
      </c>
      <c r="AJ103" s="350" t="e">
        <f>(Apoio_Efeito!AT30)/Apoio_Efeito!$R$30</f>
        <v>#DIV/0!</v>
      </c>
      <c r="AK103" s="350" t="e">
        <f>(Apoio_Efeito!AT55)/Apoio_Efeito!$R$55</f>
        <v>#DIV/0!</v>
      </c>
      <c r="AL103" s="350" t="e">
        <f>(Apoio_Efeito!AT31)/Apoio_Efeito!$R$31</f>
        <v>#DIV/0!</v>
      </c>
      <c r="AM103" s="350" t="e">
        <f>(Apoio_Efeito!AT32)/Apoio_Efeito!$R$32</f>
        <v>#DIV/0!</v>
      </c>
      <c r="AN103" s="350" t="e">
        <f>(Apoio_Efeito!AT33)/Apoio_Efeito!$R$33</f>
        <v>#DIV/0!</v>
      </c>
      <c r="AO103" s="350" t="e">
        <f>(Apoio_Efeito!AT34)/Apoio_Efeito!$R$34</f>
        <v>#DIV/0!</v>
      </c>
      <c r="AP103" s="350" t="e">
        <f>(Apoio_Efeito!AT35)/Apoio_Efeito!$R$35</f>
        <v>#DIV/0!</v>
      </c>
      <c r="AQ103" s="350" t="e">
        <f>(Apoio_Efeito!AT36)/Apoio_Efeito!$R$36</f>
        <v>#DIV/0!</v>
      </c>
      <c r="AR103" s="350" t="e">
        <f>(Apoio_Efeito!AT37)/Apoio_Efeito!$R$37</f>
        <v>#DIV/0!</v>
      </c>
      <c r="AS103" s="350" t="e">
        <f>(Apoio_Efeito!AT38)/Apoio_Efeito!$R$38</f>
        <v>#DIV/0!</v>
      </c>
      <c r="AT103" s="350" t="e">
        <f>(Apoio_Efeito!AT39)/Apoio_Efeito!$R$39</f>
        <v>#DIV/0!</v>
      </c>
      <c r="AU103" s="343" t="e">
        <f>(Apoio_Efeito!AT40)/Apoio_Efeito!$R$40</f>
        <v>#DIV/0!</v>
      </c>
      <c r="AV103" s="343" t="e">
        <f>(Apoio_Efeito!AT41)/Apoio_Efeito!$R$41</f>
        <v>#DIV/0!</v>
      </c>
      <c r="AW103" s="343" t="e">
        <f>(Apoio_Efeito!AT42)/Apoio_Efeito!$R$42</f>
        <v>#DIV/0!</v>
      </c>
      <c r="AX103" s="343" t="e">
        <f>(Apoio_Efeito!AT43)/Apoio_Efeito!$R$43</f>
        <v>#DIV/0!</v>
      </c>
      <c r="AY103" s="343" t="e">
        <f>(Apoio_Efeito!AT44)/Apoio_Efeito!$R$44</f>
        <v>#DIV/0!</v>
      </c>
      <c r="AZ103" s="343" t="e">
        <f>(Apoio_Efeito!AT45)/Apoio_Efeito!$R$45</f>
        <v>#DIV/0!</v>
      </c>
      <c r="BA103" s="345" t="e">
        <f>(Apoio_Efeito!AT46)/Apoio_Efeito!$R$46</f>
        <v>#DIV/0!</v>
      </c>
      <c r="BB103" s="343" t="e">
        <f>(Apoio_Efeito!AT47)/Apoio_Efeito!$R$47</f>
        <v>#DIV/0!</v>
      </c>
      <c r="BC103" s="343" t="e">
        <f>(Apoio_Efeito!AT48)/Apoio_Efeito!$R$48</f>
        <v>#DIV/0!</v>
      </c>
      <c r="BD103" s="343" t="e">
        <f>(Apoio_Efeito!AT49)/Apoio_Efeito!$R$49</f>
        <v>#DIV/0!</v>
      </c>
      <c r="BE103" s="343" t="e">
        <f>(Apoio_Efeito!AT50)/Apoio_Efeito!$R$50</f>
        <v>#DIV/0!</v>
      </c>
      <c r="BF103" s="343" t="e">
        <f>(Apoio_Efeito!AT51)/Apoio_Efeito!$R$51</f>
        <v>#DIV/0!</v>
      </c>
      <c r="BG103" s="344">
        <f>(Apoio_Efeito!AT52)/Apoio_Efeito!$R$52</f>
        <v>0</v>
      </c>
      <c r="BH103" s="344">
        <f>(Apoio_Efeito!AT53)/Apoio_Efeito!$R$53</f>
        <v>0</v>
      </c>
      <c r="BI103" s="100"/>
      <c r="BJ103" s="277">
        <f t="shared" si="11"/>
        <v>0</v>
      </c>
      <c r="BK103" s="164"/>
      <c r="BL103" s="165"/>
      <c r="BN103" s="5"/>
    </row>
    <row r="104" spans="7:66" hidden="1">
      <c r="G104" s="207"/>
      <c r="H104" s="83" t="s">
        <v>350</v>
      </c>
      <c r="I104" s="275" t="e">
        <f>(Apoio_Efeito!AU4)/Apoio_Efeito!$R$4</f>
        <v>#DIV/0!</v>
      </c>
      <c r="J104" s="343" t="e">
        <f>(Apoio_Efeito!AU5)/Apoio_Efeito!$R$5</f>
        <v>#DIV/0!</v>
      </c>
      <c r="K104" s="343" t="e">
        <f>(Apoio_Efeito!AU6)/Apoio_Efeito!$R$6</f>
        <v>#DIV/0!</v>
      </c>
      <c r="L104" s="343">
        <f>(Apoio_Efeito!AU7)/Apoio_Efeito!$R$7</f>
        <v>0</v>
      </c>
      <c r="M104" s="343" t="e">
        <f>(Apoio_Efeito!AU54)/Apoio_Efeito!$R$54</f>
        <v>#DIV/0!</v>
      </c>
      <c r="N104" s="343" t="e">
        <f>(Apoio_Efeito!AU8)/Apoio_Efeito!$R$8</f>
        <v>#DIV/0!</v>
      </c>
      <c r="O104" s="343" t="e">
        <f>(Apoio_Efeito!AU9)/Apoio_Efeito!$R$9</f>
        <v>#DIV/0!</v>
      </c>
      <c r="P104" s="345" t="e">
        <f>(Apoio_Efeito!AU10)/Apoio_Efeito!$R$10</f>
        <v>#DIV/0!</v>
      </c>
      <c r="Q104" s="343" t="e">
        <f>(Apoio_Efeito!AU11)/Apoio_Efeito!$R$11</f>
        <v>#DIV/0!</v>
      </c>
      <c r="R104" s="343" t="e">
        <f>(Apoio_Efeito!AU12)/Apoio_Efeito!$R12</f>
        <v>#DIV/0!</v>
      </c>
      <c r="S104" s="343" t="e">
        <f>(Apoio_Efeito!AU13)/Apoio_Efeito!$R$13</f>
        <v>#DIV/0!</v>
      </c>
      <c r="T104" s="343" t="e">
        <f>(Apoio_Efeito!AU14)/Apoio_Efeito!$R$14</f>
        <v>#DIV/0!</v>
      </c>
      <c r="U104" s="343" t="e">
        <f>(Apoio_Efeito!AU15)/Apoio_Efeito!$R$15</f>
        <v>#DIV/0!</v>
      </c>
      <c r="V104" s="343" t="e">
        <f>(Apoio_Efeito!AU16)/Apoio_Efeito!$R$16</f>
        <v>#DIV/0!</v>
      </c>
      <c r="W104" s="343" t="e">
        <f>(Apoio_Efeito!AU17)/Apoio_Efeito!$R$17</f>
        <v>#DIV/0!</v>
      </c>
      <c r="X104" s="350" t="e">
        <f>(Apoio_Efeito!AU18)/Apoio_Efeito!$R$18</f>
        <v>#DIV/0!</v>
      </c>
      <c r="Y104" s="350" t="e">
        <f>(Apoio_Efeito!AU19)/Apoio_Efeito!$R$19</f>
        <v>#DIV/0!</v>
      </c>
      <c r="Z104" s="350" t="e">
        <f>(Apoio_Efeito!AU20)/Apoio_Efeito!$R$20</f>
        <v>#DIV/0!</v>
      </c>
      <c r="AA104" s="350" t="e">
        <f>(Apoio_Efeito!AU21)/Apoio_Efeito!$R$21</f>
        <v>#DIV/0!</v>
      </c>
      <c r="AB104" s="350" t="e">
        <f>(Apoio_Efeito!AU22)/Apoio_Efeito!$R$22</f>
        <v>#DIV/0!</v>
      </c>
      <c r="AC104" s="350" t="e">
        <f>(Apoio_Efeito!AU23)/Apoio_Efeito!$R$23</f>
        <v>#DIV/0!</v>
      </c>
      <c r="AD104" s="350" t="e">
        <f>(Apoio_Efeito!AU24)/Apoio_Efeito!$R$24</f>
        <v>#DIV/0!</v>
      </c>
      <c r="AE104" s="350" t="e">
        <f>(Apoio_Efeito!AU25)/Apoio_Efeito!$R$25</f>
        <v>#DIV/0!</v>
      </c>
      <c r="AF104" s="350" t="e">
        <f>(Apoio_Efeito!AU26)/Apoio_Efeito!$R$26</f>
        <v>#DIV/0!</v>
      </c>
      <c r="AG104" s="350" t="e">
        <f>(Apoio_Efeito!AU27)/Apoio_Efeito!$R$27</f>
        <v>#DIV/0!</v>
      </c>
      <c r="AH104" s="350" t="e">
        <f>(Apoio_Efeito!AU28)/Apoio_Efeito!$R$28</f>
        <v>#DIV/0!</v>
      </c>
      <c r="AI104" s="350" t="e">
        <f>(Apoio_Efeito!AU29)/Apoio_Efeito!$R$29</f>
        <v>#DIV/0!</v>
      </c>
      <c r="AJ104" s="350" t="e">
        <f>(Apoio_Efeito!AU30)/Apoio_Efeito!$R$30</f>
        <v>#DIV/0!</v>
      </c>
      <c r="AK104" s="350" t="e">
        <f>(Apoio_Efeito!AU55)/Apoio_Efeito!$R$55</f>
        <v>#DIV/0!</v>
      </c>
      <c r="AL104" s="350" t="e">
        <f>(Apoio_Efeito!AU31)/Apoio_Efeito!$R$31</f>
        <v>#DIV/0!</v>
      </c>
      <c r="AM104" s="350" t="e">
        <f>(Apoio_Efeito!AU32)/Apoio_Efeito!$R$32</f>
        <v>#DIV/0!</v>
      </c>
      <c r="AN104" s="350" t="e">
        <f>(Apoio_Efeito!AU33)/Apoio_Efeito!$R$33</f>
        <v>#DIV/0!</v>
      </c>
      <c r="AO104" s="350" t="e">
        <f>(Apoio_Efeito!AU34)/Apoio_Efeito!$R$34</f>
        <v>#DIV/0!</v>
      </c>
      <c r="AP104" s="350" t="e">
        <f>(Apoio_Efeito!AU35)/Apoio_Efeito!$R$35</f>
        <v>#DIV/0!</v>
      </c>
      <c r="AQ104" s="350" t="e">
        <f>(Apoio_Efeito!AU36)/Apoio_Efeito!$R$36</f>
        <v>#DIV/0!</v>
      </c>
      <c r="AR104" s="350" t="e">
        <f>(Apoio_Efeito!AU37)/Apoio_Efeito!$R$37</f>
        <v>#DIV/0!</v>
      </c>
      <c r="AS104" s="350" t="e">
        <f>(Apoio_Efeito!AU38)/Apoio_Efeito!$R$38</f>
        <v>#DIV/0!</v>
      </c>
      <c r="AT104" s="350" t="e">
        <f>(Apoio_Efeito!AU39)/Apoio_Efeito!$R$39</f>
        <v>#DIV/0!</v>
      </c>
      <c r="AU104" s="343" t="e">
        <f>(Apoio_Efeito!AU40)/Apoio_Efeito!$R$40</f>
        <v>#DIV/0!</v>
      </c>
      <c r="AV104" s="343" t="e">
        <f>(Apoio_Efeito!AU41)/Apoio_Efeito!$R$41</f>
        <v>#DIV/0!</v>
      </c>
      <c r="AW104" s="343" t="e">
        <f>(Apoio_Efeito!AU42)/Apoio_Efeito!$R$42</f>
        <v>#DIV/0!</v>
      </c>
      <c r="AX104" s="343" t="e">
        <f>(Apoio_Efeito!AU43)/Apoio_Efeito!$R$43</f>
        <v>#DIV/0!</v>
      </c>
      <c r="AY104" s="343" t="e">
        <f>(Apoio_Efeito!AU44)/Apoio_Efeito!$R$44</f>
        <v>#DIV/0!</v>
      </c>
      <c r="AZ104" s="343" t="e">
        <f>(Apoio_Efeito!AU45)/Apoio_Efeito!$R$45</f>
        <v>#DIV/0!</v>
      </c>
      <c r="BA104" s="345" t="e">
        <f>(Apoio_Efeito!AU46)/Apoio_Efeito!$R$46</f>
        <v>#DIV/0!</v>
      </c>
      <c r="BB104" s="343" t="e">
        <f>(Apoio_Efeito!AU47)/Apoio_Efeito!$R$47</f>
        <v>#DIV/0!</v>
      </c>
      <c r="BC104" s="343" t="e">
        <f>(Apoio_Efeito!AU48)/Apoio_Efeito!$R$48</f>
        <v>#DIV/0!</v>
      </c>
      <c r="BD104" s="343" t="e">
        <f>(Apoio_Efeito!AU49)/Apoio_Efeito!$R$49</f>
        <v>#DIV/0!</v>
      </c>
      <c r="BE104" s="343" t="e">
        <f>(Apoio_Efeito!AU50)/Apoio_Efeito!$R$50</f>
        <v>#DIV/0!</v>
      </c>
      <c r="BF104" s="343" t="e">
        <f>(Apoio_Efeito!AU51)/Apoio_Efeito!$R$51</f>
        <v>#DIV/0!</v>
      </c>
      <c r="BG104" s="344">
        <f>(Apoio_Efeito!AU52)/Apoio_Efeito!$R$52</f>
        <v>0</v>
      </c>
      <c r="BH104" s="344">
        <f>(Apoio_Efeito!AU53)/Apoio_Efeito!$R$53</f>
        <v>0</v>
      </c>
      <c r="BI104" s="100"/>
      <c r="BJ104" s="277">
        <f t="shared" si="11"/>
        <v>0</v>
      </c>
      <c r="BK104" s="213"/>
      <c r="BL104" s="214"/>
      <c r="BN104" s="5"/>
    </row>
    <row r="105" spans="7:66">
      <c r="G105" s="207"/>
      <c r="H105" s="83" t="s">
        <v>321</v>
      </c>
      <c r="I105" s="275" t="e">
        <f>(Apoio_Efeito!AV4)/Apoio_Efeito!$R$4</f>
        <v>#DIV/0!</v>
      </c>
      <c r="J105" s="343" t="e">
        <f>(Apoio_Efeito!AV5)/Apoio_Efeito!$R$5</f>
        <v>#DIV/0!</v>
      </c>
      <c r="K105" s="343" t="e">
        <f>(Apoio_Efeito!AV6)/Apoio_Efeito!$R$6</f>
        <v>#DIV/0!</v>
      </c>
      <c r="L105" s="343">
        <f>(Apoio_Efeito!AV7)/Apoio_Efeito!$R$7</f>
        <v>-1.899299586372338E-2</v>
      </c>
      <c r="M105" s="343" t="e">
        <f>(Apoio_Efeito!AV54)/Apoio_Efeito!$R$54</f>
        <v>#DIV/0!</v>
      </c>
      <c r="N105" s="343" t="e">
        <f>(Apoio_Efeito!AV8)/Apoio_Efeito!$R$8</f>
        <v>#DIV/0!</v>
      </c>
      <c r="O105" s="343" t="e">
        <f>(Apoio_Efeito!AV9)/Apoio_Efeito!$R$9</f>
        <v>#DIV/0!</v>
      </c>
      <c r="P105" s="345" t="e">
        <f>(Apoio_Efeito!AV10)/Apoio_Efeito!$R$10</f>
        <v>#DIV/0!</v>
      </c>
      <c r="Q105" s="343" t="e">
        <f>(Apoio_Efeito!AV11)/Apoio_Efeito!$R$11</f>
        <v>#DIV/0!</v>
      </c>
      <c r="R105" s="343" t="e">
        <f>(Apoio_Efeito!AV12)/Apoio_Efeito!$R12</f>
        <v>#DIV/0!</v>
      </c>
      <c r="S105" s="343" t="e">
        <f>(Apoio_Efeito!AV13)/Apoio_Efeito!$R$13</f>
        <v>#DIV/0!</v>
      </c>
      <c r="T105" s="343" t="e">
        <f>(Apoio_Efeito!AV14)/Apoio_Efeito!$R$14</f>
        <v>#DIV/0!</v>
      </c>
      <c r="U105" s="343" t="e">
        <f>(Apoio_Efeito!AV15)/Apoio_Efeito!$R$15</f>
        <v>#DIV/0!</v>
      </c>
      <c r="V105" s="343" t="e">
        <f>(Apoio_Efeito!AV16)/Apoio_Efeito!$R$16</f>
        <v>#DIV/0!</v>
      </c>
      <c r="W105" s="343" t="e">
        <f>(Apoio_Efeito!AV17)/Apoio_Efeito!$R$17</f>
        <v>#DIV/0!</v>
      </c>
      <c r="X105" s="350" t="e">
        <f>(Apoio_Efeito!AV18)/Apoio_Efeito!$R$18</f>
        <v>#DIV/0!</v>
      </c>
      <c r="Y105" s="350" t="e">
        <f>(Apoio_Efeito!AV19)/Apoio_Efeito!$R$19</f>
        <v>#DIV/0!</v>
      </c>
      <c r="Z105" s="350" t="e">
        <f>(Apoio_Efeito!AV20)/Apoio_Efeito!$R$20</f>
        <v>#DIV/0!</v>
      </c>
      <c r="AA105" s="350" t="e">
        <f>(Apoio_Efeito!AV21)/Apoio_Efeito!$R$21</f>
        <v>#DIV/0!</v>
      </c>
      <c r="AB105" s="350" t="e">
        <f>(Apoio_Efeito!AV22)/Apoio_Efeito!$R$22</f>
        <v>#DIV/0!</v>
      </c>
      <c r="AC105" s="350" t="e">
        <f>(Apoio_Efeito!AV23)/Apoio_Efeito!$R$23</f>
        <v>#DIV/0!</v>
      </c>
      <c r="AD105" s="350" t="e">
        <f>(Apoio_Efeito!AV24)/Apoio_Efeito!$R$24</f>
        <v>#DIV/0!</v>
      </c>
      <c r="AE105" s="350" t="e">
        <f>(Apoio_Efeito!AV25)/Apoio_Efeito!$R$25</f>
        <v>#DIV/0!</v>
      </c>
      <c r="AF105" s="350" t="e">
        <f>(Apoio_Efeito!AV26)/Apoio_Efeito!$R$26</f>
        <v>#DIV/0!</v>
      </c>
      <c r="AG105" s="350" t="e">
        <f>(Apoio_Efeito!AV27)/Apoio_Efeito!$R$27</f>
        <v>#DIV/0!</v>
      </c>
      <c r="AH105" s="350" t="e">
        <f>(Apoio_Efeito!AV28)/Apoio_Efeito!$R$28</f>
        <v>#DIV/0!</v>
      </c>
      <c r="AI105" s="350" t="e">
        <f>(Apoio_Efeito!AV29)/Apoio_Efeito!$R$29</f>
        <v>#DIV/0!</v>
      </c>
      <c r="AJ105" s="350" t="e">
        <f>(Apoio_Efeito!AV30)/Apoio_Efeito!$R$30</f>
        <v>#DIV/0!</v>
      </c>
      <c r="AK105" s="350" t="e">
        <f>(Apoio_Efeito!AV55)/Apoio_Efeito!$R$55</f>
        <v>#DIV/0!</v>
      </c>
      <c r="AL105" s="350" t="e">
        <f>(Apoio_Efeito!AV31)/Apoio_Efeito!$R$31</f>
        <v>#DIV/0!</v>
      </c>
      <c r="AM105" s="350" t="e">
        <f>(Apoio_Efeito!AV32)/Apoio_Efeito!$R$32</f>
        <v>#DIV/0!</v>
      </c>
      <c r="AN105" s="350" t="e">
        <f>(Apoio_Efeito!AV33)/Apoio_Efeito!$R$33</f>
        <v>#DIV/0!</v>
      </c>
      <c r="AO105" s="350" t="e">
        <f>(Apoio_Efeito!AV34)/Apoio_Efeito!$R$34</f>
        <v>#DIV/0!</v>
      </c>
      <c r="AP105" s="350" t="e">
        <f>(Apoio_Efeito!AV35)/Apoio_Efeito!$R$35</f>
        <v>#DIV/0!</v>
      </c>
      <c r="AQ105" s="350" t="e">
        <f>(Apoio_Efeito!AV36)/Apoio_Efeito!$R$36</f>
        <v>#DIV/0!</v>
      </c>
      <c r="AR105" s="350" t="e">
        <f>(Apoio_Efeito!AV37)/Apoio_Efeito!$R$37</f>
        <v>#DIV/0!</v>
      </c>
      <c r="AS105" s="350" t="e">
        <f>(Apoio_Efeito!AV38)/Apoio_Efeito!$R$38</f>
        <v>#DIV/0!</v>
      </c>
      <c r="AT105" s="350" t="e">
        <f>(Apoio_Efeito!AV39)/Apoio_Efeito!$R$39</f>
        <v>#DIV/0!</v>
      </c>
      <c r="AU105" s="343" t="e">
        <f>(Apoio_Efeito!AV40)/Apoio_Efeito!$R$40</f>
        <v>#DIV/0!</v>
      </c>
      <c r="AV105" s="343" t="e">
        <f>(Apoio_Efeito!AV41)/Apoio_Efeito!$R$41</f>
        <v>#DIV/0!</v>
      </c>
      <c r="AW105" s="343" t="e">
        <f>(Apoio_Efeito!AV42)/Apoio_Efeito!$R$42</f>
        <v>#DIV/0!</v>
      </c>
      <c r="AX105" s="343" t="e">
        <f>(Apoio_Efeito!AV43)/Apoio_Efeito!$R$43</f>
        <v>#DIV/0!</v>
      </c>
      <c r="AY105" s="343" t="e">
        <f>(Apoio_Efeito!AV44)/Apoio_Efeito!$R$44</f>
        <v>#DIV/0!</v>
      </c>
      <c r="AZ105" s="343" t="e">
        <f>(Apoio_Efeito!AV45)/Apoio_Efeito!$R$45</f>
        <v>#DIV/0!</v>
      </c>
      <c r="BA105" s="345" t="e">
        <f>(Apoio_Efeito!AV46)/Apoio_Efeito!$R$46</f>
        <v>#DIV/0!</v>
      </c>
      <c r="BB105" s="343" t="e">
        <f>(Apoio_Efeito!AV47)/Apoio_Efeito!$R$47</f>
        <v>#DIV/0!</v>
      </c>
      <c r="BC105" s="343" t="e">
        <f>(Apoio_Efeito!AV48)/Apoio_Efeito!$R$48</f>
        <v>#DIV/0!</v>
      </c>
      <c r="BD105" s="343" t="e">
        <f>(Apoio_Efeito!AV49)/Apoio_Efeito!$R$49</f>
        <v>#DIV/0!</v>
      </c>
      <c r="BE105" s="343" t="e">
        <f>(Apoio_Efeito!AV50)/Apoio_Efeito!$R$50</f>
        <v>#DIV/0!</v>
      </c>
      <c r="BF105" s="343" t="e">
        <f>(Apoio_Efeito!AV51)/Apoio_Efeito!$R$51</f>
        <v>#DIV/0!</v>
      </c>
      <c r="BG105" s="344">
        <f>(Apoio_Efeito!AV52)/Apoio_Efeito!$R$52</f>
        <v>0</v>
      </c>
      <c r="BH105" s="344">
        <f>(Apoio_Efeito!AV53)/Apoio_Efeito!$R$53</f>
        <v>0</v>
      </c>
      <c r="BI105" s="100"/>
      <c r="BJ105" s="277">
        <f t="shared" si="11"/>
        <v>1</v>
      </c>
      <c r="BK105" s="164"/>
      <c r="BL105" s="165"/>
      <c r="BN105" s="5"/>
    </row>
    <row r="106" spans="7:66">
      <c r="G106" s="207"/>
      <c r="H106" s="83" t="s">
        <v>322</v>
      </c>
      <c r="I106" s="275" t="e">
        <f>(Apoio_Efeito!AW4)/Apoio_Efeito!$R$4</f>
        <v>#DIV/0!</v>
      </c>
      <c r="J106" s="343" t="e">
        <f>(Apoio_Efeito!AW5)/Apoio_Efeito!$R$5</f>
        <v>#DIV/0!</v>
      </c>
      <c r="K106" s="343" t="e">
        <f>(Apoio_Efeito!AW6)/Apoio_Efeito!$R$6</f>
        <v>#DIV/0!</v>
      </c>
      <c r="L106" s="343">
        <f>(Apoio_Efeito!AW7)/Apoio_Efeito!$R$7</f>
        <v>6.9903990757992326E-4</v>
      </c>
      <c r="M106" s="343" t="e">
        <f>(Apoio_Efeito!AW54)/Apoio_Efeito!$R$54</f>
        <v>#DIV/0!</v>
      </c>
      <c r="N106" s="343" t="e">
        <f>(Apoio_Efeito!AW8)/Apoio_Efeito!$R$8</f>
        <v>#DIV/0!</v>
      </c>
      <c r="O106" s="343" t="e">
        <f>(Apoio_Efeito!AW9)/Apoio_Efeito!$R$9</f>
        <v>#DIV/0!</v>
      </c>
      <c r="P106" s="345" t="e">
        <f>(Apoio_Efeito!AW10)/Apoio_Efeito!$R$10</f>
        <v>#DIV/0!</v>
      </c>
      <c r="Q106" s="343" t="e">
        <f>(Apoio_Efeito!AW11)/Apoio_Efeito!$R$11</f>
        <v>#DIV/0!</v>
      </c>
      <c r="R106" s="343" t="e">
        <f>(Apoio_Efeito!AW12)/Apoio_Efeito!$R12</f>
        <v>#DIV/0!</v>
      </c>
      <c r="S106" s="343" t="e">
        <f>(Apoio_Efeito!AW13)/Apoio_Efeito!$R$13</f>
        <v>#DIV/0!</v>
      </c>
      <c r="T106" s="343" t="e">
        <f>(Apoio_Efeito!AW14)/Apoio_Efeito!$R$14</f>
        <v>#DIV/0!</v>
      </c>
      <c r="U106" s="343" t="e">
        <f>(Apoio_Efeito!AW15)/Apoio_Efeito!$R$15</f>
        <v>#DIV/0!</v>
      </c>
      <c r="V106" s="343" t="e">
        <f>(Apoio_Efeito!AW16)/Apoio_Efeito!$R$16</f>
        <v>#DIV/0!</v>
      </c>
      <c r="W106" s="343" t="e">
        <f>(Apoio_Efeito!AW17)/Apoio_Efeito!$R$17</f>
        <v>#DIV/0!</v>
      </c>
      <c r="X106" s="350" t="e">
        <f>(Apoio_Efeito!AW18)/Apoio_Efeito!$R$18</f>
        <v>#DIV/0!</v>
      </c>
      <c r="Y106" s="350" t="e">
        <f>(Apoio_Efeito!AW19)/Apoio_Efeito!$R$19</f>
        <v>#DIV/0!</v>
      </c>
      <c r="Z106" s="350" t="e">
        <f>(Apoio_Efeito!AW20)/Apoio_Efeito!$R$20</f>
        <v>#DIV/0!</v>
      </c>
      <c r="AA106" s="350" t="e">
        <f>(Apoio_Efeito!AW21)/Apoio_Efeito!$R$21</f>
        <v>#DIV/0!</v>
      </c>
      <c r="AB106" s="350" t="e">
        <f>(Apoio_Efeito!AW22)/Apoio_Efeito!$R$22</f>
        <v>#DIV/0!</v>
      </c>
      <c r="AC106" s="350" t="e">
        <f>(Apoio_Efeito!AW23)/Apoio_Efeito!$R$23</f>
        <v>#DIV/0!</v>
      </c>
      <c r="AD106" s="350" t="e">
        <f>(Apoio_Efeito!AW24)/Apoio_Efeito!$R$24</f>
        <v>#DIV/0!</v>
      </c>
      <c r="AE106" s="350" t="e">
        <f>(Apoio_Efeito!AW25)/Apoio_Efeito!$R$25</f>
        <v>#DIV/0!</v>
      </c>
      <c r="AF106" s="350" t="e">
        <f>(Apoio_Efeito!AW26)/Apoio_Efeito!$R$26</f>
        <v>#DIV/0!</v>
      </c>
      <c r="AG106" s="350" t="e">
        <f>(Apoio_Efeito!AW27)/Apoio_Efeito!$R$27</f>
        <v>#DIV/0!</v>
      </c>
      <c r="AH106" s="350" t="e">
        <f>(Apoio_Efeito!AW28)/Apoio_Efeito!$R$28</f>
        <v>#DIV/0!</v>
      </c>
      <c r="AI106" s="350" t="e">
        <f>(Apoio_Efeito!AW29)/Apoio_Efeito!$R$29</f>
        <v>#DIV/0!</v>
      </c>
      <c r="AJ106" s="350" t="e">
        <f>(Apoio_Efeito!AW30)/Apoio_Efeito!$R$30</f>
        <v>#DIV/0!</v>
      </c>
      <c r="AK106" s="350" t="e">
        <f>(Apoio_Efeito!AW55)/Apoio_Efeito!$R$55</f>
        <v>#DIV/0!</v>
      </c>
      <c r="AL106" s="350" t="e">
        <f>(Apoio_Efeito!AW31)/Apoio_Efeito!$R$31</f>
        <v>#DIV/0!</v>
      </c>
      <c r="AM106" s="350" t="e">
        <f>(Apoio_Efeito!AW32)/Apoio_Efeito!$R$32</f>
        <v>#DIV/0!</v>
      </c>
      <c r="AN106" s="350" t="e">
        <f>(Apoio_Efeito!AW33)/Apoio_Efeito!$R$33</f>
        <v>#DIV/0!</v>
      </c>
      <c r="AO106" s="350" t="e">
        <f>(Apoio_Efeito!AW34)/Apoio_Efeito!$R$34</f>
        <v>#DIV/0!</v>
      </c>
      <c r="AP106" s="350" t="e">
        <f>(Apoio_Efeito!AW35)/Apoio_Efeito!$R$35</f>
        <v>#DIV/0!</v>
      </c>
      <c r="AQ106" s="350" t="e">
        <f>(Apoio_Efeito!AW36)/Apoio_Efeito!$R$36</f>
        <v>#DIV/0!</v>
      </c>
      <c r="AR106" s="350" t="e">
        <f>(Apoio_Efeito!AW37)/Apoio_Efeito!$R$37</f>
        <v>#DIV/0!</v>
      </c>
      <c r="AS106" s="350" t="e">
        <f>(Apoio_Efeito!AW38)/Apoio_Efeito!$R$38</f>
        <v>#DIV/0!</v>
      </c>
      <c r="AT106" s="350" t="e">
        <f>(Apoio_Efeito!AW39)/Apoio_Efeito!$R$39</f>
        <v>#DIV/0!</v>
      </c>
      <c r="AU106" s="343" t="e">
        <f>(Apoio_Efeito!AW40)/Apoio_Efeito!$R$40</f>
        <v>#DIV/0!</v>
      </c>
      <c r="AV106" s="343" t="e">
        <f>(Apoio_Efeito!AW41)/Apoio_Efeito!$R$41</f>
        <v>#DIV/0!</v>
      </c>
      <c r="AW106" s="343" t="e">
        <f>(Apoio_Efeito!AW42)/Apoio_Efeito!$R$42</f>
        <v>#DIV/0!</v>
      </c>
      <c r="AX106" s="343" t="e">
        <f>(Apoio_Efeito!AW43)/Apoio_Efeito!$R$43</f>
        <v>#DIV/0!</v>
      </c>
      <c r="AY106" s="343" t="e">
        <f>(Apoio_Efeito!AW44)/Apoio_Efeito!$R$44</f>
        <v>#DIV/0!</v>
      </c>
      <c r="AZ106" s="343" t="e">
        <f>(Apoio_Efeito!AW45)/Apoio_Efeito!$R$45</f>
        <v>#DIV/0!</v>
      </c>
      <c r="BA106" s="345" t="e">
        <f>(Apoio_Efeito!AW46)/Apoio_Efeito!$R$46</f>
        <v>#DIV/0!</v>
      </c>
      <c r="BB106" s="343" t="e">
        <f>(Apoio_Efeito!AW47)/Apoio_Efeito!$R$47</f>
        <v>#DIV/0!</v>
      </c>
      <c r="BC106" s="343" t="e">
        <f>(Apoio_Efeito!AW48)/Apoio_Efeito!$R$48</f>
        <v>#DIV/0!</v>
      </c>
      <c r="BD106" s="343" t="e">
        <f>(Apoio_Efeito!AW49)/Apoio_Efeito!$R$49</f>
        <v>#DIV/0!</v>
      </c>
      <c r="BE106" s="343" t="e">
        <f>(Apoio_Efeito!AW50)/Apoio_Efeito!$R$50</f>
        <v>#DIV/0!</v>
      </c>
      <c r="BF106" s="343" t="e">
        <f>(Apoio_Efeito!AW51)/Apoio_Efeito!$R$51</f>
        <v>#DIV/0!</v>
      </c>
      <c r="BG106" s="344">
        <f>(Apoio_Efeito!AW52)/Apoio_Efeito!$R$52</f>
        <v>0</v>
      </c>
      <c r="BH106" s="344">
        <f>(Apoio_Efeito!AW53)/Apoio_Efeito!$R$53</f>
        <v>0</v>
      </c>
      <c r="BI106" s="100"/>
      <c r="BJ106" s="277">
        <f t="shared" si="11"/>
        <v>1</v>
      </c>
      <c r="BK106" s="164"/>
      <c r="BL106" s="165"/>
      <c r="BN106" s="5"/>
    </row>
    <row r="107" spans="7:66" hidden="1">
      <c r="G107" s="207"/>
      <c r="H107" s="83" t="s">
        <v>329</v>
      </c>
      <c r="I107" s="275" t="e">
        <f>(Apoio_Efeito!AX4)/Apoio_Efeito!$R$4</f>
        <v>#DIV/0!</v>
      </c>
      <c r="J107" s="343" t="e">
        <f>(Apoio_Efeito!AX5)/Apoio_Efeito!$R$5</f>
        <v>#DIV/0!</v>
      </c>
      <c r="K107" s="343" t="e">
        <f>(Apoio_Efeito!AX6)/Apoio_Efeito!$R$6</f>
        <v>#DIV/0!</v>
      </c>
      <c r="L107" s="343">
        <f>(Apoio_Efeito!AX7)/Apoio_Efeito!$R$7</f>
        <v>0</v>
      </c>
      <c r="M107" s="343" t="e">
        <f>(Apoio_Efeito!AX54)/Apoio_Efeito!$R$54</f>
        <v>#DIV/0!</v>
      </c>
      <c r="N107" s="343" t="e">
        <f>(Apoio_Efeito!AX8)/Apoio_Efeito!$R$8</f>
        <v>#DIV/0!</v>
      </c>
      <c r="O107" s="343" t="e">
        <f>(Apoio_Efeito!AX9)/Apoio_Efeito!$R$9</f>
        <v>#DIV/0!</v>
      </c>
      <c r="P107" s="345" t="e">
        <f>(Apoio_Efeito!AX10)/Apoio_Efeito!$R$10</f>
        <v>#DIV/0!</v>
      </c>
      <c r="Q107" s="343" t="e">
        <f>(Apoio_Efeito!AX11)/Apoio_Efeito!$R$11</f>
        <v>#DIV/0!</v>
      </c>
      <c r="R107" s="343" t="e">
        <f>(Apoio_Efeito!AX12)/Apoio_Efeito!$R12</f>
        <v>#DIV/0!</v>
      </c>
      <c r="S107" s="343" t="e">
        <f>(Apoio_Efeito!AX13)/Apoio_Efeito!$R$13</f>
        <v>#DIV/0!</v>
      </c>
      <c r="T107" s="343" t="e">
        <f>(Apoio_Efeito!AX14)/Apoio_Efeito!$R$14</f>
        <v>#DIV/0!</v>
      </c>
      <c r="U107" s="343" t="e">
        <f>(Apoio_Efeito!AX15)/Apoio_Efeito!$R$15</f>
        <v>#DIV/0!</v>
      </c>
      <c r="V107" s="343" t="e">
        <f>(Apoio_Efeito!AX16)/Apoio_Efeito!$R$16</f>
        <v>#DIV/0!</v>
      </c>
      <c r="W107" s="343" t="e">
        <f>(Apoio_Efeito!AX17)/Apoio_Efeito!$R$17</f>
        <v>#DIV/0!</v>
      </c>
      <c r="X107" s="350" t="e">
        <f>(Apoio_Efeito!AX18)/Apoio_Efeito!$R$18</f>
        <v>#DIV/0!</v>
      </c>
      <c r="Y107" s="350" t="e">
        <f>(Apoio_Efeito!AX19)/Apoio_Efeito!$R$19</f>
        <v>#DIV/0!</v>
      </c>
      <c r="Z107" s="350" t="e">
        <f>(Apoio_Efeito!AX20)/Apoio_Efeito!$R$20</f>
        <v>#DIV/0!</v>
      </c>
      <c r="AA107" s="350" t="e">
        <f>(Apoio_Efeito!AX21)/Apoio_Efeito!$R$21</f>
        <v>#DIV/0!</v>
      </c>
      <c r="AB107" s="350" t="e">
        <f>(Apoio_Efeito!AX22)/Apoio_Efeito!$R$22</f>
        <v>#DIV/0!</v>
      </c>
      <c r="AC107" s="350" t="e">
        <f>(Apoio_Efeito!AX23)/Apoio_Efeito!$R$23</f>
        <v>#DIV/0!</v>
      </c>
      <c r="AD107" s="350" t="e">
        <f>(Apoio_Efeito!AX24)/Apoio_Efeito!$R$24</f>
        <v>#DIV/0!</v>
      </c>
      <c r="AE107" s="350" t="e">
        <f>(Apoio_Efeito!AX25)/Apoio_Efeito!$R$25</f>
        <v>#DIV/0!</v>
      </c>
      <c r="AF107" s="350" t="e">
        <f>(Apoio_Efeito!AX26)/Apoio_Efeito!$R$26</f>
        <v>#DIV/0!</v>
      </c>
      <c r="AG107" s="350" t="e">
        <f>(Apoio_Efeito!AX27)/Apoio_Efeito!$R$27</f>
        <v>#DIV/0!</v>
      </c>
      <c r="AH107" s="350" t="e">
        <f>(Apoio_Efeito!AX28)/Apoio_Efeito!$R$28</f>
        <v>#DIV/0!</v>
      </c>
      <c r="AI107" s="350" t="e">
        <f>(Apoio_Efeito!AX29)/Apoio_Efeito!$R$29</f>
        <v>#DIV/0!</v>
      </c>
      <c r="AJ107" s="350" t="e">
        <f>(Apoio_Efeito!AX30)/Apoio_Efeito!$R$30</f>
        <v>#DIV/0!</v>
      </c>
      <c r="AK107" s="350" t="e">
        <f>(Apoio_Efeito!AX55)/Apoio_Efeito!$R$55</f>
        <v>#DIV/0!</v>
      </c>
      <c r="AL107" s="350" t="e">
        <f>(Apoio_Efeito!AX31)/Apoio_Efeito!$R$31</f>
        <v>#DIV/0!</v>
      </c>
      <c r="AM107" s="350" t="e">
        <f>(Apoio_Efeito!AX32)/Apoio_Efeito!$R$32</f>
        <v>#DIV/0!</v>
      </c>
      <c r="AN107" s="350" t="e">
        <f>(Apoio_Efeito!AX33)/Apoio_Efeito!$R$33</f>
        <v>#DIV/0!</v>
      </c>
      <c r="AO107" s="350" t="e">
        <f>(Apoio_Efeito!AX34)/Apoio_Efeito!$R$34</f>
        <v>#DIV/0!</v>
      </c>
      <c r="AP107" s="350" t="e">
        <f>(Apoio_Efeito!AX35)/Apoio_Efeito!$R$35</f>
        <v>#DIV/0!</v>
      </c>
      <c r="AQ107" s="350" t="e">
        <f>(Apoio_Efeito!AX36)/Apoio_Efeito!$R$36</f>
        <v>#DIV/0!</v>
      </c>
      <c r="AR107" s="350" t="e">
        <f>(Apoio_Efeito!AX37)/Apoio_Efeito!$R$37</f>
        <v>#DIV/0!</v>
      </c>
      <c r="AS107" s="350" t="e">
        <f>(Apoio_Efeito!AX38)/Apoio_Efeito!$R$38</f>
        <v>#DIV/0!</v>
      </c>
      <c r="AT107" s="350" t="e">
        <f>(Apoio_Efeito!AX39)/Apoio_Efeito!$R$39</f>
        <v>#DIV/0!</v>
      </c>
      <c r="AU107" s="343" t="e">
        <f>(Apoio_Efeito!AX40)/Apoio_Efeito!$R$40</f>
        <v>#DIV/0!</v>
      </c>
      <c r="AV107" s="343" t="e">
        <f>(Apoio_Efeito!AX41)/Apoio_Efeito!$R$41</f>
        <v>#DIV/0!</v>
      </c>
      <c r="AW107" s="343" t="e">
        <f>(Apoio_Efeito!AX42)/Apoio_Efeito!$R$42</f>
        <v>#DIV/0!</v>
      </c>
      <c r="AX107" s="343" t="e">
        <f>(Apoio_Efeito!AX43)/Apoio_Efeito!$R$43</f>
        <v>#DIV/0!</v>
      </c>
      <c r="AY107" s="343" t="e">
        <f>(Apoio_Efeito!AX44)/Apoio_Efeito!$R$44</f>
        <v>#DIV/0!</v>
      </c>
      <c r="AZ107" s="343" t="e">
        <f>(Apoio_Efeito!AX45)/Apoio_Efeito!$R$45</f>
        <v>#DIV/0!</v>
      </c>
      <c r="BA107" s="345" t="e">
        <f>(Apoio_Efeito!AX46)/Apoio_Efeito!$R$46</f>
        <v>#DIV/0!</v>
      </c>
      <c r="BB107" s="343" t="e">
        <f>(Apoio_Efeito!AX47)/Apoio_Efeito!$R$47</f>
        <v>#DIV/0!</v>
      </c>
      <c r="BC107" s="343" t="e">
        <f>(Apoio_Efeito!AX48)/Apoio_Efeito!$R$48</f>
        <v>#DIV/0!</v>
      </c>
      <c r="BD107" s="343" t="e">
        <f>(Apoio_Efeito!AX49)/Apoio_Efeito!$R$49</f>
        <v>#DIV/0!</v>
      </c>
      <c r="BE107" s="343" t="e">
        <f>(Apoio_Efeito!AX50)/Apoio_Efeito!$R$50</f>
        <v>#DIV/0!</v>
      </c>
      <c r="BF107" s="343" t="e">
        <f>(Apoio_Efeito!AX51)/Apoio_Efeito!$R$51</f>
        <v>#DIV/0!</v>
      </c>
      <c r="BG107" s="344">
        <f>(Apoio_Efeito!AX52)/Apoio_Efeito!$R$52</f>
        <v>0</v>
      </c>
      <c r="BH107" s="344">
        <f>(Apoio_Efeito!AX53)/Apoio_Efeito!$R$53</f>
        <v>0</v>
      </c>
      <c r="BI107" s="100"/>
      <c r="BJ107" s="277">
        <f t="shared" si="11"/>
        <v>0</v>
      </c>
      <c r="BK107" s="164"/>
      <c r="BL107" s="165"/>
      <c r="BN107" s="5"/>
    </row>
    <row r="108" spans="7:66">
      <c r="G108" s="207"/>
      <c r="H108" s="83" t="s">
        <v>323</v>
      </c>
      <c r="I108" s="275" t="e">
        <f>(Apoio_Efeito!AY4)/Apoio_Efeito!$R$4</f>
        <v>#DIV/0!</v>
      </c>
      <c r="J108" s="343" t="e">
        <f>(Apoio_Efeito!AY5)/Apoio_Efeito!$R$5</f>
        <v>#DIV/0!</v>
      </c>
      <c r="K108" s="343" t="e">
        <f>(Apoio_Efeito!AY6)/Apoio_Efeito!$R$6</f>
        <v>#DIV/0!</v>
      </c>
      <c r="L108" s="343">
        <f>(Apoio_Efeito!AY7)/Apoio_Efeito!$R$7</f>
        <v>-6.4540381544976461E-3</v>
      </c>
      <c r="M108" s="343" t="e">
        <f>(Apoio_Efeito!AY54)/Apoio_Efeito!$R$54</f>
        <v>#DIV/0!</v>
      </c>
      <c r="N108" s="343" t="e">
        <f>(Apoio_Efeito!AY8)/Apoio_Efeito!$R$8</f>
        <v>#DIV/0!</v>
      </c>
      <c r="O108" s="343" t="e">
        <f>(Apoio_Efeito!AY9)/Apoio_Efeito!$R$9</f>
        <v>#DIV/0!</v>
      </c>
      <c r="P108" s="345" t="e">
        <f>(Apoio_Efeito!AY10)/Apoio_Efeito!$R$10</f>
        <v>#DIV/0!</v>
      </c>
      <c r="Q108" s="343" t="e">
        <f>(Apoio_Efeito!AY11)/Apoio_Efeito!$R$11</f>
        <v>#DIV/0!</v>
      </c>
      <c r="R108" s="343" t="e">
        <f>(Apoio_Efeito!AY12)/Apoio_Efeito!$R12</f>
        <v>#DIV/0!</v>
      </c>
      <c r="S108" s="343" t="e">
        <f>(Apoio_Efeito!AY13)/Apoio_Efeito!$R$13</f>
        <v>#DIV/0!</v>
      </c>
      <c r="T108" s="343" t="e">
        <f>(Apoio_Efeito!AY14)/Apoio_Efeito!$R$14</f>
        <v>#DIV/0!</v>
      </c>
      <c r="U108" s="343" t="e">
        <f>(Apoio_Efeito!AY15)/Apoio_Efeito!$R$15</f>
        <v>#DIV/0!</v>
      </c>
      <c r="V108" s="343" t="e">
        <f>(Apoio_Efeito!AY16)/Apoio_Efeito!$R$16</f>
        <v>#DIV/0!</v>
      </c>
      <c r="W108" s="343" t="e">
        <f>(Apoio_Efeito!AY17)/Apoio_Efeito!$R$17</f>
        <v>#DIV/0!</v>
      </c>
      <c r="X108" s="350" t="e">
        <f>(Apoio_Efeito!AY18)/Apoio_Efeito!$R$18</f>
        <v>#DIV/0!</v>
      </c>
      <c r="Y108" s="350" t="e">
        <f>(Apoio_Efeito!AY19)/Apoio_Efeito!$R$19</f>
        <v>#DIV/0!</v>
      </c>
      <c r="Z108" s="350" t="e">
        <f>(Apoio_Efeito!AY20)/Apoio_Efeito!$R$20</f>
        <v>#DIV/0!</v>
      </c>
      <c r="AA108" s="350" t="e">
        <f>(Apoio_Efeito!AY21)/Apoio_Efeito!$R$21</f>
        <v>#DIV/0!</v>
      </c>
      <c r="AB108" s="350" t="e">
        <f>(Apoio_Efeito!AY22)/Apoio_Efeito!$R$22</f>
        <v>#DIV/0!</v>
      </c>
      <c r="AC108" s="350" t="e">
        <f>(Apoio_Efeito!AY23)/Apoio_Efeito!$R$23</f>
        <v>#DIV/0!</v>
      </c>
      <c r="AD108" s="350" t="e">
        <f>(Apoio_Efeito!AY24)/Apoio_Efeito!$R$24</f>
        <v>#DIV/0!</v>
      </c>
      <c r="AE108" s="350" t="e">
        <f>(Apoio_Efeito!AY25)/Apoio_Efeito!$R$25</f>
        <v>#DIV/0!</v>
      </c>
      <c r="AF108" s="350" t="e">
        <f>(Apoio_Efeito!AY26)/Apoio_Efeito!$R$26</f>
        <v>#DIV/0!</v>
      </c>
      <c r="AG108" s="350" t="e">
        <f>(Apoio_Efeito!AY27)/Apoio_Efeito!$R$27</f>
        <v>#DIV/0!</v>
      </c>
      <c r="AH108" s="350" t="e">
        <f>(Apoio_Efeito!AY28)/Apoio_Efeito!$R$28</f>
        <v>#DIV/0!</v>
      </c>
      <c r="AI108" s="350" t="e">
        <f>(Apoio_Efeito!AY29)/Apoio_Efeito!$R$29</f>
        <v>#DIV/0!</v>
      </c>
      <c r="AJ108" s="350" t="e">
        <f>(Apoio_Efeito!AY30)/Apoio_Efeito!$R$30</f>
        <v>#DIV/0!</v>
      </c>
      <c r="AK108" s="350" t="e">
        <f>(Apoio_Efeito!AY55)/Apoio_Efeito!$R$55</f>
        <v>#DIV/0!</v>
      </c>
      <c r="AL108" s="350" t="e">
        <f>(Apoio_Efeito!AY31)/Apoio_Efeito!$R$31</f>
        <v>#DIV/0!</v>
      </c>
      <c r="AM108" s="350" t="e">
        <f>(Apoio_Efeito!AY32)/Apoio_Efeito!$R$32</f>
        <v>#DIV/0!</v>
      </c>
      <c r="AN108" s="350" t="e">
        <f>(Apoio_Efeito!AY33)/Apoio_Efeito!$R$33</f>
        <v>#DIV/0!</v>
      </c>
      <c r="AO108" s="350" t="e">
        <f>(Apoio_Efeito!AY34)/Apoio_Efeito!$R$34</f>
        <v>#DIV/0!</v>
      </c>
      <c r="AP108" s="350" t="e">
        <f>(Apoio_Efeito!AY35)/Apoio_Efeito!$R$35</f>
        <v>#DIV/0!</v>
      </c>
      <c r="AQ108" s="350" t="e">
        <f>(Apoio_Efeito!AY36)/Apoio_Efeito!$R$36</f>
        <v>#DIV/0!</v>
      </c>
      <c r="AR108" s="350" t="e">
        <f>(Apoio_Efeito!AY37)/Apoio_Efeito!$R$37</f>
        <v>#DIV/0!</v>
      </c>
      <c r="AS108" s="350" t="e">
        <f>(Apoio_Efeito!AY38)/Apoio_Efeito!$R$38</f>
        <v>#DIV/0!</v>
      </c>
      <c r="AT108" s="350" t="e">
        <f>(Apoio_Efeito!AY39)/Apoio_Efeito!$R$39</f>
        <v>#DIV/0!</v>
      </c>
      <c r="AU108" s="343" t="e">
        <f>(Apoio_Efeito!AY40)/Apoio_Efeito!$R$40</f>
        <v>#DIV/0!</v>
      </c>
      <c r="AV108" s="343" t="e">
        <f>(Apoio_Efeito!AY41)/Apoio_Efeito!$R$41</f>
        <v>#DIV/0!</v>
      </c>
      <c r="AW108" s="343" t="e">
        <f>(Apoio_Efeito!AY42)/Apoio_Efeito!$R$42</f>
        <v>#DIV/0!</v>
      </c>
      <c r="AX108" s="343" t="e">
        <f>(Apoio_Efeito!AY43)/Apoio_Efeito!$R$43</f>
        <v>#DIV/0!</v>
      </c>
      <c r="AY108" s="343" t="e">
        <f>(Apoio_Efeito!AY44)/Apoio_Efeito!$R$44</f>
        <v>#DIV/0!</v>
      </c>
      <c r="AZ108" s="343" t="e">
        <f>(Apoio_Efeito!AY45)/Apoio_Efeito!$R$45</f>
        <v>#DIV/0!</v>
      </c>
      <c r="BA108" s="345" t="e">
        <f>(Apoio_Efeito!AY46)/Apoio_Efeito!$R$46</f>
        <v>#DIV/0!</v>
      </c>
      <c r="BB108" s="343" t="e">
        <f>(Apoio_Efeito!AY47)/Apoio_Efeito!$R$47</f>
        <v>#DIV/0!</v>
      </c>
      <c r="BC108" s="343" t="e">
        <f>(Apoio_Efeito!AY48)/Apoio_Efeito!$R$48</f>
        <v>#DIV/0!</v>
      </c>
      <c r="BD108" s="343" t="e">
        <f>(Apoio_Efeito!AY49)/Apoio_Efeito!$R$49</f>
        <v>#DIV/0!</v>
      </c>
      <c r="BE108" s="343" t="e">
        <f>(Apoio_Efeito!AY50)/Apoio_Efeito!$R$50</f>
        <v>#DIV/0!</v>
      </c>
      <c r="BF108" s="343" t="e">
        <f>(Apoio_Efeito!AY51)/Apoio_Efeito!$R$51</f>
        <v>#DIV/0!</v>
      </c>
      <c r="BG108" s="344">
        <f>(Apoio_Efeito!AY52)/Apoio_Efeito!$R$52</f>
        <v>0</v>
      </c>
      <c r="BH108" s="344">
        <f>(Apoio_Efeito!AY53)/Apoio_Efeito!$R$53</f>
        <v>0</v>
      </c>
      <c r="BI108" s="100"/>
      <c r="BJ108" s="277">
        <f t="shared" si="11"/>
        <v>1</v>
      </c>
      <c r="BK108" s="164"/>
      <c r="BL108" s="165"/>
      <c r="BN108" s="5"/>
    </row>
    <row r="109" spans="7:66">
      <c r="G109" s="207"/>
      <c r="H109" s="83" t="s">
        <v>308</v>
      </c>
      <c r="I109" s="275" t="e">
        <f>(Apoio_Efeito!AZ4)/Apoio_Efeito!$R$4</f>
        <v>#DIV/0!</v>
      </c>
      <c r="J109" s="343" t="e">
        <f>(Apoio_Efeito!AZ5)/Apoio_Efeito!$R$5</f>
        <v>#DIV/0!</v>
      </c>
      <c r="K109" s="343" t="e">
        <f>(Apoio_Efeito!AZ6)/Apoio_Efeito!$R$6</f>
        <v>#DIV/0!</v>
      </c>
      <c r="L109" s="343">
        <f>(Apoio_Efeito!AZ7)/Apoio_Efeito!$R$7</f>
        <v>-1.7369643285446386E-2</v>
      </c>
      <c r="M109" s="343" t="e">
        <f>(Apoio_Efeito!AZ54)/Apoio_Efeito!$R$54</f>
        <v>#DIV/0!</v>
      </c>
      <c r="N109" s="343" t="e">
        <f>(Apoio_Efeito!AZ8)/Apoio_Efeito!$R$8</f>
        <v>#DIV/0!</v>
      </c>
      <c r="O109" s="343" t="e">
        <f>(Apoio_Efeito!AZ9)/Apoio_Efeito!$R$9</f>
        <v>#DIV/0!</v>
      </c>
      <c r="P109" s="345" t="e">
        <f>(Apoio_Efeito!AZ10)/Apoio_Efeito!$R$10</f>
        <v>#DIV/0!</v>
      </c>
      <c r="Q109" s="343" t="e">
        <f>(Apoio_Efeito!AZ11)/Apoio_Efeito!$R$11</f>
        <v>#DIV/0!</v>
      </c>
      <c r="R109" s="343" t="e">
        <f>(Apoio_Efeito!AZ12)/Apoio_Efeito!$R12</f>
        <v>#DIV/0!</v>
      </c>
      <c r="S109" s="343" t="e">
        <f>(Apoio_Efeito!AZ13)/Apoio_Efeito!$R$13</f>
        <v>#DIV/0!</v>
      </c>
      <c r="T109" s="343" t="e">
        <f>(Apoio_Efeito!AZ14)/Apoio_Efeito!$R$14</f>
        <v>#DIV/0!</v>
      </c>
      <c r="U109" s="343" t="e">
        <f>(Apoio_Efeito!AZ15)/Apoio_Efeito!$R$15</f>
        <v>#DIV/0!</v>
      </c>
      <c r="V109" s="343" t="e">
        <f>(Apoio_Efeito!AZ16)/Apoio_Efeito!$R$16</f>
        <v>#DIV/0!</v>
      </c>
      <c r="W109" s="343" t="e">
        <f>(Apoio_Efeito!AZ17)/Apoio_Efeito!$R$17</f>
        <v>#DIV/0!</v>
      </c>
      <c r="X109" s="350" t="e">
        <f>(Apoio_Efeito!AZ18)/Apoio_Efeito!$R$18</f>
        <v>#DIV/0!</v>
      </c>
      <c r="Y109" s="350" t="e">
        <f>(Apoio_Efeito!AZ19)/Apoio_Efeito!$R$19</f>
        <v>#DIV/0!</v>
      </c>
      <c r="Z109" s="350" t="e">
        <f>(Apoio_Efeito!AZ20)/Apoio_Efeito!$R$20</f>
        <v>#DIV/0!</v>
      </c>
      <c r="AA109" s="350" t="e">
        <f>(Apoio_Efeito!AZ21)/Apoio_Efeito!$R$21</f>
        <v>#DIV/0!</v>
      </c>
      <c r="AB109" s="350" t="e">
        <f>(Apoio_Efeito!AZ22)/Apoio_Efeito!$R$22</f>
        <v>#DIV/0!</v>
      </c>
      <c r="AC109" s="350" t="e">
        <f>(Apoio_Efeito!AZ23)/Apoio_Efeito!$R$23</f>
        <v>#DIV/0!</v>
      </c>
      <c r="AD109" s="350" t="e">
        <f>(Apoio_Efeito!AZ24)/Apoio_Efeito!$R$24</f>
        <v>#DIV/0!</v>
      </c>
      <c r="AE109" s="350" t="e">
        <f>(Apoio_Efeito!AZ25)/Apoio_Efeito!$R$25</f>
        <v>#DIV/0!</v>
      </c>
      <c r="AF109" s="350" t="e">
        <f>(Apoio_Efeito!AZ26)/Apoio_Efeito!$R$26</f>
        <v>#DIV/0!</v>
      </c>
      <c r="AG109" s="350" t="e">
        <f>(Apoio_Efeito!AZ27)/Apoio_Efeito!$R$27</f>
        <v>#DIV/0!</v>
      </c>
      <c r="AH109" s="350" t="e">
        <f>(Apoio_Efeito!AZ28)/Apoio_Efeito!$R$28</f>
        <v>#DIV/0!</v>
      </c>
      <c r="AI109" s="350" t="e">
        <f>(Apoio_Efeito!AZ29)/Apoio_Efeito!$R$29</f>
        <v>#DIV/0!</v>
      </c>
      <c r="AJ109" s="350" t="e">
        <f>(Apoio_Efeito!AZ30)/Apoio_Efeito!$R$30</f>
        <v>#DIV/0!</v>
      </c>
      <c r="AK109" s="350" t="e">
        <f>(Apoio_Efeito!AZ55)/Apoio_Efeito!$R$55</f>
        <v>#DIV/0!</v>
      </c>
      <c r="AL109" s="350" t="e">
        <f>(Apoio_Efeito!AZ31)/Apoio_Efeito!$R$31</f>
        <v>#DIV/0!</v>
      </c>
      <c r="AM109" s="350" t="e">
        <f>(Apoio_Efeito!AZ32)/Apoio_Efeito!$R$32</f>
        <v>#DIV/0!</v>
      </c>
      <c r="AN109" s="350" t="e">
        <f>(Apoio_Efeito!AZ33)/Apoio_Efeito!$R$33</f>
        <v>#DIV/0!</v>
      </c>
      <c r="AO109" s="350" t="e">
        <f>(Apoio_Efeito!AZ34)/Apoio_Efeito!$R$34</f>
        <v>#DIV/0!</v>
      </c>
      <c r="AP109" s="350" t="e">
        <f>(Apoio_Efeito!AZ35)/Apoio_Efeito!$R$35</f>
        <v>#DIV/0!</v>
      </c>
      <c r="AQ109" s="350" t="e">
        <f>(Apoio_Efeito!AZ36)/Apoio_Efeito!$R$36</f>
        <v>#DIV/0!</v>
      </c>
      <c r="AR109" s="350" t="e">
        <f>(Apoio_Efeito!AZ37)/Apoio_Efeito!$R$37</f>
        <v>#DIV/0!</v>
      </c>
      <c r="AS109" s="350" t="e">
        <f>(Apoio_Efeito!AZ38)/Apoio_Efeito!$R$38</f>
        <v>#DIV/0!</v>
      </c>
      <c r="AT109" s="350" t="e">
        <f>(Apoio_Efeito!AZ39)/Apoio_Efeito!$R$39</f>
        <v>#DIV/0!</v>
      </c>
      <c r="AU109" s="343" t="e">
        <f>(Apoio_Efeito!AZ40)/Apoio_Efeito!$R$40</f>
        <v>#DIV/0!</v>
      </c>
      <c r="AV109" s="343" t="e">
        <f>(Apoio_Efeito!AZ41)/Apoio_Efeito!$R$41</f>
        <v>#DIV/0!</v>
      </c>
      <c r="AW109" s="343" t="e">
        <f>(Apoio_Efeito!AZ42)/Apoio_Efeito!$R$42</f>
        <v>#DIV/0!</v>
      </c>
      <c r="AX109" s="343" t="e">
        <f>(Apoio_Efeito!AZ43)/Apoio_Efeito!$R$43</f>
        <v>#DIV/0!</v>
      </c>
      <c r="AY109" s="345" t="e">
        <f>(Apoio_Efeito!AZ44)/Apoio_Efeito!$R$44</f>
        <v>#DIV/0!</v>
      </c>
      <c r="AZ109" s="345" t="e">
        <f>(Apoio_Efeito!AZ45)/Apoio_Efeito!$R$45</f>
        <v>#DIV/0!</v>
      </c>
      <c r="BA109" s="345" t="e">
        <f>(Apoio_Efeito!AZ46)/Apoio_Efeito!$R$46</f>
        <v>#DIV/0!</v>
      </c>
      <c r="BB109" s="345" t="e">
        <f>(Apoio_Efeito!AZ47)/Apoio_Efeito!$R$47</f>
        <v>#DIV/0!</v>
      </c>
      <c r="BC109" s="345" t="e">
        <f>(Apoio_Efeito!AZ48)/Apoio_Efeito!$R$48</f>
        <v>#DIV/0!</v>
      </c>
      <c r="BD109" s="345" t="e">
        <f>(Apoio_Efeito!AZ49)/Apoio_Efeito!$R$49</f>
        <v>#DIV/0!</v>
      </c>
      <c r="BE109" s="345" t="e">
        <f>(Apoio_Efeito!AZ50)/Apoio_Efeito!$R$50</f>
        <v>#DIV/0!</v>
      </c>
      <c r="BF109" s="345" t="e">
        <f>(Apoio_Efeito!AZ51)/Apoio_Efeito!$R$51</f>
        <v>#DIV/0!</v>
      </c>
      <c r="BG109" s="344">
        <f>(Apoio_Efeito!AZ52)/Apoio_Efeito!$R$52</f>
        <v>0</v>
      </c>
      <c r="BH109" s="344">
        <f>(Apoio_Efeito!AZ53)/Apoio_Efeito!$R$53</f>
        <v>0</v>
      </c>
      <c r="BI109" s="100"/>
      <c r="BJ109" s="277">
        <f t="shared" si="11"/>
        <v>1</v>
      </c>
      <c r="BK109" s="164"/>
      <c r="BL109" s="165"/>
      <c r="BN109" s="5"/>
    </row>
    <row r="110" spans="7:66">
      <c r="G110" s="207"/>
      <c r="H110" s="83" t="s">
        <v>290</v>
      </c>
      <c r="I110" s="275" t="e">
        <f>(Apoio_Efeito!BA4)/Apoio_Efeito!$R$4</f>
        <v>#DIV/0!</v>
      </c>
      <c r="J110" s="343" t="e">
        <f>(Apoio_Efeito!BA5)/Apoio_Efeito!$R$5</f>
        <v>#DIV/0!</v>
      </c>
      <c r="K110" s="343" t="e">
        <f>(Apoio_Efeito!BA6)/Apoio_Efeito!$R$6</f>
        <v>#DIV/0!</v>
      </c>
      <c r="L110" s="343">
        <f>(Apoio_Efeito!BA7)/Apoio_Efeito!$R$7</f>
        <v>1.9609786781901648E-2</v>
      </c>
      <c r="M110" s="343" t="e">
        <f>(Apoio_Efeito!BA54)/Apoio_Efeito!$R$54</f>
        <v>#DIV/0!</v>
      </c>
      <c r="N110" s="343" t="e">
        <f>(Apoio_Efeito!BA8)/Apoio_Efeito!$R$8</f>
        <v>#DIV/0!</v>
      </c>
      <c r="O110" s="343" t="e">
        <f>(Apoio_Efeito!BA9)/Apoio_Efeito!$R$9</f>
        <v>#DIV/0!</v>
      </c>
      <c r="P110" s="345" t="e">
        <f>(Apoio_Efeito!BA10)/Apoio_Efeito!$R$10</f>
        <v>#DIV/0!</v>
      </c>
      <c r="Q110" s="343" t="e">
        <f>(Apoio_Efeito!BA11)/Apoio_Efeito!$R$11</f>
        <v>#DIV/0!</v>
      </c>
      <c r="R110" s="343" t="e">
        <f>(Apoio_Efeito!BA12)/Apoio_Efeito!$R12</f>
        <v>#DIV/0!</v>
      </c>
      <c r="S110" s="343" t="e">
        <f>(Apoio_Efeito!BA13)/Apoio_Efeito!$R$13</f>
        <v>#DIV/0!</v>
      </c>
      <c r="T110" s="343" t="e">
        <f>(Apoio_Efeito!BA14)/Apoio_Efeito!$R$14</f>
        <v>#DIV/0!</v>
      </c>
      <c r="U110" s="343" t="e">
        <f>(Apoio_Efeito!BA15)/Apoio_Efeito!$R$15</f>
        <v>#DIV/0!</v>
      </c>
      <c r="V110" s="343" t="e">
        <f>(Apoio_Efeito!BA16)/Apoio_Efeito!$R$16</f>
        <v>#DIV/0!</v>
      </c>
      <c r="W110" s="343" t="e">
        <f>(Apoio_Efeito!BA17)/Apoio_Efeito!$R$17</f>
        <v>#DIV/0!</v>
      </c>
      <c r="X110" s="350" t="e">
        <f>(Apoio_Efeito!BA18)/Apoio_Efeito!$R$18</f>
        <v>#DIV/0!</v>
      </c>
      <c r="Y110" s="350" t="e">
        <f>(Apoio_Efeito!BA19)/Apoio_Efeito!$R$19</f>
        <v>#DIV/0!</v>
      </c>
      <c r="Z110" s="350" t="e">
        <f>(Apoio_Efeito!BA20)/Apoio_Efeito!$R$20</f>
        <v>#DIV/0!</v>
      </c>
      <c r="AA110" s="350" t="e">
        <f>(Apoio_Efeito!BA21)/Apoio_Efeito!$R$21</f>
        <v>#DIV/0!</v>
      </c>
      <c r="AB110" s="350" t="e">
        <f>(Apoio_Efeito!BA22)/Apoio_Efeito!$R$22</f>
        <v>#DIV/0!</v>
      </c>
      <c r="AC110" s="350" t="e">
        <f>(Apoio_Efeito!BA23)/Apoio_Efeito!$R$23</f>
        <v>#DIV/0!</v>
      </c>
      <c r="AD110" s="350" t="e">
        <f>(Apoio_Efeito!BA24)/Apoio_Efeito!$R$24</f>
        <v>#DIV/0!</v>
      </c>
      <c r="AE110" s="350" t="e">
        <f>(Apoio_Efeito!BA25)/Apoio_Efeito!$R$25</f>
        <v>#DIV/0!</v>
      </c>
      <c r="AF110" s="350" t="e">
        <f>(Apoio_Efeito!BA26)/Apoio_Efeito!$R$26</f>
        <v>#DIV/0!</v>
      </c>
      <c r="AG110" s="350" t="e">
        <f>(Apoio_Efeito!BA27)/Apoio_Efeito!$R$27</f>
        <v>#DIV/0!</v>
      </c>
      <c r="AH110" s="350" t="e">
        <f>(Apoio_Efeito!BA28)/Apoio_Efeito!$R$28</f>
        <v>#DIV/0!</v>
      </c>
      <c r="AI110" s="350" t="e">
        <f>(Apoio_Efeito!BA29)/Apoio_Efeito!$R$29</f>
        <v>#DIV/0!</v>
      </c>
      <c r="AJ110" s="350" t="e">
        <f>(Apoio_Efeito!BA30)/Apoio_Efeito!$R$30</f>
        <v>#DIV/0!</v>
      </c>
      <c r="AK110" s="350" t="e">
        <f>(Apoio_Efeito!BA55)/Apoio_Efeito!$R$55</f>
        <v>#DIV/0!</v>
      </c>
      <c r="AL110" s="350" t="e">
        <f>(Apoio_Efeito!BA31)/Apoio_Efeito!$R$31</f>
        <v>#DIV/0!</v>
      </c>
      <c r="AM110" s="350" t="e">
        <f>(Apoio_Efeito!BA32)/Apoio_Efeito!$R$32</f>
        <v>#DIV/0!</v>
      </c>
      <c r="AN110" s="350" t="e">
        <f>(Apoio_Efeito!BA33)/Apoio_Efeito!$R$33</f>
        <v>#DIV/0!</v>
      </c>
      <c r="AO110" s="350" t="e">
        <f>(Apoio_Efeito!BA34)/Apoio_Efeito!$R$34</f>
        <v>#DIV/0!</v>
      </c>
      <c r="AP110" s="350" t="e">
        <f>(Apoio_Efeito!BA35)/Apoio_Efeito!$R$35</f>
        <v>#DIV/0!</v>
      </c>
      <c r="AQ110" s="350" t="e">
        <f>(Apoio_Efeito!BA36)/Apoio_Efeito!$R$36</f>
        <v>#DIV/0!</v>
      </c>
      <c r="AR110" s="350" t="e">
        <f>(Apoio_Efeito!BA37)/Apoio_Efeito!$R$37</f>
        <v>#DIV/0!</v>
      </c>
      <c r="AS110" s="350" t="e">
        <f>(Apoio_Efeito!BA38)/Apoio_Efeito!$R$38</f>
        <v>#DIV/0!</v>
      </c>
      <c r="AT110" s="350" t="e">
        <f>(Apoio_Efeito!BA39)/Apoio_Efeito!$R$39</f>
        <v>#DIV/0!</v>
      </c>
      <c r="AU110" s="343" t="e">
        <f>(Apoio_Efeito!BA40)/Apoio_Efeito!$R$40</f>
        <v>#DIV/0!</v>
      </c>
      <c r="AV110" s="343" t="e">
        <f>(Apoio_Efeito!BA41)/Apoio_Efeito!$R$41</f>
        <v>#DIV/0!</v>
      </c>
      <c r="AW110" s="343" t="e">
        <f>(Apoio_Efeito!BA42)/Apoio_Efeito!$R$42</f>
        <v>#DIV/0!</v>
      </c>
      <c r="AX110" s="343" t="e">
        <f>(Apoio_Efeito!BA43)/Apoio_Efeito!$R$43</f>
        <v>#DIV/0!</v>
      </c>
      <c r="AY110" s="345" t="e">
        <f>(Apoio_Efeito!BA44)/Apoio_Efeito!$R$44</f>
        <v>#DIV/0!</v>
      </c>
      <c r="AZ110" s="345" t="e">
        <f>(Apoio_Efeito!BA45)/Apoio_Efeito!$R$45</f>
        <v>#DIV/0!</v>
      </c>
      <c r="BA110" s="345" t="e">
        <f>(Apoio_Efeito!BA46)/Apoio_Efeito!$R$46</f>
        <v>#DIV/0!</v>
      </c>
      <c r="BB110" s="345" t="e">
        <f>(Apoio_Efeito!BA47)/Apoio_Efeito!$R$47</f>
        <v>#DIV/0!</v>
      </c>
      <c r="BC110" s="345" t="e">
        <f>(Apoio_Efeito!BA48)/Apoio_Efeito!$R$48</f>
        <v>#DIV/0!</v>
      </c>
      <c r="BD110" s="345" t="e">
        <f>(Apoio_Efeito!BA49)/Apoio_Efeito!$R$49</f>
        <v>#DIV/0!</v>
      </c>
      <c r="BE110" s="345" t="e">
        <f>(Apoio_Efeito!BA50)/Apoio_Efeito!$R$50</f>
        <v>#DIV/0!</v>
      </c>
      <c r="BF110" s="345" t="e">
        <f>(Apoio_Efeito!BA51)/Apoio_Efeito!$R$51</f>
        <v>#DIV/0!</v>
      </c>
      <c r="BG110" s="342">
        <f>(Apoio_Efeito!BA52)/Apoio_Efeito!$R$52</f>
        <v>0</v>
      </c>
      <c r="BH110" s="342">
        <f>(Apoio_Efeito!BA53)/Apoio_Efeito!$R$53</f>
        <v>0</v>
      </c>
      <c r="BI110" s="100"/>
      <c r="BJ110" s="277">
        <f t="shared" si="11"/>
        <v>1</v>
      </c>
      <c r="BK110" s="164"/>
      <c r="BL110" s="165"/>
      <c r="BN110" s="5"/>
    </row>
    <row r="111" spans="7:66" hidden="1">
      <c r="G111" s="207"/>
      <c r="H111" s="83" t="s">
        <v>331</v>
      </c>
      <c r="I111" s="275" t="e">
        <f>(Apoio_Efeito!BB4)/Apoio_Efeito!$R$4</f>
        <v>#DIV/0!</v>
      </c>
      <c r="J111" s="343" t="e">
        <f>(Apoio_Efeito!BB5)/Apoio_Efeito!$R$5</f>
        <v>#DIV/0!</v>
      </c>
      <c r="K111" s="343" t="e">
        <f>(Apoio_Efeito!BB6)/Apoio_Efeito!$R$6</f>
        <v>#DIV/0!</v>
      </c>
      <c r="L111" s="343">
        <f>(Apoio_Efeito!BB7)/Apoio_Efeito!$R$7</f>
        <v>0</v>
      </c>
      <c r="M111" s="343" t="e">
        <f>(Apoio_Efeito!BB54)/Apoio_Efeito!$R$54</f>
        <v>#DIV/0!</v>
      </c>
      <c r="N111" s="343" t="e">
        <f>(Apoio_Efeito!BB8)/Apoio_Efeito!$R$8</f>
        <v>#DIV/0!</v>
      </c>
      <c r="O111" s="343" t="e">
        <f>(Apoio_Efeito!BB9)/Apoio_Efeito!$R$9</f>
        <v>#DIV/0!</v>
      </c>
      <c r="P111" s="345" t="e">
        <f>(Apoio_Efeito!BB10)/Apoio_Efeito!$R$10</f>
        <v>#DIV/0!</v>
      </c>
      <c r="Q111" s="343" t="e">
        <f>(Apoio_Efeito!BB11)/Apoio_Efeito!$R$11</f>
        <v>#DIV/0!</v>
      </c>
      <c r="R111" s="343" t="e">
        <f>(Apoio_Efeito!BB12)/Apoio_Efeito!$R12</f>
        <v>#DIV/0!</v>
      </c>
      <c r="S111" s="343" t="e">
        <f>(Apoio_Efeito!BB13)/Apoio_Efeito!$R$13</f>
        <v>#DIV/0!</v>
      </c>
      <c r="T111" s="343" t="e">
        <f>(Apoio_Efeito!BB14)/Apoio_Efeito!$R$14</f>
        <v>#DIV/0!</v>
      </c>
      <c r="U111" s="343" t="e">
        <f>(Apoio_Efeito!BB15)/Apoio_Efeito!$R$15</f>
        <v>#DIV/0!</v>
      </c>
      <c r="V111" s="343" t="e">
        <f>(Apoio_Efeito!BB16)/Apoio_Efeito!$R$16</f>
        <v>#DIV/0!</v>
      </c>
      <c r="W111" s="343" t="e">
        <f>(Apoio_Efeito!BB17)/Apoio_Efeito!$R$17</f>
        <v>#DIV/0!</v>
      </c>
      <c r="X111" s="350" t="e">
        <f>(Apoio_Efeito!BB18)/Apoio_Efeito!$R$18</f>
        <v>#DIV/0!</v>
      </c>
      <c r="Y111" s="350" t="e">
        <f>(Apoio_Efeito!BB19)/Apoio_Efeito!$R$19</f>
        <v>#DIV/0!</v>
      </c>
      <c r="Z111" s="350" t="e">
        <f>(Apoio_Efeito!BB20)/Apoio_Efeito!$R$20</f>
        <v>#DIV/0!</v>
      </c>
      <c r="AA111" s="350" t="e">
        <f>(Apoio_Efeito!BB21)/Apoio_Efeito!$R$21</f>
        <v>#DIV/0!</v>
      </c>
      <c r="AB111" s="350" t="e">
        <f>(Apoio_Efeito!BB22)/Apoio_Efeito!$R$22</f>
        <v>#DIV/0!</v>
      </c>
      <c r="AC111" s="350" t="e">
        <f>(Apoio_Efeito!BB23)/Apoio_Efeito!$R$23</f>
        <v>#DIV/0!</v>
      </c>
      <c r="AD111" s="350" t="e">
        <f>(Apoio_Efeito!BB24)/Apoio_Efeito!$R$24</f>
        <v>#DIV/0!</v>
      </c>
      <c r="AE111" s="350" t="e">
        <f>(Apoio_Efeito!BB25)/Apoio_Efeito!$R$25</f>
        <v>#DIV/0!</v>
      </c>
      <c r="AF111" s="350" t="e">
        <f>(Apoio_Efeito!BB26)/Apoio_Efeito!$R$26</f>
        <v>#DIV/0!</v>
      </c>
      <c r="AG111" s="350" t="e">
        <f>(Apoio_Efeito!BB27)/Apoio_Efeito!$R$27</f>
        <v>#DIV/0!</v>
      </c>
      <c r="AH111" s="350" t="e">
        <f>(Apoio_Efeito!BB28)/Apoio_Efeito!$R$28</f>
        <v>#DIV/0!</v>
      </c>
      <c r="AI111" s="350" t="e">
        <f>(Apoio_Efeito!BB29)/Apoio_Efeito!$R$29</f>
        <v>#DIV/0!</v>
      </c>
      <c r="AJ111" s="350" t="e">
        <f>(Apoio_Efeito!BB30)/Apoio_Efeito!$R$30</f>
        <v>#DIV/0!</v>
      </c>
      <c r="AK111" s="350" t="e">
        <f>(Apoio_Efeito!BB55)/Apoio_Efeito!$R$55</f>
        <v>#DIV/0!</v>
      </c>
      <c r="AL111" s="350" t="e">
        <f>(Apoio_Efeito!BB31)/Apoio_Efeito!$R$31</f>
        <v>#DIV/0!</v>
      </c>
      <c r="AM111" s="350" t="e">
        <f>(Apoio_Efeito!BB32)/Apoio_Efeito!$R$32</f>
        <v>#DIV/0!</v>
      </c>
      <c r="AN111" s="350" t="e">
        <f>(Apoio_Efeito!BB33)/Apoio_Efeito!$R$33</f>
        <v>#DIV/0!</v>
      </c>
      <c r="AO111" s="350" t="e">
        <f>(Apoio_Efeito!BB34)/Apoio_Efeito!$R$34</f>
        <v>#DIV/0!</v>
      </c>
      <c r="AP111" s="350" t="e">
        <f>(Apoio_Efeito!BB35)/Apoio_Efeito!$R$35</f>
        <v>#DIV/0!</v>
      </c>
      <c r="AQ111" s="350" t="e">
        <f>(Apoio_Efeito!BB36)/Apoio_Efeito!$R$36</f>
        <v>#DIV/0!</v>
      </c>
      <c r="AR111" s="350" t="e">
        <f>(Apoio_Efeito!BB37)/Apoio_Efeito!$R$37</f>
        <v>#DIV/0!</v>
      </c>
      <c r="AS111" s="350" t="e">
        <f>(Apoio_Efeito!BB38)/Apoio_Efeito!$R$38</f>
        <v>#DIV/0!</v>
      </c>
      <c r="AT111" s="350" t="e">
        <f>(Apoio_Efeito!BB39)/Apoio_Efeito!$R$39</f>
        <v>#DIV/0!</v>
      </c>
      <c r="AU111" s="343" t="e">
        <f>(Apoio_Efeito!BB40)/Apoio_Efeito!$R$40</f>
        <v>#DIV/0!</v>
      </c>
      <c r="AV111" s="343" t="e">
        <f>(Apoio_Efeito!BB41)/Apoio_Efeito!$R$41</f>
        <v>#DIV/0!</v>
      </c>
      <c r="AW111" s="343" t="e">
        <f>(Apoio_Efeito!BB42)/Apoio_Efeito!$R$42</f>
        <v>#DIV/0!</v>
      </c>
      <c r="AX111" s="343" t="e">
        <f>(Apoio_Efeito!BB43)/Apoio_Efeito!$R$43</f>
        <v>#DIV/0!</v>
      </c>
      <c r="AY111" s="345" t="e">
        <f>(Apoio_Efeito!BB44)/Apoio_Efeito!$R$44</f>
        <v>#DIV/0!</v>
      </c>
      <c r="AZ111" s="345" t="e">
        <f>(Apoio_Efeito!BB45)/Apoio_Efeito!$R$45</f>
        <v>#DIV/0!</v>
      </c>
      <c r="BA111" s="345" t="e">
        <f>(Apoio_Efeito!BB46)/Apoio_Efeito!$R$46</f>
        <v>#DIV/0!</v>
      </c>
      <c r="BB111" s="345" t="e">
        <f>(Apoio_Efeito!BB47)/Apoio_Efeito!$R$47</f>
        <v>#DIV/0!</v>
      </c>
      <c r="BC111" s="345" t="e">
        <f>(Apoio_Efeito!BB48)/Apoio_Efeito!$R$48</f>
        <v>#DIV/0!</v>
      </c>
      <c r="BD111" s="345" t="e">
        <f>(Apoio_Efeito!BB49)/Apoio_Efeito!$R$49</f>
        <v>#DIV/0!</v>
      </c>
      <c r="BE111" s="345" t="e">
        <f>(Apoio_Efeito!BB50)/Apoio_Efeito!$R$50</f>
        <v>#DIV/0!</v>
      </c>
      <c r="BF111" s="345" t="e">
        <f>(Apoio_Efeito!BB51)/Apoio_Efeito!$R$51</f>
        <v>#DIV/0!</v>
      </c>
      <c r="BG111" s="342">
        <f>(Apoio_Efeito!BB52)/Apoio_Efeito!$R$52</f>
        <v>0</v>
      </c>
      <c r="BH111" s="342">
        <f>(Apoio_Efeito!BB53)/Apoio_Efeito!$R$53</f>
        <v>0</v>
      </c>
      <c r="BI111" s="100"/>
      <c r="BJ111" s="277">
        <f t="shared" si="11"/>
        <v>0</v>
      </c>
      <c r="BK111" s="164"/>
      <c r="BL111" s="165"/>
      <c r="BN111" s="5"/>
    </row>
    <row r="112" spans="7:66">
      <c r="G112" s="207"/>
      <c r="H112" s="83" t="s">
        <v>364</v>
      </c>
      <c r="I112" s="84" t="e">
        <f>(Apoio_Efeito!BC4)/Apoio_Efeito!$R$4</f>
        <v>#DIV/0!</v>
      </c>
      <c r="J112" s="343" t="e">
        <f>(Apoio_Efeito!BC5)/Apoio_Efeito!$R$5</f>
        <v>#DIV/0!</v>
      </c>
      <c r="K112" s="343" t="e">
        <f>(Apoio_Efeito!BC6)/Apoio_Efeito!$R$6</f>
        <v>#DIV/0!</v>
      </c>
      <c r="L112" s="343">
        <f>(Apoio_Efeito!BC7)/Apoio_Efeito!$R$7</f>
        <v>-2.6573229983886883E-3</v>
      </c>
      <c r="M112" s="343" t="e">
        <f>(Apoio_Efeito!BC54)/Apoio_Efeito!$R$54</f>
        <v>#DIV/0!</v>
      </c>
      <c r="N112" s="343" t="e">
        <f>(Apoio_Efeito!BC8)/Apoio_Efeito!$R$8</f>
        <v>#DIV/0!</v>
      </c>
      <c r="O112" s="343" t="e">
        <f>(Apoio_Efeito!BC9)/Apoio_Efeito!$R$9</f>
        <v>#DIV/0!</v>
      </c>
      <c r="P112" s="345" t="e">
        <f>(Apoio_Efeito!BC10)/Apoio_Efeito!$R$10</f>
        <v>#DIV/0!</v>
      </c>
      <c r="Q112" s="343" t="e">
        <f>(Apoio_Efeito!BC11)/Apoio_Efeito!$R$11</f>
        <v>#DIV/0!</v>
      </c>
      <c r="R112" s="343" t="e">
        <f>(Apoio_Efeito!BC12)/Apoio_Efeito!$R12</f>
        <v>#DIV/0!</v>
      </c>
      <c r="S112" s="343" t="e">
        <f>(Apoio_Efeito!BC13)/Apoio_Efeito!$R$13</f>
        <v>#DIV/0!</v>
      </c>
      <c r="T112" s="343" t="e">
        <f>(Apoio_Efeito!BC14)/Apoio_Efeito!$R$14</f>
        <v>#DIV/0!</v>
      </c>
      <c r="U112" s="343" t="e">
        <f>(Apoio_Efeito!BC15)/Apoio_Efeito!$R$15</f>
        <v>#DIV/0!</v>
      </c>
      <c r="V112" s="343" t="e">
        <f>(Apoio_Efeito!BC16)/Apoio_Efeito!$R$16</f>
        <v>#DIV/0!</v>
      </c>
      <c r="W112" s="343" t="e">
        <f>(Apoio_Efeito!BC17)/Apoio_Efeito!$R$17</f>
        <v>#DIV/0!</v>
      </c>
      <c r="X112" s="350" t="e">
        <f>(Apoio_Efeito!BC18)/Apoio_Efeito!$R$18</f>
        <v>#DIV/0!</v>
      </c>
      <c r="Y112" s="350" t="e">
        <f>(Apoio_Efeito!BC19)/Apoio_Efeito!$R$19</f>
        <v>#DIV/0!</v>
      </c>
      <c r="Z112" s="350" t="e">
        <f>(Apoio_Efeito!BC20)/Apoio_Efeito!$R$20</f>
        <v>#DIV/0!</v>
      </c>
      <c r="AA112" s="350" t="e">
        <f>(Apoio_Efeito!BC21)/Apoio_Efeito!$R$21</f>
        <v>#DIV/0!</v>
      </c>
      <c r="AB112" s="350" t="e">
        <f>(Apoio_Efeito!BC22)/Apoio_Efeito!$R$22</f>
        <v>#DIV/0!</v>
      </c>
      <c r="AC112" s="350" t="e">
        <f>(Apoio_Efeito!BC23)/Apoio_Efeito!$R$23</f>
        <v>#DIV/0!</v>
      </c>
      <c r="AD112" s="350" t="e">
        <f>(Apoio_Efeito!BC24)/Apoio_Efeito!$R$24</f>
        <v>#DIV/0!</v>
      </c>
      <c r="AE112" s="350" t="e">
        <f>(Apoio_Efeito!BC25)/Apoio_Efeito!$R$25</f>
        <v>#DIV/0!</v>
      </c>
      <c r="AF112" s="350" t="e">
        <f>(Apoio_Efeito!BC26)/Apoio_Efeito!$R$26</f>
        <v>#DIV/0!</v>
      </c>
      <c r="AG112" s="350" t="e">
        <f>(Apoio_Efeito!BC27)/Apoio_Efeito!$R$27</f>
        <v>#DIV/0!</v>
      </c>
      <c r="AH112" s="350" t="e">
        <f>(Apoio_Efeito!BC28)/Apoio_Efeito!$R$28</f>
        <v>#DIV/0!</v>
      </c>
      <c r="AI112" s="350" t="e">
        <f>(Apoio_Efeito!BC29)/Apoio_Efeito!$R$29</f>
        <v>#DIV/0!</v>
      </c>
      <c r="AJ112" s="350" t="e">
        <f>(Apoio_Efeito!BC30)/Apoio_Efeito!$R$30</f>
        <v>#DIV/0!</v>
      </c>
      <c r="AK112" s="350" t="e">
        <f>(Apoio_Efeito!BC55)/Apoio_Efeito!$R$55</f>
        <v>#DIV/0!</v>
      </c>
      <c r="AL112" s="350" t="e">
        <f>(Apoio_Efeito!BC31)/Apoio_Efeito!$R$31</f>
        <v>#DIV/0!</v>
      </c>
      <c r="AM112" s="350" t="e">
        <f>(Apoio_Efeito!BC32)/Apoio_Efeito!$R$32</f>
        <v>#DIV/0!</v>
      </c>
      <c r="AN112" s="350" t="e">
        <f>(Apoio_Efeito!BC33)/Apoio_Efeito!$R$33</f>
        <v>#DIV/0!</v>
      </c>
      <c r="AO112" s="350" t="e">
        <f>(Apoio_Efeito!BC34)/Apoio_Efeito!$R$34</f>
        <v>#DIV/0!</v>
      </c>
      <c r="AP112" s="350" t="e">
        <f>(Apoio_Efeito!BC35)/Apoio_Efeito!$R$35</f>
        <v>#DIV/0!</v>
      </c>
      <c r="AQ112" s="350" t="e">
        <f>(Apoio_Efeito!BC36)/Apoio_Efeito!$R$36</f>
        <v>#DIV/0!</v>
      </c>
      <c r="AR112" s="350" t="e">
        <f>(Apoio_Efeito!BC37)/Apoio_Efeito!$R$37</f>
        <v>#DIV/0!</v>
      </c>
      <c r="AS112" s="350" t="e">
        <f>(Apoio_Efeito!BC38)/Apoio_Efeito!$R$38</f>
        <v>#DIV/0!</v>
      </c>
      <c r="AT112" s="350" t="e">
        <f>(Apoio_Efeito!BC39)/Apoio_Efeito!$R$39</f>
        <v>#DIV/0!</v>
      </c>
      <c r="AU112" s="343" t="e">
        <f>(Apoio_Efeito!BC40)/Apoio_Efeito!$R$40</f>
        <v>#DIV/0!</v>
      </c>
      <c r="AV112" s="343" t="e">
        <f>(Apoio_Efeito!BC41)/Apoio_Efeito!$R$41</f>
        <v>#DIV/0!</v>
      </c>
      <c r="AW112" s="343" t="e">
        <f>(Apoio_Efeito!BC42)/Apoio_Efeito!$R$42</f>
        <v>#DIV/0!</v>
      </c>
      <c r="AX112" s="343" t="e">
        <f>(Apoio_Efeito!BC43)/Apoio_Efeito!$R$43</f>
        <v>#DIV/0!</v>
      </c>
      <c r="AY112" s="345" t="e">
        <f>(Apoio_Efeito!BC44)/Apoio_Efeito!$R$44</f>
        <v>#DIV/0!</v>
      </c>
      <c r="AZ112" s="345" t="e">
        <f>(Apoio_Efeito!BC45)/Apoio_Efeito!$R$45</f>
        <v>#DIV/0!</v>
      </c>
      <c r="BA112" s="345" t="e">
        <f>(Apoio_Efeito!BC46)/Apoio_Efeito!$R$46</f>
        <v>#DIV/0!</v>
      </c>
      <c r="BB112" s="345" t="e">
        <f>(Apoio_Efeito!BC47)/Apoio_Efeito!$R$47</f>
        <v>#DIV/0!</v>
      </c>
      <c r="BC112" s="345" t="e">
        <f>(Apoio_Efeito!BC48)/Apoio_Efeito!$R$48</f>
        <v>#DIV/0!</v>
      </c>
      <c r="BD112" s="345" t="e">
        <f>(Apoio_Efeito!BC49)/Apoio_Efeito!$R$49</f>
        <v>#DIV/0!</v>
      </c>
      <c r="BE112" s="345" t="e">
        <f>(Apoio_Efeito!BC50)/Apoio_Efeito!$R$50</f>
        <v>#DIV/0!</v>
      </c>
      <c r="BF112" s="345" t="e">
        <f>(Apoio_Efeito!BC51)/Apoio_Efeito!$R$51</f>
        <v>#DIV/0!</v>
      </c>
      <c r="BG112" s="342">
        <f>(Apoio_Efeito!BC52)/Apoio_Efeito!$R$52</f>
        <v>0</v>
      </c>
      <c r="BH112" s="342">
        <f>(Apoio_Efeito!BC53)/Apoio_Efeito!$R$53</f>
        <v>0</v>
      </c>
      <c r="BI112" s="100"/>
      <c r="BJ112" s="277">
        <f t="shared" si="11"/>
        <v>1</v>
      </c>
      <c r="BK112" s="241"/>
      <c r="BL112" s="242"/>
      <c r="BN112" s="5"/>
    </row>
    <row r="113" spans="6:66" hidden="1">
      <c r="G113" s="207"/>
      <c r="H113" s="83" t="s">
        <v>488</v>
      </c>
      <c r="I113" s="84" t="e">
        <f>(Apoio_Efeito!$BD4)/Apoio_Efeito!$R4</f>
        <v>#DIV/0!</v>
      </c>
      <c r="J113" s="343" t="e">
        <f>(Apoio_Efeito!$BD5)/Apoio_Efeito!$R5</f>
        <v>#DIV/0!</v>
      </c>
      <c r="K113" s="343" t="e">
        <f>(Apoio_Efeito!$BD6)/Apoio_Efeito!$R6</f>
        <v>#DIV/0!</v>
      </c>
      <c r="L113" s="343">
        <f>(Apoio_Efeito!$BD7)/Apoio_Efeito!$R7</f>
        <v>0</v>
      </c>
      <c r="M113" s="343" t="e">
        <f>(Apoio_Efeito!$BD54)/Apoio_Efeito!$R54</f>
        <v>#DIV/0!</v>
      </c>
      <c r="N113" s="343" t="e">
        <f>(Apoio_Efeito!$BD8)/Apoio_Efeito!$R8</f>
        <v>#DIV/0!</v>
      </c>
      <c r="O113" s="343" t="e">
        <f>(Apoio_Efeito!$BD9)/Apoio_Efeito!$R9</f>
        <v>#DIV/0!</v>
      </c>
      <c r="P113" s="345" t="e">
        <f>(Apoio_Efeito!$BD10)/Apoio_Efeito!$R10</f>
        <v>#DIV/0!</v>
      </c>
      <c r="Q113" s="343" t="e">
        <f>(Apoio_Efeito!$BD11)/Apoio_Efeito!$R11</f>
        <v>#DIV/0!</v>
      </c>
      <c r="R113" s="343" t="e">
        <f>(Apoio_Efeito!$BD12)/Apoio_Efeito!$R12</f>
        <v>#DIV/0!</v>
      </c>
      <c r="S113" s="343" t="e">
        <f>(Apoio_Efeito!$BD13)/Apoio_Efeito!$R13</f>
        <v>#DIV/0!</v>
      </c>
      <c r="T113" s="343" t="e">
        <f>(Apoio_Efeito!$BD14)/Apoio_Efeito!$R14</f>
        <v>#DIV/0!</v>
      </c>
      <c r="U113" s="343" t="e">
        <f>(Apoio_Efeito!$BD15)/Apoio_Efeito!$R15</f>
        <v>#DIV/0!</v>
      </c>
      <c r="V113" s="343" t="e">
        <f>(Apoio_Efeito!$BD16)/Apoio_Efeito!$R16</f>
        <v>#DIV/0!</v>
      </c>
      <c r="W113" s="343" t="e">
        <f>(Apoio_Efeito!$BD17)/Apoio_Efeito!$R17</f>
        <v>#DIV/0!</v>
      </c>
      <c r="X113" s="350" t="e">
        <f>(Apoio_Efeito!$BD18)/Apoio_Efeito!$R18</f>
        <v>#DIV/0!</v>
      </c>
      <c r="Y113" s="350" t="e">
        <f>(Apoio_Efeito!$BD19)/Apoio_Efeito!$R19</f>
        <v>#DIV/0!</v>
      </c>
      <c r="Z113" s="350" t="e">
        <f>(Apoio_Efeito!$BD20)/Apoio_Efeito!$R20</f>
        <v>#DIV/0!</v>
      </c>
      <c r="AA113" s="350" t="e">
        <f>(Apoio_Efeito!$BD21)/Apoio_Efeito!$R21</f>
        <v>#DIV/0!</v>
      </c>
      <c r="AB113" s="350" t="e">
        <f>(Apoio_Efeito!$BD22)/Apoio_Efeito!$R22</f>
        <v>#DIV/0!</v>
      </c>
      <c r="AC113" s="350" t="e">
        <f>(Apoio_Efeito!$BD23)/Apoio_Efeito!$R23</f>
        <v>#DIV/0!</v>
      </c>
      <c r="AD113" s="350" t="e">
        <f>(Apoio_Efeito!$BD24)/Apoio_Efeito!$R24</f>
        <v>#DIV/0!</v>
      </c>
      <c r="AE113" s="350" t="e">
        <f>(Apoio_Efeito!$BD25)/Apoio_Efeito!$R25</f>
        <v>#DIV/0!</v>
      </c>
      <c r="AF113" s="350" t="e">
        <f>(Apoio_Efeito!$BD26)/Apoio_Efeito!$R26</f>
        <v>#DIV/0!</v>
      </c>
      <c r="AG113" s="350" t="e">
        <f>(Apoio_Efeito!$BD27)/Apoio_Efeito!$R27</f>
        <v>#DIV/0!</v>
      </c>
      <c r="AH113" s="350" t="e">
        <f>(Apoio_Efeito!$BD28)/Apoio_Efeito!$R28</f>
        <v>#DIV/0!</v>
      </c>
      <c r="AI113" s="350" t="e">
        <f>(Apoio_Efeito!$BD29)/Apoio_Efeito!$R29</f>
        <v>#DIV/0!</v>
      </c>
      <c r="AJ113" s="350" t="e">
        <f>(Apoio_Efeito!$BD30)/Apoio_Efeito!$R30</f>
        <v>#DIV/0!</v>
      </c>
      <c r="AK113" s="350" t="e">
        <f>(Apoio_Efeito!$BD55)/Apoio_Efeito!$R55</f>
        <v>#DIV/0!</v>
      </c>
      <c r="AL113" s="350" t="e">
        <f>(Apoio_Efeito!$BD31)/Apoio_Efeito!$R31</f>
        <v>#DIV/0!</v>
      </c>
      <c r="AM113" s="350" t="e">
        <f>(Apoio_Efeito!$BD32)/Apoio_Efeito!$R32</f>
        <v>#DIV/0!</v>
      </c>
      <c r="AN113" s="350" t="e">
        <f>(Apoio_Efeito!$BD33)/Apoio_Efeito!$R33</f>
        <v>#DIV/0!</v>
      </c>
      <c r="AO113" s="350" t="e">
        <f>(Apoio_Efeito!$BD34)/Apoio_Efeito!$R34</f>
        <v>#DIV/0!</v>
      </c>
      <c r="AP113" s="350" t="e">
        <f>(Apoio_Efeito!$BD35)/Apoio_Efeito!$R35</f>
        <v>#DIV/0!</v>
      </c>
      <c r="AQ113" s="350" t="e">
        <f>(Apoio_Efeito!$BD36)/Apoio_Efeito!$R36</f>
        <v>#DIV/0!</v>
      </c>
      <c r="AR113" s="350" t="e">
        <f>(Apoio_Efeito!$BD37)/Apoio_Efeito!$R37</f>
        <v>#DIV/0!</v>
      </c>
      <c r="AS113" s="350" t="e">
        <f>(Apoio_Efeito!$BD38)/Apoio_Efeito!$R38</f>
        <v>#DIV/0!</v>
      </c>
      <c r="AT113" s="350" t="e">
        <f>(Apoio_Efeito!$BD39)/Apoio_Efeito!$R39</f>
        <v>#DIV/0!</v>
      </c>
      <c r="AU113" s="343" t="e">
        <f>(Apoio_Efeito!$BD40)/Apoio_Efeito!$R40</f>
        <v>#DIV/0!</v>
      </c>
      <c r="AV113" s="343" t="e">
        <f>(Apoio_Efeito!$BD41)/Apoio_Efeito!$R41</f>
        <v>#DIV/0!</v>
      </c>
      <c r="AW113" s="343" t="e">
        <f>(Apoio_Efeito!$BD42)/Apoio_Efeito!$R42</f>
        <v>#DIV/0!</v>
      </c>
      <c r="AX113" s="343" t="e">
        <f>(Apoio_Efeito!$BD43)/Apoio_Efeito!$R43</f>
        <v>#DIV/0!</v>
      </c>
      <c r="AY113" s="343" t="e">
        <f>(Apoio_Efeito!$BD44)/Apoio_Efeito!$R44</f>
        <v>#DIV/0!</v>
      </c>
      <c r="AZ113" s="343" t="e">
        <f>(Apoio_Efeito!$BD45)/Apoio_Efeito!$R45</f>
        <v>#DIV/0!</v>
      </c>
      <c r="BA113" s="345" t="e">
        <f>(Apoio_Efeito!$BD46)/Apoio_Efeito!$R46</f>
        <v>#DIV/0!</v>
      </c>
      <c r="BB113" s="343" t="e">
        <f>(Apoio_Efeito!$BD47)/Apoio_Efeito!$R47</f>
        <v>#DIV/0!</v>
      </c>
      <c r="BC113" s="343" t="e">
        <f>(Apoio_Efeito!$BD48)/Apoio_Efeito!$R48</f>
        <v>#DIV/0!</v>
      </c>
      <c r="BD113" s="343" t="e">
        <f>(Apoio_Efeito!$BD49)/Apoio_Efeito!$R49</f>
        <v>#DIV/0!</v>
      </c>
      <c r="BE113" s="343" t="e">
        <f>(Apoio_Efeito!$BD50)/Apoio_Efeito!$R50</f>
        <v>#DIV/0!</v>
      </c>
      <c r="BF113" s="343" t="e">
        <f>(Apoio_Efeito!$BD51)/Apoio_Efeito!$R51</f>
        <v>#DIV/0!</v>
      </c>
      <c r="BG113" s="344">
        <f>(Apoio_Efeito!$BD52)/Apoio_Efeito!$R52</f>
        <v>0</v>
      </c>
      <c r="BH113" s="344">
        <f>(Apoio_Efeito!$BD53)/Apoio_Efeito!$R53</f>
        <v>0</v>
      </c>
      <c r="BI113" s="100"/>
      <c r="BJ113" s="277">
        <f t="shared" si="11"/>
        <v>0</v>
      </c>
      <c r="BN113" s="5"/>
    </row>
    <row r="114" spans="6:66" hidden="1">
      <c r="F114" s="206"/>
      <c r="G114" s="207"/>
      <c r="H114" s="83" t="s">
        <v>489</v>
      </c>
      <c r="I114" s="84" t="e">
        <f>(Apoio_Efeito!BE4)/Apoio_Efeito!$R$4</f>
        <v>#DIV/0!</v>
      </c>
      <c r="J114" s="343" t="e">
        <f>(Apoio_Efeito!BE5)/Apoio_Efeito!$R$5</f>
        <v>#DIV/0!</v>
      </c>
      <c r="K114" s="343" t="e">
        <f>(Apoio_Efeito!BE6)/Apoio_Efeito!$R$6</f>
        <v>#DIV/0!</v>
      </c>
      <c r="L114" s="343">
        <f>(Apoio_Efeito!BE7)/Apoio_Efeito!$R$7</f>
        <v>0</v>
      </c>
      <c r="M114" s="343" t="e">
        <f>(Apoio_Efeito!BE54)/Apoio_Efeito!$R$54</f>
        <v>#DIV/0!</v>
      </c>
      <c r="N114" s="343" t="e">
        <f>(Apoio_Efeito!BE8)/Apoio_Efeito!$R$8</f>
        <v>#DIV/0!</v>
      </c>
      <c r="O114" s="343" t="e">
        <f>(Apoio_Efeito!BE9)/Apoio_Efeito!$R$9</f>
        <v>#DIV/0!</v>
      </c>
      <c r="P114" s="345" t="e">
        <f>(Apoio_Efeito!BE10)/Apoio_Efeito!$R$10</f>
        <v>#DIV/0!</v>
      </c>
      <c r="Q114" s="343" t="e">
        <f>(Apoio_Efeito!BE11)/Apoio_Efeito!$R$11</f>
        <v>#DIV/0!</v>
      </c>
      <c r="R114" s="343" t="e">
        <f>(Apoio_Efeito!BE12)/Apoio_Efeito!$R$12</f>
        <v>#DIV/0!</v>
      </c>
      <c r="S114" s="343" t="e">
        <f>(Apoio_Efeito!BE13)/Apoio_Efeito!$R$13</f>
        <v>#DIV/0!</v>
      </c>
      <c r="T114" s="343" t="e">
        <f>(Apoio_Efeito!BE14)/Apoio_Efeito!$R$14</f>
        <v>#DIV/0!</v>
      </c>
      <c r="U114" s="343" t="e">
        <f>(Apoio_Efeito!BE15)/Apoio_Efeito!$R$15</f>
        <v>#DIV/0!</v>
      </c>
      <c r="V114" s="343" t="e">
        <f>(Apoio_Efeito!BE16)/Apoio_Efeito!$R$16</f>
        <v>#DIV/0!</v>
      </c>
      <c r="W114" s="343" t="e">
        <f>(Apoio_Efeito!BE17)/Apoio_Efeito!$R$17</f>
        <v>#DIV/0!</v>
      </c>
      <c r="X114" s="350" t="e">
        <f>(Apoio_Efeito!BE18)/Apoio_Efeito!$R$18</f>
        <v>#DIV/0!</v>
      </c>
      <c r="Y114" s="350" t="e">
        <f>(Apoio_Efeito!BE19)/Apoio_Efeito!$R$19</f>
        <v>#DIV/0!</v>
      </c>
      <c r="Z114" s="350" t="e">
        <f>(Apoio_Efeito!BE20)/Apoio_Efeito!$R$20</f>
        <v>#DIV/0!</v>
      </c>
      <c r="AA114" s="350" t="e">
        <f>(Apoio_Efeito!BE21)/Apoio_Efeito!$R$21</f>
        <v>#DIV/0!</v>
      </c>
      <c r="AB114" s="350" t="e">
        <f>(Apoio_Efeito!BE22)/Apoio_Efeito!$R$22</f>
        <v>#DIV/0!</v>
      </c>
      <c r="AC114" s="350" t="e">
        <f>(Apoio_Efeito!BE23)/Apoio_Efeito!$R$23</f>
        <v>#DIV/0!</v>
      </c>
      <c r="AD114" s="350" t="e">
        <f>(Apoio_Efeito!BE24)/Apoio_Efeito!$R$24</f>
        <v>#DIV/0!</v>
      </c>
      <c r="AE114" s="350" t="e">
        <f>(Apoio_Efeito!BE25)/Apoio_Efeito!$R$25</f>
        <v>#DIV/0!</v>
      </c>
      <c r="AF114" s="350" t="e">
        <f>(Apoio_Efeito!BE26)/Apoio_Efeito!$R$26</f>
        <v>#DIV/0!</v>
      </c>
      <c r="AG114" s="350" t="e">
        <f>(Apoio_Efeito!BE27)/Apoio_Efeito!$R$27</f>
        <v>#DIV/0!</v>
      </c>
      <c r="AH114" s="350" t="e">
        <f>(Apoio_Efeito!BE28)/Apoio_Efeito!$R$28</f>
        <v>#DIV/0!</v>
      </c>
      <c r="AI114" s="350" t="e">
        <f>(Apoio_Efeito!BE29)/Apoio_Efeito!$R$29</f>
        <v>#DIV/0!</v>
      </c>
      <c r="AJ114" s="350" t="e">
        <f>(Apoio_Efeito!BE30)/Apoio_Efeito!$R$30</f>
        <v>#DIV/0!</v>
      </c>
      <c r="AK114" s="350" t="e">
        <f>(Apoio_Efeito!BE55)/Apoio_Efeito!$R$55</f>
        <v>#DIV/0!</v>
      </c>
      <c r="AL114" s="350" t="e">
        <f>(Apoio_Efeito!BE31)/Apoio_Efeito!$R$31</f>
        <v>#DIV/0!</v>
      </c>
      <c r="AM114" s="350" t="e">
        <f>(Apoio_Efeito!BE32)/Apoio_Efeito!$R$32</f>
        <v>#DIV/0!</v>
      </c>
      <c r="AN114" s="350" t="e">
        <f>(Apoio_Efeito!BE33)/Apoio_Efeito!$R$33</f>
        <v>#DIV/0!</v>
      </c>
      <c r="AO114" s="350" t="e">
        <f>(Apoio_Efeito!BE34)/Apoio_Efeito!$R$34</f>
        <v>#DIV/0!</v>
      </c>
      <c r="AP114" s="350" t="e">
        <f>(Apoio_Efeito!BE35)/Apoio_Efeito!$R$35</f>
        <v>#DIV/0!</v>
      </c>
      <c r="AQ114" s="350" t="e">
        <f>(Apoio_Efeito!BE36)/Apoio_Efeito!$R$36</f>
        <v>#DIV/0!</v>
      </c>
      <c r="AR114" s="350" t="e">
        <f>(Apoio_Efeito!BE37)/Apoio_Efeito!$R$37</f>
        <v>#DIV/0!</v>
      </c>
      <c r="AS114" s="350" t="e">
        <f>(Apoio_Efeito!BE38)/Apoio_Efeito!$R$38</f>
        <v>#DIV/0!</v>
      </c>
      <c r="AT114" s="350" t="e">
        <f>(Apoio_Efeito!BE39)/Apoio_Efeito!$R$39</f>
        <v>#DIV/0!</v>
      </c>
      <c r="AU114" s="343" t="e">
        <f>(Apoio_Efeito!BE40)/Apoio_Efeito!$R$40</f>
        <v>#DIV/0!</v>
      </c>
      <c r="AV114" s="343" t="e">
        <f>(Apoio_Efeito!BE41)/Apoio_Efeito!$R$41</f>
        <v>#DIV/0!</v>
      </c>
      <c r="AW114" s="343" t="e">
        <f>(Apoio_Efeito!BE42)/Apoio_Efeito!$R$42</f>
        <v>#DIV/0!</v>
      </c>
      <c r="AX114" s="343" t="e">
        <f>(Apoio_Efeito!BE43)/Apoio_Efeito!$R$43</f>
        <v>#DIV/0!</v>
      </c>
      <c r="AY114" s="343" t="e">
        <f>(Apoio_Efeito!BE44)/Apoio_Efeito!$R$44</f>
        <v>#DIV/0!</v>
      </c>
      <c r="AZ114" s="343" t="e">
        <f>(Apoio_Efeito!BE45)/Apoio_Efeito!$R$45</f>
        <v>#DIV/0!</v>
      </c>
      <c r="BA114" s="345" t="e">
        <f>(Apoio_Efeito!BE46)/Apoio_Efeito!$R$46</f>
        <v>#DIV/0!</v>
      </c>
      <c r="BB114" s="343" t="e">
        <f>(Apoio_Efeito!BE47)/Apoio_Efeito!$R$47</f>
        <v>#DIV/0!</v>
      </c>
      <c r="BC114" s="343" t="e">
        <f>(Apoio_Efeito!BE48)/Apoio_Efeito!$R$48</f>
        <v>#DIV/0!</v>
      </c>
      <c r="BD114" s="343" t="e">
        <f>(Apoio_Efeito!BE49)/Apoio_Efeito!$R$49</f>
        <v>#DIV/0!</v>
      </c>
      <c r="BE114" s="343" t="e">
        <f>(Apoio_Efeito!BE50)/Apoio_Efeito!$R$50</f>
        <v>#DIV/0!</v>
      </c>
      <c r="BF114" s="343" t="e">
        <f>(Apoio_Efeito!BE51)/Apoio_Efeito!$R$51</f>
        <v>#DIV/0!</v>
      </c>
      <c r="BG114" s="344">
        <f>(Apoio_Efeito!BE52)/Apoio_Efeito!$R$52</f>
        <v>0</v>
      </c>
      <c r="BH114" s="344">
        <f>(Apoio_Efeito!BE53)/Apoio_Efeito!$R$53</f>
        <v>0</v>
      </c>
      <c r="BI114" s="100"/>
      <c r="BJ114" s="277">
        <f t="shared" si="11"/>
        <v>0</v>
      </c>
      <c r="BN114" s="5"/>
    </row>
    <row r="115" spans="6:66" hidden="1">
      <c r="F115" s="206"/>
      <c r="G115" s="207"/>
      <c r="H115" s="83" t="s">
        <v>490</v>
      </c>
      <c r="I115" s="84" t="e">
        <f>(Apoio_Efeito!BF4)/Apoio_Efeito!$R$4</f>
        <v>#DIV/0!</v>
      </c>
      <c r="J115" s="343" t="e">
        <f>(Apoio_Efeito!BF5)/Apoio_Efeito!$R$5</f>
        <v>#DIV/0!</v>
      </c>
      <c r="K115" s="343" t="e">
        <f>(Apoio_Efeito!BF6)/Apoio_Efeito!$R$6</f>
        <v>#DIV/0!</v>
      </c>
      <c r="L115" s="343">
        <f>(Apoio_Efeito!BF7)/Apoio_Efeito!$R$7</f>
        <v>0</v>
      </c>
      <c r="M115" s="343" t="e">
        <f>(Apoio_Efeito!BF54)/Apoio_Efeito!$R$54</f>
        <v>#DIV/0!</v>
      </c>
      <c r="N115" s="343" t="e">
        <f>(Apoio_Efeito!BF8)/Apoio_Efeito!$R$8</f>
        <v>#DIV/0!</v>
      </c>
      <c r="O115" s="343" t="e">
        <f>(Apoio_Efeito!BF9)/Apoio_Efeito!$R$9</f>
        <v>#DIV/0!</v>
      </c>
      <c r="P115" s="343" t="e">
        <f>(Apoio_Efeito!BF10)/Apoio_Efeito!$R$10</f>
        <v>#DIV/0!</v>
      </c>
      <c r="Q115" s="343" t="e">
        <f>(Apoio_Efeito!BF11)/Apoio_Efeito!$R$11</f>
        <v>#DIV/0!</v>
      </c>
      <c r="R115" s="343" t="e">
        <f>(Apoio_Efeito!BF12)/Apoio_Efeito!$R$12</f>
        <v>#DIV/0!</v>
      </c>
      <c r="S115" s="343" t="e">
        <f>(Apoio_Efeito!BF13)/Apoio_Efeito!$R$13</f>
        <v>#DIV/0!</v>
      </c>
      <c r="T115" s="343" t="e">
        <f>(Apoio_Efeito!BF14)/Apoio_Efeito!$R$14</f>
        <v>#DIV/0!</v>
      </c>
      <c r="U115" s="343" t="e">
        <f>(Apoio_Efeito!BF15)/Apoio_Efeito!$R$15</f>
        <v>#DIV/0!</v>
      </c>
      <c r="V115" s="343" t="e">
        <f>(Apoio_Efeito!BF16)/Apoio_Efeito!$R$16</f>
        <v>#DIV/0!</v>
      </c>
      <c r="W115" s="343" t="e">
        <f>(Apoio_Efeito!BF17)/Apoio_Efeito!$R$17</f>
        <v>#DIV/0!</v>
      </c>
      <c r="X115" s="350" t="e">
        <f>(Apoio_Efeito!BF18)/Apoio_Efeito!$R$18</f>
        <v>#DIV/0!</v>
      </c>
      <c r="Y115" s="350" t="e">
        <f>(Apoio_Efeito!BF19)/Apoio_Efeito!$R$19</f>
        <v>#DIV/0!</v>
      </c>
      <c r="Z115" s="350" t="e">
        <f>(Apoio_Efeito!BF20)/Apoio_Efeito!$R$20</f>
        <v>#DIV/0!</v>
      </c>
      <c r="AA115" s="350" t="e">
        <f>(Apoio_Efeito!BF21)/Apoio_Efeito!$R$21</f>
        <v>#DIV/0!</v>
      </c>
      <c r="AB115" s="350" t="e">
        <f>(Apoio_Efeito!BF22)/Apoio_Efeito!$R$22</f>
        <v>#DIV/0!</v>
      </c>
      <c r="AC115" s="350" t="e">
        <f>(Apoio_Efeito!BF23)/Apoio_Efeito!$R$23</f>
        <v>#DIV/0!</v>
      </c>
      <c r="AD115" s="350" t="e">
        <f>(Apoio_Efeito!BF24)/Apoio_Efeito!$R$24</f>
        <v>#DIV/0!</v>
      </c>
      <c r="AE115" s="350" t="e">
        <f>(Apoio_Efeito!BF25)/Apoio_Efeito!$R$25</f>
        <v>#DIV/0!</v>
      </c>
      <c r="AF115" s="350" t="e">
        <f>(Apoio_Efeito!BF26)/Apoio_Efeito!$R$26</f>
        <v>#DIV/0!</v>
      </c>
      <c r="AG115" s="350" t="e">
        <f>(Apoio_Efeito!BF27)/Apoio_Efeito!$R$27</f>
        <v>#DIV/0!</v>
      </c>
      <c r="AH115" s="350" t="e">
        <f>(Apoio_Efeito!BF28)/Apoio_Efeito!$R$28</f>
        <v>#DIV/0!</v>
      </c>
      <c r="AI115" s="350" t="e">
        <f>(Apoio_Efeito!BF29)/Apoio_Efeito!$R$29</f>
        <v>#DIV/0!</v>
      </c>
      <c r="AJ115" s="350" t="e">
        <f>(Apoio_Efeito!BF30)/Apoio_Efeito!$R$30</f>
        <v>#DIV/0!</v>
      </c>
      <c r="AK115" s="350" t="e">
        <f>(Apoio_Efeito!BF55)/Apoio_Efeito!$R$55</f>
        <v>#DIV/0!</v>
      </c>
      <c r="AL115" s="350" t="e">
        <f>(Apoio_Efeito!BF31)/Apoio_Efeito!$R$31</f>
        <v>#DIV/0!</v>
      </c>
      <c r="AM115" s="350" t="e">
        <f>(Apoio_Efeito!BF32)/Apoio_Efeito!$R$32</f>
        <v>#DIV/0!</v>
      </c>
      <c r="AN115" s="350" t="e">
        <f>(Apoio_Efeito!BF33)/Apoio_Efeito!$R$33</f>
        <v>#DIV/0!</v>
      </c>
      <c r="AO115" s="350" t="e">
        <f>(Apoio_Efeito!BF34)/Apoio_Efeito!$R$34</f>
        <v>#DIV/0!</v>
      </c>
      <c r="AP115" s="350" t="e">
        <f>(Apoio_Efeito!BF35)/Apoio_Efeito!$R$35</f>
        <v>#DIV/0!</v>
      </c>
      <c r="AQ115" s="350" t="e">
        <f>(Apoio_Efeito!BF36)/Apoio_Efeito!$R$36</f>
        <v>#DIV/0!</v>
      </c>
      <c r="AR115" s="350" t="e">
        <f>(Apoio_Efeito!BF37)/Apoio_Efeito!$R$37</f>
        <v>#DIV/0!</v>
      </c>
      <c r="AS115" s="350" t="e">
        <f>(Apoio_Efeito!BF38)/Apoio_Efeito!$R$38</f>
        <v>#DIV/0!</v>
      </c>
      <c r="AT115" s="350" t="e">
        <f>(Apoio_Efeito!BF39)/Apoio_Efeito!$R$39</f>
        <v>#DIV/0!</v>
      </c>
      <c r="AU115" s="343" t="e">
        <f>(Apoio_Efeito!BF40)/Apoio_Efeito!$R$40</f>
        <v>#DIV/0!</v>
      </c>
      <c r="AV115" s="343" t="e">
        <f>(Apoio_Efeito!BF41)/Apoio_Efeito!$R$41</f>
        <v>#DIV/0!</v>
      </c>
      <c r="AW115" s="343" t="e">
        <f>(Apoio_Efeito!BF42)/Apoio_Efeito!$R$42</f>
        <v>#DIV/0!</v>
      </c>
      <c r="AX115" s="343" t="e">
        <f>(Apoio_Efeito!BF43)/Apoio_Efeito!$R$43</f>
        <v>#DIV/0!</v>
      </c>
      <c r="AY115" s="343" t="e">
        <f>(Apoio_Efeito!BF44)/Apoio_Efeito!$R$44</f>
        <v>#DIV/0!</v>
      </c>
      <c r="AZ115" s="343" t="e">
        <f>(Apoio_Efeito!BF45)/Apoio_Efeito!$R$45</f>
        <v>#DIV/0!</v>
      </c>
      <c r="BA115" s="345" t="e">
        <f>(Apoio_Efeito!BF46)/Apoio_Efeito!$R$46</f>
        <v>#DIV/0!</v>
      </c>
      <c r="BB115" s="343" t="e">
        <f>(Apoio_Efeito!BF47)/Apoio_Efeito!$R$47</f>
        <v>#DIV/0!</v>
      </c>
      <c r="BC115" s="343" t="e">
        <f>(Apoio_Efeito!BF48)/Apoio_Efeito!$R$48</f>
        <v>#DIV/0!</v>
      </c>
      <c r="BD115" s="343" t="e">
        <f>(Apoio_Efeito!BF49)/Apoio_Efeito!$R$49</f>
        <v>#DIV/0!</v>
      </c>
      <c r="BE115" s="343" t="e">
        <f>(Apoio_Efeito!BF50)/Apoio_Efeito!$R$50</f>
        <v>#DIV/0!</v>
      </c>
      <c r="BF115" s="343" t="e">
        <f>(Apoio_Efeito!BF51)/Apoio_Efeito!$R$51</f>
        <v>#DIV/0!</v>
      </c>
      <c r="BG115" s="344">
        <f>(Apoio_Efeito!BF52)/Apoio_Efeito!$R$52</f>
        <v>0</v>
      </c>
      <c r="BH115" s="344">
        <f>(Apoio_Efeito!BF53)/Apoio_Efeito!$R$53</f>
        <v>0</v>
      </c>
      <c r="BI115" s="100"/>
      <c r="BJ115" s="277">
        <f t="shared" si="11"/>
        <v>0</v>
      </c>
      <c r="BN115" s="5"/>
    </row>
    <row r="116" spans="6:66" hidden="1">
      <c r="F116" s="206"/>
      <c r="G116" s="207"/>
      <c r="H116" s="83" t="s">
        <v>487</v>
      </c>
      <c r="I116" s="84" t="e">
        <f>(Apoio_Efeito!BG4)/Apoio_Efeito!$R$4</f>
        <v>#DIV/0!</v>
      </c>
      <c r="J116" s="343" t="e">
        <f>(Apoio_Efeito!BG5)/Apoio_Efeito!$R$5</f>
        <v>#DIV/0!</v>
      </c>
      <c r="K116" s="343" t="e">
        <f>(Apoio_Efeito!BG6)/Apoio_Efeito!$R$6</f>
        <v>#DIV/0!</v>
      </c>
      <c r="L116" s="343">
        <f>(Apoio_Efeito!BG7)/Apoio_Efeito!$R$7</f>
        <v>0</v>
      </c>
      <c r="M116" s="343" t="e">
        <f>(Apoio_Efeito!BG54)/Apoio_Efeito!$R$54</f>
        <v>#DIV/0!</v>
      </c>
      <c r="N116" s="343" t="e">
        <f>(Apoio_Efeito!BG8)/Apoio_Efeito!$R$8</f>
        <v>#DIV/0!</v>
      </c>
      <c r="O116" s="343" t="e">
        <f>(Apoio_Efeito!BG9)/Apoio_Efeito!$R$9</f>
        <v>#DIV/0!</v>
      </c>
      <c r="P116" s="343" t="e">
        <f>(Apoio_Efeito!BG10)/Apoio_Efeito!$R$10</f>
        <v>#DIV/0!</v>
      </c>
      <c r="Q116" s="343" t="e">
        <f>(Apoio_Efeito!BG11)/Apoio_Efeito!$R$11</f>
        <v>#DIV/0!</v>
      </c>
      <c r="R116" s="343" t="e">
        <f>(Apoio_Efeito!BG12)/Apoio_Efeito!$R$12</f>
        <v>#DIV/0!</v>
      </c>
      <c r="S116" s="343" t="e">
        <f>(Apoio_Efeito!BG13)/Apoio_Efeito!$R$13</f>
        <v>#DIV/0!</v>
      </c>
      <c r="T116" s="343" t="e">
        <f>(Apoio_Efeito!BG14)/Apoio_Efeito!$R$14</f>
        <v>#DIV/0!</v>
      </c>
      <c r="U116" s="343" t="e">
        <f>(Apoio_Efeito!BG15)/Apoio_Efeito!$R$15</f>
        <v>#DIV/0!</v>
      </c>
      <c r="V116" s="343" t="e">
        <f>(Apoio_Efeito!BG16)/Apoio_Efeito!$R$16</f>
        <v>#DIV/0!</v>
      </c>
      <c r="W116" s="343" t="e">
        <f>(Apoio_Efeito!BG17)/Apoio_Efeito!$R$17</f>
        <v>#DIV/0!</v>
      </c>
      <c r="X116" s="350" t="e">
        <f>(Apoio_Efeito!BG18)/Apoio_Efeito!$R$18</f>
        <v>#DIV/0!</v>
      </c>
      <c r="Y116" s="350" t="e">
        <f>(Apoio_Efeito!BG19)/Apoio_Efeito!$R$19</f>
        <v>#DIV/0!</v>
      </c>
      <c r="Z116" s="350" t="e">
        <f>(Apoio_Efeito!BG20)/Apoio_Efeito!$R$20</f>
        <v>#DIV/0!</v>
      </c>
      <c r="AA116" s="350" t="e">
        <f>(Apoio_Efeito!BG21)/Apoio_Efeito!$R$21</f>
        <v>#DIV/0!</v>
      </c>
      <c r="AB116" s="350" t="e">
        <f>(Apoio_Efeito!BG22)/Apoio_Efeito!$R$22</f>
        <v>#DIV/0!</v>
      </c>
      <c r="AC116" s="350" t="e">
        <f>(Apoio_Efeito!BG23)/Apoio_Efeito!$R$23</f>
        <v>#DIV/0!</v>
      </c>
      <c r="AD116" s="350" t="e">
        <f>(Apoio_Efeito!BG24)/Apoio_Efeito!$R$24</f>
        <v>#DIV/0!</v>
      </c>
      <c r="AE116" s="350" t="e">
        <f>(Apoio_Efeito!BG25)/Apoio_Efeito!$R$25</f>
        <v>#DIV/0!</v>
      </c>
      <c r="AF116" s="350" t="e">
        <f>(Apoio_Efeito!BG26)/Apoio_Efeito!$R$26</f>
        <v>#DIV/0!</v>
      </c>
      <c r="AG116" s="350" t="e">
        <f>(Apoio_Efeito!BG27)/Apoio_Efeito!$R$27</f>
        <v>#DIV/0!</v>
      </c>
      <c r="AH116" s="350" t="e">
        <f>(Apoio_Efeito!BG28)/Apoio_Efeito!$R$28</f>
        <v>#DIV/0!</v>
      </c>
      <c r="AI116" s="350" t="e">
        <f>(Apoio_Efeito!BG29)/Apoio_Efeito!$R$29</f>
        <v>#DIV/0!</v>
      </c>
      <c r="AJ116" s="350" t="e">
        <f>(Apoio_Efeito!BG30)/Apoio_Efeito!$R$30</f>
        <v>#DIV/0!</v>
      </c>
      <c r="AK116" s="350" t="e">
        <f>(Apoio_Efeito!BG55)/Apoio_Efeito!$R$55</f>
        <v>#DIV/0!</v>
      </c>
      <c r="AL116" s="350" t="e">
        <f>(Apoio_Efeito!BG31)/Apoio_Efeito!$R$31</f>
        <v>#DIV/0!</v>
      </c>
      <c r="AM116" s="350" t="e">
        <f>(Apoio_Efeito!BG32)/Apoio_Efeito!$R$32</f>
        <v>#DIV/0!</v>
      </c>
      <c r="AN116" s="350" t="e">
        <f>(Apoio_Efeito!BG33)/Apoio_Efeito!$R$33</f>
        <v>#DIV/0!</v>
      </c>
      <c r="AO116" s="350" t="e">
        <f>(Apoio_Efeito!BG34)/Apoio_Efeito!$R$34</f>
        <v>#DIV/0!</v>
      </c>
      <c r="AP116" s="350" t="e">
        <f>(Apoio_Efeito!BG35)/Apoio_Efeito!$R$35</f>
        <v>#DIV/0!</v>
      </c>
      <c r="AQ116" s="350" t="e">
        <f>(Apoio_Efeito!BG36)/Apoio_Efeito!$R$36</f>
        <v>#DIV/0!</v>
      </c>
      <c r="AR116" s="350" t="e">
        <f>(Apoio_Efeito!BG37)/Apoio_Efeito!$R$37</f>
        <v>#DIV/0!</v>
      </c>
      <c r="AS116" s="350" t="e">
        <f>(Apoio_Efeito!BG38)/Apoio_Efeito!$R$38</f>
        <v>#DIV/0!</v>
      </c>
      <c r="AT116" s="350" t="e">
        <f>(Apoio_Efeito!BG39)/Apoio_Efeito!$R$39</f>
        <v>#DIV/0!</v>
      </c>
      <c r="AU116" s="343" t="e">
        <f>(Apoio_Efeito!BG40)/Apoio_Efeito!$R$40</f>
        <v>#DIV/0!</v>
      </c>
      <c r="AV116" s="343" t="e">
        <f>(Apoio_Efeito!BG41)/Apoio_Efeito!$R$41</f>
        <v>#DIV/0!</v>
      </c>
      <c r="AW116" s="343" t="e">
        <f>(Apoio_Efeito!BG42)/Apoio_Efeito!$R$42</f>
        <v>#DIV/0!</v>
      </c>
      <c r="AX116" s="343" t="e">
        <f>(Apoio_Efeito!BG43)/Apoio_Efeito!$R$43</f>
        <v>#DIV/0!</v>
      </c>
      <c r="AY116" s="343" t="e">
        <f>(Apoio_Efeito!BG44)/Apoio_Efeito!$R$44</f>
        <v>#DIV/0!</v>
      </c>
      <c r="AZ116" s="343" t="e">
        <f>(Apoio_Efeito!BG45)/Apoio_Efeito!$R$45</f>
        <v>#DIV/0!</v>
      </c>
      <c r="BA116" s="345" t="e">
        <f>(Apoio_Efeito!BG46)/Apoio_Efeito!$R$46</f>
        <v>#DIV/0!</v>
      </c>
      <c r="BB116" s="343" t="e">
        <f>(Apoio_Efeito!BG47)/Apoio_Efeito!$R$47</f>
        <v>#DIV/0!</v>
      </c>
      <c r="BC116" s="343" t="e">
        <f>(Apoio_Efeito!BG48)/Apoio_Efeito!$R$48</f>
        <v>#DIV/0!</v>
      </c>
      <c r="BD116" s="343" t="e">
        <f>(Apoio_Efeito!BG49)/Apoio_Efeito!$R$49</f>
        <v>#DIV/0!</v>
      </c>
      <c r="BE116" s="343" t="e">
        <f>(Apoio_Efeito!BG50)/Apoio_Efeito!$R$50</f>
        <v>#DIV/0!</v>
      </c>
      <c r="BF116" s="343" t="e">
        <f>(Apoio_Efeito!BG51)/Apoio_Efeito!$R$51</f>
        <v>#DIV/0!</v>
      </c>
      <c r="BG116" s="344">
        <f>(Apoio_Efeito!BG52)/Apoio_Efeito!$R$52</f>
        <v>0</v>
      </c>
      <c r="BH116" s="344">
        <f>(Apoio_Efeito!BG53)/Apoio_Efeito!$R$53</f>
        <v>0</v>
      </c>
      <c r="BI116" s="100"/>
      <c r="BJ116" s="277">
        <f t="shared" si="11"/>
        <v>0</v>
      </c>
      <c r="BN116" s="5"/>
    </row>
    <row r="117" spans="6:66" hidden="1">
      <c r="F117" s="206"/>
      <c r="G117" s="207"/>
      <c r="H117" s="83" t="str">
        <f>Apoio_Efeito!BH3</f>
        <v>Recálculo - Econômico</v>
      </c>
      <c r="I117" s="84" t="e">
        <f>(Apoio_Efeito!BH4)/Apoio_Efeito!$R$4</f>
        <v>#DIV/0!</v>
      </c>
      <c r="J117" s="343" t="e">
        <f>(Apoio_Efeito!BH5)/Apoio_Efeito!$R$5</f>
        <v>#DIV/0!</v>
      </c>
      <c r="K117" s="343" t="e">
        <f>(Apoio_Efeito!BH6)/Apoio_Efeito!$R$6</f>
        <v>#DIV/0!</v>
      </c>
      <c r="L117" s="343">
        <f>(Apoio_Efeito!BH7)/Apoio_Efeito!$R$7</f>
        <v>0</v>
      </c>
      <c r="M117" s="343" t="e">
        <f>(Apoio_Efeito!BH54)/Apoio_Efeito!$R$54</f>
        <v>#DIV/0!</v>
      </c>
      <c r="N117" s="343" t="e">
        <f>(Apoio_Efeito!BH8)/Apoio_Efeito!$R$8</f>
        <v>#DIV/0!</v>
      </c>
      <c r="O117" s="343" t="e">
        <f>(Apoio_Efeito!BH9)/Apoio_Efeito!$R$9</f>
        <v>#DIV/0!</v>
      </c>
      <c r="P117" s="343" t="e">
        <f>(Apoio_Efeito!BH10)/Apoio_Efeito!$R$10</f>
        <v>#DIV/0!</v>
      </c>
      <c r="Q117" s="343" t="e">
        <f>(Apoio_Efeito!BH11)/Apoio_Efeito!$R$11</f>
        <v>#DIV/0!</v>
      </c>
      <c r="R117" s="343" t="e">
        <f>(Apoio_Efeito!BH12)/Apoio_Efeito!$R$12</f>
        <v>#DIV/0!</v>
      </c>
      <c r="S117" s="343" t="e">
        <f>(Apoio_Efeito!BH13)/Apoio_Efeito!$R$13</f>
        <v>#DIV/0!</v>
      </c>
      <c r="T117" s="343" t="e">
        <f>(Apoio_Efeito!BH14)/Apoio_Efeito!$R$14</f>
        <v>#DIV/0!</v>
      </c>
      <c r="U117" s="343" t="e">
        <f>(Apoio_Efeito!BH15)/Apoio_Efeito!$R$15</f>
        <v>#DIV/0!</v>
      </c>
      <c r="V117" s="343" t="e">
        <f>(Apoio_Efeito!BH16)/Apoio_Efeito!$R$16</f>
        <v>#DIV/0!</v>
      </c>
      <c r="W117" s="343" t="e">
        <f>(Apoio_Efeito!BH17)/Apoio_Efeito!$R$17</f>
        <v>#DIV/0!</v>
      </c>
      <c r="X117" s="350" t="e">
        <f>(Apoio_Efeito!BH18)/Apoio_Efeito!$R$18</f>
        <v>#DIV/0!</v>
      </c>
      <c r="Y117" s="350" t="e">
        <f>(Apoio_Efeito!BH19)/Apoio_Efeito!$R$19</f>
        <v>#DIV/0!</v>
      </c>
      <c r="Z117" s="350" t="e">
        <f>(Apoio_Efeito!BH20)/Apoio_Efeito!$R$20</f>
        <v>#DIV/0!</v>
      </c>
      <c r="AA117" s="350" t="e">
        <f>(Apoio_Efeito!BH21)/Apoio_Efeito!$R$21</f>
        <v>#DIV/0!</v>
      </c>
      <c r="AB117" s="350" t="e">
        <f>(Apoio_Efeito!BH22)/Apoio_Efeito!$R$22</f>
        <v>#DIV/0!</v>
      </c>
      <c r="AC117" s="350" t="e">
        <f>(Apoio_Efeito!BH23)/Apoio_Efeito!$R$23</f>
        <v>#DIV/0!</v>
      </c>
      <c r="AD117" s="350" t="e">
        <f>(Apoio_Efeito!BH24)/Apoio_Efeito!$R$24</f>
        <v>#DIV/0!</v>
      </c>
      <c r="AE117" s="350" t="e">
        <f>(Apoio_Efeito!BH25)/Apoio_Efeito!$R$25</f>
        <v>#DIV/0!</v>
      </c>
      <c r="AF117" s="350" t="e">
        <f>(Apoio_Efeito!BH26)/Apoio_Efeito!$R$26</f>
        <v>#DIV/0!</v>
      </c>
      <c r="AG117" s="350" t="e">
        <f>(Apoio_Efeito!BH27)/Apoio_Efeito!$R$27</f>
        <v>#DIV/0!</v>
      </c>
      <c r="AH117" s="350" t="e">
        <f>(Apoio_Efeito!BH28)/Apoio_Efeito!$R$28</f>
        <v>#DIV/0!</v>
      </c>
      <c r="AI117" s="350" t="e">
        <f>(Apoio_Efeito!BH29)/Apoio_Efeito!$R$29</f>
        <v>#DIV/0!</v>
      </c>
      <c r="AJ117" s="350" t="e">
        <f>(Apoio_Efeito!BH30)/Apoio_Efeito!$R$30</f>
        <v>#DIV/0!</v>
      </c>
      <c r="AK117" s="350" t="e">
        <f>(Apoio_Efeito!BH55)/Apoio_Efeito!$R$55</f>
        <v>#DIV/0!</v>
      </c>
      <c r="AL117" s="350" t="e">
        <f>(Apoio_Efeito!BH31)/Apoio_Efeito!$R$31</f>
        <v>#DIV/0!</v>
      </c>
      <c r="AM117" s="350" t="e">
        <f>(Apoio_Efeito!BH32)/Apoio_Efeito!$R$32</f>
        <v>#DIV/0!</v>
      </c>
      <c r="AN117" s="350" t="e">
        <f>(Apoio_Efeito!BH33)/Apoio_Efeito!$R$33</f>
        <v>#DIV/0!</v>
      </c>
      <c r="AO117" s="350" t="e">
        <f>(Apoio_Efeito!BH34)/Apoio_Efeito!$R$34</f>
        <v>#DIV/0!</v>
      </c>
      <c r="AP117" s="350" t="e">
        <f>(Apoio_Efeito!BH35)/Apoio_Efeito!$R$35</f>
        <v>#DIV/0!</v>
      </c>
      <c r="AQ117" s="350" t="e">
        <f>(Apoio_Efeito!BH36)/Apoio_Efeito!$R$36</f>
        <v>#DIV/0!</v>
      </c>
      <c r="AR117" s="350" t="e">
        <f>(Apoio_Efeito!BH37)/Apoio_Efeito!$R$37</f>
        <v>#DIV/0!</v>
      </c>
      <c r="AS117" s="350" t="e">
        <f>(Apoio_Efeito!BH38)/Apoio_Efeito!$R$38</f>
        <v>#DIV/0!</v>
      </c>
      <c r="AT117" s="350" t="e">
        <f>(Apoio_Efeito!BH39)/Apoio_Efeito!$R$39</f>
        <v>#DIV/0!</v>
      </c>
      <c r="AU117" s="343" t="e">
        <f>(Apoio_Efeito!BH40)/Apoio_Efeito!$R$40</f>
        <v>#DIV/0!</v>
      </c>
      <c r="AV117" s="343" t="e">
        <f>(Apoio_Efeito!BH41)/Apoio_Efeito!$R$41</f>
        <v>#DIV/0!</v>
      </c>
      <c r="AW117" s="343" t="e">
        <f>(Apoio_Efeito!BH42)/Apoio_Efeito!$R$42</f>
        <v>#DIV/0!</v>
      </c>
      <c r="AX117" s="343" t="e">
        <f>(Apoio_Efeito!BH43)/Apoio_Efeito!$R$43</f>
        <v>#DIV/0!</v>
      </c>
      <c r="AY117" s="343" t="e">
        <f>(Apoio_Efeito!BH44)/Apoio_Efeito!$R$44</f>
        <v>#DIV/0!</v>
      </c>
      <c r="AZ117" s="343" t="e">
        <f>(Apoio_Efeito!BH45)/Apoio_Efeito!$R$45</f>
        <v>#DIV/0!</v>
      </c>
      <c r="BA117" s="345" t="e">
        <f>(Apoio_Efeito!BH46)/Apoio_Efeito!$R$46</f>
        <v>#DIV/0!</v>
      </c>
      <c r="BB117" s="343" t="e">
        <f>(Apoio_Efeito!BH47)/Apoio_Efeito!$R$47</f>
        <v>#DIV/0!</v>
      </c>
      <c r="BC117" s="343" t="e">
        <f>(Apoio_Efeito!BH48)/Apoio_Efeito!$R$48</f>
        <v>#DIV/0!</v>
      </c>
      <c r="BD117" s="343" t="e">
        <f>(Apoio_Efeito!BH49)/Apoio_Efeito!$R$49</f>
        <v>#DIV/0!</v>
      </c>
      <c r="BE117" s="343" t="e">
        <f>(Apoio_Efeito!BH50)/Apoio_Efeito!$R$50</f>
        <v>#DIV/0!</v>
      </c>
      <c r="BF117" s="343" t="e">
        <f>(Apoio_Efeito!BH51)/Apoio_Efeito!$R$51</f>
        <v>#DIV/0!</v>
      </c>
      <c r="BG117" s="344">
        <f>(Apoio_Efeito!BH52)/Apoio_Efeito!$R$52</f>
        <v>0</v>
      </c>
      <c r="BH117" s="344">
        <f>(Apoio_Efeito!BH53)/Apoio_Efeito!$R$53</f>
        <v>0</v>
      </c>
      <c r="BI117" s="100"/>
      <c r="BJ117" s="277">
        <f t="shared" ref="BJ117:BJ130" si="14">IF(SUMIF(I117:BH117,"&lt;&gt;#DIV/0!",I117:BH117)&lt;&gt;0,1,0)</f>
        <v>0</v>
      </c>
      <c r="BK117" s="96"/>
      <c r="BL117" s="32"/>
      <c r="BN117" s="5"/>
    </row>
    <row r="118" spans="6:66" hidden="1">
      <c r="F118" s="206"/>
      <c r="G118" s="207"/>
      <c r="H118" s="83" t="str">
        <f>Apoio_Efeito!BI3</f>
        <v>(Neutralidade) CDE Conta - Covid TUSD</v>
      </c>
      <c r="I118" s="84" t="e">
        <f>(Apoio_Efeito!BI4)/Apoio_Efeito!$R$4</f>
        <v>#DIV/0!</v>
      </c>
      <c r="J118" s="343" t="e">
        <f>(Apoio_Efeito!BI5)/Apoio_Efeito!$R$5</f>
        <v>#DIV/0!</v>
      </c>
      <c r="K118" s="343" t="e">
        <f>(Apoio_Efeito!BI6)/Apoio_Efeito!$R$6</f>
        <v>#DIV/0!</v>
      </c>
      <c r="L118" s="343">
        <f>(Apoio_Efeito!BI7)/Apoio_Efeito!$R$7</f>
        <v>0</v>
      </c>
      <c r="M118" s="343" t="e">
        <f>(Apoio_Efeito!BI54)/Apoio_Efeito!$R$54</f>
        <v>#DIV/0!</v>
      </c>
      <c r="N118" s="343" t="e">
        <f>(Apoio_Efeito!BI8)/Apoio_Efeito!$R$8</f>
        <v>#DIV/0!</v>
      </c>
      <c r="O118" s="343" t="e">
        <f>(Apoio_Efeito!BI9)/Apoio_Efeito!$R$9</f>
        <v>#DIV/0!</v>
      </c>
      <c r="P118" s="343" t="e">
        <f>(Apoio_Efeito!BI10)/Apoio_Efeito!$R$10</f>
        <v>#DIV/0!</v>
      </c>
      <c r="Q118" s="343" t="e">
        <f>(Apoio_Efeito!BI11)/Apoio_Efeito!$R$11</f>
        <v>#DIV/0!</v>
      </c>
      <c r="R118" s="343" t="e">
        <f>(Apoio_Efeito!BI12)/Apoio_Efeito!$R$12</f>
        <v>#DIV/0!</v>
      </c>
      <c r="S118" s="343" t="e">
        <f>(Apoio_Efeito!BI13)/Apoio_Efeito!$R$13</f>
        <v>#DIV/0!</v>
      </c>
      <c r="T118" s="343" t="e">
        <f>(Apoio_Efeito!BI14)/Apoio_Efeito!$R$14</f>
        <v>#DIV/0!</v>
      </c>
      <c r="U118" s="343" t="e">
        <f>(Apoio_Efeito!BI15)/Apoio_Efeito!$R$15</f>
        <v>#DIV/0!</v>
      </c>
      <c r="V118" s="343" t="e">
        <f>(Apoio_Efeito!BI16)/Apoio_Efeito!$R$16</f>
        <v>#DIV/0!</v>
      </c>
      <c r="W118" s="343" t="e">
        <f>(Apoio_Efeito!BI17)/Apoio_Efeito!$R$17</f>
        <v>#DIV/0!</v>
      </c>
      <c r="X118" s="350" t="e">
        <f>(Apoio_Efeito!BI18)/Apoio_Efeito!$R$18</f>
        <v>#DIV/0!</v>
      </c>
      <c r="Y118" s="350" t="e">
        <f>(Apoio_Efeito!BI19)/Apoio_Efeito!$R$19</f>
        <v>#DIV/0!</v>
      </c>
      <c r="Z118" s="350" t="e">
        <f>(Apoio_Efeito!BI20)/Apoio_Efeito!$R$20</f>
        <v>#DIV/0!</v>
      </c>
      <c r="AA118" s="350" t="e">
        <f>(Apoio_Efeito!BI21)/Apoio_Efeito!$R$21</f>
        <v>#DIV/0!</v>
      </c>
      <c r="AB118" s="350" t="e">
        <f>(Apoio_Efeito!BI22)/Apoio_Efeito!$R$22</f>
        <v>#DIV/0!</v>
      </c>
      <c r="AC118" s="350" t="e">
        <f>(Apoio_Efeito!BI23)/Apoio_Efeito!$R$23</f>
        <v>#DIV/0!</v>
      </c>
      <c r="AD118" s="350" t="e">
        <f>(Apoio_Efeito!BI24)/Apoio_Efeito!$R$24</f>
        <v>#DIV/0!</v>
      </c>
      <c r="AE118" s="350" t="e">
        <f>(Apoio_Efeito!BI25)/Apoio_Efeito!$R$25</f>
        <v>#DIV/0!</v>
      </c>
      <c r="AF118" s="350" t="e">
        <f>(Apoio_Efeito!BI26)/Apoio_Efeito!$R$26</f>
        <v>#DIV/0!</v>
      </c>
      <c r="AG118" s="350" t="e">
        <f>(Apoio_Efeito!BI27)/Apoio_Efeito!$R$27</f>
        <v>#DIV/0!</v>
      </c>
      <c r="AH118" s="350" t="e">
        <f>(Apoio_Efeito!BI28)/Apoio_Efeito!$R$28</f>
        <v>#DIV/0!</v>
      </c>
      <c r="AI118" s="350" t="e">
        <f>(Apoio_Efeito!BI29)/Apoio_Efeito!$R$29</f>
        <v>#DIV/0!</v>
      </c>
      <c r="AJ118" s="350" t="e">
        <f>(Apoio_Efeito!BI30)/Apoio_Efeito!$R$30</f>
        <v>#DIV/0!</v>
      </c>
      <c r="AK118" s="350" t="e">
        <f>(Apoio_Efeito!BI55)/Apoio_Efeito!$R$55</f>
        <v>#DIV/0!</v>
      </c>
      <c r="AL118" s="350" t="e">
        <f>(Apoio_Efeito!BI31)/Apoio_Efeito!$R$31</f>
        <v>#DIV/0!</v>
      </c>
      <c r="AM118" s="350" t="e">
        <f>(Apoio_Efeito!BI32)/Apoio_Efeito!$R$32</f>
        <v>#DIV/0!</v>
      </c>
      <c r="AN118" s="350" t="e">
        <f>(Apoio_Efeito!BI33)/Apoio_Efeito!$R$33</f>
        <v>#DIV/0!</v>
      </c>
      <c r="AO118" s="350" t="e">
        <f>(Apoio_Efeito!BI34)/Apoio_Efeito!$R$34</f>
        <v>#DIV/0!</v>
      </c>
      <c r="AP118" s="350" t="e">
        <f>(Apoio_Efeito!BI35)/Apoio_Efeito!$R$35</f>
        <v>#DIV/0!</v>
      </c>
      <c r="AQ118" s="350" t="e">
        <f>(Apoio_Efeito!BI36)/Apoio_Efeito!$R$36</f>
        <v>#DIV/0!</v>
      </c>
      <c r="AR118" s="350" t="e">
        <f>(Apoio_Efeito!BI37)/Apoio_Efeito!$R$37</f>
        <v>#DIV/0!</v>
      </c>
      <c r="AS118" s="350" t="e">
        <f>(Apoio_Efeito!BI38)/Apoio_Efeito!$R$38</f>
        <v>#DIV/0!</v>
      </c>
      <c r="AT118" s="350" t="e">
        <f>(Apoio_Efeito!BI39)/Apoio_Efeito!$R$39</f>
        <v>#DIV/0!</v>
      </c>
      <c r="AU118" s="343" t="e">
        <f>(Apoio_Efeito!BI40)/Apoio_Efeito!$R$40</f>
        <v>#DIV/0!</v>
      </c>
      <c r="AV118" s="343" t="e">
        <f>(Apoio_Efeito!BI41)/Apoio_Efeito!$R$41</f>
        <v>#DIV/0!</v>
      </c>
      <c r="AW118" s="343" t="e">
        <f>(Apoio_Efeito!BI42)/Apoio_Efeito!$R$42</f>
        <v>#DIV/0!</v>
      </c>
      <c r="AX118" s="343" t="e">
        <f>(Apoio_Efeito!BI43)/Apoio_Efeito!$R$43</f>
        <v>#DIV/0!</v>
      </c>
      <c r="AY118" s="343" t="e">
        <f>(Apoio_Efeito!BI44)/Apoio_Efeito!$R$44</f>
        <v>#DIV/0!</v>
      </c>
      <c r="AZ118" s="343" t="e">
        <f>(Apoio_Efeito!BI45)/Apoio_Efeito!$R$45</f>
        <v>#DIV/0!</v>
      </c>
      <c r="BA118" s="345" t="e">
        <f>(Apoio_Efeito!BI46)/Apoio_Efeito!$R$46</f>
        <v>#DIV/0!</v>
      </c>
      <c r="BB118" s="343" t="e">
        <f>(Apoio_Efeito!BI47)/Apoio_Efeito!$R$47</f>
        <v>#DIV/0!</v>
      </c>
      <c r="BC118" s="343" t="e">
        <f>(Apoio_Efeito!BI48)/Apoio_Efeito!$R$48</f>
        <v>#DIV/0!</v>
      </c>
      <c r="BD118" s="343" t="e">
        <f>(Apoio_Efeito!BI49)/Apoio_Efeito!$R$49</f>
        <v>#DIV/0!</v>
      </c>
      <c r="BE118" s="343" t="e">
        <f>(Apoio_Efeito!BI50)/Apoio_Efeito!$R$50</f>
        <v>#DIV/0!</v>
      </c>
      <c r="BF118" s="343" t="e">
        <f>(Apoio_Efeito!BI51)/Apoio_Efeito!$R$51</f>
        <v>#DIV/0!</v>
      </c>
      <c r="BG118" s="344">
        <f>(Apoio_Efeito!BI52)/Apoio_Efeito!$R$52</f>
        <v>0</v>
      </c>
      <c r="BH118" s="344">
        <f>(Apoio_Efeito!BI53)/Apoio_Efeito!$R$53</f>
        <v>0</v>
      </c>
      <c r="BI118" s="100"/>
      <c r="BJ118" s="277">
        <f t="shared" si="11"/>
        <v>0</v>
      </c>
      <c r="BK118" s="96"/>
      <c r="BL118" s="32"/>
      <c r="BN118" s="5"/>
    </row>
    <row r="119" spans="6:66" ht="26" hidden="1">
      <c r="F119" s="206"/>
      <c r="G119" s="207"/>
      <c r="H119" s="341" t="s">
        <v>541</v>
      </c>
      <c r="I119" s="84" t="e">
        <f>(Apoio_Efeito!BJ4)/Apoio_Efeito!$R$4</f>
        <v>#DIV/0!</v>
      </c>
      <c r="J119" s="343" t="e">
        <f>(Apoio_Efeito!BJ5)/Apoio_Efeito!$R$5</f>
        <v>#DIV/0!</v>
      </c>
      <c r="K119" s="343" t="e">
        <f>(Apoio_Efeito!BJ6)/Apoio_Efeito!$R$6</f>
        <v>#DIV/0!</v>
      </c>
      <c r="L119" s="343">
        <f>(Apoio_Efeito!BJ7)/Apoio_Efeito!$R$7</f>
        <v>0</v>
      </c>
      <c r="M119" s="343" t="e">
        <f>(Apoio_Efeito!BJ54)/Apoio_Efeito!$R$54</f>
        <v>#DIV/0!</v>
      </c>
      <c r="N119" s="343" t="e">
        <f>(Apoio_Efeito!BJ8)/Apoio_Efeito!$R$8</f>
        <v>#DIV/0!</v>
      </c>
      <c r="O119" s="343" t="e">
        <f>(Apoio_Efeito!BJ9)/Apoio_Efeito!$R$9</f>
        <v>#DIV/0!</v>
      </c>
      <c r="P119" s="343" t="e">
        <f>(Apoio_Efeito!BJ10)/Apoio_Efeito!$R$10</f>
        <v>#DIV/0!</v>
      </c>
      <c r="Q119" s="343" t="e">
        <f>(Apoio_Efeito!BJ11)/Apoio_Efeito!$R$11</f>
        <v>#DIV/0!</v>
      </c>
      <c r="R119" s="343" t="e">
        <f>(Apoio_Efeito!BJ12)/Apoio_Efeito!$R$12</f>
        <v>#DIV/0!</v>
      </c>
      <c r="S119" s="343" t="e">
        <f>(Apoio_Efeito!BJ13)/Apoio_Efeito!$R$13</f>
        <v>#DIV/0!</v>
      </c>
      <c r="T119" s="343" t="e">
        <f>(Apoio_Efeito!BJ14)/Apoio_Efeito!$R$14</f>
        <v>#DIV/0!</v>
      </c>
      <c r="U119" s="343" t="e">
        <f>(Apoio_Efeito!BJ15)/Apoio_Efeito!$R$15</f>
        <v>#DIV/0!</v>
      </c>
      <c r="V119" s="343" t="e">
        <f>(Apoio_Efeito!BJ16)/Apoio_Efeito!$R$16</f>
        <v>#DIV/0!</v>
      </c>
      <c r="W119" s="343" t="e">
        <f>(Apoio_Efeito!BJ17)/Apoio_Efeito!$R$17</f>
        <v>#DIV/0!</v>
      </c>
      <c r="X119" s="345" t="e">
        <f>(Apoio_Efeito!BJ18)/Apoio_Efeito!$R$18</f>
        <v>#DIV/0!</v>
      </c>
      <c r="Y119" s="343" t="e">
        <f>(Apoio_Efeito!BJ19)/Apoio_Efeito!$R$19</f>
        <v>#DIV/0!</v>
      </c>
      <c r="Z119" s="343" t="e">
        <f>(Apoio_Efeito!BJ20)/Apoio_Efeito!$R$20</f>
        <v>#DIV/0!</v>
      </c>
      <c r="AA119" s="343" t="e">
        <f>(Apoio_Efeito!BJ21)/Apoio_Efeito!$R$21</f>
        <v>#DIV/0!</v>
      </c>
      <c r="AB119" s="343" t="e">
        <f>(Apoio_Efeito!BJ22)/Apoio_Efeito!$R$22</f>
        <v>#DIV/0!</v>
      </c>
      <c r="AC119" s="343" t="e">
        <f>(Apoio_Efeito!BJ23)/Apoio_Efeito!$R$23</f>
        <v>#DIV/0!</v>
      </c>
      <c r="AD119" s="343" t="e">
        <f>(Apoio_Efeito!BJ24)/Apoio_Efeito!$R$24</f>
        <v>#DIV/0!</v>
      </c>
      <c r="AE119" s="343" t="e">
        <f>(Apoio_Efeito!BJ25)/Apoio_Efeito!$R$25</f>
        <v>#DIV/0!</v>
      </c>
      <c r="AF119" s="343" t="e">
        <f>(Apoio_Efeito!BJ26)/Apoio_Efeito!$R$26</f>
        <v>#DIV/0!</v>
      </c>
      <c r="AG119" s="343" t="e">
        <f>(Apoio_Efeito!BJ27)/Apoio_Efeito!$R$27</f>
        <v>#DIV/0!</v>
      </c>
      <c r="AH119" s="343" t="e">
        <f>(Apoio_Efeito!BJ28)/Apoio_Efeito!$R$28</f>
        <v>#DIV/0!</v>
      </c>
      <c r="AI119" s="343" t="e">
        <f>(Apoio_Efeito!BJ29)/Apoio_Efeito!$R$29</f>
        <v>#DIV/0!</v>
      </c>
      <c r="AJ119" s="343" t="e">
        <f>(Apoio_Efeito!BJ30)/Apoio_Efeito!$R$30</f>
        <v>#DIV/0!</v>
      </c>
      <c r="AK119" s="345" t="e">
        <f>(Apoio_Efeito!BJ55)/Apoio_Efeito!$R$55</f>
        <v>#DIV/0!</v>
      </c>
      <c r="AL119" s="343" t="e">
        <f>(Apoio_Efeito!BJ31)/Apoio_Efeito!$R$31</f>
        <v>#DIV/0!</v>
      </c>
      <c r="AM119" s="343" t="e">
        <f>(Apoio_Efeito!BJ32)/Apoio_Efeito!$R$32</f>
        <v>#DIV/0!</v>
      </c>
      <c r="AN119" s="343" t="e">
        <f>(Apoio_Efeito!BJ33)/Apoio_Efeito!$R$33</f>
        <v>#DIV/0!</v>
      </c>
      <c r="AO119" s="343" t="e">
        <f>(Apoio_Efeito!BJ34)/Apoio_Efeito!$R$34</f>
        <v>#DIV/0!</v>
      </c>
      <c r="AP119" s="343" t="e">
        <f>(Apoio_Efeito!BJ35)/Apoio_Efeito!$R$35</f>
        <v>#DIV/0!</v>
      </c>
      <c r="AQ119" s="343" t="e">
        <f>(Apoio_Efeito!BJ36)/Apoio_Efeito!$R$36</f>
        <v>#DIV/0!</v>
      </c>
      <c r="AR119" s="343" t="e">
        <f>(Apoio_Efeito!BJ37)/Apoio_Efeito!$R$37</f>
        <v>#DIV/0!</v>
      </c>
      <c r="AS119" s="343" t="e">
        <f>(Apoio_Efeito!BJ38)/Apoio_Efeito!$R$38</f>
        <v>#DIV/0!</v>
      </c>
      <c r="AT119" s="343" t="e">
        <f>(Apoio_Efeito!BJ39)/Apoio_Efeito!$R$39</f>
        <v>#DIV/0!</v>
      </c>
      <c r="AU119" s="343" t="e">
        <f>(Apoio_Efeito!BJ40)/Apoio_Efeito!$R$40</f>
        <v>#DIV/0!</v>
      </c>
      <c r="AV119" s="343" t="e">
        <f>(Apoio_Efeito!BJ41)/Apoio_Efeito!$R$41</f>
        <v>#DIV/0!</v>
      </c>
      <c r="AW119" s="343" t="e">
        <f>(Apoio_Efeito!BJ42)/Apoio_Efeito!$R$42</f>
        <v>#DIV/0!</v>
      </c>
      <c r="AX119" s="343" t="e">
        <f>(Apoio_Efeito!BJ43)/Apoio_Efeito!$R$43</f>
        <v>#DIV/0!</v>
      </c>
      <c r="AY119" s="343" t="e">
        <f>(Apoio_Efeito!BJ44)/Apoio_Efeito!$R$44</f>
        <v>#DIV/0!</v>
      </c>
      <c r="AZ119" s="343" t="e">
        <f>(Apoio_Efeito!BJ45)/Apoio_Efeito!$R$45</f>
        <v>#DIV/0!</v>
      </c>
      <c r="BA119" s="345" t="e">
        <f>(Apoio_Efeito!BJ46)/Apoio_Efeito!$R$46</f>
        <v>#DIV/0!</v>
      </c>
      <c r="BB119" s="343" t="e">
        <f>(Apoio_Efeito!BJ47)/Apoio_Efeito!$R$47</f>
        <v>#DIV/0!</v>
      </c>
      <c r="BC119" s="343" t="e">
        <f>(Apoio_Efeito!BJ48)/Apoio_Efeito!$R$48</f>
        <v>#DIV/0!</v>
      </c>
      <c r="BD119" s="343" t="e">
        <f>(Apoio_Efeito!BJ49)/Apoio_Efeito!$R$49</f>
        <v>#DIV/0!</v>
      </c>
      <c r="BE119" s="343" t="e">
        <f>(Apoio_Efeito!BJ50)/Apoio_Efeito!$R$50</f>
        <v>#DIV/0!</v>
      </c>
      <c r="BF119" s="343" t="e">
        <f>(Apoio_Efeito!BJ51)/Apoio_Efeito!$R$51</f>
        <v>#DIV/0!</v>
      </c>
      <c r="BG119" s="344">
        <f>(Apoio_Efeito!BJ52)/Apoio_Efeito!$R$52</f>
        <v>0</v>
      </c>
      <c r="BH119" s="344">
        <f>(Apoio_Efeito!BJ53)/Apoio_Efeito!$R$53</f>
        <v>0</v>
      </c>
      <c r="BI119" s="100"/>
      <c r="BJ119" s="277">
        <f t="shared" si="11"/>
        <v>0</v>
      </c>
      <c r="BK119" s="96"/>
      <c r="BL119" s="32"/>
      <c r="BN119" s="5"/>
    </row>
    <row r="120" spans="6:66" hidden="1">
      <c r="F120" s="206"/>
      <c r="G120" s="207"/>
      <c r="H120" s="83" t="str">
        <f>'Componentes Financeiros'!D35</f>
        <v>Financeiros associados ao §5º do Art. 141 da REN 1.000/2021</v>
      </c>
      <c r="I120" s="84" t="e">
        <f>(Apoio_Efeito!BK4)/Apoio_Efeito!$R$4</f>
        <v>#DIV/0!</v>
      </c>
      <c r="J120" s="343" t="e">
        <f>(Apoio_Efeito!BK5)/Apoio_Efeito!$R$5</f>
        <v>#DIV/0!</v>
      </c>
      <c r="K120" s="343" t="e">
        <f>(Apoio_Efeito!BK6)/Apoio_Efeito!$R$6</f>
        <v>#DIV/0!</v>
      </c>
      <c r="L120" s="343">
        <f>(Apoio_Efeito!BK7)/Apoio_Efeito!$R$7</f>
        <v>0</v>
      </c>
      <c r="M120" s="343" t="e">
        <f>(Apoio_Efeito!BK54)/Apoio_Efeito!$R$54</f>
        <v>#DIV/0!</v>
      </c>
      <c r="N120" s="343" t="e">
        <f>(Apoio_Efeito!BK8)/Apoio_Efeito!$R$8</f>
        <v>#DIV/0!</v>
      </c>
      <c r="O120" s="343" t="e">
        <f>(Apoio_Efeito!BK9)/Apoio_Efeito!$R$9</f>
        <v>#DIV/0!</v>
      </c>
      <c r="P120" s="343" t="e">
        <f>(Apoio_Efeito!BK10)/Apoio_Efeito!$R$10</f>
        <v>#DIV/0!</v>
      </c>
      <c r="Q120" s="343" t="e">
        <f>(Apoio_Efeito!BK11)/Apoio_Efeito!$R$11</f>
        <v>#DIV/0!</v>
      </c>
      <c r="R120" s="343" t="e">
        <f>(Apoio_Efeito!BK12)/Apoio_Efeito!$R$12</f>
        <v>#DIV/0!</v>
      </c>
      <c r="S120" s="343" t="e">
        <f>(Apoio_Efeito!BK13)/Apoio_Efeito!$R$13</f>
        <v>#DIV/0!</v>
      </c>
      <c r="T120" s="343" t="e">
        <f>(Apoio_Efeito!BK14)/Apoio_Efeito!$R$14</f>
        <v>#DIV/0!</v>
      </c>
      <c r="U120" s="343" t="e">
        <f>(Apoio_Efeito!BK15)/Apoio_Efeito!$R$15</f>
        <v>#DIV/0!</v>
      </c>
      <c r="V120" s="343" t="e">
        <f>(Apoio_Efeito!BK16)/Apoio_Efeito!$R$16</f>
        <v>#DIV/0!</v>
      </c>
      <c r="W120" s="343" t="e">
        <f>(Apoio_Efeito!BK17)/Apoio_Efeito!$R$17</f>
        <v>#DIV/0!</v>
      </c>
      <c r="X120" s="345" t="e">
        <f>(Apoio_Efeito!BK18)/Apoio_Efeito!$R$18</f>
        <v>#DIV/0!</v>
      </c>
      <c r="Y120" s="343" t="e">
        <f>(Apoio_Efeito!BK19)/Apoio_Efeito!$R$19</f>
        <v>#DIV/0!</v>
      </c>
      <c r="Z120" s="343" t="e">
        <f>(Apoio_Efeito!BK20)/Apoio_Efeito!$R$20</f>
        <v>#DIV/0!</v>
      </c>
      <c r="AA120" s="343" t="e">
        <f>(Apoio_Efeito!BK21)/Apoio_Efeito!$R$21</f>
        <v>#DIV/0!</v>
      </c>
      <c r="AB120" s="343" t="e">
        <f>(Apoio_Efeito!BK22)/Apoio_Efeito!$R$22</f>
        <v>#DIV/0!</v>
      </c>
      <c r="AC120" s="343" t="e">
        <f>(Apoio_Efeito!BK23)/Apoio_Efeito!$R$23</f>
        <v>#DIV/0!</v>
      </c>
      <c r="AD120" s="343" t="e">
        <f>(Apoio_Efeito!BK24)/Apoio_Efeito!$R$24</f>
        <v>#DIV/0!</v>
      </c>
      <c r="AE120" s="343" t="e">
        <f>(Apoio_Efeito!BK25)/Apoio_Efeito!$R$25</f>
        <v>#DIV/0!</v>
      </c>
      <c r="AF120" s="343" t="e">
        <f>(Apoio_Efeito!BK26)/Apoio_Efeito!$R$26</f>
        <v>#DIV/0!</v>
      </c>
      <c r="AG120" s="343" t="e">
        <f>(Apoio_Efeito!BK27)/Apoio_Efeito!$R$27</f>
        <v>#DIV/0!</v>
      </c>
      <c r="AH120" s="343" t="e">
        <f>(Apoio_Efeito!BK28)/Apoio_Efeito!$R$28</f>
        <v>#DIV/0!</v>
      </c>
      <c r="AI120" s="343" t="e">
        <f>(Apoio_Efeito!BK29)/Apoio_Efeito!$R$29</f>
        <v>#DIV/0!</v>
      </c>
      <c r="AJ120" s="343" t="e">
        <f>(Apoio_Efeito!BK30)/Apoio_Efeito!$R$30</f>
        <v>#DIV/0!</v>
      </c>
      <c r="AK120" s="345" t="e">
        <f>(Apoio_Efeito!BK55)/Apoio_Efeito!$R$55</f>
        <v>#DIV/0!</v>
      </c>
      <c r="AL120" s="343" t="e">
        <f>(Apoio_Efeito!BK31)/Apoio_Efeito!$R$31</f>
        <v>#DIV/0!</v>
      </c>
      <c r="AM120" s="343" t="e">
        <f>(Apoio_Efeito!BK32)/Apoio_Efeito!$R$32</f>
        <v>#DIV/0!</v>
      </c>
      <c r="AN120" s="343" t="e">
        <f>(Apoio_Efeito!BK33)/Apoio_Efeito!$R$33</f>
        <v>#DIV/0!</v>
      </c>
      <c r="AO120" s="343" t="e">
        <f>(Apoio_Efeito!BK34)/Apoio_Efeito!$R$34</f>
        <v>#DIV/0!</v>
      </c>
      <c r="AP120" s="343" t="e">
        <f>(Apoio_Efeito!BK35)/Apoio_Efeito!$R$35</f>
        <v>#DIV/0!</v>
      </c>
      <c r="AQ120" s="343" t="e">
        <f>(Apoio_Efeito!BK36)/Apoio_Efeito!$R$36</f>
        <v>#DIV/0!</v>
      </c>
      <c r="AR120" s="343" t="e">
        <f>(Apoio_Efeito!BK37)/Apoio_Efeito!$R$37</f>
        <v>#DIV/0!</v>
      </c>
      <c r="AS120" s="343" t="e">
        <f>(Apoio_Efeito!BK38)/Apoio_Efeito!$R$38</f>
        <v>#DIV/0!</v>
      </c>
      <c r="AT120" s="343" t="e">
        <f>(Apoio_Efeito!BK39)/Apoio_Efeito!$R$39</f>
        <v>#DIV/0!</v>
      </c>
      <c r="AU120" s="343" t="e">
        <f>(Apoio_Efeito!BK40)/Apoio_Efeito!$R$40</f>
        <v>#DIV/0!</v>
      </c>
      <c r="AV120" s="343" t="e">
        <f>(Apoio_Efeito!BK41)/Apoio_Efeito!$R$41</f>
        <v>#DIV/0!</v>
      </c>
      <c r="AW120" s="343" t="e">
        <f>(Apoio_Efeito!BK42)/Apoio_Efeito!$R$42</f>
        <v>#DIV/0!</v>
      </c>
      <c r="AX120" s="343" t="e">
        <f>(Apoio_Efeito!BK43)/Apoio_Efeito!$R$43</f>
        <v>#DIV/0!</v>
      </c>
      <c r="AY120" s="343" t="e">
        <f>(Apoio_Efeito!BK44)/Apoio_Efeito!$R$44</f>
        <v>#DIV/0!</v>
      </c>
      <c r="AZ120" s="343" t="e">
        <f>(Apoio_Efeito!BK45)/Apoio_Efeito!$R$45</f>
        <v>#DIV/0!</v>
      </c>
      <c r="BA120" s="345" t="e">
        <f>(Apoio_Efeito!BK46)/Apoio_Efeito!$R$46</f>
        <v>#DIV/0!</v>
      </c>
      <c r="BB120" s="343" t="e">
        <f>(Apoio_Efeito!BK47)/Apoio_Efeito!$R$47</f>
        <v>#DIV/0!</v>
      </c>
      <c r="BC120" s="343" t="e">
        <f>(Apoio_Efeito!BK48)/Apoio_Efeito!$R$48</f>
        <v>#DIV/0!</v>
      </c>
      <c r="BD120" s="343" t="e">
        <f>(Apoio_Efeito!BK49)/Apoio_Efeito!$R$49</f>
        <v>#DIV/0!</v>
      </c>
      <c r="BE120" s="343" t="e">
        <f>(Apoio_Efeito!BK50)/Apoio_Efeito!$R$50</f>
        <v>#DIV/0!</v>
      </c>
      <c r="BF120" s="343" t="e">
        <f>(Apoio_Efeito!BK51)/Apoio_Efeito!$R$51</f>
        <v>#DIV/0!</v>
      </c>
      <c r="BG120" s="344">
        <f>(Apoio_Efeito!BK52)/Apoio_Efeito!$R$52</f>
        <v>0</v>
      </c>
      <c r="BH120" s="344">
        <f>(Apoio_Efeito!BK53)/Apoio_Efeito!$R$53</f>
        <v>0</v>
      </c>
      <c r="BI120" s="100"/>
      <c r="BJ120" s="277">
        <f t="shared" si="14"/>
        <v>0</v>
      </c>
      <c r="BK120" s="96"/>
      <c r="BL120" s="32"/>
      <c r="BN120" s="5"/>
    </row>
    <row r="121" spans="6:66" ht="23.4" hidden="1" customHeight="1">
      <c r="F121" s="206"/>
      <c r="G121" s="207"/>
      <c r="H121" s="341" t="s">
        <v>542</v>
      </c>
      <c r="I121" s="84" t="e">
        <f>(Apoio_Efeito!BL4)/Apoio_Efeito!$R$4</f>
        <v>#DIV/0!</v>
      </c>
      <c r="J121" s="343" t="e">
        <f>(Apoio_Efeito!BL5)/Apoio_Efeito!$R$5</f>
        <v>#DIV/0!</v>
      </c>
      <c r="K121" s="343" t="e">
        <f>(Apoio_Efeito!BL6)/Apoio_Efeito!$R$6</f>
        <v>#DIV/0!</v>
      </c>
      <c r="L121" s="343">
        <f>(Apoio_Efeito!BL7)/Apoio_Efeito!$R$7</f>
        <v>0</v>
      </c>
      <c r="M121" s="343" t="e">
        <f>(Apoio_Efeito!BL54)/Apoio_Efeito!$R$54</f>
        <v>#DIV/0!</v>
      </c>
      <c r="N121" s="343" t="e">
        <f>(Apoio_Efeito!BL8)/Apoio_Efeito!$R$8</f>
        <v>#DIV/0!</v>
      </c>
      <c r="O121" s="343" t="e">
        <f>(Apoio_Efeito!BL9)/Apoio_Efeito!$R$9</f>
        <v>#DIV/0!</v>
      </c>
      <c r="P121" s="343" t="e">
        <f>(Apoio_Efeito!BL10)/Apoio_Efeito!$R$10</f>
        <v>#DIV/0!</v>
      </c>
      <c r="Q121" s="343" t="e">
        <f>(Apoio_Efeito!BL11)/Apoio_Efeito!$R$11</f>
        <v>#DIV/0!</v>
      </c>
      <c r="R121" s="343" t="e">
        <f>(Apoio_Efeito!BL12)/Apoio_Efeito!$R$12</f>
        <v>#DIV/0!</v>
      </c>
      <c r="S121" s="343" t="e">
        <f>(Apoio_Efeito!BL13)/Apoio_Efeito!$R$13</f>
        <v>#DIV/0!</v>
      </c>
      <c r="T121" s="343" t="e">
        <f>(Apoio_Efeito!BL14)/Apoio_Efeito!$R$14</f>
        <v>#DIV/0!</v>
      </c>
      <c r="U121" s="343" t="e">
        <f>(Apoio_Efeito!BL15)/Apoio_Efeito!$R$15</f>
        <v>#DIV/0!</v>
      </c>
      <c r="V121" s="343" t="e">
        <f>(Apoio_Efeito!BL16)/Apoio_Efeito!$R$16</f>
        <v>#DIV/0!</v>
      </c>
      <c r="W121" s="343" t="e">
        <f>(Apoio_Efeito!BL17)/Apoio_Efeito!$R$17</f>
        <v>#DIV/0!</v>
      </c>
      <c r="X121" s="345" t="e">
        <f>(Apoio_Efeito!BL18)/Apoio_Efeito!$R$18</f>
        <v>#DIV/0!</v>
      </c>
      <c r="Y121" s="343" t="e">
        <f>(Apoio_Efeito!BL19)/Apoio_Efeito!$R$19</f>
        <v>#DIV/0!</v>
      </c>
      <c r="Z121" s="343" t="e">
        <f>(Apoio_Efeito!BL20)/Apoio_Efeito!$R$20</f>
        <v>#DIV/0!</v>
      </c>
      <c r="AA121" s="343" t="e">
        <f>(Apoio_Efeito!BL21)/Apoio_Efeito!$R$21</f>
        <v>#DIV/0!</v>
      </c>
      <c r="AB121" s="343" t="e">
        <f>(Apoio_Efeito!BL22)/Apoio_Efeito!$R$22</f>
        <v>#DIV/0!</v>
      </c>
      <c r="AC121" s="343" t="e">
        <f>(Apoio_Efeito!BL23)/Apoio_Efeito!$R$23</f>
        <v>#DIV/0!</v>
      </c>
      <c r="AD121" s="343" t="e">
        <f>(Apoio_Efeito!BL24)/Apoio_Efeito!$R$24</f>
        <v>#DIV/0!</v>
      </c>
      <c r="AE121" s="343" t="e">
        <f>(Apoio_Efeito!BL25)/Apoio_Efeito!$R$25</f>
        <v>#DIV/0!</v>
      </c>
      <c r="AF121" s="343" t="e">
        <f>(Apoio_Efeito!BL26)/Apoio_Efeito!$R$26</f>
        <v>#DIV/0!</v>
      </c>
      <c r="AG121" s="343" t="e">
        <f>(Apoio_Efeito!BL27)/Apoio_Efeito!$R$27</f>
        <v>#DIV/0!</v>
      </c>
      <c r="AH121" s="343" t="e">
        <f>(Apoio_Efeito!BL28)/Apoio_Efeito!$R$28</f>
        <v>#DIV/0!</v>
      </c>
      <c r="AI121" s="343" t="e">
        <f>(Apoio_Efeito!BL29)/Apoio_Efeito!$R$29</f>
        <v>#DIV/0!</v>
      </c>
      <c r="AJ121" s="343" t="e">
        <f>(Apoio_Efeito!BL30)/Apoio_Efeito!$R$30</f>
        <v>#DIV/0!</v>
      </c>
      <c r="AK121" s="345" t="e">
        <f>(Apoio_Efeito!BL55)/Apoio_Efeito!$R$55</f>
        <v>#DIV/0!</v>
      </c>
      <c r="AL121" s="343" t="e">
        <f>(Apoio_Efeito!BL31)/Apoio_Efeito!$R$31</f>
        <v>#DIV/0!</v>
      </c>
      <c r="AM121" s="343" t="e">
        <f>(Apoio_Efeito!BL32)/Apoio_Efeito!$R$32</f>
        <v>#DIV/0!</v>
      </c>
      <c r="AN121" s="343" t="e">
        <f>(Apoio_Efeito!BL33)/Apoio_Efeito!$R$33</f>
        <v>#DIV/0!</v>
      </c>
      <c r="AO121" s="343" t="e">
        <f>(Apoio_Efeito!BL34)/Apoio_Efeito!$R$34</f>
        <v>#DIV/0!</v>
      </c>
      <c r="AP121" s="343" t="e">
        <f>(Apoio_Efeito!BL35)/Apoio_Efeito!$R$35</f>
        <v>#DIV/0!</v>
      </c>
      <c r="AQ121" s="343" t="e">
        <f>(Apoio_Efeito!BL36)/Apoio_Efeito!$R$36</f>
        <v>#DIV/0!</v>
      </c>
      <c r="AR121" s="343" t="e">
        <f>(Apoio_Efeito!BL37)/Apoio_Efeito!$R$37</f>
        <v>#DIV/0!</v>
      </c>
      <c r="AS121" s="343" t="e">
        <f>(Apoio_Efeito!BL38)/Apoio_Efeito!$R$38</f>
        <v>#DIV/0!</v>
      </c>
      <c r="AT121" s="343" t="e">
        <f>(Apoio_Efeito!BL39)/Apoio_Efeito!$R$39</f>
        <v>#DIV/0!</v>
      </c>
      <c r="AU121" s="343" t="e">
        <f>(Apoio_Efeito!BL40)/Apoio_Efeito!$R$40</f>
        <v>#DIV/0!</v>
      </c>
      <c r="AV121" s="343" t="e">
        <f>(Apoio_Efeito!BL41)/Apoio_Efeito!$R$41</f>
        <v>#DIV/0!</v>
      </c>
      <c r="AW121" s="343" t="e">
        <f>(Apoio_Efeito!BL42)/Apoio_Efeito!$R$42</f>
        <v>#DIV/0!</v>
      </c>
      <c r="AX121" s="343" t="e">
        <f>(Apoio_Efeito!BL43)/Apoio_Efeito!$R$43</f>
        <v>#DIV/0!</v>
      </c>
      <c r="AY121" s="343" t="e">
        <f>(Apoio_Efeito!BL44)/Apoio_Efeito!$R$44</f>
        <v>#DIV/0!</v>
      </c>
      <c r="AZ121" s="343" t="e">
        <f>(Apoio_Efeito!BL45)/Apoio_Efeito!$R$45</f>
        <v>#DIV/0!</v>
      </c>
      <c r="BA121" s="345" t="e">
        <f>(Apoio_Efeito!BL46)/Apoio_Efeito!$R$46</f>
        <v>#DIV/0!</v>
      </c>
      <c r="BB121" s="343" t="e">
        <f>(Apoio_Efeito!BL47)/Apoio_Efeito!$R$47</f>
        <v>#DIV/0!</v>
      </c>
      <c r="BC121" s="343" t="e">
        <f>(Apoio_Efeito!BL48)/Apoio_Efeito!$R$48</f>
        <v>#DIV/0!</v>
      </c>
      <c r="BD121" s="343" t="e">
        <f>(Apoio_Efeito!BL49)/Apoio_Efeito!$R$49</f>
        <v>#DIV/0!</v>
      </c>
      <c r="BE121" s="343" t="e">
        <f>(Apoio_Efeito!BL50)/Apoio_Efeito!$R$50</f>
        <v>#DIV/0!</v>
      </c>
      <c r="BF121" s="343" t="e">
        <f>(Apoio_Efeito!BL51)/Apoio_Efeito!$R$51</f>
        <v>#DIV/0!</v>
      </c>
      <c r="BG121" s="344">
        <f>(Apoio_Efeito!BL52)/Apoio_Efeito!$R$52</f>
        <v>0</v>
      </c>
      <c r="BH121" s="344">
        <f>(Apoio_Efeito!BL53)/Apoio_Efeito!$R$53</f>
        <v>0</v>
      </c>
      <c r="BI121" s="100"/>
      <c r="BJ121" s="277">
        <f t="shared" si="14"/>
        <v>0</v>
      </c>
      <c r="BK121" s="96"/>
      <c r="BL121" s="32"/>
      <c r="BN121" s="5"/>
    </row>
    <row r="122" spans="6:66" ht="23" hidden="1" customHeight="1">
      <c r="F122" s="206"/>
      <c r="G122" s="207"/>
      <c r="H122" s="83" t="str">
        <f>'Componentes Financeiros'!D37</f>
        <v>Diferimento Encargos ESS e EER</v>
      </c>
      <c r="I122" s="84" t="e">
        <f>(Apoio_Efeito!BM4)/Apoio_Efeito!$R$4</f>
        <v>#DIV/0!</v>
      </c>
      <c r="J122" s="343" t="e">
        <f>(Apoio_Efeito!BM5)/Apoio_Efeito!$R$5</f>
        <v>#DIV/0!</v>
      </c>
      <c r="K122" s="343" t="e">
        <f>(Apoio_Efeito!BM6)/Apoio_Efeito!$R$6</f>
        <v>#DIV/0!</v>
      </c>
      <c r="L122" s="343">
        <f>(Apoio_Efeito!BM7)/Apoio_Efeito!$R$7</f>
        <v>0</v>
      </c>
      <c r="M122" s="343" t="e">
        <f>(Apoio_Efeito!BM54)/Apoio_Efeito!$R$54</f>
        <v>#DIV/0!</v>
      </c>
      <c r="N122" s="343" t="e">
        <f>(Apoio_Efeito!BM8)/Apoio_Efeito!$R$8</f>
        <v>#DIV/0!</v>
      </c>
      <c r="O122" s="343" t="e">
        <f>(Apoio_Efeito!BM9)/Apoio_Efeito!$R$9</f>
        <v>#DIV/0!</v>
      </c>
      <c r="P122" s="343" t="e">
        <f>(Apoio_Efeito!BM10)/Apoio_Efeito!$R$10</f>
        <v>#DIV/0!</v>
      </c>
      <c r="Q122" s="343" t="e">
        <f>(Apoio_Efeito!BM11)/Apoio_Efeito!$R$11</f>
        <v>#DIV/0!</v>
      </c>
      <c r="R122" s="343" t="e">
        <f>(Apoio_Efeito!BM12)/Apoio_Efeito!$R$12</f>
        <v>#DIV/0!</v>
      </c>
      <c r="S122" s="343" t="e">
        <f>(Apoio_Efeito!BM13)/Apoio_Efeito!$R$13</f>
        <v>#DIV/0!</v>
      </c>
      <c r="T122" s="343" t="e">
        <f>(Apoio_Efeito!BM14)/Apoio_Efeito!$R$14</f>
        <v>#DIV/0!</v>
      </c>
      <c r="U122" s="343" t="e">
        <f>(Apoio_Efeito!BM15)/Apoio_Efeito!$R$15</f>
        <v>#DIV/0!</v>
      </c>
      <c r="V122" s="343" t="e">
        <f>(Apoio_Efeito!BM16)/Apoio_Efeito!$R$16</f>
        <v>#DIV/0!</v>
      </c>
      <c r="W122" s="343" t="e">
        <f>(Apoio_Efeito!BM17)/Apoio_Efeito!$R$17</f>
        <v>#DIV/0!</v>
      </c>
      <c r="X122" s="345" t="e">
        <f>(Apoio_Efeito!BM18)/Apoio_Efeito!$R$18</f>
        <v>#DIV/0!</v>
      </c>
      <c r="Y122" s="343" t="e">
        <f>(Apoio_Efeito!BM19)/Apoio_Efeito!$R$19</f>
        <v>#DIV/0!</v>
      </c>
      <c r="Z122" s="343" t="e">
        <f>(Apoio_Efeito!BM20)/Apoio_Efeito!$R$20</f>
        <v>#DIV/0!</v>
      </c>
      <c r="AA122" s="343" t="e">
        <f>(Apoio_Efeito!BM21)/Apoio_Efeito!$R$21</f>
        <v>#DIV/0!</v>
      </c>
      <c r="AB122" s="343" t="e">
        <f>(Apoio_Efeito!BM22)/Apoio_Efeito!$R$22</f>
        <v>#DIV/0!</v>
      </c>
      <c r="AC122" s="343" t="e">
        <f>(Apoio_Efeito!BM23)/Apoio_Efeito!$R$23</f>
        <v>#DIV/0!</v>
      </c>
      <c r="AD122" s="343" t="e">
        <f>(Apoio_Efeito!BM24)/Apoio_Efeito!$R$24</f>
        <v>#DIV/0!</v>
      </c>
      <c r="AE122" s="343" t="e">
        <f>(Apoio_Efeito!BM25)/Apoio_Efeito!$R$25</f>
        <v>#DIV/0!</v>
      </c>
      <c r="AF122" s="343" t="e">
        <f>(Apoio_Efeito!BM26)/Apoio_Efeito!$R$26</f>
        <v>#DIV/0!</v>
      </c>
      <c r="AG122" s="343" t="e">
        <f>(Apoio_Efeito!BM27)/Apoio_Efeito!$R$27</f>
        <v>#DIV/0!</v>
      </c>
      <c r="AH122" s="343" t="e">
        <f>(Apoio_Efeito!BM28)/Apoio_Efeito!$R$28</f>
        <v>#DIV/0!</v>
      </c>
      <c r="AI122" s="343" t="e">
        <f>(Apoio_Efeito!BM29)/Apoio_Efeito!$R$29</f>
        <v>#DIV/0!</v>
      </c>
      <c r="AJ122" s="343" t="e">
        <f>(Apoio_Efeito!BM30)/Apoio_Efeito!$R$30</f>
        <v>#DIV/0!</v>
      </c>
      <c r="AK122" s="345" t="e">
        <f>(Apoio_Efeito!BM55)/Apoio_Efeito!$R$55</f>
        <v>#DIV/0!</v>
      </c>
      <c r="AL122" s="343" t="e">
        <f>(Apoio_Efeito!BM31)/Apoio_Efeito!$R$31</f>
        <v>#DIV/0!</v>
      </c>
      <c r="AM122" s="343" t="e">
        <f>(Apoio_Efeito!BM32)/Apoio_Efeito!$R$32</f>
        <v>#DIV/0!</v>
      </c>
      <c r="AN122" s="343" t="e">
        <f>(Apoio_Efeito!BM33)/Apoio_Efeito!$R$33</f>
        <v>#DIV/0!</v>
      </c>
      <c r="AO122" s="343" t="e">
        <f>(Apoio_Efeito!BM34)/Apoio_Efeito!$R$34</f>
        <v>#DIV/0!</v>
      </c>
      <c r="AP122" s="343" t="e">
        <f>(Apoio_Efeito!BM35)/Apoio_Efeito!$R$35</f>
        <v>#DIV/0!</v>
      </c>
      <c r="AQ122" s="343" t="e">
        <f>(Apoio_Efeito!BM36)/Apoio_Efeito!$R$36</f>
        <v>#DIV/0!</v>
      </c>
      <c r="AR122" s="343" t="e">
        <f>(Apoio_Efeito!BM37)/Apoio_Efeito!$R$37</f>
        <v>#DIV/0!</v>
      </c>
      <c r="AS122" s="343" t="e">
        <f>(Apoio_Efeito!BM38)/Apoio_Efeito!$R$38</f>
        <v>#DIV/0!</v>
      </c>
      <c r="AT122" s="343" t="e">
        <f>(Apoio_Efeito!BM39)/Apoio_Efeito!$R$39</f>
        <v>#DIV/0!</v>
      </c>
      <c r="AU122" s="343" t="e">
        <f>(Apoio_Efeito!BM40)/Apoio_Efeito!$R$40</f>
        <v>#DIV/0!</v>
      </c>
      <c r="AV122" s="343" t="e">
        <f>(Apoio_Efeito!BM41)/Apoio_Efeito!$R$41</f>
        <v>#DIV/0!</v>
      </c>
      <c r="AW122" s="343" t="e">
        <f>(Apoio_Efeito!BM42)/Apoio_Efeito!$R$42</f>
        <v>#DIV/0!</v>
      </c>
      <c r="AX122" s="343" t="e">
        <f>(Apoio_Efeito!BM43)/Apoio_Efeito!$R$43</f>
        <v>#DIV/0!</v>
      </c>
      <c r="AY122" s="343" t="e">
        <f>(Apoio_Efeito!BM44)/Apoio_Efeito!$R$44</f>
        <v>#DIV/0!</v>
      </c>
      <c r="AZ122" s="343" t="e">
        <f>(Apoio_Efeito!BM45)/Apoio_Efeito!$R$45</f>
        <v>#DIV/0!</v>
      </c>
      <c r="BA122" s="345" t="e">
        <f>(Apoio_Efeito!BM46)/Apoio_Efeito!$R$46</f>
        <v>#DIV/0!</v>
      </c>
      <c r="BB122" s="343" t="e">
        <f>(Apoio_Efeito!BM47)/Apoio_Efeito!$R$47</f>
        <v>#DIV/0!</v>
      </c>
      <c r="BC122" s="343" t="e">
        <f>(Apoio_Efeito!BM48)/Apoio_Efeito!$R$48</f>
        <v>#DIV/0!</v>
      </c>
      <c r="BD122" s="343" t="e">
        <f>(Apoio_Efeito!BM49)/Apoio_Efeito!$R$49</f>
        <v>#DIV/0!</v>
      </c>
      <c r="BE122" s="343" t="e">
        <f>(Apoio_Efeito!BM50)/Apoio_Efeito!$R$50</f>
        <v>#DIV/0!</v>
      </c>
      <c r="BF122" s="343" t="e">
        <f>(Apoio_Efeito!BM51)/Apoio_Efeito!$R$51</f>
        <v>#DIV/0!</v>
      </c>
      <c r="BG122" s="344">
        <f>(Apoio_Efeito!BM52)/Apoio_Efeito!$R$52</f>
        <v>0</v>
      </c>
      <c r="BH122" s="344">
        <f>(Apoio_Efeito!BM53)/Apoio_Efeito!$R$53</f>
        <v>0</v>
      </c>
      <c r="BI122" s="100"/>
      <c r="BJ122" s="277">
        <f t="shared" si="14"/>
        <v>0</v>
      </c>
      <c r="BK122" s="96"/>
      <c r="BL122" s="32"/>
      <c r="BN122" s="5"/>
    </row>
    <row r="123" spans="6:66" hidden="1">
      <c r="F123" s="206"/>
      <c r="G123" s="207"/>
      <c r="H123" s="83" t="str">
        <f>'Componentes Financeiros'!D38</f>
        <v>Diferimento de PIS/Cofins</v>
      </c>
      <c r="I123" s="84" t="e">
        <f>(Apoio_Efeito!BN4)/Apoio_Efeito!$R$4</f>
        <v>#DIV/0!</v>
      </c>
      <c r="J123" s="343" t="e">
        <f>(Apoio_Efeito!BN5)/Apoio_Efeito!$R$5</f>
        <v>#DIV/0!</v>
      </c>
      <c r="K123" s="343" t="e">
        <f>(Apoio_Efeito!BN6)/Apoio_Efeito!$R$6</f>
        <v>#DIV/0!</v>
      </c>
      <c r="L123" s="343">
        <f>(Apoio_Efeito!BN7)/Apoio_Efeito!$R$7</f>
        <v>0</v>
      </c>
      <c r="M123" s="343" t="e">
        <f>(Apoio_Efeito!BN54)/Apoio_Efeito!$R$54</f>
        <v>#DIV/0!</v>
      </c>
      <c r="N123" s="343" t="e">
        <f>(Apoio_Efeito!BN8)/Apoio_Efeito!$R$8</f>
        <v>#DIV/0!</v>
      </c>
      <c r="O123" s="343" t="e">
        <f>(Apoio_Efeito!BN9)/Apoio_Efeito!$R$9</f>
        <v>#DIV/0!</v>
      </c>
      <c r="P123" s="343" t="e">
        <f>(Apoio_Efeito!BN10)/Apoio_Efeito!$R$10</f>
        <v>#DIV/0!</v>
      </c>
      <c r="Q123" s="343" t="e">
        <f>(Apoio_Efeito!BN11)/Apoio_Efeito!$R$11</f>
        <v>#DIV/0!</v>
      </c>
      <c r="R123" s="343" t="e">
        <f>(Apoio_Efeito!BN12)/Apoio_Efeito!$R$12</f>
        <v>#DIV/0!</v>
      </c>
      <c r="S123" s="343" t="e">
        <f>(Apoio_Efeito!BN13)/Apoio_Efeito!$R$13</f>
        <v>#DIV/0!</v>
      </c>
      <c r="T123" s="343" t="e">
        <f>(Apoio_Efeito!BN14)/Apoio_Efeito!$R$14</f>
        <v>#DIV/0!</v>
      </c>
      <c r="U123" s="343" t="e">
        <f>(Apoio_Efeito!BN15)/Apoio_Efeito!$R$15</f>
        <v>#DIV/0!</v>
      </c>
      <c r="V123" s="343" t="e">
        <f>(Apoio_Efeito!BN16)/Apoio_Efeito!$R$16</f>
        <v>#DIV/0!</v>
      </c>
      <c r="W123" s="343" t="e">
        <f>(Apoio_Efeito!BN17)/Apoio_Efeito!$R$17</f>
        <v>#DIV/0!</v>
      </c>
      <c r="X123" s="345" t="e">
        <f>(Apoio_Efeito!BN18)/Apoio_Efeito!$R$18</f>
        <v>#DIV/0!</v>
      </c>
      <c r="Y123" s="343" t="e">
        <f>(Apoio_Efeito!BN19)/Apoio_Efeito!$R$19</f>
        <v>#DIV/0!</v>
      </c>
      <c r="Z123" s="343" t="e">
        <f>(Apoio_Efeito!BN20)/Apoio_Efeito!$R$20</f>
        <v>#DIV/0!</v>
      </c>
      <c r="AA123" s="343" t="e">
        <f>(Apoio_Efeito!BN21)/Apoio_Efeito!$R$21</f>
        <v>#DIV/0!</v>
      </c>
      <c r="AB123" s="343" t="e">
        <f>(Apoio_Efeito!BN22)/Apoio_Efeito!$R$22</f>
        <v>#DIV/0!</v>
      </c>
      <c r="AC123" s="343" t="e">
        <f>(Apoio_Efeito!BN23)/Apoio_Efeito!$R$23</f>
        <v>#DIV/0!</v>
      </c>
      <c r="AD123" s="343" t="e">
        <f>(Apoio_Efeito!BN24)/Apoio_Efeito!$R$24</f>
        <v>#DIV/0!</v>
      </c>
      <c r="AE123" s="343" t="e">
        <f>(Apoio_Efeito!BN25)/Apoio_Efeito!$R$25</f>
        <v>#DIV/0!</v>
      </c>
      <c r="AF123" s="343" t="e">
        <f>(Apoio_Efeito!BN26)/Apoio_Efeito!$R$26</f>
        <v>#DIV/0!</v>
      </c>
      <c r="AG123" s="343" t="e">
        <f>(Apoio_Efeito!BN27)/Apoio_Efeito!$R$27</f>
        <v>#DIV/0!</v>
      </c>
      <c r="AH123" s="343" t="e">
        <f>(Apoio_Efeito!BN28)/Apoio_Efeito!$R$28</f>
        <v>#DIV/0!</v>
      </c>
      <c r="AI123" s="343" t="e">
        <f>(Apoio_Efeito!BN29)/Apoio_Efeito!$R$29</f>
        <v>#DIV/0!</v>
      </c>
      <c r="AJ123" s="343" t="e">
        <f>(Apoio_Efeito!BN30)/Apoio_Efeito!$R$30</f>
        <v>#DIV/0!</v>
      </c>
      <c r="AK123" s="345" t="e">
        <f>(Apoio_Efeito!BN55)/Apoio_Efeito!$R$55</f>
        <v>#DIV/0!</v>
      </c>
      <c r="AL123" s="343" t="e">
        <f>(Apoio_Efeito!BN31)/Apoio_Efeito!$R$31</f>
        <v>#DIV/0!</v>
      </c>
      <c r="AM123" s="343" t="e">
        <f>(Apoio_Efeito!BN32)/Apoio_Efeito!$R$32</f>
        <v>#DIV/0!</v>
      </c>
      <c r="AN123" s="343" t="e">
        <f>(Apoio_Efeito!BN33)/Apoio_Efeito!$R$33</f>
        <v>#DIV/0!</v>
      </c>
      <c r="AO123" s="343" t="e">
        <f>(Apoio_Efeito!BN34)/Apoio_Efeito!$R$34</f>
        <v>#DIV/0!</v>
      </c>
      <c r="AP123" s="343" t="e">
        <f>(Apoio_Efeito!BN35)/Apoio_Efeito!$R$35</f>
        <v>#DIV/0!</v>
      </c>
      <c r="AQ123" s="343" t="e">
        <f>(Apoio_Efeito!BN36)/Apoio_Efeito!$R$36</f>
        <v>#DIV/0!</v>
      </c>
      <c r="AR123" s="343" t="e">
        <f>(Apoio_Efeito!BN37)/Apoio_Efeito!$R$37</f>
        <v>#DIV/0!</v>
      </c>
      <c r="AS123" s="343" t="e">
        <f>(Apoio_Efeito!BN38)/Apoio_Efeito!$R$38</f>
        <v>#DIV/0!</v>
      </c>
      <c r="AT123" s="343" t="e">
        <f>(Apoio_Efeito!BN39)/Apoio_Efeito!$R$39</f>
        <v>#DIV/0!</v>
      </c>
      <c r="AU123" s="343" t="e">
        <f>(Apoio_Efeito!BN40)/Apoio_Efeito!$R$40</f>
        <v>#DIV/0!</v>
      </c>
      <c r="AV123" s="343" t="e">
        <f>(Apoio_Efeito!BN41)/Apoio_Efeito!$R$41</f>
        <v>#DIV/0!</v>
      </c>
      <c r="AW123" s="343" t="e">
        <f>(Apoio_Efeito!BN42)/Apoio_Efeito!$R$42</f>
        <v>#DIV/0!</v>
      </c>
      <c r="AX123" s="343" t="e">
        <f>(Apoio_Efeito!BN43)/Apoio_Efeito!$R$43</f>
        <v>#DIV/0!</v>
      </c>
      <c r="AY123" s="343" t="e">
        <f>(Apoio_Efeito!BN44)/Apoio_Efeito!$R$44</f>
        <v>#DIV/0!</v>
      </c>
      <c r="AZ123" s="343" t="e">
        <f>(Apoio_Efeito!BN45)/Apoio_Efeito!$R$45</f>
        <v>#DIV/0!</v>
      </c>
      <c r="BA123" s="345" t="e">
        <f>(Apoio_Efeito!BN46)/Apoio_Efeito!$R$46</f>
        <v>#DIV/0!</v>
      </c>
      <c r="BB123" s="343" t="e">
        <f>(Apoio_Efeito!BN47)/Apoio_Efeito!$R$47</f>
        <v>#DIV/0!</v>
      </c>
      <c r="BC123" s="343" t="e">
        <f>(Apoio_Efeito!BN48)/Apoio_Efeito!$R$48</f>
        <v>#DIV/0!</v>
      </c>
      <c r="BD123" s="343" t="e">
        <f>(Apoio_Efeito!BN49)/Apoio_Efeito!$R$49</f>
        <v>#DIV/0!</v>
      </c>
      <c r="BE123" s="343" t="e">
        <f>(Apoio_Efeito!BN50)/Apoio_Efeito!$R$50</f>
        <v>#DIV/0!</v>
      </c>
      <c r="BF123" s="343" t="e">
        <f>(Apoio_Efeito!BN51)/Apoio_Efeito!$R$51</f>
        <v>#DIV/0!</v>
      </c>
      <c r="BG123" s="344">
        <f>(Apoio_Efeito!BN52)/Apoio_Efeito!$R$52</f>
        <v>0</v>
      </c>
      <c r="BH123" s="344">
        <f>(Apoio_Efeito!BN53)/Apoio_Efeito!$R$53</f>
        <v>0</v>
      </c>
      <c r="BI123" s="100"/>
      <c r="BJ123" s="277">
        <f t="shared" si="14"/>
        <v>0</v>
      </c>
      <c r="BK123" s="96"/>
      <c r="BL123" s="32"/>
      <c r="BN123" s="5"/>
    </row>
    <row r="124" spans="6:66" hidden="1">
      <c r="F124" s="206"/>
      <c r="G124" s="207"/>
      <c r="H124" s="83" t="str">
        <f>'Componentes Financeiros'!D39</f>
        <v>Diferimento Parcela B</v>
      </c>
      <c r="I124" s="84" t="e">
        <f>(Apoio_Efeito!BO4)/Apoio_Efeito!$R$4</f>
        <v>#DIV/0!</v>
      </c>
      <c r="J124" s="343" t="e">
        <f>(Apoio_Efeito!BO5)/Apoio_Efeito!$R$5</f>
        <v>#DIV/0!</v>
      </c>
      <c r="K124" s="343" t="e">
        <f>(Apoio_Efeito!BO6)/Apoio_Efeito!$R$6</f>
        <v>#DIV/0!</v>
      </c>
      <c r="L124" s="343">
        <f>(Apoio_Efeito!BO7)/Apoio_Efeito!$R$7</f>
        <v>0</v>
      </c>
      <c r="M124" s="343" t="e">
        <f>(Apoio_Efeito!BO54)/Apoio_Efeito!$R$54</f>
        <v>#DIV/0!</v>
      </c>
      <c r="N124" s="343" t="e">
        <f>(Apoio_Efeito!BO8)/Apoio_Efeito!$R$8</f>
        <v>#DIV/0!</v>
      </c>
      <c r="O124" s="343" t="e">
        <f>(Apoio_Efeito!BO9)/Apoio_Efeito!$R$9</f>
        <v>#DIV/0!</v>
      </c>
      <c r="P124" s="343" t="e">
        <f>(Apoio_Efeito!BO10)/Apoio_Efeito!$R$10</f>
        <v>#DIV/0!</v>
      </c>
      <c r="Q124" s="343" t="e">
        <f>(Apoio_Efeito!BO11)/Apoio_Efeito!$R$11</f>
        <v>#DIV/0!</v>
      </c>
      <c r="R124" s="343" t="e">
        <f>(Apoio_Efeito!BO12)/Apoio_Efeito!$R$12</f>
        <v>#DIV/0!</v>
      </c>
      <c r="S124" s="343" t="e">
        <f>(Apoio_Efeito!BO13)/Apoio_Efeito!$R$13</f>
        <v>#DIV/0!</v>
      </c>
      <c r="T124" s="343" t="e">
        <f>(Apoio_Efeito!BO14)/Apoio_Efeito!$R$14</f>
        <v>#DIV/0!</v>
      </c>
      <c r="U124" s="343" t="e">
        <f>(Apoio_Efeito!BO15)/Apoio_Efeito!$R$15</f>
        <v>#DIV/0!</v>
      </c>
      <c r="V124" s="343" t="e">
        <f>(Apoio_Efeito!BO16)/Apoio_Efeito!$R$16</f>
        <v>#DIV/0!</v>
      </c>
      <c r="W124" s="343" t="e">
        <f>(Apoio_Efeito!BO17)/Apoio_Efeito!$R$17</f>
        <v>#DIV/0!</v>
      </c>
      <c r="X124" s="345" t="e">
        <f>(Apoio_Efeito!BO18)/Apoio_Efeito!$R$18</f>
        <v>#DIV/0!</v>
      </c>
      <c r="Y124" s="343" t="e">
        <f>(Apoio_Efeito!BO19)/Apoio_Efeito!$R$19</f>
        <v>#DIV/0!</v>
      </c>
      <c r="Z124" s="343" t="e">
        <f>(Apoio_Efeito!BO20)/Apoio_Efeito!$R$20</f>
        <v>#DIV/0!</v>
      </c>
      <c r="AA124" s="343" t="e">
        <f>(Apoio_Efeito!BO21)/Apoio_Efeito!$R$21</f>
        <v>#DIV/0!</v>
      </c>
      <c r="AB124" s="343" t="e">
        <f>(Apoio_Efeito!BO22)/Apoio_Efeito!$R$22</f>
        <v>#DIV/0!</v>
      </c>
      <c r="AC124" s="343" t="e">
        <f>(Apoio_Efeito!BO23)/Apoio_Efeito!$R$23</f>
        <v>#DIV/0!</v>
      </c>
      <c r="AD124" s="343" t="e">
        <f>(Apoio_Efeito!BO24)/Apoio_Efeito!$R$24</f>
        <v>#DIV/0!</v>
      </c>
      <c r="AE124" s="343" t="e">
        <f>(Apoio_Efeito!BO25)/Apoio_Efeito!$R$25</f>
        <v>#DIV/0!</v>
      </c>
      <c r="AF124" s="343" t="e">
        <f>(Apoio_Efeito!BO26)/Apoio_Efeito!$R$26</f>
        <v>#DIV/0!</v>
      </c>
      <c r="AG124" s="343" t="e">
        <f>(Apoio_Efeito!BO27)/Apoio_Efeito!$R$27</f>
        <v>#DIV/0!</v>
      </c>
      <c r="AH124" s="343" t="e">
        <f>(Apoio_Efeito!BO28)/Apoio_Efeito!$R$28</f>
        <v>#DIV/0!</v>
      </c>
      <c r="AI124" s="343" t="e">
        <f>(Apoio_Efeito!BO29)/Apoio_Efeito!$R$29</f>
        <v>#DIV/0!</v>
      </c>
      <c r="AJ124" s="343" t="e">
        <f>(Apoio_Efeito!BO30)/Apoio_Efeito!$R$30</f>
        <v>#DIV/0!</v>
      </c>
      <c r="AK124" s="345" t="e">
        <f>(Apoio_Efeito!BO55)/Apoio_Efeito!$R$55</f>
        <v>#DIV/0!</v>
      </c>
      <c r="AL124" s="343" t="e">
        <f>(Apoio_Efeito!BO31)/Apoio_Efeito!$R$31</f>
        <v>#DIV/0!</v>
      </c>
      <c r="AM124" s="343" t="e">
        <f>(Apoio_Efeito!BO32)/Apoio_Efeito!$R$32</f>
        <v>#DIV/0!</v>
      </c>
      <c r="AN124" s="343" t="e">
        <f>(Apoio_Efeito!BO33)/Apoio_Efeito!$R$33</f>
        <v>#DIV/0!</v>
      </c>
      <c r="AO124" s="343" t="e">
        <f>(Apoio_Efeito!BO34)/Apoio_Efeito!$R$34</f>
        <v>#DIV/0!</v>
      </c>
      <c r="AP124" s="343" t="e">
        <f>(Apoio_Efeito!BO35)/Apoio_Efeito!$R$35</f>
        <v>#DIV/0!</v>
      </c>
      <c r="AQ124" s="343" t="e">
        <f>(Apoio_Efeito!BO36)/Apoio_Efeito!$R$36</f>
        <v>#DIV/0!</v>
      </c>
      <c r="AR124" s="343" t="e">
        <f>(Apoio_Efeito!BO37)/Apoio_Efeito!$R$37</f>
        <v>#DIV/0!</v>
      </c>
      <c r="AS124" s="343" t="e">
        <f>(Apoio_Efeito!BO38)/Apoio_Efeito!$R$38</f>
        <v>#DIV/0!</v>
      </c>
      <c r="AT124" s="343" t="e">
        <f>(Apoio_Efeito!BO39)/Apoio_Efeito!$R$39</f>
        <v>#DIV/0!</v>
      </c>
      <c r="AU124" s="343" t="e">
        <f>(Apoio_Efeito!BO40)/Apoio_Efeito!$R$40</f>
        <v>#DIV/0!</v>
      </c>
      <c r="AV124" s="343" t="e">
        <f>(Apoio_Efeito!BO41)/Apoio_Efeito!$R$41</f>
        <v>#DIV/0!</v>
      </c>
      <c r="AW124" s="343" t="e">
        <f>(Apoio_Efeito!BO42)/Apoio_Efeito!$R$42</f>
        <v>#DIV/0!</v>
      </c>
      <c r="AX124" s="343" t="e">
        <f>(Apoio_Efeito!BO43)/Apoio_Efeito!$R$43</f>
        <v>#DIV/0!</v>
      </c>
      <c r="AY124" s="343" t="e">
        <f>(Apoio_Efeito!BO44)/Apoio_Efeito!$R$44</f>
        <v>#DIV/0!</v>
      </c>
      <c r="AZ124" s="343" t="e">
        <f>(Apoio_Efeito!BO45)/Apoio_Efeito!$R$45</f>
        <v>#DIV/0!</v>
      </c>
      <c r="BA124" s="345" t="e">
        <f>(Apoio_Efeito!BO46)/Apoio_Efeito!$R$46</f>
        <v>#DIV/0!</v>
      </c>
      <c r="BB124" s="343" t="e">
        <f>(Apoio_Efeito!BO47)/Apoio_Efeito!$R$47</f>
        <v>#DIV/0!</v>
      </c>
      <c r="BC124" s="343" t="e">
        <f>(Apoio_Efeito!BO48)/Apoio_Efeito!$R$48</f>
        <v>#DIV/0!</v>
      </c>
      <c r="BD124" s="343" t="e">
        <f>(Apoio_Efeito!BO49)/Apoio_Efeito!$R$49</f>
        <v>#DIV/0!</v>
      </c>
      <c r="BE124" s="343" t="e">
        <f>(Apoio_Efeito!BO50)/Apoio_Efeito!$R$50</f>
        <v>#DIV/0!</v>
      </c>
      <c r="BF124" s="343" t="e">
        <f>(Apoio_Efeito!BO51)/Apoio_Efeito!$R$51</f>
        <v>#DIV/0!</v>
      </c>
      <c r="BG124" s="344">
        <f>(Apoio_Efeito!BO52)/Apoio_Efeito!$R$52</f>
        <v>0</v>
      </c>
      <c r="BH124" s="344">
        <f>(Apoio_Efeito!BO53)/Apoio_Efeito!$R$53</f>
        <v>0</v>
      </c>
      <c r="BI124" s="100"/>
      <c r="BJ124" s="277">
        <f t="shared" si="14"/>
        <v>0</v>
      </c>
      <c r="BK124" s="96"/>
      <c r="BL124" s="32"/>
      <c r="BN124" s="5"/>
    </row>
    <row r="125" spans="6:66" hidden="1">
      <c r="F125" s="206"/>
      <c r="G125" s="207"/>
      <c r="H125" s="83" t="str">
        <f>'Componentes Financeiros'!D40</f>
        <v>Quitação conta Covid TE</v>
      </c>
      <c r="I125" s="84" t="e">
        <f>(Apoio_Efeito!BP4)/Apoio_Efeito!$R$4</f>
        <v>#DIV/0!</v>
      </c>
      <c r="J125" s="343" t="e">
        <f>(Apoio_Efeito!BP5)/Apoio_Efeito!$R$5</f>
        <v>#DIV/0!</v>
      </c>
      <c r="K125" s="343" t="e">
        <f>(Apoio_Efeito!BP6)/Apoio_Efeito!$R$6</f>
        <v>#DIV/0!</v>
      </c>
      <c r="L125" s="343">
        <f>(Apoio_Efeito!BP7)/Apoio_Efeito!$R$7</f>
        <v>0</v>
      </c>
      <c r="M125" s="343" t="e">
        <f>(Apoio_Efeito!BP54)/Apoio_Efeito!$R$54</f>
        <v>#DIV/0!</v>
      </c>
      <c r="N125" s="343" t="e">
        <f>(Apoio_Efeito!BP8)/Apoio_Efeito!$R$8</f>
        <v>#DIV/0!</v>
      </c>
      <c r="O125" s="343" t="e">
        <f>(Apoio_Efeito!BP9)/Apoio_Efeito!$R$9</f>
        <v>#DIV/0!</v>
      </c>
      <c r="P125" s="343" t="e">
        <f>(Apoio_Efeito!BP10)/Apoio_Efeito!$R$10</f>
        <v>#DIV/0!</v>
      </c>
      <c r="Q125" s="343" t="e">
        <f>(Apoio_Efeito!BP11)/Apoio_Efeito!$R$11</f>
        <v>#DIV/0!</v>
      </c>
      <c r="R125" s="343" t="e">
        <f>(Apoio_Efeito!BP12)/Apoio_Efeito!$R$12</f>
        <v>#DIV/0!</v>
      </c>
      <c r="S125" s="343" t="e">
        <f>(Apoio_Efeito!BP13)/Apoio_Efeito!$R$13</f>
        <v>#DIV/0!</v>
      </c>
      <c r="T125" s="343" t="e">
        <f>(Apoio_Efeito!BP14)/Apoio_Efeito!$R$14</f>
        <v>#DIV/0!</v>
      </c>
      <c r="U125" s="343" t="e">
        <f>(Apoio_Efeito!BP15)/Apoio_Efeito!$R$15</f>
        <v>#DIV/0!</v>
      </c>
      <c r="V125" s="343" t="e">
        <f>(Apoio_Efeito!BP16)/Apoio_Efeito!$R$16</f>
        <v>#DIV/0!</v>
      </c>
      <c r="W125" s="343" t="e">
        <f>(Apoio_Efeito!BP17)/Apoio_Efeito!$R$17</f>
        <v>#DIV/0!</v>
      </c>
      <c r="X125" s="345" t="e">
        <f>(Apoio_Efeito!BP18)/Apoio_Efeito!$R$18</f>
        <v>#DIV/0!</v>
      </c>
      <c r="Y125" s="343" t="e">
        <f>(Apoio_Efeito!BP19)/Apoio_Efeito!$R$19</f>
        <v>#DIV/0!</v>
      </c>
      <c r="Z125" s="343" t="e">
        <f>(Apoio_Efeito!BP20)/Apoio_Efeito!$R$20</f>
        <v>#DIV/0!</v>
      </c>
      <c r="AA125" s="343" t="e">
        <f>(Apoio_Efeito!BP21)/Apoio_Efeito!$R$21</f>
        <v>#DIV/0!</v>
      </c>
      <c r="AB125" s="343" t="e">
        <f>(Apoio_Efeito!BP22)/Apoio_Efeito!$R$22</f>
        <v>#DIV/0!</v>
      </c>
      <c r="AC125" s="343" t="e">
        <f>(Apoio_Efeito!BP23)/Apoio_Efeito!$R$23</f>
        <v>#DIV/0!</v>
      </c>
      <c r="AD125" s="343" t="e">
        <f>(Apoio_Efeito!BP24)/Apoio_Efeito!$R$24</f>
        <v>#DIV/0!</v>
      </c>
      <c r="AE125" s="343" t="e">
        <f>(Apoio_Efeito!BP25)/Apoio_Efeito!$R$25</f>
        <v>#DIV/0!</v>
      </c>
      <c r="AF125" s="343" t="e">
        <f>(Apoio_Efeito!BP26)/Apoio_Efeito!$R$26</f>
        <v>#DIV/0!</v>
      </c>
      <c r="AG125" s="343" t="e">
        <f>(Apoio_Efeito!BP27)/Apoio_Efeito!$R$27</f>
        <v>#DIV/0!</v>
      </c>
      <c r="AH125" s="343" t="e">
        <f>(Apoio_Efeito!BP28)/Apoio_Efeito!$R$28</f>
        <v>#DIV/0!</v>
      </c>
      <c r="AI125" s="343" t="e">
        <f>(Apoio_Efeito!BP29)/Apoio_Efeito!$R$29</f>
        <v>#DIV/0!</v>
      </c>
      <c r="AJ125" s="343" t="e">
        <f>(Apoio_Efeito!BP30)/Apoio_Efeito!$R$30</f>
        <v>#DIV/0!</v>
      </c>
      <c r="AK125" s="345" t="e">
        <f>(Apoio_Efeito!BP55)/Apoio_Efeito!$R$55</f>
        <v>#DIV/0!</v>
      </c>
      <c r="AL125" s="343" t="e">
        <f>(Apoio_Efeito!BP31)/Apoio_Efeito!$R$31</f>
        <v>#DIV/0!</v>
      </c>
      <c r="AM125" s="343" t="e">
        <f>(Apoio_Efeito!BP32)/Apoio_Efeito!$R$32</f>
        <v>#DIV/0!</v>
      </c>
      <c r="AN125" s="343" t="e">
        <f>(Apoio_Efeito!BP33)/Apoio_Efeito!$R$33</f>
        <v>#DIV/0!</v>
      </c>
      <c r="AO125" s="343" t="e">
        <f>(Apoio_Efeito!BP34)/Apoio_Efeito!$R$34</f>
        <v>#DIV/0!</v>
      </c>
      <c r="AP125" s="343" t="e">
        <f>(Apoio_Efeito!BP35)/Apoio_Efeito!$R$35</f>
        <v>#DIV/0!</v>
      </c>
      <c r="AQ125" s="343" t="e">
        <f>(Apoio_Efeito!BP36)/Apoio_Efeito!$R$36</f>
        <v>#DIV/0!</v>
      </c>
      <c r="AR125" s="343" t="e">
        <f>(Apoio_Efeito!BP37)/Apoio_Efeito!$R$37</f>
        <v>#DIV/0!</v>
      </c>
      <c r="AS125" s="343" t="e">
        <f>(Apoio_Efeito!BP38)/Apoio_Efeito!$R$38</f>
        <v>#DIV/0!</v>
      </c>
      <c r="AT125" s="343" t="e">
        <f>(Apoio_Efeito!BP39)/Apoio_Efeito!$R$39</f>
        <v>#DIV/0!</v>
      </c>
      <c r="AU125" s="343" t="e">
        <f>(Apoio_Efeito!BP40)/Apoio_Efeito!$R$40</f>
        <v>#DIV/0!</v>
      </c>
      <c r="AV125" s="343" t="e">
        <f>(Apoio_Efeito!BP41)/Apoio_Efeito!$R$41</f>
        <v>#DIV/0!</v>
      </c>
      <c r="AW125" s="343" t="e">
        <f>(Apoio_Efeito!BP42)/Apoio_Efeito!$R$42</f>
        <v>#DIV/0!</v>
      </c>
      <c r="AX125" s="343" t="e">
        <f>(Apoio_Efeito!BP43)/Apoio_Efeito!$R$43</f>
        <v>#DIV/0!</v>
      </c>
      <c r="AY125" s="343" t="e">
        <f>(Apoio_Efeito!BP44)/Apoio_Efeito!$R$44</f>
        <v>#DIV/0!</v>
      </c>
      <c r="AZ125" s="343" t="e">
        <f>(Apoio_Efeito!BP45)/Apoio_Efeito!$R$45</f>
        <v>#DIV/0!</v>
      </c>
      <c r="BA125" s="345" t="e">
        <f>(Apoio_Efeito!BP46)/Apoio_Efeito!$R$46</f>
        <v>#DIV/0!</v>
      </c>
      <c r="BB125" s="343" t="e">
        <f>(Apoio_Efeito!BP47)/Apoio_Efeito!$R$47</f>
        <v>#DIV/0!</v>
      </c>
      <c r="BC125" s="343" t="e">
        <f>(Apoio_Efeito!BP48)/Apoio_Efeito!$R$48</f>
        <v>#DIV/0!</v>
      </c>
      <c r="BD125" s="343" t="e">
        <f>(Apoio_Efeito!BP49)/Apoio_Efeito!$R$49</f>
        <v>#DIV/0!</v>
      </c>
      <c r="BE125" s="343" t="e">
        <f>(Apoio_Efeito!BP50)/Apoio_Efeito!$R$50</f>
        <v>#DIV/0!</v>
      </c>
      <c r="BF125" s="343" t="e">
        <f>(Apoio_Efeito!BP51)/Apoio_Efeito!$R$51</f>
        <v>#DIV/0!</v>
      </c>
      <c r="BG125" s="344">
        <f>(Apoio_Efeito!BP52)/Apoio_Efeito!$R$52</f>
        <v>0</v>
      </c>
      <c r="BH125" s="344">
        <f>(Apoio_Efeito!BP53)/Apoio_Efeito!$R$53</f>
        <v>0</v>
      </c>
      <c r="BI125" s="100"/>
      <c r="BJ125" s="277">
        <f t="shared" si="14"/>
        <v>0</v>
      </c>
      <c r="BK125" s="96"/>
      <c r="BL125" s="32"/>
      <c r="BN125" s="5"/>
    </row>
    <row r="126" spans="6:66" hidden="1">
      <c r="F126" s="206"/>
      <c r="G126" s="207"/>
      <c r="H126" s="83" t="str">
        <f>'Componentes Financeiros'!D41</f>
        <v>Quitação conta Escassez TE</v>
      </c>
      <c r="I126" s="84" t="e">
        <f>(Apoio_Efeito!BQ4)/Apoio_Efeito!$R$4</f>
        <v>#DIV/0!</v>
      </c>
      <c r="J126" s="343" t="e">
        <f>(Apoio_Efeito!BQ5)/Apoio_Efeito!$R$5</f>
        <v>#DIV/0!</v>
      </c>
      <c r="K126" s="343" t="e">
        <f>(Apoio_Efeito!BQ6)/Apoio_Efeito!$R$6</f>
        <v>#DIV/0!</v>
      </c>
      <c r="L126" s="343">
        <f>(Apoio_Efeito!BQ7)/Apoio_Efeito!$R$7</f>
        <v>0</v>
      </c>
      <c r="M126" s="343" t="e">
        <f>(Apoio_Efeito!BQ54)/Apoio_Efeito!$R$54</f>
        <v>#DIV/0!</v>
      </c>
      <c r="N126" s="343" t="e">
        <f>(Apoio_Efeito!BQ8)/Apoio_Efeito!$R$8</f>
        <v>#DIV/0!</v>
      </c>
      <c r="O126" s="343" t="e">
        <f>(Apoio_Efeito!BQ9)/Apoio_Efeito!$R$9</f>
        <v>#DIV/0!</v>
      </c>
      <c r="P126" s="343" t="e">
        <f>(Apoio_Efeito!BQ10)/Apoio_Efeito!$R$10</f>
        <v>#DIV/0!</v>
      </c>
      <c r="Q126" s="343" t="e">
        <f>(Apoio_Efeito!BQ11)/Apoio_Efeito!$R$11</f>
        <v>#DIV/0!</v>
      </c>
      <c r="R126" s="343" t="e">
        <f>(Apoio_Efeito!BQ12)/Apoio_Efeito!$R$12</f>
        <v>#DIV/0!</v>
      </c>
      <c r="S126" s="343" t="e">
        <f>(Apoio_Efeito!BQ13)/Apoio_Efeito!$R$13</f>
        <v>#DIV/0!</v>
      </c>
      <c r="T126" s="343" t="e">
        <f>(Apoio_Efeito!BQ14)/Apoio_Efeito!$R$14</f>
        <v>#DIV/0!</v>
      </c>
      <c r="U126" s="343" t="e">
        <f>(Apoio_Efeito!BQ15)/Apoio_Efeito!$R$15</f>
        <v>#DIV/0!</v>
      </c>
      <c r="V126" s="343" t="e">
        <f>(Apoio_Efeito!BQ16)/Apoio_Efeito!$R$16</f>
        <v>#DIV/0!</v>
      </c>
      <c r="W126" s="343" t="e">
        <f>(Apoio_Efeito!BQ17)/Apoio_Efeito!$R$17</f>
        <v>#DIV/0!</v>
      </c>
      <c r="X126" s="345" t="e">
        <f>(Apoio_Efeito!BQ18)/Apoio_Efeito!$R$18</f>
        <v>#DIV/0!</v>
      </c>
      <c r="Y126" s="343" t="e">
        <f>(Apoio_Efeito!BQ19)/Apoio_Efeito!$R$19</f>
        <v>#DIV/0!</v>
      </c>
      <c r="Z126" s="343" t="e">
        <f>(Apoio_Efeito!BQ20)/Apoio_Efeito!$R$20</f>
        <v>#DIV/0!</v>
      </c>
      <c r="AA126" s="343" t="e">
        <f>(Apoio_Efeito!BQ21)/Apoio_Efeito!$R$21</f>
        <v>#DIV/0!</v>
      </c>
      <c r="AB126" s="343" t="e">
        <f>(Apoio_Efeito!BQ22)/Apoio_Efeito!$R$22</f>
        <v>#DIV/0!</v>
      </c>
      <c r="AC126" s="343" t="e">
        <f>(Apoio_Efeito!BQ23)/Apoio_Efeito!$R$23</f>
        <v>#DIV/0!</v>
      </c>
      <c r="AD126" s="343" t="e">
        <f>(Apoio_Efeito!BQ24)/Apoio_Efeito!$R$24</f>
        <v>#DIV/0!</v>
      </c>
      <c r="AE126" s="343" t="e">
        <f>(Apoio_Efeito!BQ25)/Apoio_Efeito!$R$25</f>
        <v>#DIV/0!</v>
      </c>
      <c r="AF126" s="343" t="e">
        <f>(Apoio_Efeito!BQ26)/Apoio_Efeito!$R$26</f>
        <v>#DIV/0!</v>
      </c>
      <c r="AG126" s="343" t="e">
        <f>(Apoio_Efeito!BQ27)/Apoio_Efeito!$R$27</f>
        <v>#DIV/0!</v>
      </c>
      <c r="AH126" s="343" t="e">
        <f>(Apoio_Efeito!BQ28)/Apoio_Efeito!$R$28</f>
        <v>#DIV/0!</v>
      </c>
      <c r="AI126" s="343" t="e">
        <f>(Apoio_Efeito!BQ29)/Apoio_Efeito!$R$29</f>
        <v>#DIV/0!</v>
      </c>
      <c r="AJ126" s="343" t="e">
        <f>(Apoio_Efeito!BQ30)/Apoio_Efeito!$R$30</f>
        <v>#DIV/0!</v>
      </c>
      <c r="AK126" s="345" t="e">
        <f>(Apoio_Efeito!BQ55)/Apoio_Efeito!$R$55</f>
        <v>#DIV/0!</v>
      </c>
      <c r="AL126" s="343" t="e">
        <f>(Apoio_Efeito!BQ31)/Apoio_Efeito!$R$31</f>
        <v>#DIV/0!</v>
      </c>
      <c r="AM126" s="343" t="e">
        <f>(Apoio_Efeito!BQ32)/Apoio_Efeito!$R$32</f>
        <v>#DIV/0!</v>
      </c>
      <c r="AN126" s="343" t="e">
        <f>(Apoio_Efeito!BQ33)/Apoio_Efeito!$R$33</f>
        <v>#DIV/0!</v>
      </c>
      <c r="AO126" s="343" t="e">
        <f>(Apoio_Efeito!BQ34)/Apoio_Efeito!$R$34</f>
        <v>#DIV/0!</v>
      </c>
      <c r="AP126" s="343" t="e">
        <f>(Apoio_Efeito!BQ35)/Apoio_Efeito!$R$35</f>
        <v>#DIV/0!</v>
      </c>
      <c r="AQ126" s="343" t="e">
        <f>(Apoio_Efeito!BQ36)/Apoio_Efeito!$R$36</f>
        <v>#DIV/0!</v>
      </c>
      <c r="AR126" s="343" t="e">
        <f>(Apoio_Efeito!BQ37)/Apoio_Efeito!$R$37</f>
        <v>#DIV/0!</v>
      </c>
      <c r="AS126" s="343" t="e">
        <f>(Apoio_Efeito!BQ38)/Apoio_Efeito!$R$38</f>
        <v>#DIV/0!</v>
      </c>
      <c r="AT126" s="343" t="e">
        <f>(Apoio_Efeito!BQ39)/Apoio_Efeito!$R$39</f>
        <v>#DIV/0!</v>
      </c>
      <c r="AU126" s="343" t="e">
        <f>(Apoio_Efeito!BQ40)/Apoio_Efeito!$R$40</f>
        <v>#DIV/0!</v>
      </c>
      <c r="AV126" s="343" t="e">
        <f>(Apoio_Efeito!BQ41)/Apoio_Efeito!$R$41</f>
        <v>#DIV/0!</v>
      </c>
      <c r="AW126" s="343" t="e">
        <f>(Apoio_Efeito!BQ42)/Apoio_Efeito!$R$42</f>
        <v>#DIV/0!</v>
      </c>
      <c r="AX126" s="343" t="e">
        <f>(Apoio_Efeito!BQ43)/Apoio_Efeito!$R$43</f>
        <v>#DIV/0!</v>
      </c>
      <c r="AY126" s="343" t="e">
        <f>(Apoio_Efeito!BQ44)/Apoio_Efeito!$R$44</f>
        <v>#DIV/0!</v>
      </c>
      <c r="AZ126" s="343" t="e">
        <f>(Apoio_Efeito!BQ45)/Apoio_Efeito!$R$45</f>
        <v>#DIV/0!</v>
      </c>
      <c r="BA126" s="345" t="e">
        <f>(Apoio_Efeito!BQ46)/Apoio_Efeito!$R$46</f>
        <v>#DIV/0!</v>
      </c>
      <c r="BB126" s="343" t="e">
        <f>(Apoio_Efeito!BQ47)/Apoio_Efeito!$R$47</f>
        <v>#DIV/0!</v>
      </c>
      <c r="BC126" s="343" t="e">
        <f>(Apoio_Efeito!BQ48)/Apoio_Efeito!$R$48</f>
        <v>#DIV/0!</v>
      </c>
      <c r="BD126" s="343" t="e">
        <f>(Apoio_Efeito!BQ49)/Apoio_Efeito!$R$49</f>
        <v>#DIV/0!</v>
      </c>
      <c r="BE126" s="343" t="e">
        <f>(Apoio_Efeito!BQ50)/Apoio_Efeito!$R$50</f>
        <v>#DIV/0!</v>
      </c>
      <c r="BF126" s="343" t="e">
        <f>(Apoio_Efeito!BQ51)/Apoio_Efeito!$R$51</f>
        <v>#DIV/0!</v>
      </c>
      <c r="BG126" s="344">
        <f>(Apoio_Efeito!BQ52)/Apoio_Efeito!$R$52</f>
        <v>0</v>
      </c>
      <c r="BH126" s="344">
        <f>(Apoio_Efeito!BQ53)/Apoio_Efeito!$R$53</f>
        <v>0</v>
      </c>
      <c r="BI126" s="100"/>
      <c r="BJ126" s="277">
        <f t="shared" si="14"/>
        <v>0</v>
      </c>
      <c r="BK126" s="96"/>
      <c r="BL126" s="32"/>
      <c r="BN126" s="5"/>
    </row>
    <row r="127" spans="6:66" hidden="1">
      <c r="F127" s="206"/>
      <c r="G127" s="207"/>
      <c r="H127" s="83" t="str">
        <f>'Componentes Financeiros'!D42</f>
        <v>Reversão de Pgto Conta Covid TUSD</v>
      </c>
      <c r="I127" s="84" t="e">
        <f>(Apoio_Efeito!BR4)/Apoio_Efeito!$R$4</f>
        <v>#DIV/0!</v>
      </c>
      <c r="J127" s="343" t="e">
        <f>(Apoio_Efeito!BR5)/Apoio_Efeito!$R$5</f>
        <v>#DIV/0!</v>
      </c>
      <c r="K127" s="343" t="e">
        <f>(Apoio_Efeito!BR6)/Apoio_Efeito!$R$6</f>
        <v>#DIV/0!</v>
      </c>
      <c r="L127" s="343">
        <f>(Apoio_Efeito!BR7)/Apoio_Efeito!$R$7</f>
        <v>0</v>
      </c>
      <c r="M127" s="343" t="e">
        <f>(Apoio_Efeito!BR54)/Apoio_Efeito!$R$54</f>
        <v>#DIV/0!</v>
      </c>
      <c r="N127" s="343" t="e">
        <f>(Apoio_Efeito!BR8)/Apoio_Efeito!$R$8</f>
        <v>#DIV/0!</v>
      </c>
      <c r="O127" s="343" t="e">
        <f>(Apoio_Efeito!BR9)/Apoio_Efeito!$R$9</f>
        <v>#DIV/0!</v>
      </c>
      <c r="P127" s="343" t="e">
        <f>(Apoio_Efeito!BR10)/Apoio_Efeito!$R$10</f>
        <v>#DIV/0!</v>
      </c>
      <c r="Q127" s="343" t="e">
        <f>(Apoio_Efeito!BR11)/Apoio_Efeito!$R$11</f>
        <v>#DIV/0!</v>
      </c>
      <c r="R127" s="343" t="e">
        <f>(Apoio_Efeito!BR12)/Apoio_Efeito!$R$12</f>
        <v>#DIV/0!</v>
      </c>
      <c r="S127" s="343" t="e">
        <f>(Apoio_Efeito!BR13)/Apoio_Efeito!$R$13</f>
        <v>#DIV/0!</v>
      </c>
      <c r="T127" s="343" t="e">
        <f>(Apoio_Efeito!BR14)/Apoio_Efeito!$R$14</f>
        <v>#DIV/0!</v>
      </c>
      <c r="U127" s="343" t="e">
        <f>(Apoio_Efeito!BR15)/Apoio_Efeito!$R$15</f>
        <v>#DIV/0!</v>
      </c>
      <c r="V127" s="343" t="e">
        <f>(Apoio_Efeito!BR16)/Apoio_Efeito!$R$16</f>
        <v>#DIV/0!</v>
      </c>
      <c r="W127" s="343" t="e">
        <f>(Apoio_Efeito!BR17)/Apoio_Efeito!$R$17</f>
        <v>#DIV/0!</v>
      </c>
      <c r="X127" s="345" t="e">
        <f>(Apoio_Efeito!BR18)/Apoio_Efeito!$R$18</f>
        <v>#DIV/0!</v>
      </c>
      <c r="Y127" s="343" t="e">
        <f>(Apoio_Efeito!BR19)/Apoio_Efeito!$R$19</f>
        <v>#DIV/0!</v>
      </c>
      <c r="Z127" s="343" t="e">
        <f>(Apoio_Efeito!BR20)/Apoio_Efeito!$R$20</f>
        <v>#DIV/0!</v>
      </c>
      <c r="AA127" s="343" t="e">
        <f>(Apoio_Efeito!BR21)/Apoio_Efeito!$R$21</f>
        <v>#DIV/0!</v>
      </c>
      <c r="AB127" s="343" t="e">
        <f>(Apoio_Efeito!BR22)/Apoio_Efeito!$R$22</f>
        <v>#DIV/0!</v>
      </c>
      <c r="AC127" s="343" t="e">
        <f>(Apoio_Efeito!BR23)/Apoio_Efeito!$R$23</f>
        <v>#DIV/0!</v>
      </c>
      <c r="AD127" s="343" t="e">
        <f>(Apoio_Efeito!BR24)/Apoio_Efeito!$R$24</f>
        <v>#DIV/0!</v>
      </c>
      <c r="AE127" s="343" t="e">
        <f>(Apoio_Efeito!BR25)/Apoio_Efeito!$R$25</f>
        <v>#DIV/0!</v>
      </c>
      <c r="AF127" s="343" t="e">
        <f>(Apoio_Efeito!BR26)/Apoio_Efeito!$R$26</f>
        <v>#DIV/0!</v>
      </c>
      <c r="AG127" s="343" t="e">
        <f>(Apoio_Efeito!BR27)/Apoio_Efeito!$R$27</f>
        <v>#DIV/0!</v>
      </c>
      <c r="AH127" s="343" t="e">
        <f>(Apoio_Efeito!BR28)/Apoio_Efeito!$R$28</f>
        <v>#DIV/0!</v>
      </c>
      <c r="AI127" s="343" t="e">
        <f>(Apoio_Efeito!BR29)/Apoio_Efeito!$R$29</f>
        <v>#DIV/0!</v>
      </c>
      <c r="AJ127" s="343" t="e">
        <f>(Apoio_Efeito!BR30)/Apoio_Efeito!$R$30</f>
        <v>#DIV/0!</v>
      </c>
      <c r="AK127" s="345" t="e">
        <f>(Apoio_Efeito!BR55)/Apoio_Efeito!$R$55</f>
        <v>#DIV/0!</v>
      </c>
      <c r="AL127" s="343" t="e">
        <f>(Apoio_Efeito!BR31)/Apoio_Efeito!$R$31</f>
        <v>#DIV/0!</v>
      </c>
      <c r="AM127" s="343" t="e">
        <f>(Apoio_Efeito!BR32)/Apoio_Efeito!$R$32</f>
        <v>#DIV/0!</v>
      </c>
      <c r="AN127" s="343" t="e">
        <f>(Apoio_Efeito!BR33)/Apoio_Efeito!$R$33</f>
        <v>#DIV/0!</v>
      </c>
      <c r="AO127" s="343" t="e">
        <f>(Apoio_Efeito!BR34)/Apoio_Efeito!$R$34</f>
        <v>#DIV/0!</v>
      </c>
      <c r="AP127" s="343" t="e">
        <f>(Apoio_Efeito!BR35)/Apoio_Efeito!$R$35</f>
        <v>#DIV/0!</v>
      </c>
      <c r="AQ127" s="343" t="e">
        <f>(Apoio_Efeito!BR36)/Apoio_Efeito!$R$36</f>
        <v>#DIV/0!</v>
      </c>
      <c r="AR127" s="343" t="e">
        <f>(Apoio_Efeito!BR37)/Apoio_Efeito!$R$37</f>
        <v>#DIV/0!</v>
      </c>
      <c r="AS127" s="343" t="e">
        <f>(Apoio_Efeito!BR38)/Apoio_Efeito!$R$38</f>
        <v>#DIV/0!</v>
      </c>
      <c r="AT127" s="343" t="e">
        <f>(Apoio_Efeito!BR39)/Apoio_Efeito!$R$39</f>
        <v>#DIV/0!</v>
      </c>
      <c r="AU127" s="343" t="e">
        <f>(Apoio_Efeito!BR40)/Apoio_Efeito!$R$40</f>
        <v>#DIV/0!</v>
      </c>
      <c r="AV127" s="343" t="e">
        <f>(Apoio_Efeito!BR41)/Apoio_Efeito!$R$41</f>
        <v>#DIV/0!</v>
      </c>
      <c r="AW127" s="343" t="e">
        <f>(Apoio_Efeito!BR42)/Apoio_Efeito!$R$42</f>
        <v>#DIV/0!</v>
      </c>
      <c r="AX127" s="343" t="e">
        <f>(Apoio_Efeito!BR43)/Apoio_Efeito!$R$43</f>
        <v>#DIV/0!</v>
      </c>
      <c r="AY127" s="343" t="e">
        <f>(Apoio_Efeito!BR44)/Apoio_Efeito!$R$44</f>
        <v>#DIV/0!</v>
      </c>
      <c r="AZ127" s="343" t="e">
        <f>(Apoio_Efeito!BR45)/Apoio_Efeito!$R$45</f>
        <v>#DIV/0!</v>
      </c>
      <c r="BA127" s="345" t="e">
        <f>(Apoio_Efeito!BR46)/Apoio_Efeito!$R$46</f>
        <v>#DIV/0!</v>
      </c>
      <c r="BB127" s="343" t="e">
        <f>(Apoio_Efeito!BR47)/Apoio_Efeito!$R$47</f>
        <v>#DIV/0!</v>
      </c>
      <c r="BC127" s="343" t="e">
        <f>(Apoio_Efeito!BR48)/Apoio_Efeito!$R$48</f>
        <v>#DIV/0!</v>
      </c>
      <c r="BD127" s="343" t="e">
        <f>(Apoio_Efeito!BR49)/Apoio_Efeito!$R$49</f>
        <v>#DIV/0!</v>
      </c>
      <c r="BE127" s="343" t="e">
        <f>(Apoio_Efeito!BR50)/Apoio_Efeito!$R$50</f>
        <v>#DIV/0!</v>
      </c>
      <c r="BF127" s="343" t="e">
        <f>(Apoio_Efeito!BR51)/Apoio_Efeito!$R$51</f>
        <v>#DIV/0!</v>
      </c>
      <c r="BG127" s="344">
        <f>(Apoio_Efeito!BR52)/Apoio_Efeito!$R$52</f>
        <v>0</v>
      </c>
      <c r="BH127" s="344">
        <f>(Apoio_Efeito!BR53)/Apoio_Efeito!$R$53</f>
        <v>0</v>
      </c>
      <c r="BI127" s="100"/>
      <c r="BJ127" s="277">
        <f t="shared" si="14"/>
        <v>0</v>
      </c>
      <c r="BK127" s="96"/>
      <c r="BL127" s="32"/>
      <c r="BN127" s="5"/>
    </row>
    <row r="128" spans="6:66" hidden="1">
      <c r="F128" s="206"/>
      <c r="G128" s="207"/>
      <c r="H128" s="83" t="str">
        <f>'Componentes Financeiros'!D43</f>
        <v>Reversão de Pgto Conta Escassez TE</v>
      </c>
      <c r="I128" s="84" t="e">
        <f>(Apoio_Efeito!BS4)/Apoio_Efeito!$R$4</f>
        <v>#DIV/0!</v>
      </c>
      <c r="J128" s="343" t="e">
        <f>(Apoio_Efeito!BS5)/Apoio_Efeito!$R$5</f>
        <v>#DIV/0!</v>
      </c>
      <c r="K128" s="343" t="e">
        <f>(Apoio_Efeito!BS6)/Apoio_Efeito!$R$6</f>
        <v>#DIV/0!</v>
      </c>
      <c r="L128" s="343">
        <f>(Apoio_Efeito!BS7)/Apoio_Efeito!$R$7</f>
        <v>0</v>
      </c>
      <c r="M128" s="343" t="e">
        <f>(Apoio_Efeito!BS54)/Apoio_Efeito!$R$54</f>
        <v>#DIV/0!</v>
      </c>
      <c r="N128" s="343" t="e">
        <f>(Apoio_Efeito!BS8)/Apoio_Efeito!$R$8</f>
        <v>#DIV/0!</v>
      </c>
      <c r="O128" s="343" t="e">
        <f>(Apoio_Efeito!BS9)/Apoio_Efeito!$R$9</f>
        <v>#DIV/0!</v>
      </c>
      <c r="P128" s="343" t="e">
        <f>(Apoio_Efeito!BS10)/Apoio_Efeito!$R$10</f>
        <v>#DIV/0!</v>
      </c>
      <c r="Q128" s="343" t="e">
        <f>(Apoio_Efeito!BS11)/Apoio_Efeito!$R$11</f>
        <v>#DIV/0!</v>
      </c>
      <c r="R128" s="343" t="e">
        <f>(Apoio_Efeito!BS12)/Apoio_Efeito!$R$12</f>
        <v>#DIV/0!</v>
      </c>
      <c r="S128" s="343" t="e">
        <f>(Apoio_Efeito!BS13)/Apoio_Efeito!$R$13</f>
        <v>#DIV/0!</v>
      </c>
      <c r="T128" s="343" t="e">
        <f>(Apoio_Efeito!BS14)/Apoio_Efeito!$R$14</f>
        <v>#DIV/0!</v>
      </c>
      <c r="U128" s="343" t="e">
        <f>(Apoio_Efeito!BS15)/Apoio_Efeito!$R$15</f>
        <v>#DIV/0!</v>
      </c>
      <c r="V128" s="343" t="e">
        <f>(Apoio_Efeito!BS16)/Apoio_Efeito!$R$16</f>
        <v>#DIV/0!</v>
      </c>
      <c r="W128" s="343" t="e">
        <f>(Apoio_Efeito!BS17)/Apoio_Efeito!$R$17</f>
        <v>#DIV/0!</v>
      </c>
      <c r="X128" s="345" t="e">
        <f>(Apoio_Efeito!BS18)/Apoio_Efeito!$R$18</f>
        <v>#DIV/0!</v>
      </c>
      <c r="Y128" s="343" t="e">
        <f>(Apoio_Efeito!BS19)/Apoio_Efeito!$R$19</f>
        <v>#DIV/0!</v>
      </c>
      <c r="Z128" s="343" t="e">
        <f>(Apoio_Efeito!BS20)/Apoio_Efeito!$R$20</f>
        <v>#DIV/0!</v>
      </c>
      <c r="AA128" s="343" t="e">
        <f>(Apoio_Efeito!BS21)/Apoio_Efeito!$R$21</f>
        <v>#DIV/0!</v>
      </c>
      <c r="AB128" s="343" t="e">
        <f>(Apoio_Efeito!BS22)/Apoio_Efeito!$R$22</f>
        <v>#DIV/0!</v>
      </c>
      <c r="AC128" s="343" t="e">
        <f>(Apoio_Efeito!BS23)/Apoio_Efeito!$R$23</f>
        <v>#DIV/0!</v>
      </c>
      <c r="AD128" s="343" t="e">
        <f>(Apoio_Efeito!BS24)/Apoio_Efeito!$R$24</f>
        <v>#DIV/0!</v>
      </c>
      <c r="AE128" s="343" t="e">
        <f>(Apoio_Efeito!BS25)/Apoio_Efeito!$R$25</f>
        <v>#DIV/0!</v>
      </c>
      <c r="AF128" s="343" t="e">
        <f>(Apoio_Efeito!BS26)/Apoio_Efeito!$R$26</f>
        <v>#DIV/0!</v>
      </c>
      <c r="AG128" s="343" t="e">
        <f>(Apoio_Efeito!BS27)/Apoio_Efeito!$R$27</f>
        <v>#DIV/0!</v>
      </c>
      <c r="AH128" s="343" t="e">
        <f>(Apoio_Efeito!BS28)/Apoio_Efeito!$R$28</f>
        <v>#DIV/0!</v>
      </c>
      <c r="AI128" s="343" t="e">
        <f>(Apoio_Efeito!BS29)/Apoio_Efeito!$R$29</f>
        <v>#DIV/0!</v>
      </c>
      <c r="AJ128" s="343" t="e">
        <f>(Apoio_Efeito!BS30)/Apoio_Efeito!$R$30</f>
        <v>#DIV/0!</v>
      </c>
      <c r="AK128" s="345" t="e">
        <f>(Apoio_Efeito!BS55)/Apoio_Efeito!$R$55</f>
        <v>#DIV/0!</v>
      </c>
      <c r="AL128" s="343" t="e">
        <f>(Apoio_Efeito!BS31)/Apoio_Efeito!$R$31</f>
        <v>#DIV/0!</v>
      </c>
      <c r="AM128" s="343" t="e">
        <f>(Apoio_Efeito!BS32)/Apoio_Efeito!$R$32</f>
        <v>#DIV/0!</v>
      </c>
      <c r="AN128" s="343" t="e">
        <f>(Apoio_Efeito!BS33)/Apoio_Efeito!$R$33</f>
        <v>#DIV/0!</v>
      </c>
      <c r="AO128" s="343" t="e">
        <f>(Apoio_Efeito!BS34)/Apoio_Efeito!$R$34</f>
        <v>#DIV/0!</v>
      </c>
      <c r="AP128" s="343" t="e">
        <f>(Apoio_Efeito!BS35)/Apoio_Efeito!$R$35</f>
        <v>#DIV/0!</v>
      </c>
      <c r="AQ128" s="343" t="e">
        <f>(Apoio_Efeito!BS36)/Apoio_Efeito!$R$36</f>
        <v>#DIV/0!</v>
      </c>
      <c r="AR128" s="343" t="e">
        <f>(Apoio_Efeito!BS37)/Apoio_Efeito!$R$37</f>
        <v>#DIV/0!</v>
      </c>
      <c r="AS128" s="343" t="e">
        <f>(Apoio_Efeito!BS38)/Apoio_Efeito!$R$38</f>
        <v>#DIV/0!</v>
      </c>
      <c r="AT128" s="343" t="e">
        <f>(Apoio_Efeito!BS39)/Apoio_Efeito!$R$39</f>
        <v>#DIV/0!</v>
      </c>
      <c r="AU128" s="343" t="e">
        <f>(Apoio_Efeito!BS40)/Apoio_Efeito!$R$40</f>
        <v>#DIV/0!</v>
      </c>
      <c r="AV128" s="343" t="e">
        <f>(Apoio_Efeito!BS41)/Apoio_Efeito!$R$41</f>
        <v>#DIV/0!</v>
      </c>
      <c r="AW128" s="343" t="e">
        <f>(Apoio_Efeito!BS42)/Apoio_Efeito!$R$42</f>
        <v>#DIV/0!</v>
      </c>
      <c r="AX128" s="343" t="e">
        <f>(Apoio_Efeito!BS43)/Apoio_Efeito!$R$43</f>
        <v>#DIV/0!</v>
      </c>
      <c r="AY128" s="343" t="e">
        <f>(Apoio_Efeito!BS44)/Apoio_Efeito!$R$44</f>
        <v>#DIV/0!</v>
      </c>
      <c r="AZ128" s="343" t="e">
        <f>(Apoio_Efeito!BS45)/Apoio_Efeito!$R$45</f>
        <v>#DIV/0!</v>
      </c>
      <c r="BA128" s="345" t="e">
        <f>(Apoio_Efeito!BS46)/Apoio_Efeito!$R$46</f>
        <v>#DIV/0!</v>
      </c>
      <c r="BB128" s="343" t="e">
        <f>(Apoio_Efeito!BS47)/Apoio_Efeito!$R$47</f>
        <v>#DIV/0!</v>
      </c>
      <c r="BC128" s="343" t="e">
        <f>(Apoio_Efeito!BS48)/Apoio_Efeito!$R$48</f>
        <v>#DIV/0!</v>
      </c>
      <c r="BD128" s="343" t="e">
        <f>(Apoio_Efeito!BS49)/Apoio_Efeito!$R$49</f>
        <v>#DIV/0!</v>
      </c>
      <c r="BE128" s="343" t="e">
        <f>(Apoio_Efeito!BS50)/Apoio_Efeito!$R$50</f>
        <v>#DIV/0!</v>
      </c>
      <c r="BF128" s="343" t="e">
        <f>(Apoio_Efeito!BS51)/Apoio_Efeito!$R$51</f>
        <v>#DIV/0!</v>
      </c>
      <c r="BG128" s="344">
        <f>(Apoio_Efeito!BS52)/Apoio_Efeito!$R$52</f>
        <v>0</v>
      </c>
      <c r="BH128" s="344">
        <f>(Apoio_Efeito!BS53)/Apoio_Efeito!$R$53</f>
        <v>0</v>
      </c>
      <c r="BI128" s="100"/>
      <c r="BJ128" s="277">
        <f t="shared" si="14"/>
        <v>0</v>
      </c>
      <c r="BK128" s="96"/>
      <c r="BL128" s="32"/>
      <c r="BN128" s="5"/>
    </row>
    <row r="129" spans="6:66" hidden="1">
      <c r="F129" s="206"/>
      <c r="G129" s="207"/>
      <c r="H129" s="83" t="str">
        <f>'Componentes Financeiros'!D44</f>
        <v>Reversão de Pgto Conta Escassez TUSD</v>
      </c>
      <c r="I129" s="84" t="e">
        <f>(Apoio_Efeito!BT4)/Apoio_Efeito!$R$4</f>
        <v>#DIV/0!</v>
      </c>
      <c r="J129" s="343" t="e">
        <f>(Apoio_Efeito!BT5)/Apoio_Efeito!$R$5</f>
        <v>#DIV/0!</v>
      </c>
      <c r="K129" s="343" t="e">
        <f>(Apoio_Efeito!BT6)/Apoio_Efeito!$R$6</f>
        <v>#DIV/0!</v>
      </c>
      <c r="L129" s="343">
        <f>(Apoio_Efeito!BT7)/Apoio_Efeito!$R$7</f>
        <v>0</v>
      </c>
      <c r="M129" s="343" t="e">
        <f>(Apoio_Efeito!BT54)/Apoio_Efeito!$R$54</f>
        <v>#DIV/0!</v>
      </c>
      <c r="N129" s="343" t="e">
        <f>(Apoio_Efeito!BT8)/Apoio_Efeito!$R$8</f>
        <v>#DIV/0!</v>
      </c>
      <c r="O129" s="343" t="e">
        <f>(Apoio_Efeito!BT9)/Apoio_Efeito!$R$9</f>
        <v>#DIV/0!</v>
      </c>
      <c r="P129" s="343" t="e">
        <f>(Apoio_Efeito!BT10)/Apoio_Efeito!$R$10</f>
        <v>#DIV/0!</v>
      </c>
      <c r="Q129" s="343" t="e">
        <f>(Apoio_Efeito!BT11)/Apoio_Efeito!$R$11</f>
        <v>#DIV/0!</v>
      </c>
      <c r="R129" s="343" t="e">
        <f>(Apoio_Efeito!BT12)/Apoio_Efeito!$R$12</f>
        <v>#DIV/0!</v>
      </c>
      <c r="S129" s="343" t="e">
        <f>(Apoio_Efeito!BT13)/Apoio_Efeito!$R$13</f>
        <v>#DIV/0!</v>
      </c>
      <c r="T129" s="343" t="e">
        <f>(Apoio_Efeito!BT14)/Apoio_Efeito!$R$14</f>
        <v>#DIV/0!</v>
      </c>
      <c r="U129" s="343" t="e">
        <f>(Apoio_Efeito!BT15)/Apoio_Efeito!$R$15</f>
        <v>#DIV/0!</v>
      </c>
      <c r="V129" s="343" t="e">
        <f>(Apoio_Efeito!BT16)/Apoio_Efeito!$R$16</f>
        <v>#DIV/0!</v>
      </c>
      <c r="W129" s="343" t="e">
        <f>(Apoio_Efeito!BT17)/Apoio_Efeito!$R$17</f>
        <v>#DIV/0!</v>
      </c>
      <c r="X129" s="345" t="e">
        <f>(Apoio_Efeito!BT18)/Apoio_Efeito!$R$18</f>
        <v>#DIV/0!</v>
      </c>
      <c r="Y129" s="343" t="e">
        <f>(Apoio_Efeito!BT19)/Apoio_Efeito!$R$19</f>
        <v>#DIV/0!</v>
      </c>
      <c r="Z129" s="343" t="e">
        <f>(Apoio_Efeito!BT20)/Apoio_Efeito!$R$20</f>
        <v>#DIV/0!</v>
      </c>
      <c r="AA129" s="343" t="e">
        <f>(Apoio_Efeito!BT21)/Apoio_Efeito!$R$21</f>
        <v>#DIV/0!</v>
      </c>
      <c r="AB129" s="343" t="e">
        <f>(Apoio_Efeito!BT22)/Apoio_Efeito!$R$22</f>
        <v>#DIV/0!</v>
      </c>
      <c r="AC129" s="343" t="e">
        <f>(Apoio_Efeito!BT23)/Apoio_Efeito!$R$23</f>
        <v>#DIV/0!</v>
      </c>
      <c r="AD129" s="343" t="e">
        <f>(Apoio_Efeito!BT24)/Apoio_Efeito!$R$24</f>
        <v>#DIV/0!</v>
      </c>
      <c r="AE129" s="343" t="e">
        <f>(Apoio_Efeito!BT25)/Apoio_Efeito!$R$25</f>
        <v>#DIV/0!</v>
      </c>
      <c r="AF129" s="343" t="e">
        <f>(Apoio_Efeito!BT26)/Apoio_Efeito!$R$26</f>
        <v>#DIV/0!</v>
      </c>
      <c r="AG129" s="343" t="e">
        <f>(Apoio_Efeito!BT27)/Apoio_Efeito!$R$27</f>
        <v>#DIV/0!</v>
      </c>
      <c r="AH129" s="343" t="e">
        <f>(Apoio_Efeito!BT28)/Apoio_Efeito!$R$28</f>
        <v>#DIV/0!</v>
      </c>
      <c r="AI129" s="343" t="e">
        <f>(Apoio_Efeito!BT29)/Apoio_Efeito!$R$29</f>
        <v>#DIV/0!</v>
      </c>
      <c r="AJ129" s="343" t="e">
        <f>(Apoio_Efeito!BT30)/Apoio_Efeito!$R$30</f>
        <v>#DIV/0!</v>
      </c>
      <c r="AK129" s="345" t="e">
        <f>(Apoio_Efeito!BT55)/Apoio_Efeito!$R$55</f>
        <v>#DIV/0!</v>
      </c>
      <c r="AL129" s="343" t="e">
        <f>(Apoio_Efeito!BT31)/Apoio_Efeito!$R$31</f>
        <v>#DIV/0!</v>
      </c>
      <c r="AM129" s="343" t="e">
        <f>(Apoio_Efeito!BT32)/Apoio_Efeito!$R$32</f>
        <v>#DIV/0!</v>
      </c>
      <c r="AN129" s="343" t="e">
        <f>(Apoio_Efeito!BT33)/Apoio_Efeito!$R$33</f>
        <v>#DIV/0!</v>
      </c>
      <c r="AO129" s="343" t="e">
        <f>(Apoio_Efeito!BT34)/Apoio_Efeito!$R$34</f>
        <v>#DIV/0!</v>
      </c>
      <c r="AP129" s="343" t="e">
        <f>(Apoio_Efeito!BT35)/Apoio_Efeito!$R$35</f>
        <v>#DIV/0!</v>
      </c>
      <c r="AQ129" s="343" t="e">
        <f>(Apoio_Efeito!BT36)/Apoio_Efeito!$R$36</f>
        <v>#DIV/0!</v>
      </c>
      <c r="AR129" s="343" t="e">
        <f>(Apoio_Efeito!BT37)/Apoio_Efeito!$R$37</f>
        <v>#DIV/0!</v>
      </c>
      <c r="AS129" s="343" t="e">
        <f>(Apoio_Efeito!BT38)/Apoio_Efeito!$R$38</f>
        <v>#DIV/0!</v>
      </c>
      <c r="AT129" s="343" t="e">
        <f>(Apoio_Efeito!BT39)/Apoio_Efeito!$R$39</f>
        <v>#DIV/0!</v>
      </c>
      <c r="AU129" s="343" t="e">
        <f>(Apoio_Efeito!BT40)/Apoio_Efeito!$R$40</f>
        <v>#DIV/0!</v>
      </c>
      <c r="AV129" s="343" t="e">
        <f>(Apoio_Efeito!BT41)/Apoio_Efeito!$R$41</f>
        <v>#DIV/0!</v>
      </c>
      <c r="AW129" s="343" t="e">
        <f>(Apoio_Efeito!BT42)/Apoio_Efeito!$R$42</f>
        <v>#DIV/0!</v>
      </c>
      <c r="AX129" s="343" t="e">
        <f>(Apoio_Efeito!BT43)/Apoio_Efeito!$R$43</f>
        <v>#DIV/0!</v>
      </c>
      <c r="AY129" s="343" t="e">
        <f>(Apoio_Efeito!BT44)/Apoio_Efeito!$R$44</f>
        <v>#DIV/0!</v>
      </c>
      <c r="AZ129" s="343" t="e">
        <f>(Apoio_Efeito!BT45)/Apoio_Efeito!$R$45</f>
        <v>#DIV/0!</v>
      </c>
      <c r="BA129" s="345" t="e">
        <f>(Apoio_Efeito!BT46)/Apoio_Efeito!$R$46</f>
        <v>#DIV/0!</v>
      </c>
      <c r="BB129" s="343" t="e">
        <f>(Apoio_Efeito!BT47)/Apoio_Efeito!$R$47</f>
        <v>#DIV/0!</v>
      </c>
      <c r="BC129" s="343" t="e">
        <f>(Apoio_Efeito!BT48)/Apoio_Efeito!$R$48</f>
        <v>#DIV/0!</v>
      </c>
      <c r="BD129" s="343" t="e">
        <f>(Apoio_Efeito!BT49)/Apoio_Efeito!$R$49</f>
        <v>#DIV/0!</v>
      </c>
      <c r="BE129" s="343" t="e">
        <f>(Apoio_Efeito!BT50)/Apoio_Efeito!$R$50</f>
        <v>#DIV/0!</v>
      </c>
      <c r="BF129" s="343" t="e">
        <f>(Apoio_Efeito!BT51)/Apoio_Efeito!$R$51</f>
        <v>#DIV/0!</v>
      </c>
      <c r="BG129" s="344">
        <f>(Apoio_Efeito!BT52)/Apoio_Efeito!$R$52</f>
        <v>0</v>
      </c>
      <c r="BH129" s="344">
        <f>(Apoio_Efeito!BT53)/Apoio_Efeito!$R$53</f>
        <v>0</v>
      </c>
      <c r="BI129" s="100"/>
      <c r="BJ129" s="277">
        <f t="shared" si="14"/>
        <v>0</v>
      </c>
      <c r="BK129" s="96"/>
      <c r="BL129" s="32"/>
      <c r="BN129" s="5"/>
    </row>
    <row r="130" spans="6:66">
      <c r="F130" s="206"/>
      <c r="G130" s="207"/>
      <c r="H130" s="80" t="s">
        <v>19</v>
      </c>
      <c r="I130" s="81" t="e">
        <f>SUM(I79:I129)</f>
        <v>#DIV/0!</v>
      </c>
      <c r="J130" s="81" t="e">
        <f t="shared" ref="J130:BH130" si="15">SUM(J79:J129)</f>
        <v>#DIV/0!</v>
      </c>
      <c r="K130" s="81" t="e">
        <f t="shared" si="15"/>
        <v>#DIV/0!</v>
      </c>
      <c r="L130" s="81">
        <f t="shared" si="15"/>
        <v>-0.26937985973184181</v>
      </c>
      <c r="M130" s="81" t="e">
        <f t="shared" si="15"/>
        <v>#DIV/0!</v>
      </c>
      <c r="N130" s="81" t="e">
        <f t="shared" si="15"/>
        <v>#DIV/0!</v>
      </c>
      <c r="O130" s="81" t="e">
        <f t="shared" si="15"/>
        <v>#DIV/0!</v>
      </c>
      <c r="P130" s="81" t="e">
        <f t="shared" si="15"/>
        <v>#DIV/0!</v>
      </c>
      <c r="Q130" s="81" t="e">
        <f t="shared" si="15"/>
        <v>#DIV/0!</v>
      </c>
      <c r="R130" s="81" t="e">
        <f t="shared" si="15"/>
        <v>#DIV/0!</v>
      </c>
      <c r="S130" s="81" t="e">
        <f t="shared" si="15"/>
        <v>#DIV/0!</v>
      </c>
      <c r="T130" s="81" t="e">
        <f t="shared" si="15"/>
        <v>#DIV/0!</v>
      </c>
      <c r="U130" s="81" t="e">
        <f t="shared" si="15"/>
        <v>#DIV/0!</v>
      </c>
      <c r="V130" s="81" t="e">
        <f t="shared" si="15"/>
        <v>#DIV/0!</v>
      </c>
      <c r="W130" s="81" t="e">
        <f t="shared" si="15"/>
        <v>#DIV/0!</v>
      </c>
      <c r="X130" s="81" t="e">
        <f t="shared" si="15"/>
        <v>#DIV/0!</v>
      </c>
      <c r="Y130" s="81" t="e">
        <f t="shared" si="15"/>
        <v>#DIV/0!</v>
      </c>
      <c r="Z130" s="81" t="e">
        <f t="shared" si="15"/>
        <v>#DIV/0!</v>
      </c>
      <c r="AA130" s="81" t="e">
        <f t="shared" si="15"/>
        <v>#DIV/0!</v>
      </c>
      <c r="AB130" s="81" t="e">
        <f t="shared" si="15"/>
        <v>#DIV/0!</v>
      </c>
      <c r="AC130" s="81" t="e">
        <f t="shared" si="15"/>
        <v>#DIV/0!</v>
      </c>
      <c r="AD130" s="81" t="e">
        <f t="shared" si="15"/>
        <v>#DIV/0!</v>
      </c>
      <c r="AE130" s="81" t="e">
        <f t="shared" si="15"/>
        <v>#DIV/0!</v>
      </c>
      <c r="AF130" s="81" t="e">
        <f t="shared" si="15"/>
        <v>#DIV/0!</v>
      </c>
      <c r="AG130" s="81" t="e">
        <f t="shared" si="15"/>
        <v>#DIV/0!</v>
      </c>
      <c r="AH130" s="81" t="e">
        <f t="shared" si="15"/>
        <v>#DIV/0!</v>
      </c>
      <c r="AI130" s="81" t="e">
        <f t="shared" si="15"/>
        <v>#DIV/0!</v>
      </c>
      <c r="AJ130" s="81" t="e">
        <f t="shared" si="15"/>
        <v>#DIV/0!</v>
      </c>
      <c r="AK130" s="81" t="e">
        <f t="shared" si="15"/>
        <v>#DIV/0!</v>
      </c>
      <c r="AL130" s="81" t="e">
        <f t="shared" si="15"/>
        <v>#DIV/0!</v>
      </c>
      <c r="AM130" s="81" t="e">
        <f t="shared" si="15"/>
        <v>#DIV/0!</v>
      </c>
      <c r="AN130" s="81" t="e">
        <f t="shared" si="15"/>
        <v>#DIV/0!</v>
      </c>
      <c r="AO130" s="81" t="e">
        <f t="shared" si="15"/>
        <v>#DIV/0!</v>
      </c>
      <c r="AP130" s="81" t="e">
        <f t="shared" si="15"/>
        <v>#DIV/0!</v>
      </c>
      <c r="AQ130" s="81" t="e">
        <f t="shared" si="15"/>
        <v>#DIV/0!</v>
      </c>
      <c r="AR130" s="81" t="e">
        <f t="shared" si="15"/>
        <v>#DIV/0!</v>
      </c>
      <c r="AS130" s="81" t="e">
        <f t="shared" si="15"/>
        <v>#DIV/0!</v>
      </c>
      <c r="AT130" s="81" t="e">
        <f t="shared" si="15"/>
        <v>#DIV/0!</v>
      </c>
      <c r="AU130" s="81" t="e">
        <f t="shared" si="15"/>
        <v>#DIV/0!</v>
      </c>
      <c r="AV130" s="81" t="e">
        <f t="shared" si="15"/>
        <v>#DIV/0!</v>
      </c>
      <c r="AW130" s="81" t="e">
        <f t="shared" si="15"/>
        <v>#DIV/0!</v>
      </c>
      <c r="AX130" s="81" t="e">
        <f t="shared" si="15"/>
        <v>#DIV/0!</v>
      </c>
      <c r="AY130" s="81" t="e">
        <f t="shared" si="15"/>
        <v>#DIV/0!</v>
      </c>
      <c r="AZ130" s="81" t="e">
        <f t="shared" si="15"/>
        <v>#DIV/0!</v>
      </c>
      <c r="BA130" s="81" t="e">
        <f t="shared" si="15"/>
        <v>#DIV/0!</v>
      </c>
      <c r="BB130" s="81" t="e">
        <f t="shared" si="15"/>
        <v>#DIV/0!</v>
      </c>
      <c r="BC130" s="81" t="e">
        <f t="shared" si="15"/>
        <v>#DIV/0!</v>
      </c>
      <c r="BD130" s="81" t="e">
        <f t="shared" si="15"/>
        <v>#DIV/0!</v>
      </c>
      <c r="BE130" s="81" t="e">
        <f t="shared" si="15"/>
        <v>#DIV/0!</v>
      </c>
      <c r="BF130" s="81" t="e">
        <f t="shared" si="15"/>
        <v>#DIV/0!</v>
      </c>
      <c r="BG130" s="81">
        <f t="shared" si="15"/>
        <v>-0.41014378837354587</v>
      </c>
      <c r="BH130" s="81">
        <f t="shared" si="15"/>
        <v>-0.31718021939454549</v>
      </c>
      <c r="BI130" s="100"/>
      <c r="BJ130" s="277">
        <f t="shared" si="14"/>
        <v>1</v>
      </c>
      <c r="BK130" s="96"/>
      <c r="BL130" s="32"/>
      <c r="BN130" s="5"/>
    </row>
    <row r="131" spans="6:66" ht="26">
      <c r="F131" s="206"/>
      <c r="G131" s="207"/>
      <c r="H131" s="77" t="s">
        <v>540</v>
      </c>
      <c r="I131" s="78" t="e">
        <f t="shared" ref="I131:AN131" si="16">I132-(I130+I78)</f>
        <v>#DIV/0!</v>
      </c>
      <c r="J131" s="224" t="e">
        <f t="shared" si="16"/>
        <v>#DIV/0!</v>
      </c>
      <c r="K131" s="224" t="e">
        <f t="shared" si="16"/>
        <v>#DIV/0!</v>
      </c>
      <c r="L131" s="224">
        <f t="shared" si="16"/>
        <v>0.22567240760881319</v>
      </c>
      <c r="M131" s="224" t="e">
        <f t="shared" si="16"/>
        <v>#DIV/0!</v>
      </c>
      <c r="N131" s="224" t="e">
        <f t="shared" si="16"/>
        <v>#DIV/0!</v>
      </c>
      <c r="O131" s="224" t="e">
        <f t="shared" si="16"/>
        <v>#DIV/0!</v>
      </c>
      <c r="P131" s="224" t="e">
        <f t="shared" si="16"/>
        <v>#DIV/0!</v>
      </c>
      <c r="Q131" s="224" t="e">
        <f t="shared" si="16"/>
        <v>#DIV/0!</v>
      </c>
      <c r="R131" s="224" t="e">
        <f t="shared" si="16"/>
        <v>#DIV/0!</v>
      </c>
      <c r="S131" s="224" t="e">
        <f t="shared" si="16"/>
        <v>#DIV/0!</v>
      </c>
      <c r="T131" s="224" t="e">
        <f t="shared" si="16"/>
        <v>#DIV/0!</v>
      </c>
      <c r="U131" s="224" t="e">
        <f t="shared" si="16"/>
        <v>#DIV/0!</v>
      </c>
      <c r="V131" s="224" t="e">
        <f t="shared" si="16"/>
        <v>#DIV/0!</v>
      </c>
      <c r="W131" s="224" t="e">
        <f t="shared" si="16"/>
        <v>#DIV/0!</v>
      </c>
      <c r="X131" s="224" t="e">
        <f t="shared" si="16"/>
        <v>#DIV/0!</v>
      </c>
      <c r="Y131" s="224" t="e">
        <f t="shared" si="16"/>
        <v>#DIV/0!</v>
      </c>
      <c r="Z131" s="224" t="e">
        <f t="shared" si="16"/>
        <v>#DIV/0!</v>
      </c>
      <c r="AA131" s="224" t="e">
        <f t="shared" si="16"/>
        <v>#DIV/0!</v>
      </c>
      <c r="AB131" s="224" t="e">
        <f t="shared" si="16"/>
        <v>#DIV/0!</v>
      </c>
      <c r="AC131" s="224" t="e">
        <f t="shared" si="16"/>
        <v>#DIV/0!</v>
      </c>
      <c r="AD131" s="224" t="e">
        <f t="shared" si="16"/>
        <v>#DIV/0!</v>
      </c>
      <c r="AE131" s="224" t="e">
        <f t="shared" si="16"/>
        <v>#DIV/0!</v>
      </c>
      <c r="AF131" s="224" t="e">
        <f t="shared" si="16"/>
        <v>#DIV/0!</v>
      </c>
      <c r="AG131" s="224" t="e">
        <f t="shared" si="16"/>
        <v>#DIV/0!</v>
      </c>
      <c r="AH131" s="224" t="e">
        <f t="shared" si="16"/>
        <v>#DIV/0!</v>
      </c>
      <c r="AI131" s="224" t="e">
        <f t="shared" si="16"/>
        <v>#DIV/0!</v>
      </c>
      <c r="AJ131" s="224" t="e">
        <f t="shared" si="16"/>
        <v>#DIV/0!</v>
      </c>
      <c r="AK131" s="224" t="e">
        <f t="shared" si="16"/>
        <v>#DIV/0!</v>
      </c>
      <c r="AL131" s="224" t="e">
        <f t="shared" si="16"/>
        <v>#DIV/0!</v>
      </c>
      <c r="AM131" s="224" t="e">
        <f t="shared" si="16"/>
        <v>#DIV/0!</v>
      </c>
      <c r="AN131" s="224" t="e">
        <f t="shared" si="16"/>
        <v>#DIV/0!</v>
      </c>
      <c r="AO131" s="224" t="e">
        <f t="shared" ref="AO131:BH131" si="17">AO132-(AO130+AO78)</f>
        <v>#DIV/0!</v>
      </c>
      <c r="AP131" s="224" t="e">
        <f t="shared" si="17"/>
        <v>#DIV/0!</v>
      </c>
      <c r="AQ131" s="224" t="e">
        <f t="shared" si="17"/>
        <v>#DIV/0!</v>
      </c>
      <c r="AR131" s="224" t="e">
        <f t="shared" si="17"/>
        <v>#DIV/0!</v>
      </c>
      <c r="AS131" s="224" t="e">
        <f t="shared" si="17"/>
        <v>#DIV/0!</v>
      </c>
      <c r="AT131" s="224" t="e">
        <f t="shared" si="17"/>
        <v>#DIV/0!</v>
      </c>
      <c r="AU131" s="224" t="e">
        <f t="shared" si="17"/>
        <v>#DIV/0!</v>
      </c>
      <c r="AV131" s="224" t="e">
        <f t="shared" si="17"/>
        <v>#DIV/0!</v>
      </c>
      <c r="AW131" s="224" t="e">
        <f t="shared" si="17"/>
        <v>#DIV/0!</v>
      </c>
      <c r="AX131" s="224" t="e">
        <f t="shared" si="17"/>
        <v>#DIV/0!</v>
      </c>
      <c r="AY131" s="224" t="e">
        <f t="shared" si="17"/>
        <v>#DIV/0!</v>
      </c>
      <c r="AZ131" s="224" t="e">
        <f t="shared" si="17"/>
        <v>#DIV/0!</v>
      </c>
      <c r="BA131" s="224" t="e">
        <f t="shared" si="17"/>
        <v>#DIV/0!</v>
      </c>
      <c r="BB131" s="224" t="e">
        <f t="shared" si="17"/>
        <v>#DIV/0!</v>
      </c>
      <c r="BC131" s="224" t="e">
        <f t="shared" si="17"/>
        <v>#DIV/0!</v>
      </c>
      <c r="BD131" s="224" t="e">
        <f t="shared" si="17"/>
        <v>#DIV/0!</v>
      </c>
      <c r="BE131" s="224" t="e">
        <f t="shared" si="17"/>
        <v>#DIV/0!</v>
      </c>
      <c r="BF131" s="224" t="e">
        <f t="shared" si="17"/>
        <v>#DIV/0!</v>
      </c>
      <c r="BG131" s="78">
        <f t="shared" si="17"/>
        <v>0.52708728017189588</v>
      </c>
      <c r="BH131" s="78">
        <f t="shared" si="17"/>
        <v>0.33619323478939545</v>
      </c>
      <c r="BI131" s="100"/>
      <c r="BJ131" s="277">
        <f t="shared" ref="BJ131:BJ135" si="18">IF(SUMIF(I131:BH131,"&lt;&gt;#DIV/0!",I131:BH131)&lt;&gt;0,1,0)</f>
        <v>1</v>
      </c>
      <c r="BK131" s="96"/>
      <c r="BL131" s="32"/>
      <c r="BN131" s="5"/>
    </row>
    <row r="132" spans="6:66">
      <c r="F132" s="206"/>
      <c r="G132" s="207"/>
      <c r="H132" s="98" t="s">
        <v>278</v>
      </c>
      <c r="I132" s="140">
        <f>F5</f>
        <v>0</v>
      </c>
      <c r="J132" s="99">
        <f>F6</f>
        <v>0</v>
      </c>
      <c r="K132" s="99">
        <f>F7</f>
        <v>0</v>
      </c>
      <c r="L132" s="99">
        <f>F8</f>
        <v>-6.5507452123028595E-2</v>
      </c>
      <c r="M132" s="99">
        <f>F55</f>
        <v>0</v>
      </c>
      <c r="N132" s="99">
        <f>F9</f>
        <v>0</v>
      </c>
      <c r="O132" s="99">
        <f>F10</f>
        <v>0</v>
      </c>
      <c r="P132" s="346">
        <f>F11</f>
        <v>0</v>
      </c>
      <c r="Q132" s="346">
        <f>F12</f>
        <v>0</v>
      </c>
      <c r="R132" s="346">
        <f>F13</f>
        <v>0</v>
      </c>
      <c r="S132" s="346">
        <f>F14</f>
        <v>0</v>
      </c>
      <c r="T132" s="346">
        <f>F15</f>
        <v>0</v>
      </c>
      <c r="U132" s="346">
        <f>F16</f>
        <v>0</v>
      </c>
      <c r="V132" s="346">
        <f>F17</f>
        <v>0</v>
      </c>
      <c r="W132" s="346">
        <f>F18</f>
        <v>0</v>
      </c>
      <c r="X132" s="346">
        <f>F19</f>
        <v>0</v>
      </c>
      <c r="Y132" s="346">
        <f>F20</f>
        <v>0</v>
      </c>
      <c r="Z132" s="346">
        <f>F21</f>
        <v>0</v>
      </c>
      <c r="AA132" s="346">
        <f>F22</f>
        <v>0</v>
      </c>
      <c r="AB132" s="346">
        <f>F23</f>
        <v>0</v>
      </c>
      <c r="AC132" s="346">
        <f>F24</f>
        <v>0</v>
      </c>
      <c r="AD132" s="346">
        <f>F25</f>
        <v>0</v>
      </c>
      <c r="AE132" s="346">
        <f>F26</f>
        <v>0</v>
      </c>
      <c r="AF132" s="346">
        <f>F27</f>
        <v>0</v>
      </c>
      <c r="AG132" s="346">
        <f>F28</f>
        <v>0</v>
      </c>
      <c r="AH132" s="346">
        <f>F29</f>
        <v>0</v>
      </c>
      <c r="AI132" s="346">
        <f>F30</f>
        <v>0</v>
      </c>
      <c r="AJ132" s="346">
        <f>F31</f>
        <v>0</v>
      </c>
      <c r="AK132" s="346">
        <f>F56</f>
        <v>0</v>
      </c>
      <c r="AL132" s="346">
        <f>F32</f>
        <v>0</v>
      </c>
      <c r="AM132" s="346">
        <f>F33</f>
        <v>0</v>
      </c>
      <c r="AN132" s="346">
        <f>F34</f>
        <v>0</v>
      </c>
      <c r="AO132" s="346">
        <f>F35</f>
        <v>0</v>
      </c>
      <c r="AP132" s="346">
        <f>F36</f>
        <v>0</v>
      </c>
      <c r="AQ132" s="346">
        <f>F37</f>
        <v>0</v>
      </c>
      <c r="AR132" s="346">
        <f>F38</f>
        <v>0</v>
      </c>
      <c r="AS132" s="346">
        <f>F39</f>
        <v>0</v>
      </c>
      <c r="AT132" s="346">
        <f>F40</f>
        <v>0</v>
      </c>
      <c r="AU132" s="346">
        <f>F41</f>
        <v>0</v>
      </c>
      <c r="AV132" s="346">
        <f>F42</f>
        <v>0</v>
      </c>
      <c r="AW132" s="346">
        <f>F43</f>
        <v>0</v>
      </c>
      <c r="AX132" s="346">
        <f>F44</f>
        <v>0</v>
      </c>
      <c r="AY132" s="346">
        <f>F45</f>
        <v>0</v>
      </c>
      <c r="AZ132" s="346">
        <f>F46</f>
        <v>0</v>
      </c>
      <c r="BA132" s="346">
        <f>F47</f>
        <v>0</v>
      </c>
      <c r="BB132" s="346">
        <f>F48</f>
        <v>0</v>
      </c>
      <c r="BC132" s="346">
        <f>F49</f>
        <v>0</v>
      </c>
      <c r="BD132" s="346">
        <f>F50</f>
        <v>0</v>
      </c>
      <c r="BE132" s="346">
        <f>F51</f>
        <v>0</v>
      </c>
      <c r="BF132" s="346">
        <f>F52</f>
        <v>0</v>
      </c>
      <c r="BG132" s="346">
        <f>F53</f>
        <v>0.10004349179835</v>
      </c>
      <c r="BH132" s="347">
        <f>F54</f>
        <v>0.10001301539485</v>
      </c>
      <c r="BI132" s="100"/>
      <c r="BJ132" s="277">
        <f t="shared" si="18"/>
        <v>1</v>
      </c>
      <c r="BK132" s="96"/>
      <c r="BL132" s="32"/>
      <c r="BN132" s="5"/>
    </row>
    <row r="133" spans="6:66" hidden="1">
      <c r="F133" s="206"/>
      <c r="G133" s="207"/>
      <c r="J133" s="163" t="e">
        <f>J131+J130+J78</f>
        <v>#DIV/0!</v>
      </c>
      <c r="K133" s="163" t="e">
        <f>K131+K130+K78</f>
        <v>#DIV/0!</v>
      </c>
      <c r="L133" s="163">
        <f>L131+L130+L78</f>
        <v>-6.5507452123028623E-2</v>
      </c>
      <c r="M133" s="163"/>
      <c r="N133" s="163"/>
      <c r="O133" s="163"/>
      <c r="P133" s="163"/>
      <c r="Q133" s="163"/>
      <c r="R133" s="163"/>
      <c r="S133" s="163"/>
      <c r="T133" s="163"/>
      <c r="U133" s="163"/>
      <c r="V133" s="163"/>
      <c r="W133" s="163"/>
      <c r="X133" s="163"/>
      <c r="Y133" s="163"/>
      <c r="Z133" s="163"/>
      <c r="AA133" s="163"/>
      <c r="AB133" s="163"/>
      <c r="AC133" s="163"/>
      <c r="AD133" s="163"/>
      <c r="AE133" s="163"/>
      <c r="AF133" s="163"/>
      <c r="AG133" s="163"/>
      <c r="AH133" s="163"/>
      <c r="AI133" s="163" t="e">
        <f t="shared" ref="AI133:BH133" si="19">AI131+AI130+AI78</f>
        <v>#DIV/0!</v>
      </c>
      <c r="AJ133" s="163" t="e">
        <f t="shared" si="19"/>
        <v>#DIV/0!</v>
      </c>
      <c r="AK133" s="163" t="e">
        <f t="shared" si="19"/>
        <v>#DIV/0!</v>
      </c>
      <c r="AL133" s="163" t="e">
        <f t="shared" si="19"/>
        <v>#DIV/0!</v>
      </c>
      <c r="AM133" s="163" t="e">
        <f t="shared" si="19"/>
        <v>#DIV/0!</v>
      </c>
      <c r="AN133" s="163" t="e">
        <f t="shared" si="19"/>
        <v>#DIV/0!</v>
      </c>
      <c r="AO133" s="163" t="e">
        <f t="shared" si="19"/>
        <v>#DIV/0!</v>
      </c>
      <c r="AP133" s="163" t="e">
        <f t="shared" si="19"/>
        <v>#DIV/0!</v>
      </c>
      <c r="AQ133" s="163" t="e">
        <f t="shared" si="19"/>
        <v>#DIV/0!</v>
      </c>
      <c r="AR133" s="163" t="e">
        <f t="shared" si="19"/>
        <v>#DIV/0!</v>
      </c>
      <c r="AS133" s="163" t="e">
        <f t="shared" si="19"/>
        <v>#DIV/0!</v>
      </c>
      <c r="AT133" s="163" t="e">
        <f t="shared" si="19"/>
        <v>#DIV/0!</v>
      </c>
      <c r="AU133" s="163" t="e">
        <f t="shared" si="19"/>
        <v>#DIV/0!</v>
      </c>
      <c r="AV133" s="163" t="e">
        <f t="shared" si="19"/>
        <v>#DIV/0!</v>
      </c>
      <c r="AW133" s="163" t="e">
        <f t="shared" si="19"/>
        <v>#DIV/0!</v>
      </c>
      <c r="AX133" s="163" t="e">
        <f t="shared" si="19"/>
        <v>#DIV/0!</v>
      </c>
      <c r="AY133" s="163" t="e">
        <f t="shared" si="19"/>
        <v>#DIV/0!</v>
      </c>
      <c r="AZ133" s="163" t="e">
        <f t="shared" si="19"/>
        <v>#DIV/0!</v>
      </c>
      <c r="BA133" s="163" t="e">
        <f t="shared" si="19"/>
        <v>#DIV/0!</v>
      </c>
      <c r="BB133" s="163" t="e">
        <f t="shared" si="19"/>
        <v>#DIV/0!</v>
      </c>
      <c r="BC133" s="163" t="e">
        <f t="shared" si="19"/>
        <v>#DIV/0!</v>
      </c>
      <c r="BD133" s="163" t="e">
        <f t="shared" si="19"/>
        <v>#DIV/0!</v>
      </c>
      <c r="BE133" s="163" t="e">
        <f t="shared" si="19"/>
        <v>#DIV/0!</v>
      </c>
      <c r="BF133" s="163" t="e">
        <f t="shared" si="19"/>
        <v>#DIV/0!</v>
      </c>
      <c r="BG133" s="5">
        <f t="shared" si="19"/>
        <v>0.10004349179835001</v>
      </c>
      <c r="BH133" s="5">
        <f t="shared" si="19"/>
        <v>0.10001301539484996</v>
      </c>
      <c r="BJ133" s="277"/>
      <c r="BK133" s="166"/>
      <c r="BL133" s="167"/>
    </row>
    <row r="134" spans="6:66" hidden="1">
      <c r="L134" s="4"/>
      <c r="M134" s="4"/>
      <c r="O134" s="4"/>
      <c r="P134" s="163"/>
      <c r="Q134" s="163"/>
      <c r="R134" s="163"/>
      <c r="S134" s="163"/>
      <c r="T134" s="163"/>
      <c r="U134" s="163"/>
      <c r="V134" s="163"/>
      <c r="W134" s="163"/>
      <c r="X134" s="163"/>
      <c r="Y134" s="163"/>
      <c r="Z134" s="163"/>
      <c r="AA134" s="163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  <c r="BJ134" s="277">
        <f t="shared" si="18"/>
        <v>0</v>
      </c>
      <c r="BK134" s="166"/>
      <c r="BL134" s="167"/>
    </row>
    <row r="135" spans="6:66" hidden="1">
      <c r="J135" s="4" t="s">
        <v>51</v>
      </c>
      <c r="K135" s="4" t="s">
        <v>65</v>
      </c>
      <c r="L135" s="4" t="s">
        <v>150</v>
      </c>
      <c r="M135" s="4" t="s">
        <v>286</v>
      </c>
      <c r="N135" s="4" t="s">
        <v>66</v>
      </c>
      <c r="O135" s="4" t="s">
        <v>153</v>
      </c>
      <c r="P135" s="4" t="s">
        <v>156</v>
      </c>
      <c r="Q135" s="4" t="s">
        <v>54</v>
      </c>
      <c r="R135" s="4" t="s">
        <v>159</v>
      </c>
      <c r="S135" s="4" t="s">
        <v>56</v>
      </c>
      <c r="T135" s="4" t="s">
        <v>162</v>
      </c>
      <c r="U135" s="4" t="s">
        <v>55</v>
      </c>
      <c r="V135" s="4" t="s">
        <v>57</v>
      </c>
      <c r="W135" s="4" t="s">
        <v>58</v>
      </c>
      <c r="X135" s="4" t="s">
        <v>165</v>
      </c>
      <c r="Y135" s="4" t="s">
        <v>168</v>
      </c>
      <c r="Z135" s="4" t="s">
        <v>171</v>
      </c>
      <c r="AA135" s="4" t="s">
        <v>174</v>
      </c>
      <c r="AB135" s="4" t="s">
        <v>177</v>
      </c>
      <c r="AC135" s="4" t="s">
        <v>180</v>
      </c>
      <c r="AD135" s="4" t="s">
        <v>52</v>
      </c>
      <c r="AE135" s="163" t="s">
        <v>183</v>
      </c>
      <c r="AF135" s="163" t="s">
        <v>59</v>
      </c>
      <c r="AG135" s="163" t="s">
        <v>186</v>
      </c>
      <c r="AH135" s="163" t="s">
        <v>189</v>
      </c>
      <c r="AI135" s="163" t="s">
        <v>60</v>
      </c>
      <c r="AJ135" s="163" t="s">
        <v>192</v>
      </c>
      <c r="AK135" s="163" t="s">
        <v>302</v>
      </c>
      <c r="AL135" s="4" t="s">
        <v>195</v>
      </c>
      <c r="AM135" s="4" t="s">
        <v>61</v>
      </c>
      <c r="AN135" s="4" t="s">
        <v>198</v>
      </c>
      <c r="AO135" s="4" t="s">
        <v>62</v>
      </c>
      <c r="AP135" s="4" t="s">
        <v>53</v>
      </c>
      <c r="AQ135" s="4" t="s">
        <v>201</v>
      </c>
      <c r="AR135" s="4" t="s">
        <v>63</v>
      </c>
      <c r="AS135" s="4" t="s">
        <v>64</v>
      </c>
      <c r="AT135" s="373" t="s">
        <v>204</v>
      </c>
      <c r="AU135" s="4" t="s">
        <v>276</v>
      </c>
      <c r="AV135" s="4" t="s">
        <v>210</v>
      </c>
      <c r="AW135" s="4" t="s">
        <v>213</v>
      </c>
      <c r="AX135" s="4" t="s">
        <v>215</v>
      </c>
      <c r="AY135" s="4" t="s">
        <v>217</v>
      </c>
      <c r="AZ135" s="4" t="s">
        <v>219</v>
      </c>
      <c r="BA135" s="4" t="s">
        <v>221</v>
      </c>
      <c r="BB135" s="4" t="s">
        <v>223</v>
      </c>
      <c r="BC135" s="4" t="s">
        <v>225</v>
      </c>
      <c r="BD135" s="4" t="s">
        <v>227</v>
      </c>
      <c r="BE135" s="4" t="s">
        <v>229</v>
      </c>
      <c r="BF135" s="4" t="s">
        <v>231</v>
      </c>
      <c r="BJ135" s="277">
        <f t="shared" si="18"/>
        <v>0</v>
      </c>
      <c r="BK135" s="166"/>
      <c r="BL135" s="167"/>
    </row>
    <row r="136" spans="6:66" hidden="1">
      <c r="J136" s="229" t="e">
        <f>SUM(J79:J111)</f>
        <v>#DIV/0!</v>
      </c>
      <c r="K136" s="229" t="e">
        <f>SUM(K79:K111)</f>
        <v>#DIV/0!</v>
      </c>
      <c r="L136" s="229">
        <f>SUM(L79:L111)</f>
        <v>-0.26672253673345314</v>
      </c>
      <c r="M136" s="229"/>
      <c r="N136" s="229"/>
      <c r="O136" s="229"/>
      <c r="P136" s="229"/>
      <c r="Q136" s="229"/>
      <c r="R136" s="229"/>
      <c r="S136" s="229"/>
      <c r="T136" s="229"/>
      <c r="U136" s="229"/>
      <c r="V136" s="229"/>
      <c r="W136" s="229"/>
      <c r="X136" s="229"/>
      <c r="Y136" s="229"/>
      <c r="Z136" s="229"/>
      <c r="AA136" s="229"/>
      <c r="AB136" s="229"/>
      <c r="AC136" s="229"/>
      <c r="AD136" s="229"/>
      <c r="AE136" s="229"/>
      <c r="AF136" s="229"/>
      <c r="AG136" s="229"/>
      <c r="AH136" s="229"/>
      <c r="AI136" s="229" t="e">
        <f>SUM(AI79:AI111)</f>
        <v>#DIV/0!</v>
      </c>
      <c r="AJ136" s="229" t="e">
        <f>SUM(AJ79:AJ116)</f>
        <v>#DIV/0!</v>
      </c>
      <c r="AK136" s="229" t="e">
        <f>SUM(AK79:AK116)</f>
        <v>#DIV/0!</v>
      </c>
      <c r="AL136" s="229" t="e">
        <f>SUM(AL79:AL111)</f>
        <v>#DIV/0!</v>
      </c>
      <c r="AM136" s="229" t="e">
        <f>SUM(AM79:AM111)</f>
        <v>#DIV/0!</v>
      </c>
      <c r="AN136" s="229" t="e">
        <f>SUM(AN79:AN111)</f>
        <v>#DIV/0!</v>
      </c>
      <c r="AO136" s="229" t="e">
        <f>SUM(AO79:AO111)</f>
        <v>#DIV/0!</v>
      </c>
      <c r="AP136" s="229" t="e">
        <f>SUM(AP79:AP111)</f>
        <v>#DIV/0!</v>
      </c>
      <c r="AQ136" s="229" t="e">
        <f>SUM(AQ79:AQ116)</f>
        <v>#DIV/0!</v>
      </c>
      <c r="AR136" s="229" t="e">
        <f t="shared" ref="AR136:BF136" si="20">SUM(AR79:AR111)</f>
        <v>#DIV/0!</v>
      </c>
      <c r="AS136" s="229" t="e">
        <f t="shared" si="20"/>
        <v>#DIV/0!</v>
      </c>
      <c r="AT136" s="229" t="e">
        <f t="shared" si="20"/>
        <v>#DIV/0!</v>
      </c>
      <c r="AU136" s="229" t="e">
        <f t="shared" si="20"/>
        <v>#DIV/0!</v>
      </c>
      <c r="AV136" s="229" t="e">
        <f t="shared" si="20"/>
        <v>#DIV/0!</v>
      </c>
      <c r="AW136" s="229" t="e">
        <f t="shared" si="20"/>
        <v>#DIV/0!</v>
      </c>
      <c r="AX136" s="229" t="e">
        <f t="shared" si="20"/>
        <v>#DIV/0!</v>
      </c>
      <c r="AY136" s="229" t="e">
        <f t="shared" si="20"/>
        <v>#DIV/0!</v>
      </c>
      <c r="AZ136" s="229" t="e">
        <f t="shared" si="20"/>
        <v>#DIV/0!</v>
      </c>
      <c r="BA136" s="229" t="e">
        <f t="shared" si="20"/>
        <v>#DIV/0!</v>
      </c>
      <c r="BB136" s="229" t="e">
        <f t="shared" si="20"/>
        <v>#DIV/0!</v>
      </c>
      <c r="BC136" s="229" t="e">
        <f t="shared" si="20"/>
        <v>#DIV/0!</v>
      </c>
      <c r="BD136" s="229" t="e">
        <f t="shared" si="20"/>
        <v>#DIV/0!</v>
      </c>
      <c r="BE136" s="229" t="e">
        <f t="shared" si="20"/>
        <v>#DIV/0!</v>
      </c>
      <c r="BF136" s="229" t="e">
        <f t="shared" si="20"/>
        <v>#DIV/0!</v>
      </c>
      <c r="BJ136" s="277"/>
      <c r="BK136" s="166"/>
      <c r="BL136" s="167"/>
    </row>
    <row r="137" spans="6:66" hidden="1">
      <c r="H137" s="83"/>
      <c r="I137" s="84"/>
      <c r="J137" s="228" t="e">
        <f t="shared" ref="J137:AO137" si="21">J130-J136</f>
        <v>#DIV/0!</v>
      </c>
      <c r="K137" s="228" t="e">
        <f t="shared" si="21"/>
        <v>#DIV/0!</v>
      </c>
      <c r="L137" s="228">
        <f t="shared" si="21"/>
        <v>-2.657322998388667E-3</v>
      </c>
      <c r="M137" s="228"/>
      <c r="N137" s="228"/>
      <c r="O137" s="228"/>
      <c r="P137" s="228"/>
      <c r="Q137" s="228"/>
      <c r="R137" s="228"/>
      <c r="S137" s="228"/>
      <c r="T137" s="228"/>
      <c r="U137" s="228"/>
      <c r="V137" s="228"/>
      <c r="W137" s="228"/>
      <c r="X137" s="228"/>
      <c r="Y137" s="228"/>
      <c r="Z137" s="228"/>
      <c r="AA137" s="228"/>
      <c r="AB137" s="228"/>
      <c r="AC137" s="228"/>
      <c r="AD137" s="228"/>
      <c r="AE137" s="228"/>
      <c r="AF137" s="228"/>
      <c r="AG137" s="228"/>
      <c r="AH137" s="228"/>
      <c r="AI137" s="228" t="e">
        <f t="shared" si="21"/>
        <v>#DIV/0!</v>
      </c>
      <c r="AJ137" s="228" t="e">
        <f t="shared" si="21"/>
        <v>#DIV/0!</v>
      </c>
      <c r="AK137" s="228" t="e">
        <f t="shared" si="21"/>
        <v>#DIV/0!</v>
      </c>
      <c r="AL137" s="228" t="e">
        <f t="shared" si="21"/>
        <v>#DIV/0!</v>
      </c>
      <c r="AM137" s="228" t="e">
        <f t="shared" si="21"/>
        <v>#DIV/0!</v>
      </c>
      <c r="AN137" s="228" t="e">
        <f t="shared" si="21"/>
        <v>#DIV/0!</v>
      </c>
      <c r="AO137" s="228" t="e">
        <f t="shared" si="21"/>
        <v>#DIV/0!</v>
      </c>
      <c r="AP137" s="228" t="e">
        <f t="shared" ref="AP137:BH137" si="22">AP130-AP136</f>
        <v>#DIV/0!</v>
      </c>
      <c r="AQ137" s="228" t="e">
        <f t="shared" si="22"/>
        <v>#DIV/0!</v>
      </c>
      <c r="AR137" s="228" t="e">
        <f t="shared" si="22"/>
        <v>#DIV/0!</v>
      </c>
      <c r="AS137" s="228" t="e">
        <f t="shared" si="22"/>
        <v>#DIV/0!</v>
      </c>
      <c r="AT137" s="228" t="e">
        <f t="shared" si="22"/>
        <v>#DIV/0!</v>
      </c>
      <c r="AU137" s="228" t="e">
        <f t="shared" si="22"/>
        <v>#DIV/0!</v>
      </c>
      <c r="AV137" s="228" t="e">
        <f t="shared" si="22"/>
        <v>#DIV/0!</v>
      </c>
      <c r="AW137" s="228" t="e">
        <f t="shared" si="22"/>
        <v>#DIV/0!</v>
      </c>
      <c r="AX137" s="228" t="e">
        <f t="shared" si="22"/>
        <v>#DIV/0!</v>
      </c>
      <c r="AY137" s="228" t="e">
        <f t="shared" si="22"/>
        <v>#DIV/0!</v>
      </c>
      <c r="AZ137" s="228" t="e">
        <f t="shared" si="22"/>
        <v>#DIV/0!</v>
      </c>
      <c r="BA137" s="228" t="e">
        <f t="shared" si="22"/>
        <v>#DIV/0!</v>
      </c>
      <c r="BB137" s="228" t="e">
        <f t="shared" si="22"/>
        <v>#DIV/0!</v>
      </c>
      <c r="BC137" s="228" t="e">
        <f t="shared" si="22"/>
        <v>#DIV/0!</v>
      </c>
      <c r="BD137" s="228" t="e">
        <f t="shared" si="22"/>
        <v>#DIV/0!</v>
      </c>
      <c r="BE137" s="228" t="e">
        <f t="shared" si="22"/>
        <v>#DIV/0!</v>
      </c>
      <c r="BF137" s="228" t="e">
        <f t="shared" si="22"/>
        <v>#DIV/0!</v>
      </c>
      <c r="BG137" s="228">
        <f t="shared" si="22"/>
        <v>-0.41014378837354587</v>
      </c>
      <c r="BH137" s="228">
        <f t="shared" si="22"/>
        <v>-0.31718021939454549</v>
      </c>
      <c r="BJ137" s="277"/>
      <c r="BK137" s="166"/>
      <c r="BL137" s="167"/>
    </row>
    <row r="138" spans="6:66" hidden="1">
      <c r="L138" s="163"/>
      <c r="M138" s="163"/>
      <c r="N138" s="163"/>
      <c r="O138" s="163"/>
      <c r="P138" s="163"/>
      <c r="Q138" s="163"/>
      <c r="R138" s="163"/>
      <c r="S138" s="163"/>
      <c r="T138" s="163"/>
      <c r="U138" s="163"/>
      <c r="V138" s="163"/>
      <c r="W138" s="163"/>
      <c r="X138" s="163"/>
      <c r="Y138" s="163"/>
      <c r="Z138" s="163"/>
      <c r="AA138" s="163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  <c r="BB138" s="163"/>
      <c r="BC138" s="163"/>
      <c r="BD138" s="163"/>
      <c r="BE138" s="163"/>
      <c r="BF138" s="163"/>
      <c r="BG138" s="5"/>
      <c r="BH138" s="5"/>
      <c r="BJ138" s="100"/>
      <c r="BK138" s="166"/>
      <c r="BL138" s="167"/>
    </row>
    <row r="139" spans="6:66" ht="43.5" hidden="1">
      <c r="L139" s="4"/>
      <c r="M139" s="4"/>
      <c r="O139" s="4"/>
      <c r="P139" s="4"/>
      <c r="R139" s="4"/>
      <c r="T139" s="4"/>
      <c r="X139" s="4"/>
      <c r="Y139" s="4"/>
      <c r="Z139" s="4"/>
      <c r="AA139" s="4"/>
      <c r="AB139" s="4"/>
      <c r="AC139" s="4"/>
      <c r="AE139" s="4"/>
      <c r="AG139" s="4"/>
      <c r="AH139" s="4"/>
      <c r="AJ139" s="4"/>
      <c r="AK139" s="374" t="s">
        <v>537</v>
      </c>
      <c r="AL139" s="4"/>
      <c r="AN139" s="4"/>
      <c r="AQ139" s="4"/>
      <c r="AT139" s="4"/>
      <c r="AU139" s="4"/>
      <c r="AV139" s="4"/>
      <c r="AW139" s="4"/>
      <c r="AX139" s="4"/>
      <c r="AY139" s="4"/>
      <c r="AZ139" s="4"/>
      <c r="BA139" s="4"/>
      <c r="BJ139" s="100"/>
      <c r="BK139" s="166"/>
      <c r="BL139" s="167"/>
    </row>
    <row r="140" spans="6:66" hidden="1">
      <c r="L140" s="4"/>
      <c r="M140" s="4"/>
      <c r="O140" s="4"/>
      <c r="P140" s="4"/>
      <c r="R140" s="4"/>
      <c r="T140" s="4"/>
      <c r="X140" s="4"/>
      <c r="Y140" s="4"/>
      <c r="Z140" s="4"/>
      <c r="AA140" s="4"/>
      <c r="AB140" s="4"/>
      <c r="AC140" s="4"/>
      <c r="AE140" s="4"/>
      <c r="AG140" s="4"/>
      <c r="AH140" s="4"/>
      <c r="AJ140" s="4"/>
      <c r="AK140" s="4"/>
      <c r="AL140" s="4"/>
      <c r="AN140" s="4"/>
      <c r="AQ140" s="4"/>
      <c r="AT140" s="4"/>
      <c r="AU140" s="4"/>
      <c r="AV140" s="4"/>
      <c r="AW140" s="4"/>
      <c r="AX140" s="4"/>
      <c r="AY140" s="4"/>
      <c r="AZ140" s="4"/>
      <c r="BA140" s="4"/>
    </row>
    <row r="141" spans="6:66">
      <c r="L141" s="4"/>
      <c r="M141" s="4"/>
      <c r="O141" s="4"/>
      <c r="P141" s="4"/>
      <c r="R141" s="4"/>
      <c r="T141" s="4"/>
      <c r="X141" s="4"/>
      <c r="Y141" s="4"/>
      <c r="Z141" s="4"/>
      <c r="AA141" s="4"/>
      <c r="AB141" s="4"/>
      <c r="AC141" s="4"/>
      <c r="AE141" s="4"/>
      <c r="AG141" s="4"/>
      <c r="AH141" s="4"/>
      <c r="AJ141" s="4"/>
      <c r="AK141" s="4"/>
      <c r="AL141" s="4"/>
      <c r="AN141" s="4"/>
      <c r="AQ141" s="4"/>
      <c r="AT141" s="4"/>
      <c r="AU141" s="4"/>
      <c r="AV141" s="4"/>
      <c r="AW141" s="4"/>
      <c r="AX141" s="4"/>
      <c r="AY141" s="4"/>
      <c r="AZ141" s="4"/>
      <c r="BA141" s="4"/>
    </row>
    <row r="142" spans="6:66"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  <c r="S142" s="84"/>
    </row>
    <row r="143" spans="6:66">
      <c r="H143" s="84"/>
      <c r="I143" s="343"/>
      <c r="J143" s="343"/>
      <c r="K143" s="343"/>
      <c r="L143" s="343"/>
      <c r="M143" s="343"/>
      <c r="N143" s="343"/>
      <c r="O143" s="84"/>
      <c r="P143" s="84"/>
      <c r="Q143" s="84"/>
      <c r="R143" s="84"/>
      <c r="S143" s="84"/>
    </row>
    <row r="144" spans="6:66">
      <c r="H144" s="84"/>
      <c r="I144" s="343"/>
      <c r="J144" s="343"/>
      <c r="K144" s="343"/>
      <c r="L144" s="343"/>
      <c r="M144" s="343"/>
      <c r="N144" s="343"/>
      <c r="O144" s="84"/>
      <c r="P144" s="84"/>
      <c r="Q144" s="84"/>
      <c r="R144" s="84"/>
      <c r="S144" s="84"/>
    </row>
    <row r="145" spans="8:19">
      <c r="H145" s="84"/>
      <c r="I145" s="343"/>
      <c r="J145" s="343"/>
      <c r="K145" s="343"/>
      <c r="L145" s="343"/>
      <c r="M145" s="343"/>
      <c r="N145" s="343"/>
      <c r="O145" s="84"/>
      <c r="P145" s="84"/>
      <c r="Q145" s="84"/>
      <c r="R145" s="84"/>
      <c r="S145" s="84"/>
    </row>
    <row r="146" spans="8:19">
      <c r="H146" s="84"/>
      <c r="I146" s="343"/>
      <c r="J146" s="343"/>
      <c r="K146" s="343"/>
      <c r="L146" s="343"/>
      <c r="M146" s="343"/>
      <c r="N146" s="343"/>
      <c r="O146" s="84"/>
      <c r="P146" s="84"/>
      <c r="Q146" s="84"/>
      <c r="R146" s="84"/>
      <c r="S146" s="84"/>
    </row>
    <row r="147" spans="8:19">
      <c r="H147" s="84"/>
      <c r="I147" s="343"/>
      <c r="J147" s="343"/>
      <c r="K147" s="343"/>
      <c r="L147" s="343"/>
      <c r="M147" s="343"/>
      <c r="N147" s="343"/>
      <c r="O147" s="84"/>
      <c r="P147" s="84"/>
      <c r="Q147" s="84"/>
      <c r="R147" s="84"/>
      <c r="S147" s="84"/>
    </row>
    <row r="148" spans="8:19">
      <c r="H148" s="84"/>
      <c r="I148" s="343"/>
      <c r="J148" s="343"/>
      <c r="K148" s="343"/>
      <c r="L148" s="343"/>
      <c r="M148" s="343"/>
      <c r="N148" s="343"/>
      <c r="O148" s="84"/>
      <c r="P148" s="84"/>
      <c r="Q148" s="84"/>
      <c r="R148" s="84"/>
      <c r="S148" s="84"/>
    </row>
    <row r="149" spans="8:19">
      <c r="H149" s="84"/>
      <c r="I149" s="343"/>
      <c r="J149" s="343"/>
      <c r="K149" s="343"/>
      <c r="L149" s="343"/>
      <c r="M149" s="343"/>
      <c r="N149" s="343"/>
      <c r="O149" s="84"/>
      <c r="P149" s="84"/>
      <c r="Q149" s="84"/>
      <c r="R149" s="84"/>
      <c r="S149" s="84"/>
    </row>
    <row r="150" spans="8:19">
      <c r="H150" s="84"/>
      <c r="I150" s="343"/>
      <c r="J150" s="343"/>
      <c r="K150" s="343"/>
      <c r="L150" s="343"/>
      <c r="M150" s="343"/>
      <c r="N150" s="343"/>
      <c r="O150" s="84"/>
      <c r="P150" s="84"/>
      <c r="Q150" s="84"/>
      <c r="R150" s="84"/>
      <c r="S150" s="84"/>
    </row>
    <row r="151" spans="8:19">
      <c r="H151" s="84"/>
      <c r="I151" s="343"/>
      <c r="J151" s="343"/>
      <c r="K151" s="343"/>
      <c r="L151" s="343"/>
      <c r="M151" s="343"/>
      <c r="N151" s="343"/>
      <c r="O151" s="84"/>
      <c r="P151" s="84"/>
      <c r="Q151" s="84"/>
      <c r="R151" s="84"/>
      <c r="S151" s="84"/>
    </row>
    <row r="152" spans="8:19">
      <c r="H152" s="84"/>
      <c r="I152" s="343"/>
      <c r="J152" s="343"/>
      <c r="K152" s="343"/>
      <c r="L152" s="343"/>
      <c r="M152" s="343"/>
      <c r="N152" s="343"/>
      <c r="O152" s="84"/>
      <c r="P152" s="84"/>
      <c r="Q152" s="84"/>
      <c r="R152" s="84"/>
      <c r="S152" s="84"/>
    </row>
    <row r="153" spans="8:19">
      <c r="H153" s="84"/>
      <c r="I153" s="343"/>
      <c r="J153" s="343"/>
      <c r="K153" s="343"/>
      <c r="L153" s="343"/>
      <c r="M153" s="343"/>
      <c r="N153" s="343"/>
      <c r="O153" s="84"/>
      <c r="P153" s="84"/>
      <c r="Q153" s="84"/>
      <c r="R153" s="84"/>
      <c r="S153" s="84"/>
    </row>
    <row r="154" spans="8:19">
      <c r="H154" s="84"/>
      <c r="I154" s="343"/>
      <c r="J154" s="343"/>
      <c r="K154" s="343"/>
      <c r="L154" s="343"/>
      <c r="M154" s="343"/>
      <c r="N154" s="343"/>
      <c r="O154" s="84"/>
      <c r="P154" s="84"/>
      <c r="Q154" s="84"/>
      <c r="R154" s="84"/>
      <c r="S154" s="84"/>
    </row>
    <row r="155" spans="8:19">
      <c r="H155" s="84"/>
      <c r="I155" s="343"/>
      <c r="J155" s="343"/>
      <c r="K155" s="343"/>
      <c r="L155" s="343"/>
      <c r="M155" s="343"/>
      <c r="N155" s="343"/>
      <c r="O155" s="84"/>
      <c r="P155" s="84"/>
      <c r="Q155" s="84"/>
      <c r="R155" s="84"/>
      <c r="S155" s="84"/>
    </row>
    <row r="156" spans="8:19">
      <c r="H156" s="84"/>
      <c r="I156" s="343"/>
      <c r="J156" s="343"/>
      <c r="K156" s="343"/>
      <c r="L156" s="343"/>
      <c r="M156" s="343"/>
      <c r="N156" s="343"/>
      <c r="O156" s="84"/>
      <c r="P156" s="84"/>
      <c r="Q156" s="84"/>
      <c r="R156" s="84"/>
      <c r="S156" s="84"/>
    </row>
    <row r="157" spans="8:19">
      <c r="H157" s="150"/>
      <c r="I157" s="345"/>
      <c r="J157" s="345"/>
      <c r="K157" s="345"/>
      <c r="L157" s="345"/>
      <c r="M157" s="345"/>
      <c r="N157" s="345"/>
      <c r="O157" s="150"/>
      <c r="P157" s="150"/>
      <c r="Q157" s="150"/>
      <c r="R157" s="150"/>
      <c r="S157" s="150"/>
    </row>
    <row r="158" spans="8:19">
      <c r="H158" s="84"/>
      <c r="I158" s="343"/>
      <c r="J158" s="343"/>
      <c r="K158" s="343"/>
      <c r="L158" s="343"/>
      <c r="M158" s="343"/>
      <c r="N158" s="343"/>
      <c r="O158" s="84"/>
      <c r="P158" s="84"/>
      <c r="Q158" s="84"/>
      <c r="R158" s="84"/>
      <c r="S158" s="84"/>
    </row>
    <row r="159" spans="8:19">
      <c r="H159" s="84"/>
      <c r="I159" s="343"/>
      <c r="J159" s="343"/>
      <c r="K159" s="343"/>
      <c r="L159" s="343"/>
      <c r="M159" s="343"/>
      <c r="N159" s="343"/>
      <c r="O159" s="84"/>
      <c r="P159" s="84"/>
      <c r="Q159" s="84"/>
      <c r="R159" s="84"/>
      <c r="S159" s="84"/>
    </row>
    <row r="160" spans="8:19">
      <c r="H160" s="84"/>
      <c r="I160" s="343"/>
      <c r="J160" s="343"/>
      <c r="K160" s="343"/>
      <c r="L160" s="343"/>
      <c r="M160" s="343"/>
      <c r="N160" s="343"/>
      <c r="O160" s="84"/>
      <c r="P160" s="84"/>
      <c r="Q160" s="84"/>
      <c r="R160" s="84"/>
      <c r="S160" s="84"/>
    </row>
    <row r="161" spans="8:19">
      <c r="H161" s="84"/>
      <c r="I161" s="343"/>
      <c r="J161" s="343"/>
      <c r="K161" s="343"/>
      <c r="L161" s="343"/>
      <c r="M161" s="343"/>
      <c r="N161" s="343"/>
      <c r="O161" s="84"/>
      <c r="P161" s="84"/>
      <c r="Q161" s="84"/>
      <c r="R161" s="84"/>
      <c r="S161" s="84"/>
    </row>
    <row r="162" spans="8:19">
      <c r="H162" s="84"/>
      <c r="I162" s="343"/>
      <c r="J162" s="343"/>
      <c r="K162" s="343"/>
      <c r="L162" s="343"/>
      <c r="M162" s="343"/>
      <c r="N162" s="343"/>
      <c r="O162" s="84"/>
      <c r="P162" s="84"/>
      <c r="Q162" s="84"/>
      <c r="R162" s="84"/>
      <c r="S162" s="84"/>
    </row>
    <row r="163" spans="8:19">
      <c r="H163" s="84"/>
      <c r="I163" s="343"/>
      <c r="J163" s="343"/>
      <c r="K163" s="343"/>
      <c r="L163" s="343"/>
      <c r="M163" s="343"/>
      <c r="N163" s="343"/>
      <c r="O163" s="84"/>
      <c r="P163" s="84"/>
      <c r="Q163" s="84"/>
      <c r="R163" s="84"/>
      <c r="S163" s="84"/>
    </row>
    <row r="164" spans="8:19">
      <c r="H164" s="84"/>
      <c r="I164" s="343"/>
      <c r="J164" s="343"/>
      <c r="K164" s="343"/>
      <c r="L164" s="343"/>
      <c r="M164" s="343"/>
      <c r="N164" s="343"/>
      <c r="O164" s="84"/>
      <c r="P164" s="84"/>
      <c r="Q164" s="84"/>
      <c r="R164" s="84"/>
      <c r="S164" s="84"/>
    </row>
    <row r="165" spans="8:19">
      <c r="H165" s="84"/>
      <c r="I165" s="343"/>
      <c r="J165" s="343"/>
      <c r="K165" s="343"/>
      <c r="L165" s="343"/>
      <c r="M165" s="343"/>
      <c r="N165" s="343"/>
      <c r="O165" s="84"/>
      <c r="P165" s="84"/>
      <c r="Q165" s="84"/>
      <c r="R165" s="84"/>
      <c r="S165" s="84"/>
    </row>
    <row r="166" spans="8:19">
      <c r="H166" s="84"/>
      <c r="I166" s="343"/>
      <c r="J166" s="343"/>
      <c r="K166" s="343"/>
      <c r="L166" s="343"/>
      <c r="M166" s="343"/>
      <c r="N166" s="343"/>
      <c r="O166" s="84"/>
      <c r="P166" s="84"/>
      <c r="Q166" s="84"/>
      <c r="R166" s="84"/>
      <c r="S166" s="84"/>
    </row>
    <row r="167" spans="8:19">
      <c r="H167" s="84"/>
      <c r="I167" s="343"/>
      <c r="J167" s="343"/>
      <c r="K167" s="343"/>
      <c r="L167" s="343"/>
      <c r="M167" s="343"/>
      <c r="N167" s="343"/>
      <c r="O167" s="84"/>
      <c r="P167" s="84"/>
      <c r="Q167" s="84"/>
      <c r="R167" s="84"/>
      <c r="S167" s="84"/>
    </row>
    <row r="168" spans="8:19">
      <c r="H168" s="84"/>
      <c r="I168" s="343"/>
      <c r="J168" s="343"/>
      <c r="K168" s="343"/>
      <c r="L168" s="343"/>
      <c r="M168" s="343"/>
      <c r="N168" s="343"/>
      <c r="O168" s="84"/>
      <c r="P168" s="84"/>
      <c r="Q168" s="84"/>
      <c r="R168" s="84"/>
      <c r="S168" s="84"/>
    </row>
    <row r="169" spans="8:19">
      <c r="H169" s="84"/>
      <c r="I169" s="343"/>
      <c r="J169" s="343"/>
      <c r="K169" s="343"/>
      <c r="L169" s="343"/>
      <c r="M169" s="343"/>
      <c r="N169" s="343"/>
      <c r="O169" s="84"/>
      <c r="P169" s="84"/>
      <c r="Q169" s="84"/>
      <c r="R169" s="84"/>
      <c r="S169" s="84"/>
    </row>
    <row r="170" spans="8:19">
      <c r="H170" s="150"/>
      <c r="I170" s="345"/>
      <c r="J170" s="345"/>
      <c r="K170" s="345"/>
      <c r="L170" s="345"/>
      <c r="M170" s="345"/>
      <c r="N170" s="345"/>
      <c r="O170" s="150"/>
      <c r="P170" s="150"/>
      <c r="Q170" s="150"/>
      <c r="R170" s="150"/>
      <c r="S170" s="150"/>
    </row>
    <row r="171" spans="8:19">
      <c r="H171" s="84"/>
      <c r="I171" s="343"/>
      <c r="J171" s="343"/>
      <c r="K171" s="343"/>
      <c r="L171" s="343"/>
      <c r="M171" s="343"/>
      <c r="N171" s="343"/>
      <c r="O171" s="84"/>
      <c r="P171" s="84"/>
      <c r="Q171" s="84"/>
      <c r="R171" s="84"/>
      <c r="S171" s="84"/>
    </row>
    <row r="172" spans="8:19">
      <c r="H172" s="84"/>
      <c r="I172" s="343"/>
      <c r="J172" s="343"/>
      <c r="K172" s="343"/>
      <c r="L172" s="343"/>
      <c r="M172" s="343"/>
      <c r="N172" s="343"/>
      <c r="O172" s="84"/>
      <c r="P172" s="84"/>
      <c r="Q172" s="84"/>
      <c r="R172" s="84"/>
      <c r="S172" s="84"/>
    </row>
    <row r="173" spans="8:19">
      <c r="H173" s="84"/>
      <c r="I173" s="343"/>
      <c r="J173" s="343"/>
      <c r="K173" s="343"/>
      <c r="L173" s="343"/>
      <c r="M173" s="343"/>
      <c r="N173" s="343"/>
      <c r="O173" s="84"/>
      <c r="P173" s="84"/>
      <c r="Q173" s="84"/>
      <c r="R173" s="84"/>
      <c r="S173" s="84"/>
    </row>
    <row r="174" spans="8:19">
      <c r="H174" s="84"/>
      <c r="I174" s="343"/>
      <c r="J174" s="343"/>
      <c r="K174" s="343"/>
      <c r="L174" s="343"/>
      <c r="M174" s="343"/>
      <c r="N174" s="343"/>
      <c r="O174" s="84"/>
      <c r="P174" s="84"/>
      <c r="Q174" s="84"/>
      <c r="R174" s="84"/>
      <c r="S174" s="84"/>
    </row>
    <row r="175" spans="8:19">
      <c r="H175" s="84"/>
      <c r="I175" s="343"/>
      <c r="J175" s="343"/>
      <c r="K175" s="343"/>
      <c r="L175" s="343"/>
      <c r="M175" s="343"/>
      <c r="N175" s="343"/>
      <c r="O175" s="84"/>
      <c r="P175" s="84"/>
      <c r="Q175" s="84"/>
      <c r="R175" s="84"/>
      <c r="S175" s="84"/>
    </row>
    <row r="176" spans="8:19">
      <c r="H176" s="84"/>
      <c r="I176" s="343"/>
      <c r="J176" s="343"/>
      <c r="K176" s="343"/>
      <c r="L176" s="343"/>
      <c r="M176" s="343"/>
      <c r="N176" s="343"/>
      <c r="O176" s="84"/>
      <c r="P176" s="84"/>
      <c r="Q176" s="84"/>
      <c r="R176" s="84"/>
      <c r="S176" s="84"/>
    </row>
    <row r="177" spans="8:19">
      <c r="H177" s="84"/>
      <c r="I177" s="343"/>
      <c r="J177" s="343"/>
      <c r="K177" s="343"/>
      <c r="L177" s="343"/>
      <c r="M177" s="343"/>
      <c r="N177" s="343"/>
      <c r="O177" s="84"/>
      <c r="P177" s="84"/>
      <c r="Q177" s="84"/>
      <c r="R177" s="84"/>
      <c r="S177" s="84"/>
    </row>
    <row r="178" spans="8:19">
      <c r="H178" s="84"/>
      <c r="I178" s="343"/>
      <c r="J178" s="343"/>
      <c r="K178" s="343"/>
      <c r="L178" s="343"/>
      <c r="M178" s="343"/>
      <c r="N178" s="343"/>
      <c r="O178" s="84"/>
      <c r="P178" s="84"/>
      <c r="Q178" s="84"/>
      <c r="R178" s="84"/>
      <c r="S178" s="84"/>
    </row>
    <row r="179" spans="8:19">
      <c r="H179" s="84"/>
      <c r="I179" s="343"/>
      <c r="J179" s="343"/>
      <c r="K179" s="343"/>
      <c r="L179" s="343"/>
      <c r="M179" s="343"/>
      <c r="N179" s="343"/>
      <c r="O179" s="84"/>
      <c r="P179" s="84"/>
      <c r="Q179" s="84"/>
      <c r="R179" s="84"/>
      <c r="S179" s="84"/>
    </row>
    <row r="180" spans="8:19">
      <c r="H180" s="84"/>
      <c r="I180" s="343"/>
      <c r="J180" s="343"/>
      <c r="K180" s="343"/>
      <c r="L180" s="343"/>
      <c r="M180" s="343"/>
      <c r="N180" s="343"/>
      <c r="O180" s="84"/>
      <c r="P180" s="84"/>
      <c r="Q180" s="84"/>
      <c r="R180" s="84"/>
      <c r="S180" s="84"/>
    </row>
    <row r="181" spans="8:19">
      <c r="H181" s="84"/>
      <c r="I181" s="343"/>
      <c r="J181" s="343"/>
      <c r="K181" s="343"/>
      <c r="L181" s="343"/>
      <c r="M181" s="343"/>
      <c r="N181" s="343"/>
      <c r="O181" s="84"/>
      <c r="P181" s="84"/>
      <c r="Q181" s="84"/>
      <c r="R181" s="84"/>
      <c r="S181" s="84"/>
    </row>
    <row r="182" spans="8:19">
      <c r="H182" s="84"/>
      <c r="I182" s="343"/>
      <c r="J182" s="343"/>
      <c r="K182" s="343"/>
      <c r="L182" s="343"/>
      <c r="M182" s="343"/>
      <c r="N182" s="343"/>
      <c r="O182" s="84"/>
      <c r="P182" s="84"/>
      <c r="Q182" s="84"/>
      <c r="R182" s="84"/>
      <c r="S182" s="84"/>
    </row>
    <row r="183" spans="8:19">
      <c r="H183" s="84"/>
      <c r="I183" s="343"/>
      <c r="J183" s="343"/>
      <c r="K183" s="343"/>
      <c r="L183" s="343"/>
      <c r="M183" s="343"/>
      <c r="N183" s="343"/>
      <c r="O183" s="84"/>
      <c r="P183" s="84"/>
      <c r="Q183" s="84"/>
      <c r="R183" s="84"/>
      <c r="S183" s="84"/>
    </row>
    <row r="184" spans="8:19">
      <c r="H184" s="84"/>
      <c r="I184" s="343"/>
      <c r="J184" s="343"/>
      <c r="K184" s="343"/>
      <c r="L184" s="343"/>
      <c r="M184" s="343"/>
      <c r="N184" s="343"/>
      <c r="O184" s="84"/>
      <c r="P184" s="84"/>
      <c r="Q184" s="84"/>
      <c r="R184" s="84"/>
      <c r="S184" s="84"/>
    </row>
    <row r="185" spans="8:19">
      <c r="H185" s="84"/>
      <c r="I185" s="343"/>
      <c r="J185" s="343"/>
      <c r="K185" s="343"/>
      <c r="L185" s="343"/>
      <c r="M185" s="343"/>
      <c r="N185" s="343"/>
      <c r="O185" s="84"/>
      <c r="P185" s="84"/>
      <c r="Q185" s="84"/>
      <c r="R185" s="84"/>
      <c r="S185" s="84"/>
    </row>
    <row r="186" spans="8:19">
      <c r="H186" s="150"/>
      <c r="I186" s="345"/>
      <c r="J186" s="345"/>
      <c r="K186" s="345"/>
      <c r="L186" s="345"/>
      <c r="M186" s="345"/>
      <c r="N186" s="345"/>
      <c r="O186" s="150"/>
      <c r="P186" s="150"/>
      <c r="Q186" s="150"/>
      <c r="R186" s="150"/>
      <c r="S186" s="150"/>
    </row>
    <row r="187" spans="8:19">
      <c r="H187" s="84"/>
      <c r="I187" s="343"/>
      <c r="J187" s="343"/>
      <c r="K187" s="343"/>
      <c r="L187" s="343"/>
      <c r="M187" s="343"/>
      <c r="N187" s="343"/>
      <c r="O187" s="84"/>
      <c r="P187" s="84"/>
      <c r="Q187" s="84"/>
      <c r="R187" s="84"/>
      <c r="S187" s="84"/>
    </row>
    <row r="188" spans="8:19">
      <c r="H188" s="84"/>
      <c r="I188" s="343"/>
      <c r="J188" s="343"/>
      <c r="K188" s="343"/>
      <c r="L188" s="343"/>
      <c r="M188" s="343"/>
      <c r="N188" s="343"/>
      <c r="O188" s="84"/>
      <c r="P188" s="84"/>
      <c r="Q188" s="84"/>
      <c r="R188" s="84"/>
      <c r="S188" s="84"/>
    </row>
    <row r="189" spans="8:19">
      <c r="H189" s="84"/>
      <c r="I189" s="343"/>
      <c r="J189" s="343"/>
      <c r="K189" s="343"/>
      <c r="L189" s="343"/>
      <c r="M189" s="343"/>
      <c r="N189" s="343"/>
      <c r="O189" s="84"/>
      <c r="P189" s="84"/>
      <c r="Q189" s="84"/>
      <c r="R189" s="84"/>
      <c r="S189" s="84"/>
    </row>
    <row r="190" spans="8:19">
      <c r="H190" s="84"/>
      <c r="I190" s="343"/>
      <c r="J190" s="343"/>
      <c r="K190" s="343"/>
      <c r="L190" s="343"/>
      <c r="M190" s="343"/>
      <c r="N190" s="343"/>
      <c r="O190" s="84"/>
      <c r="P190" s="84"/>
      <c r="Q190" s="84"/>
      <c r="R190" s="84"/>
      <c r="S190" s="84"/>
    </row>
    <row r="191" spans="8:19">
      <c r="H191" s="84"/>
      <c r="I191" s="343"/>
      <c r="J191" s="343"/>
      <c r="K191" s="343"/>
      <c r="L191" s="343"/>
      <c r="M191" s="343"/>
      <c r="N191" s="343"/>
      <c r="O191" s="84"/>
      <c r="P191" s="84"/>
      <c r="Q191" s="84"/>
      <c r="R191" s="84"/>
      <c r="S191" s="84"/>
    </row>
    <row r="192" spans="8:19">
      <c r="H192" s="84"/>
      <c r="I192" s="344"/>
      <c r="J192" s="344"/>
      <c r="K192" s="344"/>
      <c r="L192" s="344"/>
      <c r="M192" s="344"/>
      <c r="N192" s="344"/>
      <c r="O192" s="84"/>
      <c r="P192" s="84"/>
      <c r="Q192" s="84"/>
      <c r="R192" s="84"/>
      <c r="S192" s="84"/>
    </row>
    <row r="193" spans="8:19">
      <c r="H193" s="84"/>
      <c r="I193" s="344"/>
      <c r="J193" s="344"/>
      <c r="K193" s="344"/>
      <c r="L193" s="344"/>
      <c r="M193" s="344"/>
      <c r="N193" s="344"/>
      <c r="O193" s="84"/>
      <c r="P193" s="84"/>
      <c r="Q193" s="84"/>
      <c r="R193" s="84"/>
      <c r="S193" s="84"/>
    </row>
    <row r="341" spans="19:19">
      <c r="S341" s="163"/>
    </row>
    <row r="342" spans="19:19">
      <c r="S342" s="163"/>
    </row>
  </sheetData>
  <phoneticPr fontId="23" type="noConversion"/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>
    <tabColor theme="2" tint="-0.249977111117893"/>
  </sheetPr>
  <dimension ref="A4:V116"/>
  <sheetViews>
    <sheetView zoomScale="85" zoomScaleNormal="85" workbookViewId="0">
      <selection activeCell="E65" sqref="E65"/>
    </sheetView>
  </sheetViews>
  <sheetFormatPr defaultColWidth="9.08984375" defaultRowHeight="14.5"/>
  <cols>
    <col min="2" max="2" width="16.54296875" customWidth="1"/>
    <col min="3" max="3" width="16.453125" customWidth="1"/>
    <col min="4" max="4" width="13.90625" bestFit="1" customWidth="1"/>
    <col min="5" max="5" width="71.54296875" customWidth="1"/>
    <col min="6" max="6" width="17.08984375" bestFit="1" customWidth="1"/>
    <col min="7" max="7" width="56.6328125" bestFit="1" customWidth="1"/>
    <col min="8" max="8" width="3.90625" hidden="1" customWidth="1"/>
    <col min="9" max="9" width="27.54296875" hidden="1" customWidth="1"/>
    <col min="10" max="10" width="47.08984375" bestFit="1" customWidth="1"/>
    <col min="11" max="11" width="20.90625" customWidth="1"/>
    <col min="12" max="12" width="13.90625" customWidth="1"/>
    <col min="13" max="13" width="74.54296875" customWidth="1"/>
    <col min="14" max="14" width="12.90625" hidden="1" customWidth="1"/>
    <col min="15" max="15" width="16.54296875" customWidth="1"/>
    <col min="16" max="18" width="9.08984375" customWidth="1"/>
    <col min="19" max="19" width="12.08984375" customWidth="1"/>
    <col min="20" max="21" width="9.08984375" customWidth="1"/>
    <col min="22" max="22" width="12.08984375" bestFit="1" customWidth="1"/>
  </cols>
  <sheetData>
    <row r="4" spans="1:22">
      <c r="C4" s="105" t="s">
        <v>249</v>
      </c>
      <c r="H4" s="6"/>
      <c r="I4" s="6"/>
    </row>
    <row r="6" spans="1:22">
      <c r="C6" t="s">
        <v>285</v>
      </c>
      <c r="D6">
        <f>CAPA!C8</f>
        <v>2023</v>
      </c>
      <c r="H6" s="6"/>
      <c r="I6" s="6"/>
      <c r="J6" s="43"/>
      <c r="K6" s="44"/>
      <c r="L6" s="44"/>
    </row>
    <row r="7" spans="1:22">
      <c r="C7" t="s">
        <v>525</v>
      </c>
      <c r="G7" s="10" t="s">
        <v>480</v>
      </c>
      <c r="H7" s="6"/>
      <c r="I7" s="6"/>
      <c r="J7" s="44"/>
      <c r="K7" s="45"/>
      <c r="L7" s="45"/>
    </row>
    <row r="8" spans="1:22" ht="14.4" customHeight="1">
      <c r="C8" s="6" t="s">
        <v>250</v>
      </c>
      <c r="D8" s="425"/>
      <c r="E8" s="426"/>
      <c r="F8" s="127"/>
      <c r="G8" s="291" t="s">
        <v>318</v>
      </c>
      <c r="H8" s="142"/>
      <c r="I8" s="142"/>
      <c r="J8" s="292"/>
      <c r="K8" s="45"/>
      <c r="L8" s="45"/>
    </row>
    <row r="9" spans="1:22">
      <c r="C9" s="6" t="s">
        <v>251</v>
      </c>
      <c r="D9" s="299" t="s">
        <v>655</v>
      </c>
      <c r="E9" s="298"/>
      <c r="G9" s="293" t="s">
        <v>518</v>
      </c>
      <c r="H9" s="142"/>
      <c r="I9" s="142"/>
      <c r="J9" s="142"/>
    </row>
    <row r="13" spans="1:22">
      <c r="C13" s="424" t="s">
        <v>102</v>
      </c>
      <c r="D13" s="424"/>
      <c r="E13" s="106">
        <v>45282</v>
      </c>
    </row>
    <row r="14" spans="1:22">
      <c r="C14" t="s">
        <v>271</v>
      </c>
      <c r="L14" t="s">
        <v>270</v>
      </c>
    </row>
    <row r="15" spans="1:22" ht="46.5" customHeight="1">
      <c r="B15" t="s">
        <v>248</v>
      </c>
      <c r="C15" s="107" t="s">
        <v>103</v>
      </c>
      <c r="D15" s="108" t="s">
        <v>104</v>
      </c>
      <c r="E15" s="108" t="s">
        <v>11</v>
      </c>
      <c r="F15" s="107" t="s">
        <v>105</v>
      </c>
      <c r="G15" s="107" t="s">
        <v>106</v>
      </c>
      <c r="H15" s="47" t="s">
        <v>107</v>
      </c>
      <c r="I15" s="381" t="s">
        <v>581</v>
      </c>
      <c r="J15" s="108" t="s">
        <v>108</v>
      </c>
      <c r="K15" s="107" t="s">
        <v>356</v>
      </c>
      <c r="L15" s="108" t="s">
        <v>104</v>
      </c>
      <c r="M15" s="108" t="s">
        <v>11</v>
      </c>
      <c r="N15" s="46" t="s">
        <v>291</v>
      </c>
      <c r="O15" s="107" t="s">
        <v>105</v>
      </c>
      <c r="S15" t="s">
        <v>753</v>
      </c>
      <c r="U15" t="s">
        <v>754</v>
      </c>
    </row>
    <row r="16" spans="1:22" ht="36" hidden="1" customHeight="1">
      <c r="A16">
        <f>VLOOKUP(D16,Bastidores!F:J,5,FALSE)</f>
        <v>5381</v>
      </c>
      <c r="B16" t="b">
        <f>C16=$E$13</f>
        <v>0</v>
      </c>
      <c r="C16" s="48">
        <f t="shared" ref="C16:C47" si="0">DATE($D$6,MONTH(S16),DAY(S16))</f>
        <v>45260</v>
      </c>
      <c r="D16" s="49" t="s">
        <v>147</v>
      </c>
      <c r="E16" s="50" t="s">
        <v>148</v>
      </c>
      <c r="F16" s="51" t="s">
        <v>149</v>
      </c>
      <c r="G16" s="52" t="str">
        <f>IF($U16=$D$6,"Revisão Tarifária Periódica","Reajuste Tarifário Anual")</f>
        <v>Reajuste Tarifário Anual</v>
      </c>
      <c r="H16" s="50" t="s">
        <v>109</v>
      </c>
      <c r="I16" s="382"/>
      <c r="J16" s="48" t="e">
        <f>VLOOKUP(A16,'BD2'!BR:BT,2,FALSE)</f>
        <v>#N/A</v>
      </c>
      <c r="K16" s="48" t="e">
        <v>#N/A</v>
      </c>
      <c r="L16" s="49" t="s">
        <v>147</v>
      </c>
      <c r="M16" s="50" t="s">
        <v>148</v>
      </c>
      <c r="N16" s="52" t="str">
        <f t="shared" ref="N16:N47" si="1">IF($U16=$D$6,"RTP","RTA")</f>
        <v>RTA</v>
      </c>
      <c r="O16" s="51" t="s">
        <v>149</v>
      </c>
      <c r="S16" s="89">
        <v>44165</v>
      </c>
      <c r="U16">
        <v>2024</v>
      </c>
      <c r="V16" s="89">
        <f>DATE($D$6,MONTH(S16),DAY(S16))</f>
        <v>45260</v>
      </c>
    </row>
    <row r="17" spans="1:22" ht="36" hidden="1" customHeight="1">
      <c r="A17">
        <f>VLOOKUP(D17,Bastidores!F:J,5,FALSE)</f>
        <v>5366</v>
      </c>
      <c r="B17" t="b">
        <f t="shared" ref="B17:B66" si="2">C17=$E$13</f>
        <v>0</v>
      </c>
      <c r="C17" s="48">
        <f t="shared" si="0"/>
        <v>45199</v>
      </c>
      <c r="D17" s="49" t="s">
        <v>51</v>
      </c>
      <c r="E17" s="50" t="s">
        <v>110</v>
      </c>
      <c r="F17" s="51" t="s">
        <v>111</v>
      </c>
      <c r="G17" s="52" t="str">
        <f t="shared" ref="G17:G48" si="3">IF(U17=$D$6,"Revisão Tarifária Periódica","Reajuste Tarifário Anual")</f>
        <v>Reajuste Tarifário Anual</v>
      </c>
      <c r="H17" s="50" t="s">
        <v>109</v>
      </c>
      <c r="I17" s="48" t="s">
        <v>590</v>
      </c>
      <c r="J17" s="48" t="e">
        <f>VLOOKUP(A17,'BD2'!BR:BT,2,FALSE)</f>
        <v>#N/A</v>
      </c>
      <c r="K17" s="48" t="s">
        <v>572</v>
      </c>
      <c r="L17" s="49" t="s">
        <v>51</v>
      </c>
      <c r="M17" s="50" t="s">
        <v>110</v>
      </c>
      <c r="N17" s="52" t="str">
        <f t="shared" si="1"/>
        <v>RTA</v>
      </c>
      <c r="O17" s="51" t="s">
        <v>111</v>
      </c>
      <c r="S17" s="89">
        <v>43738</v>
      </c>
      <c r="U17">
        <v>2024</v>
      </c>
      <c r="V17" s="89">
        <f t="shared" ref="V17:V67" si="4">DATE($D$6,MONTH(S17),DAY(S17))</f>
        <v>45199</v>
      </c>
    </row>
    <row r="18" spans="1:22" ht="36" hidden="1" customHeight="1">
      <c r="A18">
        <f>VLOOKUP(D18,Bastidores!F:J,5,FALSE)</f>
        <v>5372</v>
      </c>
      <c r="B18" t="b">
        <f t="shared" si="2"/>
        <v>0</v>
      </c>
      <c r="C18" s="48">
        <f t="shared" si="0"/>
        <v>45199</v>
      </c>
      <c r="D18" s="49" t="s">
        <v>65</v>
      </c>
      <c r="E18" s="50" t="s">
        <v>112</v>
      </c>
      <c r="F18" s="51" t="s">
        <v>113</v>
      </c>
      <c r="G18" s="52" t="str">
        <f t="shared" si="3"/>
        <v>Reajuste Tarifário Anual</v>
      </c>
      <c r="H18" s="50" t="s">
        <v>109</v>
      </c>
      <c r="I18" s="48"/>
      <c r="J18" s="48" t="e">
        <f>VLOOKUP(A18,'BD2'!BR:BT,2,FALSE)</f>
        <v>#N/A</v>
      </c>
      <c r="K18" s="48" t="s">
        <v>563</v>
      </c>
      <c r="L18" s="49" t="s">
        <v>65</v>
      </c>
      <c r="M18" s="50" t="s">
        <v>112</v>
      </c>
      <c r="N18" s="52" t="str">
        <f t="shared" si="1"/>
        <v>RTA</v>
      </c>
      <c r="O18" s="51" t="s">
        <v>113</v>
      </c>
      <c r="S18" s="89">
        <v>43738</v>
      </c>
      <c r="U18">
        <v>2024</v>
      </c>
      <c r="V18" s="89">
        <f t="shared" si="4"/>
        <v>45199</v>
      </c>
    </row>
    <row r="19" spans="1:22">
      <c r="A19">
        <f>VLOOKUP(D19,Bastidores!F:J,5,FALSE)</f>
        <v>5367</v>
      </c>
      <c r="B19" t="b">
        <f t="shared" si="2"/>
        <v>1</v>
      </c>
      <c r="C19" s="48">
        <f t="shared" si="0"/>
        <v>45282</v>
      </c>
      <c r="D19" s="49" t="s">
        <v>150</v>
      </c>
      <c r="E19" s="50" t="s">
        <v>151</v>
      </c>
      <c r="F19" s="51" t="s">
        <v>335</v>
      </c>
      <c r="G19" s="52" t="str">
        <f t="shared" si="3"/>
        <v>Reajuste Tarifário Anual</v>
      </c>
      <c r="H19" s="50" t="s">
        <v>109</v>
      </c>
      <c r="I19" s="48"/>
      <c r="J19" s="48" t="e">
        <f>VLOOKUP(A19,'BD2'!BR:BT,2,FALSE)</f>
        <v>#N/A</v>
      </c>
      <c r="K19" s="48"/>
      <c r="L19" s="49" t="s">
        <v>150</v>
      </c>
      <c r="M19" s="50" t="s">
        <v>151</v>
      </c>
      <c r="N19" s="52" t="str">
        <f t="shared" si="1"/>
        <v>RTA</v>
      </c>
      <c r="O19" s="51" t="s">
        <v>152</v>
      </c>
      <c r="S19" s="89">
        <v>43821</v>
      </c>
      <c r="U19">
        <v>2025</v>
      </c>
      <c r="V19" s="89">
        <f t="shared" si="4"/>
        <v>45282</v>
      </c>
    </row>
    <row r="20" spans="1:22" hidden="1">
      <c r="A20">
        <v>6897</v>
      </c>
      <c r="B20" t="b">
        <f t="shared" si="2"/>
        <v>0</v>
      </c>
      <c r="C20" s="48">
        <f t="shared" si="0"/>
        <v>45199</v>
      </c>
      <c r="D20" s="49" t="s">
        <v>66</v>
      </c>
      <c r="E20" s="50" t="s">
        <v>114</v>
      </c>
      <c r="F20" s="51" t="s">
        <v>115</v>
      </c>
      <c r="G20" s="52" t="str">
        <f t="shared" si="3"/>
        <v>Reajuste Tarifário Anual</v>
      </c>
      <c r="H20" s="50" t="s">
        <v>109</v>
      </c>
      <c r="I20" s="48" t="s">
        <v>592</v>
      </c>
      <c r="J20" s="48" t="e">
        <f>VLOOKUP(A20,'BD2'!BR:BT,2,FALSE)</f>
        <v>#N/A</v>
      </c>
      <c r="K20" s="48" t="s">
        <v>575</v>
      </c>
      <c r="L20" s="49" t="s">
        <v>66</v>
      </c>
      <c r="M20" s="50" t="s">
        <v>114</v>
      </c>
      <c r="N20" s="52" t="str">
        <f t="shared" si="1"/>
        <v>RTA</v>
      </c>
      <c r="O20" s="51" t="s">
        <v>115</v>
      </c>
      <c r="S20" s="89">
        <v>43738</v>
      </c>
      <c r="U20">
        <v>2024</v>
      </c>
      <c r="V20" s="89">
        <f t="shared" si="4"/>
        <v>45199</v>
      </c>
    </row>
    <row r="21" spans="1:22" hidden="1">
      <c r="A21">
        <f>VLOOKUP(D21,Bastidores!F:J,5,FALSE)</f>
        <v>5351</v>
      </c>
      <c r="B21" t="b">
        <f t="shared" si="2"/>
        <v>0</v>
      </c>
      <c r="C21" s="48">
        <f t="shared" si="0"/>
        <v>45260</v>
      </c>
      <c r="D21" s="49" t="s">
        <v>153</v>
      </c>
      <c r="E21" s="50" t="s">
        <v>154</v>
      </c>
      <c r="F21" s="51" t="s">
        <v>155</v>
      </c>
      <c r="G21" s="52" t="str">
        <f t="shared" si="3"/>
        <v>Reajuste Tarifário Anual</v>
      </c>
      <c r="H21" s="50" t="s">
        <v>109</v>
      </c>
      <c r="I21" s="48"/>
      <c r="J21" s="48" t="e">
        <f>VLOOKUP(A21,'BD2'!BR:BT,2,FALSE)</f>
        <v>#N/A</v>
      </c>
      <c r="K21" s="48"/>
      <c r="L21" s="49" t="s">
        <v>153</v>
      </c>
      <c r="M21" s="50" t="s">
        <v>154</v>
      </c>
      <c r="N21" s="52" t="str">
        <f t="shared" si="1"/>
        <v>RTA</v>
      </c>
      <c r="O21" s="51" t="s">
        <v>155</v>
      </c>
      <c r="S21" s="89">
        <v>44165</v>
      </c>
      <c r="U21">
        <v>2024</v>
      </c>
      <c r="V21" s="89">
        <f t="shared" si="4"/>
        <v>45260</v>
      </c>
    </row>
    <row r="22" spans="1:22" hidden="1">
      <c r="A22">
        <f>VLOOKUP(D22,Bastidores!F:J,5,FALSE)</f>
        <v>4248</v>
      </c>
      <c r="B22" t="b">
        <f>C22=$E$13</f>
        <v>0</v>
      </c>
      <c r="C22" s="48">
        <f t="shared" si="0"/>
        <v>45137</v>
      </c>
      <c r="D22" s="49" t="s">
        <v>156</v>
      </c>
      <c r="E22" s="50" t="s">
        <v>157</v>
      </c>
      <c r="F22" s="51" t="s">
        <v>158</v>
      </c>
      <c r="G22" s="52" t="str">
        <f t="shared" si="3"/>
        <v>Reajuste Tarifário Anual</v>
      </c>
      <c r="H22" s="50" t="s">
        <v>109</v>
      </c>
      <c r="I22" s="48"/>
      <c r="J22" s="48" t="e">
        <f>VLOOKUP(A22,'BD2'!BR:BT,2,FALSE)</f>
        <v>#N/A</v>
      </c>
      <c r="K22" s="48"/>
      <c r="L22" s="49" t="s">
        <v>156</v>
      </c>
      <c r="M22" s="50" t="s">
        <v>157</v>
      </c>
      <c r="N22" s="52" t="str">
        <f t="shared" si="1"/>
        <v>RTA</v>
      </c>
      <c r="O22" s="51" t="s">
        <v>158</v>
      </c>
      <c r="S22" s="89">
        <v>43676</v>
      </c>
      <c r="U22">
        <v>2024</v>
      </c>
      <c r="V22" s="89">
        <f t="shared" si="4"/>
        <v>45137</v>
      </c>
    </row>
    <row r="23" spans="1:22" hidden="1">
      <c r="A23">
        <f>VLOOKUP(D23,Bastidores!F:J,5,FALSE)</f>
        <v>6898</v>
      </c>
      <c r="B23" t="b">
        <f t="shared" si="2"/>
        <v>0</v>
      </c>
      <c r="C23" s="48">
        <f t="shared" si="0"/>
        <v>45199</v>
      </c>
      <c r="D23" s="49" t="s">
        <v>54</v>
      </c>
      <c r="E23" s="50" t="s">
        <v>116</v>
      </c>
      <c r="F23" s="51" t="s">
        <v>117</v>
      </c>
      <c r="G23" s="52" t="str">
        <f t="shared" si="3"/>
        <v>Reajuste Tarifário Anual</v>
      </c>
      <c r="H23" s="50" t="s">
        <v>109</v>
      </c>
      <c r="I23" s="48" t="s">
        <v>586</v>
      </c>
      <c r="J23" s="48" t="e">
        <f>VLOOKUP(A23,'BD2'!BR:BT,2,FALSE)</f>
        <v>#N/A</v>
      </c>
      <c r="K23" s="48" t="s">
        <v>566</v>
      </c>
      <c r="L23" s="49" t="s">
        <v>54</v>
      </c>
      <c r="M23" s="50" t="s">
        <v>116</v>
      </c>
      <c r="N23" s="52" t="str">
        <f t="shared" si="1"/>
        <v>RTA</v>
      </c>
      <c r="O23" s="51" t="s">
        <v>117</v>
      </c>
      <c r="S23" s="89">
        <v>43738</v>
      </c>
      <c r="U23">
        <v>2024</v>
      </c>
      <c r="V23" s="89">
        <f t="shared" si="4"/>
        <v>45199</v>
      </c>
    </row>
    <row r="24" spans="1:22" hidden="1">
      <c r="A24">
        <f>VLOOKUP(D24,Bastidores!F:J,5,FALSE)</f>
        <v>5377</v>
      </c>
      <c r="B24" t="b">
        <f t="shared" si="2"/>
        <v>0</v>
      </c>
      <c r="C24" s="48">
        <f t="shared" si="0"/>
        <v>45075</v>
      </c>
      <c r="D24" s="49" t="s">
        <v>159</v>
      </c>
      <c r="E24" s="50" t="s">
        <v>160</v>
      </c>
      <c r="F24" s="51" t="s">
        <v>161</v>
      </c>
      <c r="G24" s="52" t="str">
        <f t="shared" si="3"/>
        <v>Reajuste Tarifário Anual</v>
      </c>
      <c r="H24" s="50" t="s">
        <v>109</v>
      </c>
      <c r="I24" s="48"/>
      <c r="J24" s="48" t="e">
        <f>VLOOKUP(A24,'BD2'!BR:BT,2,FALSE)</f>
        <v>#N/A</v>
      </c>
      <c r="K24" s="48"/>
      <c r="L24" s="49" t="s">
        <v>159</v>
      </c>
      <c r="M24" s="50" t="s">
        <v>160</v>
      </c>
      <c r="N24" s="52" t="str">
        <f t="shared" si="1"/>
        <v>RTA</v>
      </c>
      <c r="O24" s="51" t="s">
        <v>161</v>
      </c>
      <c r="S24" s="89">
        <v>43980</v>
      </c>
      <c r="U24">
        <v>2024</v>
      </c>
      <c r="V24" s="89">
        <f t="shared" si="4"/>
        <v>45075</v>
      </c>
    </row>
    <row r="25" spans="1:22" ht="26" hidden="1">
      <c r="A25">
        <f>VLOOKUP(D25,Bastidores!F:J,5,FALSE)</f>
        <v>5352</v>
      </c>
      <c r="B25" t="b">
        <f t="shared" si="2"/>
        <v>0</v>
      </c>
      <c r="C25" s="48">
        <f t="shared" si="0"/>
        <v>45199</v>
      </c>
      <c r="D25" s="49" t="s">
        <v>56</v>
      </c>
      <c r="E25" s="50" t="s">
        <v>118</v>
      </c>
      <c r="F25" s="51" t="s">
        <v>119</v>
      </c>
      <c r="G25" s="52" t="str">
        <f t="shared" si="3"/>
        <v>Reajuste Tarifário Anual</v>
      </c>
      <c r="H25" s="50" t="s">
        <v>109</v>
      </c>
      <c r="I25" s="48" t="s">
        <v>588</v>
      </c>
      <c r="J25" s="48" t="e">
        <f>VLOOKUP(A25,'BD2'!BR:BT,2,FALSE)</f>
        <v>#N/A</v>
      </c>
      <c r="K25" s="48" t="s">
        <v>569</v>
      </c>
      <c r="L25" s="49" t="s">
        <v>56</v>
      </c>
      <c r="M25" s="50" t="s">
        <v>118</v>
      </c>
      <c r="N25" s="52" t="str">
        <f t="shared" si="1"/>
        <v>RTA</v>
      </c>
      <c r="O25" s="51" t="s">
        <v>119</v>
      </c>
      <c r="S25" s="89">
        <v>43738</v>
      </c>
      <c r="U25">
        <v>2024</v>
      </c>
      <c r="V25" s="89">
        <f t="shared" si="4"/>
        <v>45199</v>
      </c>
    </row>
    <row r="26" spans="1:22" hidden="1">
      <c r="A26">
        <f>VLOOKUP(D26,Bastidores!F:J,5,FALSE)</f>
        <v>5274</v>
      </c>
      <c r="B26" t="b">
        <f t="shared" si="2"/>
        <v>0</v>
      </c>
      <c r="C26" s="48">
        <f t="shared" si="0"/>
        <v>45045</v>
      </c>
      <c r="D26" s="49" t="s">
        <v>162</v>
      </c>
      <c r="E26" s="50" t="s">
        <v>163</v>
      </c>
      <c r="F26" s="51" t="s">
        <v>164</v>
      </c>
      <c r="G26" s="52" t="str">
        <f t="shared" si="3"/>
        <v>Reajuste Tarifário Anual</v>
      </c>
      <c r="H26" s="50" t="s">
        <v>109</v>
      </c>
      <c r="I26" s="48"/>
      <c r="J26" s="48" t="e">
        <f>VLOOKUP(A26,'BD2'!BR:BT,2,FALSE)</f>
        <v>#N/A</v>
      </c>
      <c r="K26" s="48"/>
      <c r="L26" s="49" t="s">
        <v>162</v>
      </c>
      <c r="M26" s="50" t="s">
        <v>163</v>
      </c>
      <c r="N26" s="52" t="str">
        <f t="shared" si="1"/>
        <v>RTA</v>
      </c>
      <c r="O26" s="51" t="s">
        <v>164</v>
      </c>
      <c r="S26" s="89">
        <v>43584</v>
      </c>
      <c r="U26">
        <v>2024</v>
      </c>
      <c r="V26" s="89">
        <f t="shared" si="4"/>
        <v>45045</v>
      </c>
    </row>
    <row r="27" spans="1:22" hidden="1">
      <c r="A27">
        <f>VLOOKUP(D27,Bastidores!F:J,5,FALSE)</f>
        <v>5353</v>
      </c>
      <c r="B27" t="b">
        <f t="shared" si="2"/>
        <v>0</v>
      </c>
      <c r="C27" s="48">
        <f t="shared" si="0"/>
        <v>45199</v>
      </c>
      <c r="D27" s="49" t="s">
        <v>55</v>
      </c>
      <c r="E27" s="50" t="s">
        <v>120</v>
      </c>
      <c r="F27" s="51" t="s">
        <v>121</v>
      </c>
      <c r="G27" s="52" t="str">
        <f t="shared" si="3"/>
        <v>Reajuste Tarifário Anual</v>
      </c>
      <c r="H27" s="50" t="s">
        <v>109</v>
      </c>
      <c r="I27" s="48" t="s">
        <v>596</v>
      </c>
      <c r="J27" s="48" t="e">
        <f>VLOOKUP(A27,'BD2'!BR:BT,2,FALSE)</f>
        <v>#N/A</v>
      </c>
      <c r="K27" s="48" t="s">
        <v>578</v>
      </c>
      <c r="L27" s="49" t="s">
        <v>55</v>
      </c>
      <c r="M27" s="50" t="s">
        <v>120</v>
      </c>
      <c r="N27" s="52" t="str">
        <f t="shared" si="1"/>
        <v>RTA</v>
      </c>
      <c r="O27" s="51" t="s">
        <v>121</v>
      </c>
      <c r="S27" s="89">
        <v>43738</v>
      </c>
      <c r="U27">
        <v>2024</v>
      </c>
      <c r="V27" s="89">
        <f t="shared" si="4"/>
        <v>45199</v>
      </c>
    </row>
    <row r="28" spans="1:22" hidden="1">
      <c r="A28">
        <f>VLOOKUP(D28,Bastidores!F:J,5,FALSE)</f>
        <v>5355</v>
      </c>
      <c r="B28" t="b">
        <f t="shared" si="2"/>
        <v>0</v>
      </c>
      <c r="C28" s="48">
        <f t="shared" si="0"/>
        <v>45199</v>
      </c>
      <c r="D28" s="49" t="s">
        <v>57</v>
      </c>
      <c r="E28" s="50" t="s">
        <v>122</v>
      </c>
      <c r="F28" s="51" t="s">
        <v>123</v>
      </c>
      <c r="G28" s="52" t="str">
        <f t="shared" si="3"/>
        <v>Reajuste Tarifário Anual</v>
      </c>
      <c r="H28" s="50" t="s">
        <v>109</v>
      </c>
      <c r="I28" s="48" t="s">
        <v>591</v>
      </c>
      <c r="J28" s="48" t="e">
        <f>VLOOKUP(A28,'BD2'!BR:BT,2,FALSE)</f>
        <v>#N/A</v>
      </c>
      <c r="K28" s="48" t="s">
        <v>573</v>
      </c>
      <c r="L28" s="49" t="s">
        <v>57</v>
      </c>
      <c r="M28" s="50" t="s">
        <v>122</v>
      </c>
      <c r="N28" s="52" t="str">
        <f t="shared" si="1"/>
        <v>RTA</v>
      </c>
      <c r="O28" s="51" t="s">
        <v>123</v>
      </c>
      <c r="S28" s="89">
        <v>43738</v>
      </c>
      <c r="U28">
        <v>2025</v>
      </c>
      <c r="V28" s="89">
        <f t="shared" si="4"/>
        <v>45199</v>
      </c>
    </row>
    <row r="29" spans="1:22" hidden="1">
      <c r="A29">
        <f>VLOOKUP(D29,Bastidores!F:J,5,FALSE)</f>
        <v>5363</v>
      </c>
      <c r="B29" t="b">
        <f t="shared" si="2"/>
        <v>0</v>
      </c>
      <c r="C29" s="48">
        <f t="shared" si="0"/>
        <v>45199</v>
      </c>
      <c r="D29" s="49" t="s">
        <v>58</v>
      </c>
      <c r="E29" s="50" t="s">
        <v>124</v>
      </c>
      <c r="F29" s="51" t="s">
        <v>125</v>
      </c>
      <c r="G29" s="52" t="str">
        <f t="shared" si="3"/>
        <v>Reajuste Tarifário Anual</v>
      </c>
      <c r="H29" s="50" t="s">
        <v>109</v>
      </c>
      <c r="I29" s="48" t="s">
        <v>584</v>
      </c>
      <c r="J29" s="48" t="e">
        <f>VLOOKUP(A29,'BD2'!BR:BT,2,FALSE)</f>
        <v>#N/A</v>
      </c>
      <c r="K29" s="48" t="s">
        <v>564</v>
      </c>
      <c r="L29" s="49" t="s">
        <v>58</v>
      </c>
      <c r="M29" s="50" t="s">
        <v>124</v>
      </c>
      <c r="N29" s="52" t="str">
        <f t="shared" si="1"/>
        <v>RTA</v>
      </c>
      <c r="O29" s="51" t="s">
        <v>125</v>
      </c>
      <c r="S29" s="89">
        <v>43738</v>
      </c>
      <c r="U29">
        <v>2024</v>
      </c>
      <c r="V29" s="89">
        <f t="shared" si="4"/>
        <v>45199</v>
      </c>
    </row>
    <row r="30" spans="1:22" hidden="1">
      <c r="A30">
        <f>VLOOKUP(D30,Bastidores!F:J,5,FALSE)</f>
        <v>2763</v>
      </c>
      <c r="B30" t="b">
        <f t="shared" si="2"/>
        <v>0</v>
      </c>
      <c r="C30" s="48">
        <f t="shared" si="0"/>
        <v>45137</v>
      </c>
      <c r="D30" s="49" t="s">
        <v>165</v>
      </c>
      <c r="E30" s="50" t="s">
        <v>166</v>
      </c>
      <c r="F30" s="51" t="s">
        <v>167</v>
      </c>
      <c r="G30" s="52" t="str">
        <f t="shared" si="3"/>
        <v>Reajuste Tarifário Anual</v>
      </c>
      <c r="H30" s="50" t="s">
        <v>109</v>
      </c>
      <c r="I30" s="48"/>
      <c r="J30" s="48" t="e">
        <f>VLOOKUP(A30,'BD2'!BR:BT,2,FALSE)</f>
        <v>#N/A</v>
      </c>
      <c r="K30" s="48"/>
      <c r="L30" s="49" t="s">
        <v>165</v>
      </c>
      <c r="M30" s="50" t="s">
        <v>166</v>
      </c>
      <c r="N30" s="52" t="str">
        <f t="shared" si="1"/>
        <v>RTA</v>
      </c>
      <c r="O30" s="51" t="s">
        <v>167</v>
      </c>
      <c r="S30" s="89">
        <v>43676</v>
      </c>
      <c r="U30">
        <v>2026</v>
      </c>
      <c r="V30" s="89">
        <f t="shared" si="4"/>
        <v>45137</v>
      </c>
    </row>
    <row r="31" spans="1:22" hidden="1">
      <c r="A31">
        <f>VLOOKUP(D31,Bastidores!F:J,5,FALSE)</f>
        <v>5386</v>
      </c>
      <c r="B31" t="b">
        <f t="shared" si="2"/>
        <v>0</v>
      </c>
      <c r="C31" s="48">
        <f t="shared" si="0"/>
        <v>45260</v>
      </c>
      <c r="D31" s="49" t="s">
        <v>168</v>
      </c>
      <c r="E31" s="50" t="s">
        <v>169</v>
      </c>
      <c r="F31" s="51" t="s">
        <v>170</v>
      </c>
      <c r="G31" s="52" t="str">
        <f t="shared" si="3"/>
        <v>Reajuste Tarifário Anual</v>
      </c>
      <c r="H31" s="50" t="s">
        <v>109</v>
      </c>
      <c r="I31" s="48"/>
      <c r="J31" s="48" t="e">
        <f>VLOOKUP(A31,'BD2'!BR:BT,2,FALSE)</f>
        <v>#N/A</v>
      </c>
      <c r="K31" s="48"/>
      <c r="L31" s="49" t="s">
        <v>168</v>
      </c>
      <c r="M31" s="50" t="s">
        <v>169</v>
      </c>
      <c r="N31" s="52" t="str">
        <f t="shared" si="1"/>
        <v>RTA</v>
      </c>
      <c r="O31" s="51" t="s">
        <v>170</v>
      </c>
      <c r="S31" s="89">
        <v>44165</v>
      </c>
      <c r="U31">
        <v>2024</v>
      </c>
      <c r="V31" s="89">
        <f t="shared" si="4"/>
        <v>45260</v>
      </c>
    </row>
    <row r="32" spans="1:22" hidden="1">
      <c r="A32">
        <f>VLOOKUP(D32,Bastidores!F:J,5,FALSE)</f>
        <v>5378</v>
      </c>
      <c r="B32" t="b">
        <f t="shared" si="2"/>
        <v>0</v>
      </c>
      <c r="C32" s="48">
        <f t="shared" si="0"/>
        <v>45045</v>
      </c>
      <c r="D32" s="49" t="s">
        <v>171</v>
      </c>
      <c r="E32" s="50" t="s">
        <v>172</v>
      </c>
      <c r="F32" s="51" t="s">
        <v>173</v>
      </c>
      <c r="G32" s="52" t="str">
        <f t="shared" si="3"/>
        <v>Reajuste Tarifário Anual</v>
      </c>
      <c r="H32" s="50" t="s">
        <v>109</v>
      </c>
      <c r="I32" s="48"/>
      <c r="J32" s="48" t="s">
        <v>505</v>
      </c>
      <c r="K32" s="48"/>
      <c r="L32" s="49" t="s">
        <v>171</v>
      </c>
      <c r="M32" s="50" t="s">
        <v>172</v>
      </c>
      <c r="N32" s="52" t="str">
        <f t="shared" si="1"/>
        <v>RTA</v>
      </c>
      <c r="O32" s="51" t="s">
        <v>173</v>
      </c>
      <c r="S32" s="89">
        <v>43584</v>
      </c>
      <c r="U32">
        <v>2024</v>
      </c>
      <c r="V32" s="89">
        <f t="shared" si="4"/>
        <v>45045</v>
      </c>
    </row>
    <row r="33" spans="1:22" hidden="1">
      <c r="A33">
        <f>VLOOKUP(D33,Bastidores!F:J,5,FALSE)</f>
        <v>5382</v>
      </c>
      <c r="B33" t="b">
        <f t="shared" si="2"/>
        <v>0</v>
      </c>
      <c r="C33" s="48">
        <f t="shared" si="0"/>
        <v>45137</v>
      </c>
      <c r="D33" s="49" t="s">
        <v>174</v>
      </c>
      <c r="E33" s="50" t="s">
        <v>175</v>
      </c>
      <c r="F33" s="51" t="s">
        <v>176</v>
      </c>
      <c r="G33" s="52" t="str">
        <f t="shared" si="3"/>
        <v>Reajuste Tarifário Anual</v>
      </c>
      <c r="H33" s="50" t="s">
        <v>109</v>
      </c>
      <c r="I33" s="48"/>
      <c r="J33" s="48" t="e">
        <f>VLOOKUP(A33,'BD2'!BR:BT,2,FALSE)</f>
        <v>#N/A</v>
      </c>
      <c r="K33" s="48"/>
      <c r="L33" s="49" t="s">
        <v>174</v>
      </c>
      <c r="M33" s="50" t="s">
        <v>175</v>
      </c>
      <c r="N33" s="52" t="str">
        <f t="shared" si="1"/>
        <v>RTA</v>
      </c>
      <c r="O33" s="51" t="s">
        <v>176</v>
      </c>
      <c r="S33" s="89">
        <v>44042</v>
      </c>
      <c r="U33">
        <v>2024</v>
      </c>
      <c r="V33" s="89">
        <f t="shared" si="4"/>
        <v>45137</v>
      </c>
    </row>
    <row r="34" spans="1:22" hidden="1">
      <c r="A34">
        <f>VLOOKUP(D34,Bastidores!F:J,5,FALSE)</f>
        <v>6610</v>
      </c>
      <c r="B34" t="b">
        <f t="shared" si="2"/>
        <v>0</v>
      </c>
      <c r="C34" s="48">
        <f t="shared" si="0"/>
        <v>45260</v>
      </c>
      <c r="D34" s="49" t="s">
        <v>177</v>
      </c>
      <c r="E34" s="50" t="s">
        <v>178</v>
      </c>
      <c r="F34" s="51" t="s">
        <v>179</v>
      </c>
      <c r="G34" s="52" t="str">
        <f t="shared" si="3"/>
        <v>Reajuste Tarifário Anual</v>
      </c>
      <c r="H34" s="50" t="s">
        <v>109</v>
      </c>
      <c r="I34" s="48"/>
      <c r="J34" s="48" t="e">
        <f>VLOOKUP(A34,'BD2'!BR:BT,2,FALSE)</f>
        <v>#N/A</v>
      </c>
      <c r="K34" s="48"/>
      <c r="L34" s="49" t="s">
        <v>177</v>
      </c>
      <c r="M34" s="50" t="s">
        <v>178</v>
      </c>
      <c r="N34" s="52" t="str">
        <f t="shared" si="1"/>
        <v>RTA</v>
      </c>
      <c r="O34" s="51" t="s">
        <v>179</v>
      </c>
      <c r="S34" s="89">
        <v>43799</v>
      </c>
      <c r="U34">
        <v>2024</v>
      </c>
      <c r="V34" s="89">
        <f t="shared" si="4"/>
        <v>45260</v>
      </c>
    </row>
    <row r="35" spans="1:22" hidden="1">
      <c r="A35">
        <f>VLOOKUP(D35,Bastidores!F:J,5,FALSE)</f>
        <v>2381</v>
      </c>
      <c r="B35" t="b">
        <f t="shared" si="2"/>
        <v>0</v>
      </c>
      <c r="C35" s="48">
        <f t="shared" si="0"/>
        <v>45137</v>
      </c>
      <c r="D35" s="49" t="s">
        <v>180</v>
      </c>
      <c r="E35" s="50" t="s">
        <v>181</v>
      </c>
      <c r="F35" s="51" t="s">
        <v>182</v>
      </c>
      <c r="G35" s="52" t="str">
        <f t="shared" si="3"/>
        <v>Reajuste Tarifário Anual</v>
      </c>
      <c r="H35" s="50" t="s">
        <v>109</v>
      </c>
      <c r="I35" s="48"/>
      <c r="J35" s="48" t="e">
        <f>VLOOKUP(A35,'BD2'!BR:BT,2,FALSE)</f>
        <v>#N/A</v>
      </c>
      <c r="K35" s="48"/>
      <c r="L35" s="49" t="s">
        <v>180</v>
      </c>
      <c r="M35" s="50" t="s">
        <v>181</v>
      </c>
      <c r="N35" s="52" t="str">
        <f t="shared" si="1"/>
        <v>RTA</v>
      </c>
      <c r="O35" s="51" t="s">
        <v>182</v>
      </c>
      <c r="S35" s="89">
        <v>43676</v>
      </c>
      <c r="U35">
        <v>2025</v>
      </c>
      <c r="V35" s="89">
        <f t="shared" si="4"/>
        <v>45137</v>
      </c>
    </row>
    <row r="36" spans="1:22" hidden="1">
      <c r="A36">
        <f>VLOOKUP(D36,Bastidores!F:J,5,FALSE)</f>
        <v>5364</v>
      </c>
      <c r="B36" t="b">
        <f t="shared" si="2"/>
        <v>0</v>
      </c>
      <c r="C36" s="48">
        <f t="shared" si="0"/>
        <v>45199</v>
      </c>
      <c r="D36" s="49" t="s">
        <v>52</v>
      </c>
      <c r="E36" s="50" t="s">
        <v>126</v>
      </c>
      <c r="F36" s="51" t="s">
        <v>127</v>
      </c>
      <c r="G36" s="52" t="str">
        <f t="shared" si="3"/>
        <v>Reajuste Tarifário Anual</v>
      </c>
      <c r="H36" s="50" t="s">
        <v>109</v>
      </c>
      <c r="I36" s="48" t="s">
        <v>593</v>
      </c>
      <c r="J36" s="48" t="e">
        <f>VLOOKUP(A36,'BD2'!BR:BT,2,FALSE)</f>
        <v>#N/A</v>
      </c>
      <c r="K36" s="48" t="s">
        <v>576</v>
      </c>
      <c r="L36" s="49" t="s">
        <v>52</v>
      </c>
      <c r="M36" s="50" t="s">
        <v>126</v>
      </c>
      <c r="N36" s="52" t="str">
        <f t="shared" si="1"/>
        <v>RTA</v>
      </c>
      <c r="O36" s="51" t="s">
        <v>127</v>
      </c>
      <c r="S36" s="89">
        <v>43738</v>
      </c>
      <c r="U36">
        <v>2026</v>
      </c>
      <c r="V36" s="89">
        <f t="shared" si="4"/>
        <v>45199</v>
      </c>
    </row>
    <row r="37" spans="1:22" hidden="1">
      <c r="A37">
        <f>VLOOKUP(D37,Bastidores!F:J,5,FALSE)</f>
        <v>6609</v>
      </c>
      <c r="B37" t="b">
        <f t="shared" si="2"/>
        <v>0</v>
      </c>
      <c r="C37" s="48">
        <f t="shared" si="0"/>
        <v>45137</v>
      </c>
      <c r="D37" s="49" t="s">
        <v>183</v>
      </c>
      <c r="E37" s="50" t="s">
        <v>184</v>
      </c>
      <c r="F37" s="51" t="s">
        <v>185</v>
      </c>
      <c r="G37" s="52" t="str">
        <f t="shared" si="3"/>
        <v>Reajuste Tarifário Anual</v>
      </c>
      <c r="H37" s="50" t="s">
        <v>109</v>
      </c>
      <c r="I37" s="48"/>
      <c r="J37" s="48" t="e">
        <f>VLOOKUP(A37,'BD2'!BR:BT,2,FALSE)</f>
        <v>#N/A</v>
      </c>
      <c r="K37" s="48"/>
      <c r="L37" s="49" t="s">
        <v>183</v>
      </c>
      <c r="M37" s="50" t="s">
        <v>184</v>
      </c>
      <c r="N37" s="52" t="str">
        <f t="shared" si="1"/>
        <v>RTA</v>
      </c>
      <c r="O37" s="51" t="s">
        <v>185</v>
      </c>
      <c r="S37" s="89">
        <v>44042</v>
      </c>
      <c r="U37">
        <v>2024</v>
      </c>
      <c r="V37" s="89">
        <f t="shared" si="4"/>
        <v>45137</v>
      </c>
    </row>
    <row r="38" spans="1:22" hidden="1">
      <c r="A38">
        <f>VLOOKUP(D38,Bastidores!F:J,5,FALSE)</f>
        <v>5365</v>
      </c>
      <c r="B38" t="b">
        <f t="shared" si="2"/>
        <v>0</v>
      </c>
      <c r="C38" s="48">
        <f t="shared" si="0"/>
        <v>45199</v>
      </c>
      <c r="D38" s="49" t="s">
        <v>59</v>
      </c>
      <c r="E38" s="50" t="s">
        <v>128</v>
      </c>
      <c r="F38" s="51" t="s">
        <v>129</v>
      </c>
      <c r="G38" s="52" t="str">
        <f t="shared" si="3"/>
        <v>Reajuste Tarifário Anual</v>
      </c>
      <c r="H38" s="50" t="s">
        <v>109</v>
      </c>
      <c r="I38" s="48" t="s">
        <v>587</v>
      </c>
      <c r="J38" s="48" t="e">
        <f>VLOOKUP(A38,'BD2'!BR:BT,2,FALSE)</f>
        <v>#N/A</v>
      </c>
      <c r="K38" s="48" t="s">
        <v>567</v>
      </c>
      <c r="L38" s="49" t="s">
        <v>59</v>
      </c>
      <c r="M38" s="50" t="s">
        <v>128</v>
      </c>
      <c r="N38" s="52" t="str">
        <f t="shared" si="1"/>
        <v>RTA</v>
      </c>
      <c r="O38" s="51" t="s">
        <v>129</v>
      </c>
      <c r="S38" s="89">
        <v>43738</v>
      </c>
      <c r="U38">
        <v>2024</v>
      </c>
      <c r="V38" s="89">
        <f t="shared" si="4"/>
        <v>45199</v>
      </c>
    </row>
    <row r="39" spans="1:22" hidden="1">
      <c r="A39">
        <f>VLOOKUP(D39,Bastidores!F:J,5,FALSE)</f>
        <v>5384</v>
      </c>
      <c r="B39" t="b">
        <f t="shared" si="2"/>
        <v>0</v>
      </c>
      <c r="C39" s="48">
        <f t="shared" si="0"/>
        <v>45075</v>
      </c>
      <c r="D39" s="49" t="s">
        <v>186</v>
      </c>
      <c r="E39" s="50" t="s">
        <v>187</v>
      </c>
      <c r="F39" s="51" t="s">
        <v>188</v>
      </c>
      <c r="G39" s="52" t="str">
        <f t="shared" si="3"/>
        <v>Reajuste Tarifário Anual</v>
      </c>
      <c r="H39" s="50" t="s">
        <v>109</v>
      </c>
      <c r="I39" s="48"/>
      <c r="J39" s="48" t="e">
        <f>VLOOKUP(A39,'BD2'!BR:BT,2,FALSE)</f>
        <v>#N/A</v>
      </c>
      <c r="K39" s="48"/>
      <c r="L39" s="49" t="s">
        <v>186</v>
      </c>
      <c r="M39" s="50" t="s">
        <v>187</v>
      </c>
      <c r="N39" s="52" t="str">
        <f t="shared" si="1"/>
        <v>RTA</v>
      </c>
      <c r="O39" s="51" t="s">
        <v>188</v>
      </c>
      <c r="S39" s="89">
        <v>43614</v>
      </c>
      <c r="U39">
        <v>2024</v>
      </c>
      <c r="V39" s="89">
        <f t="shared" si="4"/>
        <v>45075</v>
      </c>
    </row>
    <row r="40" spans="1:22" hidden="1">
      <c r="A40">
        <f>VLOOKUP(D40,Bastidores!F:J,5,FALSE)</f>
        <v>5385</v>
      </c>
      <c r="B40" t="b">
        <f t="shared" si="2"/>
        <v>0</v>
      </c>
      <c r="C40" s="48">
        <f t="shared" si="0"/>
        <v>45075</v>
      </c>
      <c r="D40" s="49" t="s">
        <v>189</v>
      </c>
      <c r="E40" s="50" t="s">
        <v>190</v>
      </c>
      <c r="F40" s="51" t="s">
        <v>191</v>
      </c>
      <c r="G40" s="52" t="str">
        <f t="shared" si="3"/>
        <v>Reajuste Tarifário Anual</v>
      </c>
      <c r="H40" s="50" t="s">
        <v>109</v>
      </c>
      <c r="I40" s="48"/>
      <c r="J40" s="48" t="e">
        <f>VLOOKUP(A40,'BD2'!BR:BT,2,FALSE)</f>
        <v>#N/A</v>
      </c>
      <c r="K40" s="48"/>
      <c r="L40" s="49" t="s">
        <v>189</v>
      </c>
      <c r="M40" s="50" t="s">
        <v>190</v>
      </c>
      <c r="N40" s="52" t="str">
        <f t="shared" si="1"/>
        <v>RTA</v>
      </c>
      <c r="O40" s="51" t="s">
        <v>191</v>
      </c>
      <c r="S40" s="89">
        <v>43980</v>
      </c>
      <c r="U40">
        <v>2024</v>
      </c>
      <c r="V40" s="89">
        <f t="shared" si="4"/>
        <v>45075</v>
      </c>
    </row>
    <row r="41" spans="1:22" hidden="1">
      <c r="A41">
        <f>VLOOKUP(D41,Bastidores!F:J,5,FALSE)</f>
        <v>5368</v>
      </c>
      <c r="B41" t="b">
        <f t="shared" si="2"/>
        <v>0</v>
      </c>
      <c r="C41" s="48">
        <f t="shared" si="0"/>
        <v>45199</v>
      </c>
      <c r="D41" s="49" t="s">
        <v>60</v>
      </c>
      <c r="E41" s="50" t="s">
        <v>130</v>
      </c>
      <c r="F41" s="51" t="s">
        <v>131</v>
      </c>
      <c r="G41" s="52" t="str">
        <f t="shared" si="3"/>
        <v>Reajuste Tarifário Anual</v>
      </c>
      <c r="H41" s="50" t="s">
        <v>109</v>
      </c>
      <c r="I41" s="48" t="s">
        <v>589</v>
      </c>
      <c r="J41" s="48" t="e">
        <f>VLOOKUP(A41,'BD2'!BR:BT,2,FALSE)</f>
        <v>#N/A</v>
      </c>
      <c r="K41" s="48" t="s">
        <v>570</v>
      </c>
      <c r="L41" s="49" t="s">
        <v>60</v>
      </c>
      <c r="M41" s="50" t="s">
        <v>130</v>
      </c>
      <c r="N41" s="52" t="str">
        <f t="shared" si="1"/>
        <v>RTA</v>
      </c>
      <c r="O41" s="51" t="s">
        <v>131</v>
      </c>
      <c r="S41" s="89">
        <v>43738</v>
      </c>
      <c r="U41">
        <v>2024</v>
      </c>
      <c r="V41" s="89">
        <f t="shared" si="4"/>
        <v>45199</v>
      </c>
    </row>
    <row r="42" spans="1:22" hidden="1">
      <c r="A42">
        <f>VLOOKUP(D42,Bastidores!F:J,5,FALSE)</f>
        <v>3223</v>
      </c>
      <c r="B42" t="b">
        <f t="shared" si="2"/>
        <v>0</v>
      </c>
      <c r="C42" s="48">
        <f t="shared" si="0"/>
        <v>45137</v>
      </c>
      <c r="D42" s="49" t="s">
        <v>192</v>
      </c>
      <c r="E42" s="50" t="s">
        <v>193</v>
      </c>
      <c r="F42" s="51" t="s">
        <v>194</v>
      </c>
      <c r="G42" s="52" t="str">
        <f t="shared" si="3"/>
        <v>Reajuste Tarifário Anual</v>
      </c>
      <c r="H42" s="50" t="s">
        <v>109</v>
      </c>
      <c r="I42" s="48"/>
      <c r="J42" s="48" t="e">
        <f>VLOOKUP(A42,'BD2'!BR:BT,2,FALSE)</f>
        <v>#N/A</v>
      </c>
      <c r="K42" s="48"/>
      <c r="L42" s="49" t="s">
        <v>192</v>
      </c>
      <c r="M42" s="50" t="s">
        <v>193</v>
      </c>
      <c r="N42" s="52" t="str">
        <f t="shared" si="1"/>
        <v>RTA</v>
      </c>
      <c r="O42" s="51" t="s">
        <v>194</v>
      </c>
      <c r="S42" s="89">
        <v>44042</v>
      </c>
      <c r="U42">
        <v>2025</v>
      </c>
      <c r="V42" s="89">
        <f t="shared" si="4"/>
        <v>45137</v>
      </c>
    </row>
    <row r="43" spans="1:22" hidden="1">
      <c r="A43">
        <f>VLOOKUP(D43,Bastidores!F:J,5,FALSE)</f>
        <v>7371</v>
      </c>
      <c r="B43" t="b">
        <f t="shared" si="2"/>
        <v>0</v>
      </c>
      <c r="C43" s="48">
        <f t="shared" si="0"/>
        <v>45137</v>
      </c>
      <c r="D43" s="49" t="s">
        <v>195</v>
      </c>
      <c r="E43" s="50" t="s">
        <v>196</v>
      </c>
      <c r="F43" s="51" t="s">
        <v>197</v>
      </c>
      <c r="G43" s="52" t="str">
        <f t="shared" si="3"/>
        <v>Reajuste Tarifário Anual</v>
      </c>
      <c r="H43" s="50" t="s">
        <v>109</v>
      </c>
      <c r="I43" s="48"/>
      <c r="J43" s="48" t="s">
        <v>549</v>
      </c>
      <c r="K43" s="48"/>
      <c r="L43" s="49" t="s">
        <v>195</v>
      </c>
      <c r="M43" s="50" t="s">
        <v>196</v>
      </c>
      <c r="N43" s="52" t="str">
        <f t="shared" si="1"/>
        <v>RTA</v>
      </c>
      <c r="O43" s="51" t="s">
        <v>197</v>
      </c>
      <c r="S43" s="89">
        <v>43676</v>
      </c>
      <c r="U43">
        <v>2026</v>
      </c>
      <c r="V43" s="89">
        <f t="shared" si="4"/>
        <v>45137</v>
      </c>
    </row>
    <row r="44" spans="1:22" hidden="1">
      <c r="A44">
        <f>VLOOKUP(D44,Bastidores!F:J,5,FALSE)</f>
        <v>5369</v>
      </c>
      <c r="B44" t="b">
        <f t="shared" si="2"/>
        <v>0</v>
      </c>
      <c r="C44" s="48">
        <f t="shared" si="0"/>
        <v>45199</v>
      </c>
      <c r="D44" s="49" t="s">
        <v>61</v>
      </c>
      <c r="E44" s="50" t="s">
        <v>132</v>
      </c>
      <c r="F44" s="51" t="s">
        <v>133</v>
      </c>
      <c r="G44" s="52" t="str">
        <f t="shared" si="3"/>
        <v>Reajuste Tarifário Anual</v>
      </c>
      <c r="H44" s="50" t="s">
        <v>109</v>
      </c>
      <c r="I44" s="48" t="s">
        <v>597</v>
      </c>
      <c r="J44" s="48" t="e">
        <f>VLOOKUP(A44,'BD2'!BR:BT,2,FALSE)</f>
        <v>#N/A</v>
      </c>
      <c r="K44" s="48" t="s">
        <v>579</v>
      </c>
      <c r="L44" s="49" t="s">
        <v>61</v>
      </c>
      <c r="M44" s="50" t="s">
        <v>132</v>
      </c>
      <c r="N44" s="52" t="str">
        <f t="shared" si="1"/>
        <v>RTA</v>
      </c>
      <c r="O44" s="51" t="s">
        <v>133</v>
      </c>
      <c r="S44" s="89">
        <v>43738</v>
      </c>
      <c r="U44">
        <v>2025</v>
      </c>
      <c r="V44" s="89">
        <f t="shared" si="4"/>
        <v>45199</v>
      </c>
    </row>
    <row r="45" spans="1:22" hidden="1">
      <c r="A45">
        <f>VLOOKUP(D45,Bastidores!F:J,5,FALSE)</f>
        <v>5379</v>
      </c>
      <c r="B45" t="b">
        <f t="shared" si="2"/>
        <v>0</v>
      </c>
      <c r="C45" s="48">
        <f t="shared" si="0"/>
        <v>45260</v>
      </c>
      <c r="D45" s="49" t="s">
        <v>198</v>
      </c>
      <c r="E45" s="50" t="s">
        <v>199</v>
      </c>
      <c r="F45" s="51" t="s">
        <v>200</v>
      </c>
      <c r="G45" s="52" t="str">
        <f t="shared" si="3"/>
        <v>Reajuste Tarifário Anual</v>
      </c>
      <c r="H45" s="50" t="s">
        <v>109</v>
      </c>
      <c r="I45" s="48"/>
      <c r="J45" s="48" t="e">
        <f>VLOOKUP(A45,'BD2'!BR:BT,2,FALSE)</f>
        <v>#N/A</v>
      </c>
      <c r="K45" s="48"/>
      <c r="L45" s="49" t="s">
        <v>198</v>
      </c>
      <c r="M45" s="50" t="s">
        <v>199</v>
      </c>
      <c r="N45" s="52" t="str">
        <f t="shared" si="1"/>
        <v>RTA</v>
      </c>
      <c r="O45" s="51" t="s">
        <v>200</v>
      </c>
      <c r="S45" s="89">
        <v>44165</v>
      </c>
      <c r="U45">
        <v>2024</v>
      </c>
      <c r="V45" s="89">
        <f t="shared" si="4"/>
        <v>45260</v>
      </c>
    </row>
    <row r="46" spans="1:22" hidden="1">
      <c r="A46">
        <f>VLOOKUP(D46,Bastidores!F:J,5,FALSE)</f>
        <v>5370</v>
      </c>
      <c r="B46" t="b">
        <f t="shared" si="2"/>
        <v>0</v>
      </c>
      <c r="C46" s="48">
        <f t="shared" si="0"/>
        <v>45199</v>
      </c>
      <c r="D46" s="49" t="s">
        <v>62</v>
      </c>
      <c r="E46" s="50" t="s">
        <v>134</v>
      </c>
      <c r="F46" s="51" t="s">
        <v>135</v>
      </c>
      <c r="G46" s="52" t="str">
        <f t="shared" si="3"/>
        <v>Reajuste Tarifário Anual</v>
      </c>
      <c r="H46" s="50" t="s">
        <v>109</v>
      </c>
      <c r="I46" s="48"/>
      <c r="J46" s="48" t="e">
        <f>VLOOKUP(A46,'BD2'!BR:BT,2,FALSE)</f>
        <v>#N/A</v>
      </c>
      <c r="K46" s="48" t="s">
        <v>574</v>
      </c>
      <c r="L46" s="49" t="s">
        <v>62</v>
      </c>
      <c r="M46" s="50" t="s">
        <v>134</v>
      </c>
      <c r="N46" s="52" t="str">
        <f t="shared" si="1"/>
        <v>RTA</v>
      </c>
      <c r="O46" s="51" t="s">
        <v>135</v>
      </c>
      <c r="S46" s="89">
        <v>43738</v>
      </c>
      <c r="U46">
        <v>2024</v>
      </c>
      <c r="V46" s="89">
        <f t="shared" si="4"/>
        <v>45199</v>
      </c>
    </row>
    <row r="47" spans="1:22" hidden="1">
      <c r="A47">
        <f>VLOOKUP(D47,Bastidores!F:J,5,FALSE)</f>
        <v>5371</v>
      </c>
      <c r="B47" t="b">
        <f t="shared" si="2"/>
        <v>0</v>
      </c>
      <c r="C47" s="48">
        <f t="shared" si="0"/>
        <v>45199</v>
      </c>
      <c r="D47" s="49" t="s">
        <v>53</v>
      </c>
      <c r="E47" s="50" t="s">
        <v>136</v>
      </c>
      <c r="F47" s="51" t="s">
        <v>137</v>
      </c>
      <c r="G47" s="52" t="str">
        <f t="shared" si="3"/>
        <v>Reajuste Tarifário Anual</v>
      </c>
      <c r="H47" s="50" t="s">
        <v>109</v>
      </c>
      <c r="I47" s="48" t="s">
        <v>585</v>
      </c>
      <c r="J47" s="48" t="e">
        <f>VLOOKUP(A47,'BD2'!BR:BT,2,FALSE)</f>
        <v>#N/A</v>
      </c>
      <c r="K47" s="48" t="s">
        <v>565</v>
      </c>
      <c r="L47" s="49" t="s">
        <v>53</v>
      </c>
      <c r="M47" s="50" t="s">
        <v>136</v>
      </c>
      <c r="N47" s="52" t="str">
        <f t="shared" si="1"/>
        <v>RTA</v>
      </c>
      <c r="O47" s="51" t="s">
        <v>137</v>
      </c>
      <c r="S47" s="89">
        <v>43738</v>
      </c>
      <c r="U47">
        <v>2026</v>
      </c>
      <c r="V47" s="89">
        <f t="shared" si="4"/>
        <v>45199</v>
      </c>
    </row>
    <row r="48" spans="1:22" hidden="1">
      <c r="A48">
        <f>VLOOKUP(D48,Bastidores!F:J,5,FALSE)</f>
        <v>3627</v>
      </c>
      <c r="B48" t="b">
        <f t="shared" si="2"/>
        <v>0</v>
      </c>
      <c r="C48" s="48">
        <f>DATE($D$6,MONTH(S48),DAY(S48))</f>
        <v>45137</v>
      </c>
      <c r="D48" s="49" t="s">
        <v>201</v>
      </c>
      <c r="E48" s="50" t="s">
        <v>202</v>
      </c>
      <c r="F48" s="51" t="s">
        <v>203</v>
      </c>
      <c r="G48" s="52" t="str">
        <f t="shared" si="3"/>
        <v>Reajuste Tarifário Anual</v>
      </c>
      <c r="H48" s="50" t="s">
        <v>109</v>
      </c>
      <c r="I48" s="48"/>
      <c r="J48" s="48" t="e">
        <f>VLOOKUP(A48,'BD2'!BR:BT,2,FALSE)</f>
        <v>#N/A</v>
      </c>
      <c r="K48" s="48"/>
      <c r="L48" s="49" t="s">
        <v>201</v>
      </c>
      <c r="M48" s="50" t="s">
        <v>202</v>
      </c>
      <c r="N48" s="52" t="str">
        <f t="shared" ref="N48:N67" si="5">IF($U48=$D$6,"RTP","RTA")</f>
        <v>RTA</v>
      </c>
      <c r="O48" s="51" t="s">
        <v>203</v>
      </c>
      <c r="S48" s="89">
        <v>43676</v>
      </c>
      <c r="U48">
        <v>2025</v>
      </c>
      <c r="V48" s="89">
        <f t="shared" si="4"/>
        <v>45137</v>
      </c>
    </row>
    <row r="49" spans="1:22" hidden="1">
      <c r="A49">
        <f>VLOOKUP(D49,Bastidores!F:J,5,FALSE)</f>
        <v>5373</v>
      </c>
      <c r="B49" t="b">
        <f t="shared" si="2"/>
        <v>0</v>
      </c>
      <c r="C49" s="48">
        <f t="shared" ref="C49:C67" si="6">DATE($D$6,MONTH(S49),DAY(S49))</f>
        <v>45199</v>
      </c>
      <c r="D49" s="49" t="s">
        <v>63</v>
      </c>
      <c r="E49" s="50" t="s">
        <v>138</v>
      </c>
      <c r="F49" s="51" t="s">
        <v>139</v>
      </c>
      <c r="G49" s="52" t="str">
        <f t="shared" ref="G49:G66" si="7">IF(U49=$D$6,"Revisão Tarifária Periódica","Reajuste Tarifário Anual")</f>
        <v>Reajuste Tarifário Anual</v>
      </c>
      <c r="H49" s="50" t="s">
        <v>109</v>
      </c>
      <c r="I49" s="48" t="s">
        <v>595</v>
      </c>
      <c r="J49" s="48" t="e">
        <f>VLOOKUP(A49,'BD2'!BR:BT,2,FALSE)</f>
        <v>#N/A</v>
      </c>
      <c r="K49" s="48" t="s">
        <v>577</v>
      </c>
      <c r="L49" s="49" t="s">
        <v>63</v>
      </c>
      <c r="M49" s="50" t="s">
        <v>138</v>
      </c>
      <c r="N49" s="52" t="str">
        <f t="shared" si="5"/>
        <v>RTA</v>
      </c>
      <c r="O49" s="51" t="s">
        <v>139</v>
      </c>
      <c r="S49" s="89">
        <v>43738</v>
      </c>
      <c r="U49">
        <v>2024</v>
      </c>
      <c r="V49" s="89">
        <f t="shared" si="4"/>
        <v>45199</v>
      </c>
    </row>
    <row r="50" spans="1:22" hidden="1">
      <c r="A50">
        <f>VLOOKUP(D50,Bastidores!F:J,5,FALSE)</f>
        <v>7016</v>
      </c>
      <c r="B50" t="b">
        <f t="shared" si="2"/>
        <v>0</v>
      </c>
      <c r="C50" s="48">
        <f t="shared" si="6"/>
        <v>45199</v>
      </c>
      <c r="D50" s="49" t="s">
        <v>64</v>
      </c>
      <c r="E50" s="50" t="s">
        <v>140</v>
      </c>
      <c r="F50" s="51" t="s">
        <v>141</v>
      </c>
      <c r="G50" s="52" t="str">
        <f t="shared" si="7"/>
        <v>Reajuste Tarifário Anual</v>
      </c>
      <c r="H50" s="50" t="s">
        <v>109</v>
      </c>
      <c r="I50" s="48"/>
      <c r="J50" s="48" t="e">
        <f>VLOOKUP(A50,'BD2'!BR:BT,2,FALSE)</f>
        <v>#N/A</v>
      </c>
      <c r="K50" s="48" t="s">
        <v>568</v>
      </c>
      <c r="L50" s="49" t="s">
        <v>64</v>
      </c>
      <c r="M50" s="50" t="s">
        <v>140</v>
      </c>
      <c r="N50" s="52" t="str">
        <f t="shared" si="5"/>
        <v>RTA</v>
      </c>
      <c r="O50" s="51" t="s">
        <v>141</v>
      </c>
      <c r="S50" s="89">
        <v>43738</v>
      </c>
      <c r="U50">
        <v>2024</v>
      </c>
      <c r="V50" s="89">
        <f t="shared" si="4"/>
        <v>45199</v>
      </c>
    </row>
    <row r="51" spans="1:22" hidden="1">
      <c r="A51">
        <f>VLOOKUP(D51,Bastidores!F:J,5,FALSE)</f>
        <v>2351</v>
      </c>
      <c r="B51" t="b">
        <f t="shared" si="2"/>
        <v>0</v>
      </c>
      <c r="C51" s="48">
        <f t="shared" si="6"/>
        <v>45137</v>
      </c>
      <c r="D51" s="49" t="s">
        <v>204</v>
      </c>
      <c r="E51" s="50" t="s">
        <v>205</v>
      </c>
      <c r="F51" s="51" t="s">
        <v>206</v>
      </c>
      <c r="G51" s="52" t="str">
        <f t="shared" si="7"/>
        <v>Reajuste Tarifário Anual</v>
      </c>
      <c r="H51" s="50" t="s">
        <v>109</v>
      </c>
      <c r="I51" s="48"/>
      <c r="J51" s="48" t="e">
        <f>VLOOKUP(A51,'BD2'!BR:BT,2,FALSE)</f>
        <v>#N/A</v>
      </c>
      <c r="K51" s="48"/>
      <c r="L51" s="49" t="s">
        <v>204</v>
      </c>
      <c r="M51" s="50" t="s">
        <v>205</v>
      </c>
      <c r="N51" s="52" t="str">
        <f t="shared" si="5"/>
        <v>RTA</v>
      </c>
      <c r="O51" s="51" t="s">
        <v>206</v>
      </c>
      <c r="S51" s="89">
        <v>43676</v>
      </c>
      <c r="U51">
        <v>2025</v>
      </c>
      <c r="V51" s="89">
        <f t="shared" si="4"/>
        <v>45137</v>
      </c>
    </row>
    <row r="52" spans="1:22" hidden="1">
      <c r="A52">
        <v>598</v>
      </c>
      <c r="B52" t="b">
        <f t="shared" si="2"/>
        <v>0</v>
      </c>
      <c r="C52" s="48">
        <f t="shared" si="6"/>
        <v>45137</v>
      </c>
      <c r="D52" s="49" t="s">
        <v>276</v>
      </c>
      <c r="E52" s="50" t="s">
        <v>208</v>
      </c>
      <c r="F52" s="51" t="s">
        <v>209</v>
      </c>
      <c r="G52" s="52" t="str">
        <f t="shared" si="7"/>
        <v>Reajuste Tarifário Anual</v>
      </c>
      <c r="H52" s="50" t="s">
        <v>109</v>
      </c>
      <c r="I52" s="48"/>
      <c r="J52" s="48" t="e">
        <f>VLOOKUP(A52,'BD2'!BR:BT,2,FALSE)</f>
        <v>#N/A</v>
      </c>
      <c r="K52" s="48"/>
      <c r="L52" s="49" t="s">
        <v>276</v>
      </c>
      <c r="M52" s="50" t="s">
        <v>208</v>
      </c>
      <c r="N52" s="52" t="str">
        <f t="shared" si="5"/>
        <v>RTA</v>
      </c>
      <c r="O52" s="51" t="s">
        <v>209</v>
      </c>
      <c r="S52" s="89">
        <v>43676</v>
      </c>
      <c r="U52">
        <v>2026</v>
      </c>
      <c r="V52" s="89">
        <f t="shared" si="4"/>
        <v>45137</v>
      </c>
    </row>
    <row r="53" spans="1:22" hidden="1">
      <c r="A53">
        <f>VLOOKUP(D53,Bastidores!F:J,5,FALSE)</f>
        <v>2783</v>
      </c>
      <c r="B53" t="b">
        <f t="shared" si="2"/>
        <v>0</v>
      </c>
      <c r="C53" s="48">
        <f t="shared" si="6"/>
        <v>45137</v>
      </c>
      <c r="D53" s="49" t="s">
        <v>210</v>
      </c>
      <c r="E53" s="50" t="s">
        <v>211</v>
      </c>
      <c r="F53" s="51" t="s">
        <v>212</v>
      </c>
      <c r="G53" s="52" t="str">
        <f t="shared" si="7"/>
        <v>Reajuste Tarifário Anual</v>
      </c>
      <c r="H53" s="50" t="s">
        <v>109</v>
      </c>
      <c r="I53" s="48"/>
      <c r="J53" s="48" t="e">
        <f>VLOOKUP(A53,'BD2'!BR:BT,2,FALSE)</f>
        <v>#N/A</v>
      </c>
      <c r="K53" s="48"/>
      <c r="L53" s="49" t="s">
        <v>210</v>
      </c>
      <c r="M53" s="50" t="s">
        <v>211</v>
      </c>
      <c r="N53" s="52" t="str">
        <f t="shared" si="5"/>
        <v>RTA</v>
      </c>
      <c r="O53" s="51" t="s">
        <v>212</v>
      </c>
      <c r="S53" s="89">
        <v>43676</v>
      </c>
      <c r="U53">
        <v>2026</v>
      </c>
      <c r="V53" s="89">
        <f t="shared" si="4"/>
        <v>45137</v>
      </c>
    </row>
    <row r="54" spans="1:22" hidden="1">
      <c r="A54">
        <f>VLOOKUP(D54,Bastidores!F:J,5,FALSE)</f>
        <v>5279</v>
      </c>
      <c r="B54" t="b">
        <f t="shared" si="2"/>
        <v>0</v>
      </c>
      <c r="C54" s="48">
        <f t="shared" si="6"/>
        <v>45045</v>
      </c>
      <c r="D54" s="48" t="s">
        <v>213</v>
      </c>
      <c r="E54" s="49" t="s">
        <v>214</v>
      </c>
      <c r="F54" s="51" t="s">
        <v>236</v>
      </c>
      <c r="G54" s="52" t="str">
        <f t="shared" si="7"/>
        <v>Reajuste Tarifário Anual</v>
      </c>
      <c r="H54" s="50" t="s">
        <v>109</v>
      </c>
      <c r="I54" s="48"/>
      <c r="J54" s="48" t="e">
        <f>VLOOKUP(A54,'BD2'!BR:BT,2,FALSE)</f>
        <v>#N/A</v>
      </c>
      <c r="K54" s="48"/>
      <c r="L54" s="48" t="s">
        <v>213</v>
      </c>
      <c r="M54" s="49" t="s">
        <v>214</v>
      </c>
      <c r="N54" s="52" t="str">
        <f t="shared" si="5"/>
        <v>RTA</v>
      </c>
      <c r="O54" s="51" t="s">
        <v>236</v>
      </c>
      <c r="S54" s="89">
        <v>43584</v>
      </c>
      <c r="U54">
        <v>2026</v>
      </c>
      <c r="V54" s="89">
        <f t="shared" si="4"/>
        <v>45045</v>
      </c>
    </row>
    <row r="55" spans="1:22" hidden="1">
      <c r="A55">
        <f>VLOOKUP(D55,Bastidores!F:J,5,FALSE)</f>
        <v>6603</v>
      </c>
      <c r="B55" t="b">
        <f t="shared" si="2"/>
        <v>0</v>
      </c>
      <c r="C55" s="48">
        <f t="shared" si="6"/>
        <v>45045</v>
      </c>
      <c r="D55" s="48" t="s">
        <v>215</v>
      </c>
      <c r="E55" s="49" t="s">
        <v>216</v>
      </c>
      <c r="F55" s="51" t="s">
        <v>237</v>
      </c>
      <c r="G55" s="52" t="str">
        <f t="shared" si="7"/>
        <v>Reajuste Tarifário Anual</v>
      </c>
      <c r="H55" s="50" t="s">
        <v>109</v>
      </c>
      <c r="I55" s="48"/>
      <c r="J55" s="48" t="s">
        <v>508</v>
      </c>
      <c r="K55" s="48"/>
      <c r="L55" s="48" t="s">
        <v>215</v>
      </c>
      <c r="M55" s="49" t="s">
        <v>216</v>
      </c>
      <c r="N55" s="52" t="str">
        <f t="shared" si="5"/>
        <v>RTA</v>
      </c>
      <c r="O55" s="51" t="s">
        <v>237</v>
      </c>
      <c r="S55" s="89">
        <v>43584</v>
      </c>
      <c r="U55">
        <v>2026</v>
      </c>
      <c r="V55" s="89">
        <f t="shared" si="4"/>
        <v>45045</v>
      </c>
    </row>
    <row r="56" spans="1:22" hidden="1">
      <c r="A56">
        <f>VLOOKUP(D56,Bastidores!F:J,5,FALSE)</f>
        <v>504</v>
      </c>
      <c r="B56" t="b">
        <f t="shared" si="2"/>
        <v>0</v>
      </c>
      <c r="C56" s="48">
        <f t="shared" si="6"/>
        <v>45137</v>
      </c>
      <c r="D56" s="48" t="s">
        <v>217</v>
      </c>
      <c r="E56" s="49" t="s">
        <v>218</v>
      </c>
      <c r="F56" s="51" t="s">
        <v>238</v>
      </c>
      <c r="G56" s="52" t="str">
        <f t="shared" si="7"/>
        <v>Reajuste Tarifário Anual</v>
      </c>
      <c r="H56" s="50" t="s">
        <v>109</v>
      </c>
      <c r="I56" s="48"/>
      <c r="J56" s="48" t="e">
        <f>VLOOKUP(A56,'BD2'!BR:BT,2,FALSE)</f>
        <v>#N/A</v>
      </c>
      <c r="K56" s="48"/>
      <c r="L56" s="48" t="s">
        <v>217</v>
      </c>
      <c r="M56" s="49" t="s">
        <v>218</v>
      </c>
      <c r="N56" s="52" t="str">
        <f t="shared" si="5"/>
        <v>RTA</v>
      </c>
      <c r="O56" s="51" t="s">
        <v>238</v>
      </c>
      <c r="S56" s="89">
        <v>43676</v>
      </c>
      <c r="U56">
        <v>2026</v>
      </c>
      <c r="V56" s="89">
        <f t="shared" si="4"/>
        <v>45137</v>
      </c>
    </row>
    <row r="57" spans="1:22" hidden="1">
      <c r="A57">
        <f>VLOOKUP(D57,Bastidores!F:J,5,FALSE)</f>
        <v>527</v>
      </c>
      <c r="B57" t="b">
        <f t="shared" si="2"/>
        <v>0</v>
      </c>
      <c r="C57" s="48">
        <f t="shared" si="6"/>
        <v>45137</v>
      </c>
      <c r="D57" s="48" t="s">
        <v>219</v>
      </c>
      <c r="E57" s="49" t="s">
        <v>220</v>
      </c>
      <c r="F57" s="51" t="s">
        <v>239</v>
      </c>
      <c r="G57" s="52" t="str">
        <f t="shared" si="7"/>
        <v>Reajuste Tarifário Anual</v>
      </c>
      <c r="H57" s="50" t="s">
        <v>109</v>
      </c>
      <c r="I57" s="48"/>
      <c r="J57" s="48" t="e">
        <f>VLOOKUP(A57,'BD2'!BR:BT,2,FALSE)</f>
        <v>#N/A</v>
      </c>
      <c r="K57" s="48"/>
      <c r="L57" s="48" t="s">
        <v>219</v>
      </c>
      <c r="M57" s="49" t="s">
        <v>220</v>
      </c>
      <c r="N57" s="52" t="str">
        <f t="shared" si="5"/>
        <v>RTA</v>
      </c>
      <c r="O57" s="51" t="s">
        <v>239</v>
      </c>
      <c r="S57" s="89">
        <v>43676</v>
      </c>
      <c r="U57">
        <v>2026</v>
      </c>
      <c r="V57" s="89">
        <f t="shared" si="4"/>
        <v>45137</v>
      </c>
    </row>
    <row r="58" spans="1:22" hidden="1">
      <c r="A58">
        <v>11825</v>
      </c>
      <c r="B58" t="b">
        <f t="shared" si="2"/>
        <v>0</v>
      </c>
      <c r="C58" s="48">
        <f t="shared" si="6"/>
        <v>45137</v>
      </c>
      <c r="D58" s="48" t="s">
        <v>221</v>
      </c>
      <c r="E58" s="49" t="s">
        <v>222</v>
      </c>
      <c r="F58" s="51" t="s">
        <v>240</v>
      </c>
      <c r="G58" s="52" t="str">
        <f t="shared" si="7"/>
        <v>Reajuste Tarifário Anual</v>
      </c>
      <c r="H58" s="50" t="s">
        <v>109</v>
      </c>
      <c r="I58" s="48"/>
      <c r="J58" s="48" t="e">
        <f>VLOOKUP(A58,'BD2'!BR:BT,2,FALSE)</f>
        <v>#N/A</v>
      </c>
      <c r="K58" s="48"/>
      <c r="L58" s="48" t="s">
        <v>221</v>
      </c>
      <c r="M58" s="49" t="s">
        <v>222</v>
      </c>
      <c r="N58" s="52" t="str">
        <f t="shared" si="5"/>
        <v>RTA</v>
      </c>
      <c r="O58" s="51" t="s">
        <v>240</v>
      </c>
      <c r="S58" s="89">
        <v>43676</v>
      </c>
      <c r="U58">
        <v>2026</v>
      </c>
      <c r="V58" s="89">
        <f t="shared" si="4"/>
        <v>45137</v>
      </c>
    </row>
    <row r="59" spans="1:22" hidden="1">
      <c r="A59">
        <f>VLOOKUP(D59,Bastidores!F:J,5,FALSE)</f>
        <v>5375</v>
      </c>
      <c r="B59" t="b">
        <f t="shared" si="2"/>
        <v>0</v>
      </c>
      <c r="C59" s="48">
        <f t="shared" si="6"/>
        <v>45199</v>
      </c>
      <c r="D59" s="48" t="s">
        <v>223</v>
      </c>
      <c r="E59" s="49" t="s">
        <v>224</v>
      </c>
      <c r="F59" s="51" t="s">
        <v>241</v>
      </c>
      <c r="G59" s="52" t="str">
        <f t="shared" si="7"/>
        <v>Reajuste Tarifário Anual</v>
      </c>
      <c r="H59" s="50" t="s">
        <v>109</v>
      </c>
      <c r="I59" s="48" t="s">
        <v>598</v>
      </c>
      <c r="J59" s="48" t="e">
        <f>VLOOKUP(A59,'BD2'!BR:BT,2,FALSE)</f>
        <v>#N/A</v>
      </c>
      <c r="K59" s="48" t="s">
        <v>571</v>
      </c>
      <c r="L59" s="48" t="s">
        <v>223</v>
      </c>
      <c r="M59" s="49" t="s">
        <v>224</v>
      </c>
      <c r="N59" s="52" t="str">
        <f t="shared" si="5"/>
        <v>RTA</v>
      </c>
      <c r="O59" s="51" t="s">
        <v>241</v>
      </c>
      <c r="S59" s="89">
        <v>43738</v>
      </c>
      <c r="U59">
        <v>2026</v>
      </c>
      <c r="V59" s="89">
        <f t="shared" si="4"/>
        <v>45199</v>
      </c>
    </row>
    <row r="60" spans="1:22" hidden="1">
      <c r="A60">
        <f>VLOOKUP(D60,Bastidores!F:J,5,FALSE)</f>
        <v>5356</v>
      </c>
      <c r="B60" t="b">
        <f t="shared" si="2"/>
        <v>0</v>
      </c>
      <c r="C60" s="48">
        <f t="shared" si="6"/>
        <v>45199</v>
      </c>
      <c r="D60" s="48" t="s">
        <v>225</v>
      </c>
      <c r="E60" s="49" t="s">
        <v>226</v>
      </c>
      <c r="F60" s="51" t="s">
        <v>242</v>
      </c>
      <c r="G60" s="52" t="str">
        <f t="shared" si="7"/>
        <v>Reajuste Tarifário Anual</v>
      </c>
      <c r="H60" s="50" t="s">
        <v>109</v>
      </c>
      <c r="I60" s="48" t="s">
        <v>594</v>
      </c>
      <c r="J60" s="48" t="e">
        <f>VLOOKUP(A60,'BD2'!BR:BT,2,FALSE)</f>
        <v>#N/A</v>
      </c>
      <c r="K60" s="48" t="s">
        <v>580</v>
      </c>
      <c r="L60" s="48" t="s">
        <v>225</v>
      </c>
      <c r="M60" s="49" t="s">
        <v>226</v>
      </c>
      <c r="N60" s="52" t="str">
        <f t="shared" si="5"/>
        <v>RTA</v>
      </c>
      <c r="O60" s="51" t="s">
        <v>242</v>
      </c>
      <c r="S60" s="89">
        <v>43738</v>
      </c>
      <c r="U60">
        <v>2026</v>
      </c>
      <c r="V60" s="89">
        <f t="shared" si="4"/>
        <v>45199</v>
      </c>
    </row>
    <row r="61" spans="1:22" hidden="1">
      <c r="A61">
        <f>VLOOKUP(D61,Bastidores!F:J,5,FALSE)</f>
        <v>7883</v>
      </c>
      <c r="B61" t="b">
        <f t="shared" si="2"/>
        <v>0</v>
      </c>
      <c r="C61" s="48">
        <f t="shared" si="6"/>
        <v>45199</v>
      </c>
      <c r="D61" s="48" t="s">
        <v>227</v>
      </c>
      <c r="E61" s="49" t="s">
        <v>228</v>
      </c>
      <c r="F61" s="51" t="s">
        <v>243</v>
      </c>
      <c r="G61" s="52" t="str">
        <f t="shared" si="7"/>
        <v>Reajuste Tarifário Anual</v>
      </c>
      <c r="H61" s="50" t="s">
        <v>109</v>
      </c>
      <c r="I61" s="48" t="s">
        <v>583</v>
      </c>
      <c r="J61" s="48" t="e">
        <f>VLOOKUP(A61,'BD2'!BR:BT,2,FALSE)</f>
        <v>#N/A</v>
      </c>
      <c r="K61" s="48" t="s">
        <v>560</v>
      </c>
      <c r="L61" s="48" t="s">
        <v>227</v>
      </c>
      <c r="M61" s="49" t="s">
        <v>228</v>
      </c>
      <c r="N61" s="52" t="str">
        <f t="shared" si="5"/>
        <v>RTA</v>
      </c>
      <c r="O61" s="51" t="s">
        <v>243</v>
      </c>
      <c r="S61" s="89">
        <v>43738</v>
      </c>
      <c r="U61">
        <v>2026</v>
      </c>
      <c r="V61" s="89">
        <f t="shared" si="4"/>
        <v>45199</v>
      </c>
    </row>
    <row r="62" spans="1:22" hidden="1">
      <c r="A62">
        <f>VLOOKUP(D62,Bastidores!F:J,5,FALSE)</f>
        <v>11763</v>
      </c>
      <c r="B62" t="b">
        <f t="shared" si="2"/>
        <v>0</v>
      </c>
      <c r="C62" s="48">
        <f t="shared" si="6"/>
        <v>45199</v>
      </c>
      <c r="D62" s="48" t="s">
        <v>229</v>
      </c>
      <c r="E62" s="49" t="s">
        <v>230</v>
      </c>
      <c r="F62" s="51" t="s">
        <v>244</v>
      </c>
      <c r="G62" s="52" t="str">
        <f t="shared" si="7"/>
        <v>Reajuste Tarifário Anual</v>
      </c>
      <c r="H62" s="50" t="s">
        <v>109</v>
      </c>
      <c r="I62" s="48" t="s">
        <v>582</v>
      </c>
      <c r="J62" s="48" t="e">
        <f>VLOOKUP(A62,'BD2'!BR:BT,2,FALSE)</f>
        <v>#N/A</v>
      </c>
      <c r="K62" s="48" t="s">
        <v>561</v>
      </c>
      <c r="L62" s="48" t="s">
        <v>229</v>
      </c>
      <c r="M62" s="49" t="s">
        <v>230</v>
      </c>
      <c r="N62" s="52" t="str">
        <f t="shared" si="5"/>
        <v>RTA</v>
      </c>
      <c r="O62" s="51" t="s">
        <v>244</v>
      </c>
      <c r="S62" s="89">
        <v>43738</v>
      </c>
      <c r="U62">
        <v>2026</v>
      </c>
      <c r="V62" s="89">
        <f t="shared" si="4"/>
        <v>45199</v>
      </c>
    </row>
    <row r="63" spans="1:22" hidden="1">
      <c r="A63">
        <f>VLOOKUP(D63,Bastidores!F:J,5,FALSE)</f>
        <v>5374</v>
      </c>
      <c r="B63" t="b">
        <f t="shared" si="2"/>
        <v>0</v>
      </c>
      <c r="C63" s="48">
        <f t="shared" si="6"/>
        <v>45199</v>
      </c>
      <c r="D63" s="48" t="s">
        <v>231</v>
      </c>
      <c r="E63" s="49" t="s">
        <v>232</v>
      </c>
      <c r="F63" s="51" t="s">
        <v>245</v>
      </c>
      <c r="G63" s="52" t="str">
        <f t="shared" si="7"/>
        <v>Reajuste Tarifário Anual</v>
      </c>
      <c r="H63" s="50" t="s">
        <v>109</v>
      </c>
      <c r="I63" s="48" t="s">
        <v>583</v>
      </c>
      <c r="J63" s="48" t="e">
        <f>VLOOKUP(A63,'BD2'!BR:BT,2,FALSE)</f>
        <v>#N/A</v>
      </c>
      <c r="K63" s="48" t="s">
        <v>562</v>
      </c>
      <c r="L63" s="48" t="s">
        <v>231</v>
      </c>
      <c r="M63" s="49" t="s">
        <v>232</v>
      </c>
      <c r="N63" s="52" t="str">
        <f t="shared" si="5"/>
        <v>RTA</v>
      </c>
      <c r="O63" s="51" t="s">
        <v>245</v>
      </c>
      <c r="S63" s="89">
        <v>43738</v>
      </c>
      <c r="U63">
        <v>2026</v>
      </c>
      <c r="V63" s="89">
        <f t="shared" si="4"/>
        <v>45199</v>
      </c>
    </row>
    <row r="64" spans="1:22">
      <c r="A64">
        <f>VLOOKUP(D64,Bastidores!F:J,5,FALSE)</f>
        <v>5346</v>
      </c>
      <c r="B64" t="b">
        <f t="shared" si="2"/>
        <v>1</v>
      </c>
      <c r="C64" s="48">
        <f t="shared" si="6"/>
        <v>45282</v>
      </c>
      <c r="D64" s="48" t="s">
        <v>277</v>
      </c>
      <c r="E64" s="49" t="s">
        <v>233</v>
      </c>
      <c r="F64" s="51" t="s">
        <v>246</v>
      </c>
      <c r="G64" s="52" t="str">
        <f t="shared" si="7"/>
        <v>Reajuste Tarifário Anual</v>
      </c>
      <c r="H64" s="50" t="s">
        <v>109</v>
      </c>
      <c r="I64" s="382"/>
      <c r="J64" s="48" t="e">
        <f>VLOOKUP(A64,'BD2'!BR:BT,2,FALSE)</f>
        <v>#N/A</v>
      </c>
      <c r="K64" s="313"/>
      <c r="L64" s="48" t="s">
        <v>277</v>
      </c>
      <c r="M64" s="49" t="s">
        <v>233</v>
      </c>
      <c r="N64" s="52" t="str">
        <f t="shared" si="5"/>
        <v>RTA</v>
      </c>
      <c r="O64" s="51" t="s">
        <v>246</v>
      </c>
      <c r="S64" s="89">
        <v>43821</v>
      </c>
      <c r="U64">
        <v>2026</v>
      </c>
      <c r="V64" s="89">
        <f t="shared" si="4"/>
        <v>45282</v>
      </c>
    </row>
    <row r="65" spans="1:22" ht="12" customHeight="1">
      <c r="A65">
        <f>VLOOKUP(D65,Bastidores!F:J,5,FALSE)</f>
        <v>5345</v>
      </c>
      <c r="B65" t="b">
        <f t="shared" si="2"/>
        <v>1</v>
      </c>
      <c r="C65" s="48">
        <f t="shared" si="6"/>
        <v>45282</v>
      </c>
      <c r="D65" s="48" t="s">
        <v>234</v>
      </c>
      <c r="E65" s="49" t="s">
        <v>235</v>
      </c>
      <c r="F65" s="51" t="s">
        <v>247</v>
      </c>
      <c r="G65" s="52" t="str">
        <f t="shared" si="7"/>
        <v>Reajuste Tarifário Anual</v>
      </c>
      <c r="H65" s="50" t="s">
        <v>109</v>
      </c>
      <c r="I65" s="382"/>
      <c r="J65" s="48" t="e">
        <f>VLOOKUP(A65,'BD2'!BR:BT,2,FALSE)</f>
        <v>#N/A</v>
      </c>
      <c r="K65" s="313"/>
      <c r="L65" s="48" t="s">
        <v>234</v>
      </c>
      <c r="M65" s="49" t="s">
        <v>235</v>
      </c>
      <c r="N65" s="52" t="str">
        <f t="shared" si="5"/>
        <v>RTA</v>
      </c>
      <c r="O65" s="51" t="s">
        <v>247</v>
      </c>
      <c r="S65" s="89">
        <v>43821</v>
      </c>
      <c r="U65">
        <v>2026</v>
      </c>
      <c r="V65" s="89">
        <f t="shared" si="4"/>
        <v>45282</v>
      </c>
    </row>
    <row r="66" spans="1:22" hidden="1">
      <c r="A66">
        <f>VLOOKUP(D66,Bastidores!F:J,5,FALSE)</f>
        <v>7467</v>
      </c>
      <c r="B66" t="b">
        <f t="shared" si="2"/>
        <v>0</v>
      </c>
      <c r="C66" s="48">
        <f t="shared" si="6"/>
        <v>45075</v>
      </c>
      <c r="D66" s="48" t="s">
        <v>286</v>
      </c>
      <c r="E66" s="49" t="s">
        <v>287</v>
      </c>
      <c r="F66" s="51" t="s">
        <v>288</v>
      </c>
      <c r="G66" s="52" t="str">
        <f t="shared" si="7"/>
        <v>Revisão Tarifária Periódica</v>
      </c>
      <c r="H66" s="50" t="s">
        <v>109</v>
      </c>
      <c r="I66" s="382"/>
      <c r="J66" s="48" t="e">
        <f>VLOOKUP(A66,'BD2'!BR:BT,2,FALSE)</f>
        <v>#N/A</v>
      </c>
      <c r="K66" s="314"/>
      <c r="L66" s="48" t="s">
        <v>286</v>
      </c>
      <c r="M66" s="49" t="s">
        <v>287</v>
      </c>
      <c r="N66" s="52" t="str">
        <f t="shared" si="5"/>
        <v>RTP</v>
      </c>
      <c r="O66" s="51" t="s">
        <v>288</v>
      </c>
      <c r="S66" s="89">
        <v>43980</v>
      </c>
      <c r="U66">
        <v>2023</v>
      </c>
      <c r="V66" s="89">
        <f t="shared" si="4"/>
        <v>45075</v>
      </c>
    </row>
    <row r="67" spans="1:22" hidden="1">
      <c r="A67">
        <f>VLOOKUP(D67,Bastidores!F:J,5,FALSE)</f>
        <v>5343</v>
      </c>
      <c r="B67" t="b">
        <f>C67=$E$13</f>
        <v>0</v>
      </c>
      <c r="C67" s="48">
        <f t="shared" si="6"/>
        <v>45137</v>
      </c>
      <c r="D67" s="48" t="s">
        <v>302</v>
      </c>
      <c r="E67" s="49" t="s">
        <v>304</v>
      </c>
      <c r="F67" s="51" t="s">
        <v>303</v>
      </c>
      <c r="G67" s="52" t="str">
        <f t="shared" ref="G67" si="8">IF(U67=$D$6,"Revisão Tarifária Periódica","Reajuste Tarifário Anual")</f>
        <v>Reajuste Tarifário Anual</v>
      </c>
      <c r="H67" s="50" t="s">
        <v>109</v>
      </c>
      <c r="I67" s="382"/>
      <c r="J67" s="48" t="e">
        <f>VLOOKUP(A67,'BD2'!BR:BT,2,FALSE)</f>
        <v>#N/A</v>
      </c>
      <c r="K67" s="247"/>
      <c r="L67" s="48" t="s">
        <v>302</v>
      </c>
      <c r="M67" s="49" t="s">
        <v>304</v>
      </c>
      <c r="N67" s="52" t="str">
        <f t="shared" si="5"/>
        <v>RTA</v>
      </c>
      <c r="O67" s="51" t="s">
        <v>303</v>
      </c>
      <c r="S67" s="89">
        <v>44042</v>
      </c>
      <c r="U67">
        <v>2026</v>
      </c>
      <c r="V67" s="89">
        <f t="shared" si="4"/>
        <v>45137</v>
      </c>
    </row>
    <row r="68" spans="1:22" hidden="1">
      <c r="C68" s="109"/>
      <c r="D68" s="110"/>
      <c r="E68" s="111"/>
      <c r="F68" s="112"/>
      <c r="G68" s="54"/>
      <c r="H68" s="53"/>
      <c r="I68" s="53"/>
      <c r="J68" s="109"/>
    </row>
    <row r="69" spans="1:22">
      <c r="C69" s="109"/>
      <c r="D69" s="110"/>
      <c r="E69" s="111"/>
      <c r="F69" s="112"/>
      <c r="G69" s="54"/>
      <c r="H69" s="53"/>
      <c r="I69" s="53"/>
      <c r="J69" s="109"/>
    </row>
    <row r="70" spans="1:22">
      <c r="C70" s="109"/>
      <c r="D70" s="110"/>
      <c r="E70" s="111"/>
      <c r="F70" s="112"/>
      <c r="G70" s="54"/>
      <c r="H70" s="53"/>
      <c r="I70" s="53"/>
      <c r="J70" s="109"/>
    </row>
    <row r="71" spans="1:22">
      <c r="C71" s="109"/>
      <c r="D71" s="110"/>
      <c r="E71" s="111"/>
      <c r="F71" s="112"/>
      <c r="G71" s="54"/>
      <c r="H71" s="53"/>
      <c r="I71" s="53"/>
      <c r="J71" s="109"/>
    </row>
    <row r="72" spans="1:22">
      <c r="C72" s="109"/>
      <c r="D72" s="110"/>
      <c r="E72" s="111"/>
      <c r="F72" s="112"/>
      <c r="G72" s="54"/>
      <c r="H72" s="53"/>
      <c r="I72" s="53"/>
      <c r="J72" s="109"/>
    </row>
    <row r="73" spans="1:22">
      <c r="B73" s="33" t="s">
        <v>252</v>
      </c>
      <c r="C73" s="55"/>
      <c r="D73" s="55"/>
      <c r="E73" s="55"/>
      <c r="F73" s="55"/>
      <c r="G73" s="56"/>
      <c r="H73" s="53"/>
      <c r="I73" s="53"/>
      <c r="J73" s="109"/>
    </row>
    <row r="74" spans="1:22">
      <c r="B74" s="36"/>
      <c r="C74" s="37"/>
      <c r="D74" s="57"/>
      <c r="E74" s="57"/>
      <c r="F74" s="57"/>
      <c r="G74" s="58"/>
    </row>
    <row r="75" spans="1:22">
      <c r="B75" s="35" t="s">
        <v>253</v>
      </c>
      <c r="C75" s="34"/>
      <c r="D75" s="59"/>
      <c r="E75" s="60">
        <f>E13</f>
        <v>45282</v>
      </c>
      <c r="F75" s="61" t="s">
        <v>254</v>
      </c>
      <c r="G75" s="62" t="s">
        <v>255</v>
      </c>
    </row>
    <row r="76" spans="1:22">
      <c r="B76" s="35" t="s">
        <v>256</v>
      </c>
      <c r="C76" s="34"/>
      <c r="D76" s="59"/>
      <c r="E76" s="63" t="str">
        <f>TEXT(F76,"mmmm") &amp; " de "&amp; TEXT(F76, "aaaa")&amp; " a "&amp; TEXT(G76,"mmmm") &amp; " de " &amp; TEXT(G76, "aaaa")</f>
        <v>dezembro de 2022 a novembro de 2023</v>
      </c>
      <c r="F76" s="63">
        <f>DATE(YEAR(E13)-1, MONTH(E13),1)</f>
        <v>44896</v>
      </c>
      <c r="G76" s="64">
        <f>DATE(YEAR(E13), MONTH(E13)-1,1)</f>
        <v>45231</v>
      </c>
    </row>
    <row r="77" spans="1:22">
      <c r="B77" s="35" t="s">
        <v>257</v>
      </c>
      <c r="C77" s="34"/>
      <c r="D77" s="59"/>
      <c r="E77" s="63" t="str">
        <f>TEXT(F77,"mmmm") &amp; " de "&amp; TEXT(F77, "aaaa")&amp; " a "&amp; TEXT(G77,"mmmm") &amp; " de " &amp; TEXT(G77, "aaaa")</f>
        <v>dezembro de 2023 a novembro de 2024</v>
      </c>
      <c r="F77" s="63">
        <f>DATE(YEAR(E13), MONTH(E13),1)</f>
        <v>45261</v>
      </c>
      <c r="G77" s="64">
        <f>DATE(YEAR(E13)+1, MONTH(E13)-1,1)</f>
        <v>45597</v>
      </c>
    </row>
    <row r="78" spans="1:22">
      <c r="B78" s="40"/>
      <c r="C78" s="41"/>
      <c r="D78" s="65"/>
      <c r="E78" s="65"/>
      <c r="F78" s="65"/>
      <c r="G78" s="66"/>
    </row>
    <row r="112" ht="21" customHeight="1"/>
    <row r="116" ht="24" customHeight="1"/>
  </sheetData>
  <autoFilter ref="C13:O67" xr:uid="{00000000-0001-0000-0500-000000000000}">
    <filterColumn colId="0" showButton="0"/>
  </autoFilter>
  <mergeCells count="2">
    <mergeCell ref="C13:D13"/>
    <mergeCell ref="D8:E8"/>
  </mergeCells>
  <phoneticPr fontId="23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267B9-3307-437C-B973-27A50CAD7D8D}">
  <sheetPr codeName="Planilha20"/>
  <dimension ref="A2:CN205"/>
  <sheetViews>
    <sheetView zoomScale="85" zoomScaleNormal="85" workbookViewId="0">
      <selection activeCell="BC64" sqref="BC64"/>
    </sheetView>
  </sheetViews>
  <sheetFormatPr defaultRowHeight="14.5"/>
  <cols>
    <col min="1" max="1" width="14" bestFit="1" customWidth="1"/>
    <col min="2" max="2" width="9.54296875" bestFit="1" customWidth="1"/>
    <col min="3" max="3" width="14.453125" bestFit="1" customWidth="1"/>
    <col min="4" max="4" width="13.453125" bestFit="1" customWidth="1"/>
    <col min="5" max="5" width="12.90625" bestFit="1" customWidth="1"/>
    <col min="6" max="7" width="13.453125" bestFit="1" customWidth="1"/>
    <col min="8" max="8" width="14.54296875" customWidth="1"/>
    <col min="9" max="9" width="13.453125" bestFit="1" customWidth="1"/>
    <col min="10" max="10" width="11.90625" bestFit="1" customWidth="1"/>
    <col min="11" max="11" width="14.453125" bestFit="1" customWidth="1"/>
    <col min="12" max="12" width="13.453125" bestFit="1" customWidth="1"/>
    <col min="13" max="13" width="7.453125" hidden="1" customWidth="1"/>
    <col min="14" max="15" width="14.453125" bestFit="1" customWidth="1"/>
    <col min="16" max="18" width="15.453125" bestFit="1" customWidth="1"/>
    <col min="19" max="19" width="6.54296875" customWidth="1"/>
    <col min="20" max="20" width="5.54296875" customWidth="1"/>
    <col min="21" max="21" width="10.453125" bestFit="1" customWidth="1"/>
    <col min="22" max="22" width="13.453125" bestFit="1" customWidth="1"/>
    <col min="23" max="23" width="14" bestFit="1" customWidth="1"/>
    <col min="24" max="24" width="10.90625" customWidth="1"/>
    <col min="25" max="25" width="7.453125" bestFit="1" customWidth="1"/>
    <col min="26" max="26" width="8.453125" bestFit="1" customWidth="1"/>
    <col min="27" max="27" width="13.453125" bestFit="1" customWidth="1"/>
    <col min="28" max="29" width="8.453125" bestFit="1" customWidth="1"/>
    <col min="30" max="30" width="12.453125" bestFit="1" customWidth="1"/>
    <col min="31" max="31" width="16" bestFit="1" customWidth="1"/>
    <col min="32" max="32" width="13.54296875" customWidth="1"/>
    <col min="33" max="33" width="11.453125" bestFit="1" customWidth="1"/>
    <col min="34" max="34" width="7" bestFit="1" customWidth="1"/>
    <col min="35" max="35" width="7.90625" bestFit="1" customWidth="1"/>
    <col min="36" max="36" width="12.453125" bestFit="1" customWidth="1"/>
    <col min="37" max="37" width="8.08984375" bestFit="1" customWidth="1"/>
    <col min="38" max="38" width="11.54296875" bestFit="1" customWidth="1"/>
    <col min="39" max="39" width="8.08984375" bestFit="1" customWidth="1"/>
    <col min="40" max="40" width="9.90625" customWidth="1"/>
    <col min="41" max="41" width="8.08984375" bestFit="1" customWidth="1"/>
    <col min="42" max="42" width="7.54296875" bestFit="1" customWidth="1"/>
    <col min="43" max="44" width="9.453125" bestFit="1" customWidth="1"/>
    <col min="45" max="45" width="8.453125" bestFit="1" customWidth="1"/>
    <col min="46" max="46" width="11" bestFit="1" customWidth="1"/>
    <col min="47" max="47" width="12.453125" bestFit="1" customWidth="1"/>
    <col min="48" max="48" width="14" bestFit="1" customWidth="1"/>
    <col min="49" max="49" width="13.453125" bestFit="1" customWidth="1"/>
    <col min="50" max="50" width="7.08984375" customWidth="1"/>
    <col min="51" max="51" width="13.54296875" bestFit="1" customWidth="1"/>
    <col min="52" max="53" width="14.54296875" bestFit="1" customWidth="1"/>
    <col min="54" max="54" width="11.6328125" customWidth="1"/>
    <col min="55" max="55" width="12.54296875" bestFit="1" customWidth="1"/>
    <col min="56" max="56" width="12" bestFit="1" customWidth="1"/>
    <col min="57" max="57" width="16.08984375" bestFit="1" customWidth="1"/>
    <col min="58" max="58" width="11.90625" customWidth="1"/>
    <col min="59" max="59" width="16.36328125" bestFit="1" customWidth="1"/>
    <col min="60" max="60" width="13.54296875" bestFit="1" customWidth="1"/>
    <col min="61" max="61" width="15.08984375" bestFit="1" customWidth="1"/>
    <col min="62" max="71" width="15" customWidth="1"/>
    <col min="72" max="72" width="14.54296875" customWidth="1"/>
    <col min="73" max="73" width="6.6328125" customWidth="1"/>
    <col min="75" max="75" width="13" bestFit="1" customWidth="1"/>
    <col min="76" max="76" width="9.54296875" bestFit="1" customWidth="1"/>
    <col min="77" max="77" width="14.453125" bestFit="1" customWidth="1"/>
    <col min="78" max="78" width="5.90625" hidden="1" customWidth="1"/>
    <col min="79" max="79" width="14" bestFit="1" customWidth="1"/>
    <col min="80" max="81" width="13.453125" bestFit="1" customWidth="1"/>
    <col min="82" max="82" width="6.90625" hidden="1" customWidth="1"/>
    <col min="83" max="83" width="13.453125" bestFit="1" customWidth="1"/>
    <col min="84" max="84" width="11.90625" bestFit="1" customWidth="1"/>
    <col min="85" max="85" width="5.90625" hidden="1" customWidth="1"/>
    <col min="86" max="86" width="7.90625" hidden="1" customWidth="1"/>
    <col min="87" max="87" width="7.453125" hidden="1" customWidth="1"/>
    <col min="88" max="89" width="14.453125" bestFit="1" customWidth="1"/>
    <col min="90" max="91" width="15.453125" bestFit="1" customWidth="1"/>
    <col min="92" max="96" width="0" hidden="1" customWidth="1"/>
  </cols>
  <sheetData>
    <row r="2" spans="1:91">
      <c r="C2" s="318">
        <f>IF(SUM(C4:C55),1,0)</f>
        <v>1</v>
      </c>
      <c r="D2" s="318">
        <f>IF(SUM(D4:D55),1,0)</f>
        <v>0</v>
      </c>
      <c r="E2" s="318">
        <f t="shared" ref="E2:BI2" si="0">IF(SUM(E4:E55),1,0)</f>
        <v>1</v>
      </c>
      <c r="F2" s="318">
        <f t="shared" si="0"/>
        <v>0</v>
      </c>
      <c r="G2" s="318">
        <f t="shared" si="0"/>
        <v>0</v>
      </c>
      <c r="H2" s="318">
        <f t="shared" si="0"/>
        <v>1</v>
      </c>
      <c r="I2" s="318">
        <f t="shared" si="0"/>
        <v>1</v>
      </c>
      <c r="J2" s="318">
        <f t="shared" si="0"/>
        <v>1</v>
      </c>
      <c r="K2" s="318">
        <f t="shared" si="0"/>
        <v>0</v>
      </c>
      <c r="L2" s="318">
        <f t="shared" si="0"/>
        <v>0</v>
      </c>
      <c r="M2" s="318">
        <f t="shared" si="0"/>
        <v>0</v>
      </c>
      <c r="N2" s="318">
        <f t="shared" si="0"/>
        <v>1</v>
      </c>
      <c r="O2" s="318">
        <f t="shared" si="0"/>
        <v>1</v>
      </c>
      <c r="P2" s="318">
        <f t="shared" si="0"/>
        <v>1</v>
      </c>
      <c r="Q2" s="318">
        <f t="shared" si="0"/>
        <v>1</v>
      </c>
      <c r="R2" s="318">
        <f t="shared" si="0"/>
        <v>1</v>
      </c>
      <c r="S2" s="318">
        <v>1</v>
      </c>
      <c r="T2" s="318">
        <v>1</v>
      </c>
      <c r="U2" s="318">
        <v>1</v>
      </c>
      <c r="V2" s="318">
        <f t="shared" si="0"/>
        <v>1</v>
      </c>
      <c r="W2" s="318">
        <f t="shared" si="0"/>
        <v>1</v>
      </c>
      <c r="X2" s="318">
        <f t="shared" si="0"/>
        <v>0</v>
      </c>
      <c r="Y2" s="318">
        <f t="shared" si="0"/>
        <v>0</v>
      </c>
      <c r="Z2" s="318">
        <f t="shared" si="0"/>
        <v>1</v>
      </c>
      <c r="AA2" s="318">
        <f t="shared" si="0"/>
        <v>0</v>
      </c>
      <c r="AB2" s="318">
        <f t="shared" si="0"/>
        <v>0</v>
      </c>
      <c r="AC2" s="318">
        <f t="shared" si="0"/>
        <v>0</v>
      </c>
      <c r="AD2" s="318">
        <f t="shared" si="0"/>
        <v>1</v>
      </c>
      <c r="AE2" s="318">
        <f t="shared" si="0"/>
        <v>1</v>
      </c>
      <c r="AF2" s="318">
        <f t="shared" si="0"/>
        <v>1</v>
      </c>
      <c r="AG2" s="318">
        <f t="shared" si="0"/>
        <v>0</v>
      </c>
      <c r="AH2" s="318">
        <f t="shared" si="0"/>
        <v>0</v>
      </c>
      <c r="AI2" s="318">
        <f t="shared" si="0"/>
        <v>0</v>
      </c>
      <c r="AJ2" s="318">
        <f t="shared" si="0"/>
        <v>0</v>
      </c>
      <c r="AK2" s="318">
        <f t="shared" si="0"/>
        <v>0</v>
      </c>
      <c r="AL2" s="318">
        <f t="shared" si="0"/>
        <v>0</v>
      </c>
      <c r="AM2" s="318">
        <f t="shared" si="0"/>
        <v>0</v>
      </c>
      <c r="AN2" s="318">
        <f t="shared" si="0"/>
        <v>0</v>
      </c>
      <c r="AO2" s="318">
        <f t="shared" si="0"/>
        <v>0</v>
      </c>
      <c r="AP2" s="318">
        <f t="shared" si="0"/>
        <v>0</v>
      </c>
      <c r="AQ2" s="318">
        <f t="shared" si="0"/>
        <v>0</v>
      </c>
      <c r="AR2" s="318">
        <f t="shared" si="0"/>
        <v>0</v>
      </c>
      <c r="AS2" s="318">
        <f t="shared" si="0"/>
        <v>0</v>
      </c>
      <c r="AT2" s="318">
        <f t="shared" si="0"/>
        <v>0</v>
      </c>
      <c r="AU2" s="318">
        <f t="shared" si="0"/>
        <v>0</v>
      </c>
      <c r="AV2" s="318">
        <f t="shared" si="0"/>
        <v>1</v>
      </c>
      <c r="AW2" s="318">
        <f t="shared" si="0"/>
        <v>1</v>
      </c>
      <c r="AX2" s="318">
        <f t="shared" si="0"/>
        <v>0</v>
      </c>
      <c r="AY2" s="318">
        <f t="shared" si="0"/>
        <v>1</v>
      </c>
      <c r="AZ2" s="318">
        <f t="shared" si="0"/>
        <v>1</v>
      </c>
      <c r="BA2" s="318">
        <f t="shared" si="0"/>
        <v>1</v>
      </c>
      <c r="BB2" s="318">
        <f t="shared" si="0"/>
        <v>0</v>
      </c>
      <c r="BC2" s="318">
        <f t="shared" si="0"/>
        <v>1</v>
      </c>
      <c r="BD2" s="318">
        <f t="shared" si="0"/>
        <v>0</v>
      </c>
      <c r="BE2" s="318">
        <f t="shared" si="0"/>
        <v>0</v>
      </c>
      <c r="BF2" s="318">
        <f t="shared" si="0"/>
        <v>0</v>
      </c>
      <c r="BG2" s="318">
        <f t="shared" si="0"/>
        <v>0</v>
      </c>
      <c r="BH2" s="318">
        <f t="shared" si="0"/>
        <v>0</v>
      </c>
      <c r="BI2" s="318">
        <f t="shared" si="0"/>
        <v>0</v>
      </c>
      <c r="BJ2" s="318"/>
      <c r="BK2" s="318"/>
      <c r="BL2" s="318"/>
      <c r="BM2" s="318"/>
      <c r="BN2" s="318"/>
      <c r="BO2" s="318"/>
      <c r="BP2" s="318"/>
      <c r="BQ2" s="318"/>
      <c r="BR2" s="318"/>
      <c r="BS2" s="318"/>
      <c r="BT2" s="318">
        <v>1</v>
      </c>
      <c r="BU2" s="318"/>
      <c r="BV2" s="318">
        <v>1</v>
      </c>
      <c r="BW2" s="318">
        <v>1</v>
      </c>
      <c r="BX2" s="318">
        <v>1</v>
      </c>
      <c r="BY2" s="318">
        <f>IF(SUM(BY4:BY55),1,0)</f>
        <v>1</v>
      </c>
      <c r="BZ2" s="318">
        <f t="shared" ref="BZ2:CM2" si="1">IF(SUM(BZ4:BZ55),1,0)</f>
        <v>0</v>
      </c>
      <c r="CA2" s="318">
        <f t="shared" si="1"/>
        <v>1</v>
      </c>
      <c r="CB2" s="318">
        <f t="shared" si="1"/>
        <v>1</v>
      </c>
      <c r="CC2" s="318">
        <f t="shared" si="1"/>
        <v>1</v>
      </c>
      <c r="CD2" s="318">
        <f t="shared" si="1"/>
        <v>1</v>
      </c>
      <c r="CE2" s="318">
        <f t="shared" si="1"/>
        <v>1</v>
      </c>
      <c r="CF2" s="318">
        <f t="shared" si="1"/>
        <v>1</v>
      </c>
      <c r="CG2" s="318">
        <f t="shared" si="1"/>
        <v>0</v>
      </c>
      <c r="CH2" s="318">
        <f t="shared" si="1"/>
        <v>0</v>
      </c>
      <c r="CI2" s="318">
        <f t="shared" si="1"/>
        <v>0</v>
      </c>
      <c r="CJ2" s="318">
        <f t="shared" si="1"/>
        <v>1</v>
      </c>
      <c r="CK2" s="318">
        <f t="shared" si="1"/>
        <v>1</v>
      </c>
      <c r="CL2" s="318">
        <f t="shared" si="1"/>
        <v>1</v>
      </c>
      <c r="CM2" s="318">
        <f t="shared" si="1"/>
        <v>1</v>
      </c>
    </row>
    <row r="3" spans="1:91" ht="117">
      <c r="A3" t="s">
        <v>526</v>
      </c>
      <c r="B3" s="268" t="s">
        <v>472</v>
      </c>
      <c r="C3" s="72" t="s">
        <v>336</v>
      </c>
      <c r="D3" s="72" t="s">
        <v>307</v>
      </c>
      <c r="E3" s="72" t="s">
        <v>320</v>
      </c>
      <c r="F3" s="72" t="s">
        <v>337</v>
      </c>
      <c r="G3" s="72" t="s">
        <v>338</v>
      </c>
      <c r="H3" s="72" t="s">
        <v>292</v>
      </c>
      <c r="I3" s="72" t="s">
        <v>3</v>
      </c>
      <c r="J3" s="72" t="s">
        <v>4</v>
      </c>
      <c r="K3" s="72" t="s">
        <v>6</v>
      </c>
      <c r="L3" s="72" t="s">
        <v>22</v>
      </c>
      <c r="M3" s="72" t="s">
        <v>279</v>
      </c>
      <c r="N3" s="72" t="s">
        <v>7</v>
      </c>
      <c r="O3" s="72" t="s">
        <v>474</v>
      </c>
      <c r="P3" s="72" t="s">
        <v>9</v>
      </c>
      <c r="Q3" s="72" t="s">
        <v>10</v>
      </c>
      <c r="R3" s="72" t="s">
        <v>72</v>
      </c>
      <c r="S3" s="4"/>
      <c r="T3" s="4"/>
      <c r="U3" s="268" t="s">
        <v>341</v>
      </c>
      <c r="V3" s="72" t="s">
        <v>13</v>
      </c>
      <c r="W3" s="72" t="s">
        <v>14</v>
      </c>
      <c r="X3" s="72" t="s">
        <v>324</v>
      </c>
      <c r="Y3" s="72" t="s">
        <v>325</v>
      </c>
      <c r="Z3" s="72" t="s">
        <v>349</v>
      </c>
      <c r="AA3" s="72" t="s">
        <v>37</v>
      </c>
      <c r="AB3" s="72" t="s">
        <v>351</v>
      </c>
      <c r="AC3" s="72" t="s">
        <v>18</v>
      </c>
      <c r="AD3" s="72" t="s">
        <v>15</v>
      </c>
      <c r="AE3" s="72" t="s">
        <v>16</v>
      </c>
      <c r="AF3" s="72" t="s">
        <v>17</v>
      </c>
      <c r="AG3" s="72" t="s">
        <v>317</v>
      </c>
      <c r="AH3" s="72" t="s">
        <v>289</v>
      </c>
      <c r="AI3" s="72" t="s">
        <v>301</v>
      </c>
      <c r="AJ3" s="72" t="s">
        <v>340</v>
      </c>
      <c r="AK3" s="72" t="s">
        <v>339</v>
      </c>
      <c r="AL3" s="72" t="s">
        <v>357</v>
      </c>
      <c r="AM3" s="72" t="s">
        <v>358</v>
      </c>
      <c r="AN3" s="72" t="s">
        <v>363</v>
      </c>
      <c r="AO3" s="72" t="s">
        <v>362</v>
      </c>
      <c r="AP3" s="72" t="s">
        <v>361</v>
      </c>
      <c r="AQ3" s="72" t="s">
        <v>359</v>
      </c>
      <c r="AR3" s="72" t="s">
        <v>360</v>
      </c>
      <c r="AS3" s="72" t="s">
        <v>316</v>
      </c>
      <c r="AT3" s="72" t="s">
        <v>330</v>
      </c>
      <c r="AU3" s="72" t="s">
        <v>350</v>
      </c>
      <c r="AV3" s="72" t="s">
        <v>321</v>
      </c>
      <c r="AW3" s="72" t="s">
        <v>322</v>
      </c>
      <c r="AX3" s="72" t="s">
        <v>329</v>
      </c>
      <c r="AY3" s="72" t="s">
        <v>323</v>
      </c>
      <c r="AZ3" s="72" t="s">
        <v>308</v>
      </c>
      <c r="BA3" s="72" t="s">
        <v>290</v>
      </c>
      <c r="BB3" s="72" t="s">
        <v>331</v>
      </c>
      <c r="BC3" s="72" t="s">
        <v>364</v>
      </c>
      <c r="BD3" s="72" t="s">
        <v>488</v>
      </c>
      <c r="BE3" s="72" t="s">
        <v>489</v>
      </c>
      <c r="BF3" s="72" t="s">
        <v>490</v>
      </c>
      <c r="BG3" s="72" t="s">
        <v>487</v>
      </c>
      <c r="BH3" s="72" t="s">
        <v>506</v>
      </c>
      <c r="BI3" s="72" t="s">
        <v>507</v>
      </c>
      <c r="BJ3" s="72" t="str">
        <f>'Componentes Financeiros'!D34</f>
        <v>Arrecadação de encargo CDE Escassez Hídrica dos 
consumidores migrantes (Resolução Normativa 1.008/2022).</v>
      </c>
      <c r="BK3" s="340" t="s">
        <v>533</v>
      </c>
      <c r="BL3" s="340" t="str">
        <f>'Componentes Financeiros'!D36</f>
        <v>Devolução Pis/Cofins referente ao
Encargo de Conexão  ao Sistema de Transmissão</v>
      </c>
      <c r="BM3" s="340" t="s">
        <v>534</v>
      </c>
      <c r="BN3" s="340" t="str">
        <f>'Componentes Financeiros'!D38</f>
        <v>Diferimento de PIS/Cofins</v>
      </c>
      <c r="BO3" s="340" t="str">
        <f>'Componentes Financeiros'!D39</f>
        <v>Diferimento Parcela B</v>
      </c>
      <c r="BP3" s="340" t="s">
        <v>699</v>
      </c>
      <c r="BQ3" s="340" t="s">
        <v>700</v>
      </c>
      <c r="BR3" s="340" t="s">
        <v>701</v>
      </c>
      <c r="BS3" s="340" t="s">
        <v>702</v>
      </c>
      <c r="BT3" s="340" t="s">
        <v>703</v>
      </c>
      <c r="BU3" s="340"/>
      <c r="BX3" s="268" t="s">
        <v>473</v>
      </c>
      <c r="BY3" s="72" t="s">
        <v>336</v>
      </c>
      <c r="BZ3" s="72" t="s">
        <v>307</v>
      </c>
      <c r="CA3" s="72" t="s">
        <v>320</v>
      </c>
      <c r="CB3" s="72" t="s">
        <v>337</v>
      </c>
      <c r="CC3" s="72" t="s">
        <v>338</v>
      </c>
      <c r="CD3" s="72" t="s">
        <v>292</v>
      </c>
      <c r="CE3" s="72" t="s">
        <v>3</v>
      </c>
      <c r="CF3" s="72" t="s">
        <v>4</v>
      </c>
      <c r="CG3" s="72" t="s">
        <v>6</v>
      </c>
      <c r="CH3" s="72" t="s">
        <v>22</v>
      </c>
      <c r="CI3" s="72" t="s">
        <v>279</v>
      </c>
      <c r="CJ3" s="72" t="s">
        <v>7</v>
      </c>
      <c r="CK3" s="72" t="s">
        <v>474</v>
      </c>
      <c r="CL3" s="72" t="s">
        <v>9</v>
      </c>
      <c r="CM3" s="72" t="s">
        <v>10</v>
      </c>
    </row>
    <row r="4" spans="1:91">
      <c r="A4" t="s">
        <v>147</v>
      </c>
      <c r="B4" t="str">
        <f>Efeito!B5</f>
        <v>NO SELECT</v>
      </c>
      <c r="C4" s="267">
        <f>SUMIFS(Banco[valor],Banco[IdAgente],B4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4" s="267">
        <f>SUMIFS(Banco[valor],Banco[IdAgente],B4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4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4" s="267">
        <f>SUMIFS(Banco[valor],Banco[IdAgente],B4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4" s="267">
        <f>SUMIFS(Banco[valor],Banco[IdAgente],B4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4" s="267">
        <f>SUMIFS(Banco[valor],Banco[IdAgente],B4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4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4" s="267">
        <f>SUMIFS(Banco[valor],Banco[IdAgente],B4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4" s="267">
        <f>SUMIFS(Banco[valor],Banco[IdAgente],B4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4" s="267">
        <f>SUMIFS(Banco[valor],Banco[IdAgente],B4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4" s="267">
        <f>SUMIFS(Banco[valor],Banco[IdAgente],B4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4" s="267">
        <f>SUMIFS(Banco[valor],Banco[IdAgente],B4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4" s="267">
        <f>SUMIFS(Banco[valor],Banco[IdAgente],B4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4" s="267">
        <f>SUMIFS(Banco[valor],Banco[IdAgente],B4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4" s="267">
        <f>SUMIFS(Banco[valor],Banco[IdAgente],B4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4" s="267">
        <f t="shared" ref="P4:P35" si="2">SUM(C4:O4)</f>
        <v>0</v>
      </c>
      <c r="Q4" s="267">
        <f>SUMIFS(Banco[valor],Banco[IdAgente],B4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4" s="267">
        <f>SUMIFS(Banco[valor],Banco[IdAgente],B4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4" s="4"/>
      <c r="T4" s="4"/>
      <c r="U4" s="4"/>
      <c r="V4" s="267">
        <f>SUMIFS(financeiro[valor],financeiro[IdAgente],B4,financeiro[idDet1],22,financeiro[idDet2],60,financeiro[idDet3],526,financeiro[id_grupo_tarifa],1,financeiro[id_detalhe_grupo_tarifa],7,financeiro[id_tipo_tarifa],9,financeiro[id_subgrupo],99,financeiro[valor],"&gt;0")+SUMIFS(financeiro[valor],financeiro[IdAgente],B4,financeiro[idDet1],22,financeiro[idDet2],60,financeiro[idDet3],526,financeiro[id_grupo_tarifa],2,financeiro[id_detalhe_grupo_tarifa],11,financeiro[id_tipo_tarifa],9,financeiro[valor],"&gt;0")+SUMIFS(financeiro[valor],financeiro[IdAgente],B4,financeiro[idDet1],22,financeiro[idDet2],60,financeiro[idDet3],526,financeiro[id_grupo_tarifa],2,financeiro[id_detalhe_grupo_tarifa],9,financeiro[id_tipo_tarifa],9,financeiro[valor],"&gt;0")+SUMIFS(financeiro[valor],financeiro[IdAgente],B4,financeiro[idDet1],22,financeiro[idDet2],60,financeiro[idDet3],526,financeiro[id_grupo_tarifa],2,financeiro[id_detalhe_grupo_tarifa],8,financeiro[id_tipo_tarifa],9,financeiro[valor],"&gt;0")+SUMIFS(financeiro[valor],financeiro[IdAgente],B4,financeiro[idDet1],22,financeiro[idDet2],60,financeiro[idDet3],526,financeiro[id_grupo_tarifa],2,financeiro[id_detalhe_grupo_tarifa],10,financeiro[id_tipo_tarifa],9,financeiro[valor],"&gt;0")+SUMIFS(financeiro[valor],financeiro[IdAgente],B4,financeiro[idDet1],22,financeiro[idDet2],60,financeiro[idDet3],526,financeiro[id_grupo_tarifa],2,financeiro[id_detalhe_grupo_tarifa],24,financeiro[id_tipo_tarifa],9,financeiro[valor],"&gt;0")</f>
        <v>0</v>
      </c>
      <c r="W4" s="267">
        <f>SUMIFS(financeiro[valor],financeiro[IdAgente],B4,financeiro[idDet1],20,financeiro[idDet2],60,financeiro[idDet3],999,financeiro[id_grupo_tarifa],3,financeiro[id_detalhe_grupo_tarifa],14,financeiro[id_tipo_tarifa],9)+SUMIFS(financeiro[valor],financeiro[IdAgente],B4,financeiro[idDet1],20,financeiro[idDet2],60,financeiro[idDet3],999,financeiro[id_grupo_tarifa],3,financeiro[id_detalhe_grupo_tarifa],15,financeiro[id_tipo_tarifa],9)+SUMIFS(financeiro[valor],financeiro[IdAgente],B4,financeiro[idDet1],20,financeiro[idDet2],60,financeiro[idDet3],999,financeiro[id_grupo_tarifa],3,financeiro[id_detalhe_grupo_tarifa],16,financeiro[id_tipo_tarifa],9)+SUMIFS(financeiro[valor],financeiro[IdAgente],B4,financeiro[idDet1],20,financeiro[idDet2],60,financeiro[idDet3],999,financeiro[id_grupo_tarifa],3,financeiro[id_detalhe_grupo_tarifa],17,financeiro[id_tipo_tarifa],9)+SUMIFS(financeiro[valor],financeiro[IdAgente],B4,financeiro[idDet1],20,financeiro[idDet2],60,financeiro[idDet3],999,financeiro[id_grupo_tarifa],3,financeiro[id_detalhe_grupo_tarifa],18,financeiro[id_tipo_tarifa],9)+SUMIFS(financeiro[valor],financeiro[IdAgente],B4,financeiro[idDet1],20,financeiro[idDet2],60,financeiro[idDet3],999,financeiro[id_grupo_tarifa],3,financeiro[id_detalhe_grupo_tarifa],19,financeiro[id_tipo_tarifa],9)</f>
        <v>0</v>
      </c>
      <c r="X4" s="267">
        <f>SUMIFS(financeiro[valor],financeiro[IdAgente],B4,financeiro[idDet1],20,financeiro[idDet2],60,financeiro[idDet3],999,financeiro[id_grupo_tarifa],3,financeiro[id_detalhe_grupo_tarifa],12,financeiro[id_tipo_tarifa],9)+SUMIFS(financeiro[valor],financeiro[IdAgente],B4,financeiro[idDet1],20,financeiro[idDet2],60,financeiro[idDet3],999,financeiro[id_grupo_tarifa],4,financeiro[id_detalhe_grupo_tarifa],999,financeiro[id_tipo_tarifa],9)</f>
        <v>0</v>
      </c>
      <c r="Y4" s="267">
        <f>SUMIFS(financeiro[valor],financeiro[IdAgente],B4,financeiro[idDet1],20,financeiro[idDet2],60,financeiro[idDet3],179,financeiro[id_grupo_tarifa],99,financeiro[id_detalhe_grupo_tarifa],999,financeiro[id_tipo_tarifa],9)</f>
        <v>0</v>
      </c>
      <c r="Z4" s="267">
        <f>SUMIFS(financeiro[valor],financeiro[IdAgente],B4,financeiro[idDet1],20,financeiro[idDet2],60,financeiro[idDet3],999,financeiro[id_grupo_tarifa],2,financeiro[id_detalhe_grupo_tarifa],11,financeiro[id_tipo_tarifa],9,financeiro[valor],"&gt;0")+SUMIFS(financeiro[valor],financeiro[IdAgente],B4,financeiro[idDet1],20,financeiro[idDet2],60,financeiro[idDet3],999,financeiro[id_grupo_tarifa],2,financeiro[id_detalhe_grupo_tarifa],9,financeiro[id_tipo_tarifa],9,financeiro[valor],"&gt;0")+SUMIFS(financeiro[valor],financeiro[IdAgente],B4,financeiro[idDet1],20,financeiro[idDet2],60,financeiro[idDet3],999,financeiro[id_grupo_tarifa],2,financeiro[id_detalhe_grupo_tarifa],8,financeiro[id_tipo_tarifa],9,financeiro[valor],"&gt;0")+SUMIFS(financeiro[valor],financeiro[IdAgente],B4,financeiro[idDet1],20,financeiro[idDet2],60,financeiro[idDet3],999,financeiro[id_grupo_tarifa],2,financeiro[id_detalhe_grupo_tarifa],10,financeiro[id_tipo_tarifa],9,financeiro[valor],"&gt;0")+SUMIFS(financeiro[valor],financeiro[IdAgente],B4,financeiro[idDet1],20,financeiro[idDet2],60,financeiro[idDet3],999,financeiro[id_grupo_tarifa],2,financeiro[id_detalhe_grupo_tarifa],24,financeiro[id_tipo_tarifa],9,financeiro[valor],"&gt;0")+SUMIFS(financeiro[valor],financeiro[IdAgente],B4,financeiro[idDet1],20,financeiro[idDet2],60,financeiro[idDet3],999,financeiro[id_grupo_tarifa],2,financeiro[id_detalhe_grupo_tarifa],17,financeiro[id_tipo_tarifa],9,financeiro[valor],"&gt;0")+SUMIFS(financeiro[valor],financeiro[IdAgente],B4,financeiro[idDet1],999,financeiro[idDet2],999999,financeiro[idDet3],999,financeiro[id_grupo_tarifa],99,financeiro[id_detalhe_grupo_tarifa],999,financeiro[id_tipo_tarifa],9,financeiro[valor],"&gt;0")</f>
        <v>0</v>
      </c>
      <c r="AA4" s="267">
        <f>SUMIFS(financeiro[valor],financeiro[IdAgente],B4,financeiro[idDet1],22,financeiro[idDet2],60,financeiro[idDet3],529,financeiro[id_grupo_tarifa],1,financeiro[id_detalhe_grupo_tarifa],1,financeiro[id_tipo_tarifa],9,financeiro[valor],"&gt;0")+SUMIFS(financeiro[valor],financeiro[IdAgente],B4,financeiro[idDet1],22,financeiro[idDet2],60,financeiro[idDet3],529,financeiro[id_grupo_tarifa],1,financeiro[id_detalhe_grupo_tarifa],2,financeiro[id_tipo_tarifa],9,financeiro[valor],"&gt;0")</f>
        <v>0</v>
      </c>
      <c r="AB4" s="104"/>
      <c r="AC4" s="5">
        <f>SUMIFS(financeiro[valor],financeiro[IdAgente],B4,financeiro[idDet1],22,financeiro[idDet2],60,financeiro[idDet3],999,financeiro[id_grupo_tarifa],2,financeiro[id_detalhe_grupo_tarifa],30,financeiro[id_tipo_tarifa],9,financeiro[valor],"&gt;0")</f>
        <v>0</v>
      </c>
      <c r="AD4" s="267">
        <f>SUMIFS(financeiro[valor],financeiro[IdAgente],B4,financeiro[idDet1],22,financeiro[idDet2],60,financeiro[idDet3],178,financeiro[id_grupo_tarifa],1,financeiro[id_detalhe_grupo_tarifa],7,financeiro[id_tipo_tarifa],9)</f>
        <v>0</v>
      </c>
      <c r="AE4" s="5">
        <f>SUMIFS(financeiro[valor],financeiro[IdAgente],B4,financeiro[idDet1],22,financeiro[idDet2],60,financeiro[idDet3],242,financeiro[id_grupo_tarifa],4,financeiro[id_detalhe_grupo_tarifa],999,financeiro[id_tipo_tarifa],9)</f>
        <v>0</v>
      </c>
      <c r="AF4" s="267">
        <f>SUMIFS(financeiro[valor],financeiro[IdAgente],B4,financeiro[idDet1],22,financeiro[idDet2],60,financeiro[idDet3],525,financeiro[id_grupo_tarifa],2,financeiro[id_tipo_tarifa],9)</f>
        <v>0</v>
      </c>
      <c r="AG4" s="267">
        <f>SUMIFS(financeiro[valor],financeiro[IdAgente],B4,financeiro[idDet1],22,financeiro[idDet2],60,financeiro[idDet3],524)</f>
        <v>0</v>
      </c>
      <c r="AH4" s="230"/>
      <c r="AI4" s="267">
        <f>SUMIFS(financeiro[valor],financeiro[IdAgente],B4,financeiro[idDet1],22,financeiro[idDet2],60,financeiro[idDet3],523,financeiro[id_grupo_tarifa],2,financeiro[id_detalhe_grupo_tarifa],30,financeiro[id_tipo_tarifa],9)</f>
        <v>0</v>
      </c>
      <c r="AJ4" s="267">
        <f>SUMIFS(financeiro[valor],financeiro[IdAgente],B4,financeiro[idDet1],22,financeiro[idDet2],60,financeiro[idDet3],503,financeiro[id_grupo_tarifa],99,financeiro[id_detalhe_grupo_tarifa],999,financeiro[id_tipo_tarifa],3)</f>
        <v>0</v>
      </c>
      <c r="AK4" s="230"/>
      <c r="AL4" s="274"/>
      <c r="AM4" s="274"/>
      <c r="AN4" s="274"/>
      <c r="AO4" s="274"/>
      <c r="AP4" s="274"/>
      <c r="AQ4" s="274"/>
      <c r="AR4" s="274"/>
      <c r="AS4" s="274"/>
      <c r="AT4" s="267">
        <f>SUMIFS(financeiro[valor],financeiro[IdAgente],B4,financeiro[idDet1],22,financeiro[idDet2],60,financeiro[idDet3],235,financeiro[id_grupo_tarifa],4,financeiro[id_detalhe_grupo_tarifa],999,financeiro[id_tipo_tarifa],9)</f>
        <v>0</v>
      </c>
      <c r="AU4" s="267">
        <f>SUMIFS(financeiro[valor],financeiro[IdAgente],B4,financeiro[idDet1],22,financeiro[idDet2],60,financeiro[idDet3],512,
financeiro[id_grupo_tarifa],3,financeiro[id_detalhe_grupo_tarifa],28,financeiro[id_tipo_tarifa],9)</f>
        <v>0</v>
      </c>
      <c r="AV4" s="267">
        <f>SUMIFS(financeiro[valor],financeiro[IdAgente],B4,financeiro[idDet1],22,financeiro[idDet2],60,financeiro[idDet3],241,financeiro[id_grupo_tarifa],2,financeiro[id_detalhe_grupo_tarifa],11,financeiro[id_tipo_tarifa],9)+SUMIFS(financeiro[valor],financeiro[IdAgente],B4,financeiro[idDet1],22,financeiro[idDet2],60,financeiro[idDet3],241,financeiro[id_grupo_tarifa],2,financeiro[id_detalhe_grupo_tarifa],9,financeiro[id_tipo_tarifa],9)+SUMIFS(financeiro[valor],financeiro[IdAgente],B4,financeiro[idDet1],22,financeiro[idDet2],60,financeiro[idDet3],241,financeiro[id_grupo_tarifa],2,financeiro[id_detalhe_grupo_tarifa],8,financeiro[id_tipo_tarifa],9)+SUMIFS(financeiro[valor],financeiro[IdAgente],B4,financeiro[idDet1],22,financeiro[idDet2],60,financeiro[idDet3],241,financeiro[id_grupo_tarifa],2,financeiro[id_detalhe_grupo_tarifa],10,financeiro[id_tipo_tarifa],9)+SUMIFS(financeiro[valor],financeiro[IdAgente],B4,financeiro[idDet1],22,financeiro[idDet2],60,financeiro[idDet3],241,financeiro[id_grupo_tarifa],2,financeiro[id_detalhe_grupo_tarifa],24,financeiro[id_tipo_tarifa],9)</f>
        <v>0</v>
      </c>
      <c r="AW4" s="267">
        <f>SUMIFS(financeiro[valor],financeiro[IdAgente],B4,financeiro[idDet1],22,financeiro[idDet2],60,financeiro[idDet3],241,financeiro[id_grupo_tarifa],3,financeiro[id_detalhe_grupo_tarifa],17,financeiro[id_tipo_tarifa],9)</f>
        <v>0</v>
      </c>
      <c r="AX4" s="267">
        <f>SUMIFS(financeiro[valor],financeiro[IdAgente],B4,financeiro[idDet1],22,financeiro[idDet2],60,financeiro[idDet3],240,financeiro[id_grupo_tarifa],2,financeiro[id_detalhe_grupo_tarifa],11,financeiro[id_tipo_tarifa],9)+SUMIFS(financeiro[valor],financeiro[IdAgente],B4,financeiro[idDet1],22,financeiro[idDet2],60,financeiro[idDet3],240,financeiro[id_grupo_tarifa],2,financeiro[id_detalhe_grupo_tarifa],9,financeiro[id_tipo_tarifa],9)+SUMIFS(financeiro[valor],financeiro[IdAgente],B4,financeiro[idDet1],22,financeiro[idDet2],60,financeiro[idDet3],240,financeiro[id_grupo_tarifa],2,financeiro[id_detalhe_grupo_tarifa],8,financeiro[id_tipo_tarifa],9)+SUMIFS(financeiro[valor],financeiro[IdAgente],B4,financeiro[idDet1],22,financeiro[idDet2],60,financeiro[idDet3],240,financeiro[id_grupo_tarifa],2,financeiro[id_detalhe_grupo_tarifa],10,financeiro[id_tipo_tarifa],9)+SUMIFS(financeiro[valor],financeiro[IdAgente],B4,financeiro[idDet1],22,financeiro[idDet2],60,financeiro[idDet3],240,financeiro[id_grupo_tarifa],2,financeiro[id_detalhe_grupo_tarifa],24,financeiro[id_tipo_tarifa],9)</f>
        <v>0</v>
      </c>
      <c r="AY4" s="267">
        <f>SUMIFS(financeiro[valor],financeiro[IdAgente],B4,financeiro[idDet1],22,financeiro[idDet2],60,financeiro[idDet3],106,financeiro[id_grupo_tarifa],2,financeiro[id_detalhe_grupo_tarifa],11,financeiro[id_tipo_tarifa],9)+SUMIFS(financeiro[valor],financeiro[IdAgente],B4,financeiro[idDet1],22,financeiro[idDet2],60,financeiro[idDet3],106,financeiro[id_grupo_tarifa],2,financeiro[id_detalhe_grupo_tarifa],9,financeiro[id_tipo_tarifa],9)+SUMIFS(financeiro[valor],financeiro[IdAgente],B4,financeiro[idDet1],22,financeiro[idDet2],60,financeiro[idDet3],106,financeiro[id_grupo_tarifa],2,financeiro[id_detalhe_grupo_tarifa],8,financeiro[id_tipo_tarifa],9)+SUMIFS(financeiro[valor],financeiro[IdAgente],B4,financeiro[idDet1],22,financeiro[idDet2],60,financeiro[idDet3],106,financeiro[id_grupo_tarifa],2,financeiro[id_detalhe_grupo_tarifa],10,financeiro[id_tipo_tarifa],9)+SUMIFS(financeiro[valor],financeiro[IdAgente],B4,financeiro[idDet1],22,financeiro[idDet2],60,financeiro[idDet3],106,financeiro[id_grupo_tarifa],2,financeiro[id_detalhe_grupo_tarifa],24,financeiro[id_tipo_tarifa],9)</f>
        <v>0</v>
      </c>
      <c r="AZ4" s="267">
        <f>SUMIFS(financeiro[valor],financeiro[IdAgente],B4,financeiro[idDet1],22,financeiro[idDet2],62,financeiro[idDet3],220,financeiro[id_grupo_tarifa],2,financeiro[id_detalhe_grupo_tarifa],11,financeiro[id_tipo_tarifa],9)+SUMIFS(financeiro[valor],financeiro[IdAgente],B4,financeiro[idDet1],22,financeiro[idDet2],62,financeiro[idDet3],220,financeiro[id_grupo_tarifa],2,financeiro[id_detalhe_grupo_tarifa],9,financeiro[id_tipo_tarifa],9)+SUMIFS(financeiro[valor],financeiro[IdAgente],B4,financeiro[idDet1],22,financeiro[idDet2],62,financeiro[idDet3],220,financeiro[id_grupo_tarifa],2,financeiro[id_detalhe_grupo_tarifa],8,financeiro[id_tipo_tarifa],9)+SUMIFS(financeiro[valor],financeiro[IdAgente],B4,financeiro[idDet1],22,financeiro[idDet2],62,financeiro[idDet3],220,financeiro[id_grupo_tarifa],2,financeiro[id_detalhe_grupo_tarifa],10,financeiro[id_tipo_tarifa],9)+SUMIFS(financeiro[valor],financeiro[IdAgente],B4,financeiro[idDet1],22,financeiro[idDet2],62,financeiro[idDet3],220,financeiro[id_grupo_tarifa],2,financeiro[id_detalhe_grupo_tarifa],24,financeiro[id_tipo_tarifa],9)</f>
        <v>0</v>
      </c>
      <c r="BA4" s="267">
        <f>SUMIFS(financeiro[valor],financeiro[IdAgente],B4,financeiro[idDet1],22,financeiro[idDet2],60,financeiro[idDet3],220,financeiro[id_grupo_tarifa],2,financeiro[id_detalhe_grupo_tarifa],11,financeiro[id_tipo_tarifa],9)+SUMIFS(financeiro[valor],financeiro[IdAgente],B4,financeiro[idDet1],22,financeiro[idDet2],60,financeiro[idDet3],220,financeiro[id_grupo_tarifa],2,financeiro[id_detalhe_grupo_tarifa],9,financeiro[id_tipo_tarifa],9)+SUMIFS(financeiro[valor],financeiro[IdAgente],B4,financeiro[idDet1],22,financeiro[idDet2],60,financeiro[idDet3],220,financeiro[id_grupo_tarifa],2,financeiro[id_detalhe_grupo_tarifa],8,financeiro[id_tipo_tarifa],9)+SUMIFS(financeiro[valor],financeiro[IdAgente],B4,financeiro[idDet1],22,financeiro[idDet2],60,financeiro[idDet3],220,financeiro[id_grupo_tarifa],2,financeiro[id_detalhe_grupo_tarifa],10,financeiro[id_tipo_tarifa],9)+SUMIFS(financeiro[valor],financeiro[IdAgente],B4,financeiro[idDet1],22,financeiro[idDet2],60,financeiro[idDet3],220,financeiro[id_grupo_tarifa],2,financeiro[id_detalhe_grupo_tarifa],24,financeiro[id_tipo_tarifa],9)</f>
        <v>0</v>
      </c>
      <c r="BB4" s="267">
        <f>SUMIFS(financeiro[valor],financeiro[IdAgente],B4,financeiro[idDet1],22,financeiro[idDet2],60,financeiro[idDet3],102,financeiro[id_grupo_tarifa],2,financeiro[id_detalhe_grupo_tarifa],11,financeiro[id_tipo_tarifa],9)+SUMIFS(financeiro[valor],financeiro[IdAgente],B4,financeiro[idDet1],22,financeiro[idDet2],60,financeiro[idDet3],102,financeiro[id_grupo_tarifa],2,financeiro[id_detalhe_grupo_tarifa],9,financeiro[id_tipo_tarifa],9)+SUMIFS(financeiro[valor],financeiro[IdAgente],B4,financeiro[idDet1],22,financeiro[idDet2],60,financeiro[idDet3],102,financeiro[id_grupo_tarifa],2,financeiro[id_detalhe_grupo_tarifa],8,financeiro[id_tipo_tarifa],9)+SUMIFS(financeiro[valor],financeiro[IdAgente],B4,financeiro[idDet1],22,financeiro[idDet2],60,financeiro[idDet3],102,financeiro[id_grupo_tarifa],2,financeiro[id_detalhe_grupo_tarifa],10,financeiro[id_tipo_tarifa],9)+SUMIFS(financeiro[valor],financeiro[IdAgente],B4,financeiro[idDet1],22,financeiro[idDet2],60,financeiro[idDet3],102,financeiro[id_grupo_tarifa],2,financeiro[id_detalhe_grupo_tarifa],24,financeiro[id_tipo_tarifa],9)</f>
        <v>0</v>
      </c>
      <c r="BC4" s="267">
        <f>SUMIFS(financeiro[valor],financeiro[IdAgente],B4,financeiro[idDet1],22,financeiro[idDet2],60,financeiro[idDet3],522,financeiro[valor],"&lt;0")</f>
        <v>0</v>
      </c>
      <c r="BD4" s="267">
        <f>SUMIFS(financeiro[valor],financeiro[IdAgente],B4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4" s="267">
        <f>SUMIFS(financeiro[valor],financeiro[IdAgente],B4,financeiro[id_natureza_dado],2,financeiro[id_detalhe_natureza],2,financeiro[idDet1],20,financeiro[idDet2],60,financeiro[idDet3],82,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4" s="267">
        <f>SUMIFS(financeiro[valor],financeiro[IdAgente],B4,financeiro[id_natureza_dado],2,financeiro[id_detalhe_natureza],2,financeiro[idDet1],20,financeiro[idDet2],60,financeiro[idDet3],81,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4" s="267">
        <f>SUMIFS(financeiro[valor],financeiro[IdAgente],B4,financeiro[id_natureza_dado],2,financeiro[id_detalhe_natureza],2,financeiro[idDet1],20,financeiro[idDet2],60,financeiro[idDet3],503,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4" s="267">
        <f>SUMIFS(financeiro[valor],financeiro[IdAgente],B4,financeiro[idDet1],22,financeiro[idDet2],60,financeiro[idDet3],123)</f>
        <v>0</v>
      </c>
      <c r="BI4" s="267">
        <f>SUMIFS(financeiro[valor],financeiro[IdAgente],B4,financeiro[idDet1],20,financeiro[idDet2],60,financeiro[idDet3],73)</f>
        <v>0</v>
      </c>
      <c r="BJ4" s="267">
        <f>SUMIFS(financeiro[valor],financeiro[IdAgente],B4,financeiro[idDet1],22,financeiro[idDet2],60,financeiro[idDet3],527)</f>
        <v>0</v>
      </c>
      <c r="BK4" s="267">
        <f>SUMIFS(financeiro[valor],financeiro[IdAgente],B4,financeiro[idDet1],22,financeiro[idDet2],60,financeiro[idDet3],510)</f>
        <v>0</v>
      </c>
      <c r="BL4" s="267">
        <f>SUMIFS(financeiro[valor],financeiro[IdAgente],B4,financeiro[idDet1],22,financeiro[idDet2],60,financeiro[idDet3],526,
financeiro[id_grupo_tarifa],1,financeiro[id_detalhe_grupo_tarifa],3,financeiro[id_tipo_tarifa],9,financeiro[id_subgrupo],3)</f>
        <v>0</v>
      </c>
      <c r="BM4" s="267">
        <f>SUMIFS(financeiro[valor],financeiro[IdAgente],B4,financeiro[idDet1],22,financeiro[idDet2],60,financeiro[idDet3],999,
financeiro[id_grupo_tarifa],3,financeiro[id_detalhe_grupo_tarifa],17,financeiro[id_tipo_tarifa],9)</f>
        <v>0</v>
      </c>
      <c r="BN4" s="267">
        <f>SUMIFS(financeiro[valor],financeiro[IdAgente],B4,financeiro[idDet1],22,financeiro[idDet2],60,financeiro[idDet3],526,financeiro[id_grupo_tarifa],1,financeiro[id_detalhe_grupo_tarifa],7,financeiro[id_tipo_tarifa],9,financeiro[valor],"&lt;0")+SUMIFS(financeiro[valor],financeiro[IdAgente],B4,financeiro[idDet1],22,financeiro[idDet2],60,financeiro[idDet3],526,financeiro[id_grupo_tarifa],2,financeiro[id_detalhe_grupo_tarifa],11,financeiro[id_tipo_tarifa],9,financeiro[valor],"&lt;0")+SUMIFS(financeiro[valor],financeiro[IdAgente],B4,financeiro[idDet1],22,financeiro[idDet2],60,financeiro[idDet3],526,financeiro[id_grupo_tarifa],2,financeiro[id_detalhe_grupo_tarifa],8,financeiro[id_tipo_tarifa],9,financeiro[valor],"&lt;0")</f>
        <v>0</v>
      </c>
      <c r="BO4" s="267">
        <f>SUMIFS(financeiro[valor],financeiro[IdAgente],B4,financeiro[idDet1],22,financeiro[idDet2],60,financeiro[idDet3],999,financeiro[id_grupo_tarifa],4,financeiro[id_detalhe_grupo_tarifa],999,financeiro[id_tipo_tarifa],9,financeiro[valor],"&lt;0")</f>
        <v>0</v>
      </c>
      <c r="BP4" s="267">
        <f>SUMIFS(financeiro[valor],financeiro[IdAgente],B4,financeiro[idDet1],22,financeiro[idDet2],60,financeiro[idDet3],530,financeiro[valor],"&lt;0")</f>
        <v>0</v>
      </c>
      <c r="BQ4" s="267">
        <f>SUMIFS(financeiro[valor],financeiro[IdAgente],B4,financeiro[idDet1],22,financeiro[idDet2],60,financeiro[idDet3],531,financeiro[valor],"&lt;0")</f>
        <v>0</v>
      </c>
      <c r="BR4" s="267">
        <f>SUMIFS(financeiro[valor],financeiro[IdAgente],B4,financeiro[idDet1],22,financeiro[idDet2],62,financeiro[idDet3],532,financeiro[valor],"&lt;0")</f>
        <v>0</v>
      </c>
      <c r="BS4" s="267">
        <f>SUMIFS(financeiro[valor],financeiro[IdAgente],B4,financeiro[idDet1],22,financeiro[idDet2],62,financeiro[idDet3],533,financeiro[valor],"&lt;0")</f>
        <v>0</v>
      </c>
      <c r="BT4" s="267">
        <f>SUMIFS(financeiro[valor],financeiro[IdAgente],B4,financeiro[idDet1],22,financeiro[idDet2],62,financeiro[idDet3],534,financeiro[valor],"&lt;0")</f>
        <v>0</v>
      </c>
      <c r="BU4" s="5"/>
      <c r="BW4" s="209" t="s">
        <v>147</v>
      </c>
      <c r="BX4" t="str">
        <f>Efeito!B5</f>
        <v>NO SELECT</v>
      </c>
      <c r="BY4" s="267">
        <f>SUMIFS(Banco[valor],Banco[IdAgente],BX4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4" s="267">
        <f>SUMIFS(Banco[valor],Banco[IdAgente],BX4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4" s="267">
        <f>SUMIFS(Banco[valor],Banco[IdAgente],BX4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4" s="267">
        <f>SUMIFS(Banco[valor],Banco[IdAgente],BX4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4" s="267">
        <f>SUMIFS(Banco[valor],Banco[IdAgente],BX4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4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4" s="267">
        <f>SUMIFS(Banco[valor],Banco[IdAgente],BX4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4" s="267">
        <f>SUMIFS(Banco[valor],Banco[IdAgente],BX4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4" s="267">
        <f>SUMIFS(Banco[valor],Banco[IdAgente],BX4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4" s="267">
        <f>SUMIFS(Banco[valor],Banco[IdAgente],BX4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4" s="267">
        <f>SUMIFS(Banco[valor],Banco[IdAgente],BX4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4" s="267">
        <f>SUMIFS(Banco[valor],Banco[IdAgente],BX4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4" s="267">
        <f>SUMIFS(Banco[valor],Banco[IdAgente],BX4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4" s="267">
        <f>SUMIFS(Banco[valor],Banco[IdAgente],B4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4" s="267">
        <f>SUMIFS(Banco[valor],Banco[IdAgente],B4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4" s="267">
        <f>SUMIFS(Banco[valor],Banco[IdAgente],B4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5" spans="1:91">
      <c r="A5" t="s">
        <v>51</v>
      </c>
      <c r="B5" t="str">
        <f>Efeito!B6</f>
        <v>NO SELECT</v>
      </c>
      <c r="C5" s="267">
        <f>SUMIFS(Banco[valor],Banco[IdAgente],B5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5" s="267">
        <f>SUMIFS(Banco[valor],Banco[IdAgente],B5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5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5" s="267">
        <f>SUMIFS(Banco[valor],Banco[IdAgente],B5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5" s="267">
        <f>SUMIFS(Banco[valor],Banco[IdAgente],B5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5" s="267">
        <f>SUMIFS(Banco[valor],Banco[IdAgente],B5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5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5" s="267">
        <f>SUMIFS(Banco[valor],Banco[IdAgente],B5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5" s="267">
        <f>SUMIFS(Banco[valor],Banco[IdAgente],B5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5" s="267">
        <f>SUMIFS(Banco[valor],Banco[IdAgente],B5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5" s="267">
        <f>SUMIFS(Banco[valor],Banco[IdAgente],B5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5" s="267">
        <f>SUMIFS(Banco[valor],Banco[IdAgente],B5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5" s="267">
        <f>SUMIFS(Banco[valor],Banco[IdAgente],B5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5" s="267">
        <f>SUMIFS(Banco[valor],Banco[IdAgente],B5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5" s="267">
        <f>SUMIFS(Banco[valor],Banco[IdAgente],B5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5" s="267">
        <f t="shared" si="2"/>
        <v>0</v>
      </c>
      <c r="Q5" s="267">
        <f>SUMIFS(Banco[valor],Banco[IdAgente],B5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5" s="267">
        <f>SUMIFS(Banco[valor],Banco[IdAgente],B5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5" s="4"/>
      <c r="T5" s="4"/>
      <c r="U5" s="4"/>
      <c r="V5" s="267">
        <f>SUMIFS(financeiro[valor],financeiro[IdAgente],B5,financeiro[idDet1],22,financeiro[idDet2],60,financeiro[idDet3],526,financeiro[id_grupo_tarifa],1,financeiro[id_detalhe_grupo_tarifa],7,financeiro[id_tipo_tarifa],9,financeiro[id_subgrupo],99,financeiro[valor],"&gt;0")+SUMIFS(financeiro[valor],financeiro[IdAgente],B5,financeiro[idDet1],22,financeiro[idDet2],60,financeiro[idDet3],526,financeiro[id_grupo_tarifa],2,financeiro[id_detalhe_grupo_tarifa],11,financeiro[id_tipo_tarifa],9,financeiro[valor],"&gt;0")+SUMIFS(financeiro[valor],financeiro[IdAgente],B5,financeiro[idDet1],22,financeiro[idDet2],60,financeiro[idDet3],526,financeiro[id_grupo_tarifa],2,financeiro[id_detalhe_grupo_tarifa],9,financeiro[id_tipo_tarifa],9,financeiro[valor],"&gt;0")+SUMIFS(financeiro[valor],financeiro[IdAgente],B5,financeiro[idDet1],22,financeiro[idDet2],60,financeiro[idDet3],526,financeiro[id_grupo_tarifa],2,financeiro[id_detalhe_grupo_tarifa],8,financeiro[id_tipo_tarifa],9,financeiro[valor],"&gt;0")+SUMIFS(financeiro[valor],financeiro[IdAgente],B5,financeiro[idDet1],22,financeiro[idDet2],60,financeiro[idDet3],526,financeiro[id_grupo_tarifa],2,financeiro[id_detalhe_grupo_tarifa],10,financeiro[id_tipo_tarifa],9,financeiro[valor],"&gt;0")+SUMIFS(financeiro[valor],financeiro[IdAgente],B5,financeiro[idDet1],22,financeiro[idDet2],60,financeiro[idDet3],526,financeiro[id_grupo_tarifa],2,financeiro[id_detalhe_grupo_tarifa],24,financeiro[id_tipo_tarifa],9,financeiro[valor],"&gt;0")</f>
        <v>0</v>
      </c>
      <c r="W5" s="267">
        <f>SUMIFS(financeiro[valor],financeiro[IdAgente],B5,financeiro[idDet1],20,financeiro[idDet2],60,financeiro[idDet3],999,financeiro[id_grupo_tarifa],3,financeiro[id_detalhe_grupo_tarifa],14,financeiro[id_tipo_tarifa],9)+SUMIFS(financeiro[valor],financeiro[IdAgente],B5,financeiro[idDet1],20,financeiro[idDet2],60,financeiro[idDet3],999,financeiro[id_grupo_tarifa],3,financeiro[id_detalhe_grupo_tarifa],15,financeiro[id_tipo_tarifa],9)+SUMIFS(financeiro[valor],financeiro[IdAgente],B5,financeiro[idDet1],20,financeiro[idDet2],60,financeiro[idDet3],999,financeiro[id_grupo_tarifa],3,financeiro[id_detalhe_grupo_tarifa],16,financeiro[id_tipo_tarifa],9)+SUMIFS(financeiro[valor],financeiro[IdAgente],B5,financeiro[idDet1],20,financeiro[idDet2],60,financeiro[idDet3],999,financeiro[id_grupo_tarifa],3,financeiro[id_detalhe_grupo_tarifa],17,financeiro[id_tipo_tarifa],9)+SUMIFS(financeiro[valor],financeiro[IdAgente],B5,financeiro[idDet1],20,financeiro[idDet2],60,financeiro[idDet3],999,financeiro[id_grupo_tarifa],3,financeiro[id_detalhe_grupo_tarifa],18,financeiro[id_tipo_tarifa],9)+SUMIFS(financeiro[valor],financeiro[IdAgente],B5,financeiro[idDet1],20,financeiro[idDet2],60,financeiro[idDet3],999,financeiro[id_grupo_tarifa],3,financeiro[id_detalhe_grupo_tarifa],19,financeiro[id_tipo_tarifa],9)</f>
        <v>0</v>
      </c>
      <c r="X5" s="267">
        <f>SUMIFS(financeiro[valor],financeiro[IdAgente],B5,financeiro[idDet1],20,financeiro[idDet2],60,financeiro[idDet3],999,financeiro[id_grupo_tarifa],3,financeiro[id_detalhe_grupo_tarifa],12,financeiro[id_tipo_tarifa],9)+SUMIFS(financeiro[valor],financeiro[IdAgente],B5,financeiro[idDet1],20,financeiro[idDet2],60,financeiro[idDet3],999,financeiro[id_grupo_tarifa],4,financeiro[id_detalhe_grupo_tarifa],999,financeiro[id_tipo_tarifa],9)</f>
        <v>0</v>
      </c>
      <c r="Y5" s="267">
        <f>SUMIFS(financeiro[valor],financeiro[IdAgente],B5,financeiro[idDet1],20,financeiro[idDet2],60,financeiro[idDet3],179,financeiro[id_grupo_tarifa],99,financeiro[id_detalhe_grupo_tarifa],999,financeiro[id_tipo_tarifa],9)</f>
        <v>0</v>
      </c>
      <c r="Z5" s="267">
        <f>SUMIFS(financeiro[valor],financeiro[IdAgente],B5,financeiro[idDet1],20,financeiro[idDet2],60,financeiro[idDet3],999,financeiro[id_grupo_tarifa],2,financeiro[id_detalhe_grupo_tarifa],11,financeiro[id_tipo_tarifa],9,financeiro[valor],"&gt;0")+SUMIFS(financeiro[valor],financeiro[IdAgente],B5,financeiro[idDet1],20,financeiro[idDet2],60,financeiro[idDet3],999,financeiro[id_grupo_tarifa],2,financeiro[id_detalhe_grupo_tarifa],9,financeiro[id_tipo_tarifa],9,financeiro[valor],"&gt;0")+SUMIFS(financeiro[valor],financeiro[IdAgente],B5,financeiro[idDet1],20,financeiro[idDet2],60,financeiro[idDet3],999,financeiro[id_grupo_tarifa],2,financeiro[id_detalhe_grupo_tarifa],8,financeiro[id_tipo_tarifa],9,financeiro[valor],"&gt;0")+SUMIFS(financeiro[valor],financeiro[IdAgente],B5,financeiro[idDet1],20,financeiro[idDet2],60,financeiro[idDet3],999,financeiro[id_grupo_tarifa],2,financeiro[id_detalhe_grupo_tarifa],10,financeiro[id_tipo_tarifa],9,financeiro[valor],"&gt;0")+SUMIFS(financeiro[valor],financeiro[IdAgente],B5,financeiro[idDet1],20,financeiro[idDet2],60,financeiro[idDet3],999,financeiro[id_grupo_tarifa],2,financeiro[id_detalhe_grupo_tarifa],24,financeiro[id_tipo_tarifa],9,financeiro[valor],"&gt;0")+SUMIFS(financeiro[valor],financeiro[IdAgente],B5,financeiro[idDet1],20,financeiro[idDet2],60,financeiro[idDet3],999,financeiro[id_grupo_tarifa],2,financeiro[id_detalhe_grupo_tarifa],17,financeiro[id_tipo_tarifa],9,financeiro[valor],"&gt;0")+SUMIFS(financeiro[valor],financeiro[IdAgente],B5,financeiro[idDet1],999,financeiro[idDet2],999999,financeiro[idDet3],999,financeiro[id_grupo_tarifa],99,financeiro[id_detalhe_grupo_tarifa],999,financeiro[id_tipo_tarifa],9,financeiro[valor],"&gt;0")</f>
        <v>0</v>
      </c>
      <c r="AA5" s="267">
        <f>SUMIFS(financeiro[valor],financeiro[IdAgente],B5,financeiro[idDet1],22,financeiro[idDet2],60,financeiro[idDet3],529,financeiro[id_grupo_tarifa],1,financeiro[id_detalhe_grupo_tarifa],1,financeiro[id_tipo_tarifa],9,financeiro[valor],"&gt;0")+SUMIFS(financeiro[valor],financeiro[IdAgente],B5,financeiro[idDet1],22,financeiro[idDet2],60,financeiro[idDet3],529,financeiro[id_grupo_tarifa],1,financeiro[id_detalhe_grupo_tarifa],2,financeiro[id_tipo_tarifa],9,financeiro[valor],"&gt;0")</f>
        <v>0</v>
      </c>
      <c r="AB5" s="104"/>
      <c r="AC5" s="5">
        <f>SUMIFS(financeiro[valor],financeiro[IdAgente],B5,financeiro[idDet1],22,financeiro[idDet2],60,financeiro[idDet3],999,financeiro[id_grupo_tarifa],2,financeiro[id_detalhe_grupo_tarifa],30,financeiro[id_tipo_tarifa],9,financeiro[valor],"&gt;0")</f>
        <v>0</v>
      </c>
      <c r="AD5" s="267">
        <f>SUMIFS(financeiro[valor],financeiro[IdAgente],B5,financeiro[idDet1],22,financeiro[idDet2],60,financeiro[idDet3],178,financeiro[id_grupo_tarifa],1,financeiro[id_detalhe_grupo_tarifa],7,financeiro[id_tipo_tarifa],9)</f>
        <v>0</v>
      </c>
      <c r="AE5" s="5">
        <f>SUMIFS(financeiro[valor],financeiro[IdAgente],B5,financeiro[idDet1],22,financeiro[idDet2],60,financeiro[idDet3],242,financeiro[id_grupo_tarifa],4,financeiro[id_detalhe_grupo_tarifa],999,financeiro[id_tipo_tarifa],9)</f>
        <v>0</v>
      </c>
      <c r="AF5" s="267">
        <f>SUMIFS(financeiro[valor],financeiro[IdAgente],B5,financeiro[idDet1],22,financeiro[idDet2],60,financeiro[idDet3],525,financeiro[id_grupo_tarifa],2,financeiro[id_tipo_tarifa],9)</f>
        <v>0</v>
      </c>
      <c r="AG5" s="267">
        <f>SUMIFS(financeiro[valor],financeiro[IdAgente],B5,financeiro[idDet1],22,financeiro[idDet2],60,financeiro[idDet3],524)</f>
        <v>0</v>
      </c>
      <c r="AH5" s="230"/>
      <c r="AI5" s="267">
        <f>SUMIFS(financeiro[valor],financeiro[IdAgente],B5,financeiro[idDet1],22,financeiro[idDet2],60,financeiro[idDet3],523,financeiro[id_grupo_tarifa],2,financeiro[id_detalhe_grupo_tarifa],30,financeiro[id_tipo_tarifa],9)</f>
        <v>0</v>
      </c>
      <c r="AJ5" s="267">
        <f>SUMIFS(financeiro[valor],financeiro[IdAgente],B5,financeiro[idDet1],22,financeiro[idDet2],60,financeiro[idDet3],503,financeiro[id_grupo_tarifa],99,financeiro[id_detalhe_grupo_tarifa],999,financeiro[id_tipo_tarifa],3)</f>
        <v>0</v>
      </c>
      <c r="AK5" s="230"/>
      <c r="AL5" s="274"/>
      <c r="AM5" s="274"/>
      <c r="AN5" s="274"/>
      <c r="AO5" s="274"/>
      <c r="AP5" s="274"/>
      <c r="AQ5" s="274"/>
      <c r="AR5" s="274"/>
      <c r="AS5" s="274"/>
      <c r="AT5" s="267">
        <f>SUMIFS(financeiro[valor],financeiro[IdAgente],B5,financeiro[idDet1],22,financeiro[idDet2],60,financeiro[idDet3],235,financeiro[id_grupo_tarifa],4,financeiro[id_detalhe_grupo_tarifa],999,financeiro[id_tipo_tarifa],9)</f>
        <v>0</v>
      </c>
      <c r="AU5" s="267">
        <f>SUMIFS(financeiro[valor],financeiro[IdAgente],B5,financeiro[idDet1],22,financeiro[idDet2],60,financeiro[idDet3],512,
financeiro[id_grupo_tarifa],3,financeiro[id_detalhe_grupo_tarifa],28,financeiro[id_tipo_tarifa],9)</f>
        <v>0</v>
      </c>
      <c r="AV5" s="267">
        <f>SUMIFS(financeiro[valor],financeiro[IdAgente],B5,financeiro[idDet1],22,financeiro[idDet2],60,financeiro[idDet3],241,financeiro[id_grupo_tarifa],2,financeiro[id_detalhe_grupo_tarifa],11,financeiro[id_tipo_tarifa],9)+SUMIFS(financeiro[valor],financeiro[IdAgente],B5,financeiro[idDet1],22,financeiro[idDet2],60,financeiro[idDet3],241,financeiro[id_grupo_tarifa],2,financeiro[id_detalhe_grupo_tarifa],9,financeiro[id_tipo_tarifa],9)+SUMIFS(financeiro[valor],financeiro[IdAgente],B5,financeiro[idDet1],22,financeiro[idDet2],60,financeiro[idDet3],241,financeiro[id_grupo_tarifa],2,financeiro[id_detalhe_grupo_tarifa],8,financeiro[id_tipo_tarifa],9)+SUMIFS(financeiro[valor],financeiro[IdAgente],B5,financeiro[idDet1],22,financeiro[idDet2],60,financeiro[idDet3],241,financeiro[id_grupo_tarifa],2,financeiro[id_detalhe_grupo_tarifa],10,financeiro[id_tipo_tarifa],9)+SUMIFS(financeiro[valor],financeiro[IdAgente],B5,financeiro[idDet1],22,financeiro[idDet2],60,financeiro[idDet3],241,financeiro[id_grupo_tarifa],2,financeiro[id_detalhe_grupo_tarifa],24,financeiro[id_tipo_tarifa],9)</f>
        <v>0</v>
      </c>
      <c r="AW5" s="267">
        <f>SUMIFS(financeiro[valor],financeiro[IdAgente],B5,financeiro[idDet1],22,financeiro[idDet2],60,financeiro[idDet3],241,financeiro[id_grupo_tarifa],3,financeiro[id_detalhe_grupo_tarifa],17,financeiro[id_tipo_tarifa],9)</f>
        <v>0</v>
      </c>
      <c r="AX5" s="267">
        <f>SUMIFS(financeiro[valor],financeiro[IdAgente],B5,financeiro[idDet1],22,financeiro[idDet2],60,financeiro[idDet3],240,financeiro[id_grupo_tarifa],2,financeiro[id_detalhe_grupo_tarifa],11,financeiro[id_tipo_tarifa],9)+SUMIFS(financeiro[valor],financeiro[IdAgente],B5,financeiro[idDet1],22,financeiro[idDet2],60,financeiro[idDet3],240,financeiro[id_grupo_tarifa],2,financeiro[id_detalhe_grupo_tarifa],9,financeiro[id_tipo_tarifa],9)+SUMIFS(financeiro[valor],financeiro[IdAgente],B5,financeiro[idDet1],22,financeiro[idDet2],60,financeiro[idDet3],240,financeiro[id_grupo_tarifa],2,financeiro[id_detalhe_grupo_tarifa],8,financeiro[id_tipo_tarifa],9)+SUMIFS(financeiro[valor],financeiro[IdAgente],B5,financeiro[idDet1],22,financeiro[idDet2],60,financeiro[idDet3],240,financeiro[id_grupo_tarifa],2,financeiro[id_detalhe_grupo_tarifa],10,financeiro[id_tipo_tarifa],9)+SUMIFS(financeiro[valor],financeiro[IdAgente],B5,financeiro[idDet1],22,financeiro[idDet2],60,financeiro[idDet3],240,financeiro[id_grupo_tarifa],2,financeiro[id_detalhe_grupo_tarifa],24,financeiro[id_tipo_tarifa],9)</f>
        <v>0</v>
      </c>
      <c r="AY5" s="267">
        <f>SUMIFS(financeiro[valor],financeiro[IdAgente],B5,financeiro[idDet1],22,financeiro[idDet2],60,financeiro[idDet3],106,financeiro[id_grupo_tarifa],2,financeiro[id_detalhe_grupo_tarifa],11,financeiro[id_tipo_tarifa],9)+SUMIFS(financeiro[valor],financeiro[IdAgente],B5,financeiro[idDet1],22,financeiro[idDet2],60,financeiro[idDet3],106,financeiro[id_grupo_tarifa],2,financeiro[id_detalhe_grupo_tarifa],9,financeiro[id_tipo_tarifa],9)+SUMIFS(financeiro[valor],financeiro[IdAgente],B5,financeiro[idDet1],22,financeiro[idDet2],60,financeiro[idDet3],106,financeiro[id_grupo_tarifa],2,financeiro[id_detalhe_grupo_tarifa],8,financeiro[id_tipo_tarifa],9)+SUMIFS(financeiro[valor],financeiro[IdAgente],B5,financeiro[idDet1],22,financeiro[idDet2],60,financeiro[idDet3],106,financeiro[id_grupo_tarifa],2,financeiro[id_detalhe_grupo_tarifa],10,financeiro[id_tipo_tarifa],9)+SUMIFS(financeiro[valor],financeiro[IdAgente],B5,financeiro[idDet1],22,financeiro[idDet2],60,financeiro[idDet3],106,financeiro[id_grupo_tarifa],2,financeiro[id_detalhe_grupo_tarifa],24,financeiro[id_tipo_tarifa],9)</f>
        <v>0</v>
      </c>
      <c r="AZ5" s="267">
        <f>SUMIFS(financeiro[valor],financeiro[IdAgente],B5,financeiro[idDet1],22,financeiro[idDet2],62,financeiro[idDet3],220,financeiro[id_grupo_tarifa],2,financeiro[id_detalhe_grupo_tarifa],11,financeiro[id_tipo_tarifa],9)+SUMIFS(financeiro[valor],financeiro[IdAgente],B5,financeiro[idDet1],22,financeiro[idDet2],62,financeiro[idDet3],220,financeiro[id_grupo_tarifa],2,financeiro[id_detalhe_grupo_tarifa],9,financeiro[id_tipo_tarifa],9)+SUMIFS(financeiro[valor],financeiro[IdAgente],B5,financeiro[idDet1],22,financeiro[idDet2],62,financeiro[idDet3],220,financeiro[id_grupo_tarifa],2,financeiro[id_detalhe_grupo_tarifa],8,financeiro[id_tipo_tarifa],9)+SUMIFS(financeiro[valor],financeiro[IdAgente],B5,financeiro[idDet1],22,financeiro[idDet2],62,financeiro[idDet3],220,financeiro[id_grupo_tarifa],2,financeiro[id_detalhe_grupo_tarifa],10,financeiro[id_tipo_tarifa],9)+SUMIFS(financeiro[valor],financeiro[IdAgente],B5,financeiro[idDet1],22,financeiro[idDet2],62,financeiro[idDet3],220,financeiro[id_grupo_tarifa],2,financeiro[id_detalhe_grupo_tarifa],24,financeiro[id_tipo_tarifa],9)</f>
        <v>0</v>
      </c>
      <c r="BA5" s="267">
        <f>SUMIFS(financeiro[valor],financeiro[IdAgente],B5,financeiro[idDet1],22,financeiro[idDet2],60,financeiro[idDet3],220,financeiro[id_grupo_tarifa],2,financeiro[id_detalhe_grupo_tarifa],11,financeiro[id_tipo_tarifa],9)+SUMIFS(financeiro[valor],financeiro[IdAgente],B5,financeiro[idDet1],22,financeiro[idDet2],60,financeiro[idDet3],220,financeiro[id_grupo_tarifa],2,financeiro[id_detalhe_grupo_tarifa],9,financeiro[id_tipo_tarifa],9)+SUMIFS(financeiro[valor],financeiro[IdAgente],B5,financeiro[idDet1],22,financeiro[idDet2],60,financeiro[idDet3],220,financeiro[id_grupo_tarifa],2,financeiro[id_detalhe_grupo_tarifa],8,financeiro[id_tipo_tarifa],9)+SUMIFS(financeiro[valor],financeiro[IdAgente],B5,financeiro[idDet1],22,financeiro[idDet2],60,financeiro[idDet3],220,financeiro[id_grupo_tarifa],2,financeiro[id_detalhe_grupo_tarifa],10,financeiro[id_tipo_tarifa],9)+SUMIFS(financeiro[valor],financeiro[IdAgente],B5,financeiro[idDet1],22,financeiro[idDet2],60,financeiro[idDet3],220,financeiro[id_grupo_tarifa],2,financeiro[id_detalhe_grupo_tarifa],24,financeiro[id_tipo_tarifa],9)</f>
        <v>0</v>
      </c>
      <c r="BB5" s="267">
        <f>SUMIFS(financeiro[valor],financeiro[IdAgente],B5,financeiro[idDet1],22,financeiro[idDet2],60,financeiro[idDet3],102,financeiro[id_grupo_tarifa],2,financeiro[id_detalhe_grupo_tarifa],11,financeiro[id_tipo_tarifa],9)+SUMIFS(financeiro[valor],financeiro[IdAgente],B5,financeiro[idDet1],22,financeiro[idDet2],60,financeiro[idDet3],102,financeiro[id_grupo_tarifa],2,financeiro[id_detalhe_grupo_tarifa],9,financeiro[id_tipo_tarifa],9)+SUMIFS(financeiro[valor],financeiro[IdAgente],B5,financeiro[idDet1],22,financeiro[idDet2],60,financeiro[idDet3],102,financeiro[id_grupo_tarifa],2,financeiro[id_detalhe_grupo_tarifa],8,financeiro[id_tipo_tarifa],9)+SUMIFS(financeiro[valor],financeiro[IdAgente],B5,financeiro[idDet1],22,financeiro[idDet2],60,financeiro[idDet3],102,financeiro[id_grupo_tarifa],2,financeiro[id_detalhe_grupo_tarifa],10,financeiro[id_tipo_tarifa],9)+SUMIFS(financeiro[valor],financeiro[IdAgente],B5,financeiro[idDet1],22,financeiro[idDet2],60,financeiro[idDet3],102,financeiro[id_grupo_tarifa],2,financeiro[id_detalhe_grupo_tarifa],24,financeiro[id_tipo_tarifa],9)</f>
        <v>0</v>
      </c>
      <c r="BC5" s="267">
        <f>SUMIFS(financeiro[valor],financeiro[IdAgente],B5,financeiro[idDet1],22,financeiro[idDet2],60,financeiro[idDet3],522,financeiro[valor],"&lt;0")</f>
        <v>0</v>
      </c>
      <c r="BD5" s="267">
        <f>SUMIFS(financeiro[valor],financeiro[IdAgente],B5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5" s="267">
        <f>SUMIFS(financeiro[valor],financeiro[IdAgente],B5,financeiro[id_natureza_dado],2,financeiro[id_detalhe_natureza],2,financeiro[idDet1],20,financeiro[idDet2],60,financeiro[idDet3],82,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5" s="267">
        <f>SUMIFS(financeiro[valor],financeiro[IdAgente],B5,financeiro[id_natureza_dado],2,financeiro[id_detalhe_natureza],2,financeiro[idDet1],20,financeiro[idDet2],60,financeiro[idDet3],81,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5" s="267">
        <f>SUMIFS(financeiro[valor],financeiro[IdAgente],B5,financeiro[id_natureza_dado],2,financeiro[id_detalhe_natureza],2,financeiro[idDet1],20,financeiro[idDet2],60,financeiro[idDet3],503,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5" s="267">
        <f>SUMIFS(financeiro[valor],financeiro[IdAgente],B5,financeiro[idDet1],22,financeiro[idDet2],60,financeiro[idDet3],123)</f>
        <v>0</v>
      </c>
      <c r="BI5" s="267">
        <f>SUMIFS(financeiro[valor],financeiro[IdAgente],B5,financeiro[idDet1],20,financeiro[idDet2],60,financeiro[idDet3],73)</f>
        <v>0</v>
      </c>
      <c r="BJ5" s="267">
        <f>SUMIFS(financeiro[valor],financeiro[IdAgente],B5,financeiro[idDet1],22,financeiro[idDet2],60,financeiro[idDet3],527)</f>
        <v>0</v>
      </c>
      <c r="BK5" s="267">
        <f>SUMIFS(financeiro[valor],financeiro[IdAgente],B5,financeiro[idDet1],22,financeiro[idDet2],60,financeiro[idDet3],510)</f>
        <v>0</v>
      </c>
      <c r="BL5" s="267">
        <f>SUMIFS(financeiro[valor],financeiro[IdAgente],B5,financeiro[idDet1],22,financeiro[idDet2],60,financeiro[idDet3],526,
financeiro[id_grupo_tarifa],1,financeiro[id_detalhe_grupo_tarifa],3,financeiro[id_tipo_tarifa],9,financeiro[id_subgrupo],3)</f>
        <v>0</v>
      </c>
      <c r="BM5" s="267">
        <f>SUMIFS(financeiro[valor],financeiro[IdAgente],B5,financeiro[idDet1],22,financeiro[idDet2],60,financeiro[idDet3],999,
financeiro[id_grupo_tarifa],3,financeiro[id_detalhe_grupo_tarifa],17,financeiro[id_tipo_tarifa],9)</f>
        <v>0</v>
      </c>
      <c r="BN5" s="267">
        <f>SUMIFS(financeiro[valor],financeiro[IdAgente],B5,financeiro[idDet1],22,financeiro[idDet2],60,financeiro[idDet3],526,financeiro[id_grupo_tarifa],1,financeiro[id_detalhe_grupo_tarifa],7,financeiro[id_tipo_tarifa],9,financeiro[valor],"&lt;0")+SUMIFS(financeiro[valor],financeiro[IdAgente],B5,financeiro[idDet1],22,financeiro[idDet2],60,financeiro[idDet3],526,financeiro[id_grupo_tarifa],2,financeiro[id_detalhe_grupo_tarifa],11,financeiro[id_tipo_tarifa],9,financeiro[valor],"&lt;0")+SUMIFS(financeiro[valor],financeiro[IdAgente],B5,financeiro[idDet1],22,financeiro[idDet2],60,financeiro[idDet3],526,financeiro[id_grupo_tarifa],2,financeiro[id_detalhe_grupo_tarifa],8,financeiro[id_tipo_tarifa],9,financeiro[valor],"&lt;0")</f>
        <v>0</v>
      </c>
      <c r="BO5" s="267">
        <f>SUMIFS(financeiro[valor],financeiro[IdAgente],B5,financeiro[idDet1],22,financeiro[idDet2],60,financeiro[idDet3],999,financeiro[id_grupo_tarifa],4,financeiro[id_detalhe_grupo_tarifa],999,financeiro[id_tipo_tarifa],9,financeiro[valor],"&lt;0")</f>
        <v>0</v>
      </c>
      <c r="BP5" s="267">
        <f>SUMIFS(financeiro[valor],financeiro[IdAgente],B5,financeiro[idDet1],22,financeiro[idDet2],60,financeiro[idDet3],530,financeiro[valor],"&lt;0")</f>
        <v>0</v>
      </c>
      <c r="BQ5" s="267">
        <f>SUMIFS(financeiro[valor],financeiro[IdAgente],B5,financeiro[idDet1],22,financeiro[idDet2],60,financeiro[idDet3],531,financeiro[valor],"&lt;0")</f>
        <v>0</v>
      </c>
      <c r="BR5" s="267">
        <f>SUMIFS(financeiro[valor],financeiro[IdAgente],B5,financeiro[idDet1],22,financeiro[idDet2],62,financeiro[idDet3],532,financeiro[valor],"&lt;0")</f>
        <v>0</v>
      </c>
      <c r="BS5" s="267">
        <f>SUMIFS(financeiro[valor],financeiro[IdAgente],B5,financeiro[idDet1],22,financeiro[idDet2],62,financeiro[idDet3],533,financeiro[valor],"&lt;0")</f>
        <v>0</v>
      </c>
      <c r="BT5" s="267">
        <f>SUMIFS(financeiro[valor],financeiro[IdAgente],B5,financeiro[idDet1],22,financeiro[idDet2],62,financeiro[idDet3],534,financeiro[valor],"&lt;0")</f>
        <v>0</v>
      </c>
      <c r="BU5" s="5"/>
      <c r="BW5" s="210" t="s">
        <v>51</v>
      </c>
      <c r="BX5" t="str">
        <f>Efeito!B6</f>
        <v>NO SELECT</v>
      </c>
      <c r="BY5" s="267">
        <f>SUMIFS(Banco[valor],Banco[IdAgente],BX5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5" s="267">
        <f>SUMIFS(Banco[valor],Banco[IdAgente],BX5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5" s="267">
        <f>SUMIFS(Banco[valor],Banco[IdAgente],BX5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5" s="267">
        <f>SUMIFS(Banco[valor],Banco[IdAgente],BX5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5" s="267">
        <f>SUMIFS(Banco[valor],Banco[IdAgente],BX5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5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5" s="267">
        <f>SUMIFS(Banco[valor],Banco[IdAgente],BX5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5" s="267">
        <f>SUMIFS(Banco[valor],Banco[IdAgente],BX5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5" s="267">
        <f>SUMIFS(Banco[valor],Banco[IdAgente],BX5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5" s="267">
        <f>SUMIFS(Banco[valor],Banco[IdAgente],BX5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5" s="267">
        <f>SUMIFS(Banco[valor],Banco[IdAgente],BX5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5" s="267">
        <f>SUMIFS(Banco[valor],Banco[IdAgente],BX5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5" s="267">
        <f>SUMIFS(Banco[valor],Banco[IdAgente],BX5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5" s="267">
        <f>SUMIFS(Banco[valor],Banco[IdAgente],B5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5" s="267">
        <f>SUMIFS(Banco[valor],Banco[IdAgente],B5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5" s="267">
        <f>SUMIFS(Banco[valor],Banco[IdAgente],B5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6" spans="1:91">
      <c r="A6" t="s">
        <v>65</v>
      </c>
      <c r="B6" t="str">
        <f>Efeito!B7</f>
        <v>NO SELECT</v>
      </c>
      <c r="C6" s="267">
        <f>SUMIFS(Banco[valor],Banco[IdAgente],B6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6" s="267">
        <f>SUMIFS(Banco[valor],Banco[IdAgente],B6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6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6" s="267">
        <f>SUMIFS(Banco[valor],Banco[IdAgente],B6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6" s="267">
        <f>SUMIFS(Banco[valor],Banco[IdAgente],B6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6" s="267">
        <f>SUMIFS(Banco[valor],Banco[IdAgente],B6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6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6" s="267">
        <f>SUMIFS(Banco[valor],Banco[IdAgente],B6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6" s="267">
        <f>SUMIFS(Banco[valor],Banco[IdAgente],B6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6" s="267">
        <f>SUMIFS(Banco[valor],Banco[IdAgente],B6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6" s="267">
        <f>SUMIFS(Banco[valor],Banco[IdAgente],B6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6" s="267">
        <f>SUMIFS(Banco[valor],Banco[IdAgente],B6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6" s="267">
        <f>SUMIFS(Banco[valor],Banco[IdAgente],B6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6" s="267">
        <f>SUMIFS(Banco[valor],Banco[IdAgente],B6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6" s="267">
        <f>SUMIFS(Banco[valor],Banco[IdAgente],B6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6" s="267">
        <f t="shared" si="2"/>
        <v>0</v>
      </c>
      <c r="Q6" s="267">
        <f>SUMIFS(Banco[valor],Banco[IdAgente],B6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6" s="267">
        <f>SUMIFS(Banco[valor],Banco[IdAgente],B6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6" s="4"/>
      <c r="T6" s="4"/>
      <c r="U6" s="4"/>
      <c r="V6" s="267">
        <f>SUMIFS(financeiro[valor],financeiro[IdAgente],B6,financeiro[idDet1],22,financeiro[idDet2],60,financeiro[idDet3],526,financeiro[id_grupo_tarifa],1,financeiro[id_detalhe_grupo_tarifa],7,financeiro[id_tipo_tarifa],9,financeiro[id_subgrupo],99,financeiro[valor],"&gt;0")+SUMIFS(financeiro[valor],financeiro[IdAgente],B6,financeiro[idDet1],22,financeiro[idDet2],60,financeiro[idDet3],526,financeiro[id_grupo_tarifa],2,financeiro[id_detalhe_grupo_tarifa],11,financeiro[id_tipo_tarifa],9,financeiro[valor],"&gt;0")+SUMIFS(financeiro[valor],financeiro[IdAgente],B6,financeiro[idDet1],22,financeiro[idDet2],60,financeiro[idDet3],526,financeiro[id_grupo_tarifa],2,financeiro[id_detalhe_grupo_tarifa],9,financeiro[id_tipo_tarifa],9,financeiro[valor],"&gt;0")+SUMIFS(financeiro[valor],financeiro[IdAgente],B6,financeiro[idDet1],22,financeiro[idDet2],60,financeiro[idDet3],526,financeiro[id_grupo_tarifa],2,financeiro[id_detalhe_grupo_tarifa],8,financeiro[id_tipo_tarifa],9,financeiro[valor],"&gt;0")+SUMIFS(financeiro[valor],financeiro[IdAgente],B6,financeiro[idDet1],22,financeiro[idDet2],60,financeiro[idDet3],526,financeiro[id_grupo_tarifa],2,financeiro[id_detalhe_grupo_tarifa],10,financeiro[id_tipo_tarifa],9,financeiro[valor],"&gt;0")+SUMIFS(financeiro[valor],financeiro[IdAgente],B6,financeiro[idDet1],22,financeiro[idDet2],60,financeiro[idDet3],526,financeiro[id_grupo_tarifa],2,financeiro[id_detalhe_grupo_tarifa],24,financeiro[id_tipo_tarifa],9,financeiro[valor],"&gt;0")</f>
        <v>0</v>
      </c>
      <c r="W6" s="267">
        <f>SUMIFS(financeiro[valor],financeiro[IdAgente],B6,financeiro[idDet1],20,financeiro[idDet2],60,financeiro[idDet3],999,financeiro[id_grupo_tarifa],3,financeiro[id_detalhe_grupo_tarifa],14,financeiro[id_tipo_tarifa],9)+SUMIFS(financeiro[valor],financeiro[IdAgente],B6,financeiro[idDet1],20,financeiro[idDet2],60,financeiro[idDet3],999,financeiro[id_grupo_tarifa],3,financeiro[id_detalhe_grupo_tarifa],15,financeiro[id_tipo_tarifa],9)+SUMIFS(financeiro[valor],financeiro[IdAgente],B6,financeiro[idDet1],20,financeiro[idDet2],60,financeiro[idDet3],999,financeiro[id_grupo_tarifa],3,financeiro[id_detalhe_grupo_tarifa],16,financeiro[id_tipo_tarifa],9)+SUMIFS(financeiro[valor],financeiro[IdAgente],B6,financeiro[idDet1],20,financeiro[idDet2],60,financeiro[idDet3],999,financeiro[id_grupo_tarifa],3,financeiro[id_detalhe_grupo_tarifa],17,financeiro[id_tipo_tarifa],9)+SUMIFS(financeiro[valor],financeiro[IdAgente],B6,financeiro[idDet1],20,financeiro[idDet2],60,financeiro[idDet3],999,financeiro[id_grupo_tarifa],3,financeiro[id_detalhe_grupo_tarifa],18,financeiro[id_tipo_tarifa],9)+SUMIFS(financeiro[valor],financeiro[IdAgente],B6,financeiro[idDet1],20,financeiro[idDet2],60,financeiro[idDet3],999,financeiro[id_grupo_tarifa],3,financeiro[id_detalhe_grupo_tarifa],19,financeiro[id_tipo_tarifa],9)</f>
        <v>0</v>
      </c>
      <c r="X6" s="267">
        <f>SUMIFS(financeiro[valor],financeiro[IdAgente],B6,financeiro[idDet1],20,financeiro[idDet2],60,financeiro[idDet3],999,financeiro[id_grupo_tarifa],3,financeiro[id_detalhe_grupo_tarifa],12,financeiro[id_tipo_tarifa],9)+SUMIFS(financeiro[valor],financeiro[IdAgente],B6,financeiro[idDet1],20,financeiro[idDet2],60,financeiro[idDet3],999,financeiro[id_grupo_tarifa],4,financeiro[id_detalhe_grupo_tarifa],999,financeiro[id_tipo_tarifa],9)</f>
        <v>0</v>
      </c>
      <c r="Y6" s="267">
        <f>SUMIFS(financeiro[valor],financeiro[IdAgente],B6,financeiro[idDet1],20,financeiro[idDet2],60,financeiro[idDet3],179,financeiro[id_grupo_tarifa],99,financeiro[id_detalhe_grupo_tarifa],999,financeiro[id_tipo_tarifa],9)</f>
        <v>0</v>
      </c>
      <c r="Z6" s="267">
        <f>SUMIFS(financeiro[valor],financeiro[IdAgente],B6,financeiro[idDet1],20,financeiro[idDet2],60,financeiro[idDet3],999,financeiro[id_grupo_tarifa],2,financeiro[id_detalhe_grupo_tarifa],11,financeiro[id_tipo_tarifa],9,financeiro[valor],"&gt;0")+SUMIFS(financeiro[valor],financeiro[IdAgente],B6,financeiro[idDet1],20,financeiro[idDet2],60,financeiro[idDet3],999,financeiro[id_grupo_tarifa],2,financeiro[id_detalhe_grupo_tarifa],9,financeiro[id_tipo_tarifa],9,financeiro[valor],"&gt;0")+SUMIFS(financeiro[valor],financeiro[IdAgente],B6,financeiro[idDet1],20,financeiro[idDet2],60,financeiro[idDet3],999,financeiro[id_grupo_tarifa],2,financeiro[id_detalhe_grupo_tarifa],8,financeiro[id_tipo_tarifa],9,financeiro[valor],"&gt;0")+SUMIFS(financeiro[valor],financeiro[IdAgente],B6,financeiro[idDet1],20,financeiro[idDet2],60,financeiro[idDet3],999,financeiro[id_grupo_tarifa],2,financeiro[id_detalhe_grupo_tarifa],10,financeiro[id_tipo_tarifa],9,financeiro[valor],"&gt;0")+SUMIFS(financeiro[valor],financeiro[IdAgente],B6,financeiro[idDet1],20,financeiro[idDet2],60,financeiro[idDet3],999,financeiro[id_grupo_tarifa],2,financeiro[id_detalhe_grupo_tarifa],24,financeiro[id_tipo_tarifa],9,financeiro[valor],"&gt;0")+SUMIFS(financeiro[valor],financeiro[IdAgente],B6,financeiro[idDet1],20,financeiro[idDet2],60,financeiro[idDet3],999,financeiro[id_grupo_tarifa],2,financeiro[id_detalhe_grupo_tarifa],17,financeiro[id_tipo_tarifa],9,financeiro[valor],"&gt;0")+SUMIFS(financeiro[valor],financeiro[IdAgente],B6,financeiro[idDet1],999,financeiro[idDet2],999999,financeiro[idDet3],999,financeiro[id_grupo_tarifa],99,financeiro[id_detalhe_grupo_tarifa],999,financeiro[id_tipo_tarifa],9,financeiro[valor],"&gt;0")</f>
        <v>0</v>
      </c>
      <c r="AA6" s="267">
        <f>SUMIFS(financeiro[valor],financeiro[IdAgente],B6,financeiro[idDet1],22,financeiro[idDet2],60,financeiro[idDet3],529,financeiro[id_grupo_tarifa],1,financeiro[id_detalhe_grupo_tarifa],1,financeiro[id_tipo_tarifa],9,financeiro[valor],"&gt;0")+SUMIFS(financeiro[valor],financeiro[IdAgente],B6,financeiro[idDet1],22,financeiro[idDet2],60,financeiro[idDet3],529,financeiro[id_grupo_tarifa],1,financeiro[id_detalhe_grupo_tarifa],2,financeiro[id_tipo_tarifa],9,financeiro[valor],"&gt;0")</f>
        <v>0</v>
      </c>
      <c r="AB6" s="104"/>
      <c r="AC6" s="5">
        <f>SUMIFS(financeiro[valor],financeiro[IdAgente],B6,financeiro[idDet1],22,financeiro[idDet2],60,financeiro[idDet3],999,financeiro[id_grupo_tarifa],2,financeiro[id_detalhe_grupo_tarifa],30,financeiro[id_tipo_tarifa],9,financeiro[valor],"&gt;0")</f>
        <v>0</v>
      </c>
      <c r="AD6" s="267">
        <f>SUMIFS(financeiro[valor],financeiro[IdAgente],B6,financeiro[idDet1],22,financeiro[idDet2],60,financeiro[idDet3],178,financeiro[id_grupo_tarifa],1,financeiro[id_detalhe_grupo_tarifa],7,financeiro[id_tipo_tarifa],9)</f>
        <v>0</v>
      </c>
      <c r="AE6" s="5">
        <f>SUMIFS(financeiro[valor],financeiro[IdAgente],B6,financeiro[idDet1],22,financeiro[idDet2],60,financeiro[idDet3],242,financeiro[id_grupo_tarifa],4,financeiro[id_detalhe_grupo_tarifa],999,financeiro[id_tipo_tarifa],9)</f>
        <v>0</v>
      </c>
      <c r="AF6" s="267">
        <f>SUMIFS(financeiro[valor],financeiro[IdAgente],B6,financeiro[idDet1],22,financeiro[idDet2],60,financeiro[idDet3],525,financeiro[id_grupo_tarifa],2,financeiro[id_tipo_tarifa],9)</f>
        <v>0</v>
      </c>
      <c r="AG6" s="267">
        <f>SUMIFS(financeiro[valor],financeiro[IdAgente],B6,financeiro[idDet1],22,financeiro[idDet2],60,financeiro[idDet3],524)</f>
        <v>0</v>
      </c>
      <c r="AH6" s="230"/>
      <c r="AI6" s="267">
        <f>SUMIFS(financeiro[valor],financeiro[IdAgente],B6,financeiro[idDet1],22,financeiro[idDet2],60,financeiro[idDet3],523,financeiro[id_grupo_tarifa],2,financeiro[id_detalhe_grupo_tarifa],30,financeiro[id_tipo_tarifa],9)</f>
        <v>0</v>
      </c>
      <c r="AJ6" s="267">
        <f>SUMIFS(financeiro[valor],financeiro[IdAgente],B6,financeiro[idDet1],22,financeiro[idDet2],60,financeiro[idDet3],503,financeiro[id_grupo_tarifa],99,financeiro[id_detalhe_grupo_tarifa],999,financeiro[id_tipo_tarifa],3)</f>
        <v>0</v>
      </c>
      <c r="AK6" s="230"/>
      <c r="AL6" s="274"/>
      <c r="AM6" s="274"/>
      <c r="AN6" s="274"/>
      <c r="AO6" s="274"/>
      <c r="AP6" s="274"/>
      <c r="AQ6" s="274"/>
      <c r="AR6" s="274"/>
      <c r="AS6" s="274"/>
      <c r="AT6" s="267">
        <f>SUMIFS(financeiro[valor],financeiro[IdAgente],B6,financeiro[idDet1],22,financeiro[idDet2],60,financeiro[idDet3],235,financeiro[id_grupo_tarifa],4,financeiro[id_detalhe_grupo_tarifa],999,financeiro[id_tipo_tarifa],9)</f>
        <v>0</v>
      </c>
      <c r="AU6" s="267">
        <f>SUMIFS(financeiro[valor],financeiro[IdAgente],B6,financeiro[idDet1],22,financeiro[idDet2],60,financeiro[idDet3],512,
financeiro[id_grupo_tarifa],3,financeiro[id_detalhe_grupo_tarifa],28,financeiro[id_tipo_tarifa],9)</f>
        <v>0</v>
      </c>
      <c r="AV6" s="267">
        <f>SUMIFS(financeiro[valor],financeiro[IdAgente],B6,financeiro[idDet1],22,financeiro[idDet2],60,financeiro[idDet3],241,financeiro[id_grupo_tarifa],2,financeiro[id_detalhe_grupo_tarifa],11,financeiro[id_tipo_tarifa],9)+SUMIFS(financeiro[valor],financeiro[IdAgente],B6,financeiro[idDet1],22,financeiro[idDet2],60,financeiro[idDet3],241,financeiro[id_grupo_tarifa],2,financeiro[id_detalhe_grupo_tarifa],9,financeiro[id_tipo_tarifa],9)+SUMIFS(financeiro[valor],financeiro[IdAgente],B6,financeiro[idDet1],22,financeiro[idDet2],60,financeiro[idDet3],241,financeiro[id_grupo_tarifa],2,financeiro[id_detalhe_grupo_tarifa],8,financeiro[id_tipo_tarifa],9)+SUMIFS(financeiro[valor],financeiro[IdAgente],B6,financeiro[idDet1],22,financeiro[idDet2],60,financeiro[idDet3],241,financeiro[id_grupo_tarifa],2,financeiro[id_detalhe_grupo_tarifa],10,financeiro[id_tipo_tarifa],9)+SUMIFS(financeiro[valor],financeiro[IdAgente],B6,financeiro[idDet1],22,financeiro[idDet2],60,financeiro[idDet3],241,financeiro[id_grupo_tarifa],2,financeiro[id_detalhe_grupo_tarifa],24,financeiro[id_tipo_tarifa],9)</f>
        <v>0</v>
      </c>
      <c r="AW6" s="267">
        <f>SUMIFS(financeiro[valor],financeiro[IdAgente],B6,financeiro[idDet1],22,financeiro[idDet2],60,financeiro[idDet3],241,financeiro[id_grupo_tarifa],3,financeiro[id_detalhe_grupo_tarifa],17,financeiro[id_tipo_tarifa],9)</f>
        <v>0</v>
      </c>
      <c r="AX6" s="267">
        <f>SUMIFS(financeiro[valor],financeiro[IdAgente],B6,financeiro[idDet1],22,financeiro[idDet2],60,financeiro[idDet3],240,financeiro[id_grupo_tarifa],2,financeiro[id_detalhe_grupo_tarifa],11,financeiro[id_tipo_tarifa],9)+SUMIFS(financeiro[valor],financeiro[IdAgente],B6,financeiro[idDet1],22,financeiro[idDet2],60,financeiro[idDet3],240,financeiro[id_grupo_tarifa],2,financeiro[id_detalhe_grupo_tarifa],9,financeiro[id_tipo_tarifa],9)+SUMIFS(financeiro[valor],financeiro[IdAgente],B6,financeiro[idDet1],22,financeiro[idDet2],60,financeiro[idDet3],240,financeiro[id_grupo_tarifa],2,financeiro[id_detalhe_grupo_tarifa],8,financeiro[id_tipo_tarifa],9)+SUMIFS(financeiro[valor],financeiro[IdAgente],B6,financeiro[idDet1],22,financeiro[idDet2],60,financeiro[idDet3],240,financeiro[id_grupo_tarifa],2,financeiro[id_detalhe_grupo_tarifa],10,financeiro[id_tipo_tarifa],9)+SUMIFS(financeiro[valor],financeiro[IdAgente],B6,financeiro[idDet1],22,financeiro[idDet2],60,financeiro[idDet3],240,financeiro[id_grupo_tarifa],2,financeiro[id_detalhe_grupo_tarifa],24,financeiro[id_tipo_tarifa],9)</f>
        <v>0</v>
      </c>
      <c r="AY6" s="267">
        <f>SUMIFS(financeiro[valor],financeiro[IdAgente],B6,financeiro[idDet1],22,financeiro[idDet2],60,financeiro[idDet3],106,financeiro[id_grupo_tarifa],2,financeiro[id_detalhe_grupo_tarifa],11,financeiro[id_tipo_tarifa],9)+SUMIFS(financeiro[valor],financeiro[IdAgente],B6,financeiro[idDet1],22,financeiro[idDet2],60,financeiro[idDet3],106,financeiro[id_grupo_tarifa],2,financeiro[id_detalhe_grupo_tarifa],9,financeiro[id_tipo_tarifa],9)+SUMIFS(financeiro[valor],financeiro[IdAgente],B6,financeiro[idDet1],22,financeiro[idDet2],60,financeiro[idDet3],106,financeiro[id_grupo_tarifa],2,financeiro[id_detalhe_grupo_tarifa],8,financeiro[id_tipo_tarifa],9)+SUMIFS(financeiro[valor],financeiro[IdAgente],B6,financeiro[idDet1],22,financeiro[idDet2],60,financeiro[idDet3],106,financeiro[id_grupo_tarifa],2,financeiro[id_detalhe_grupo_tarifa],10,financeiro[id_tipo_tarifa],9)+SUMIFS(financeiro[valor],financeiro[IdAgente],B6,financeiro[idDet1],22,financeiro[idDet2],60,financeiro[idDet3],106,financeiro[id_grupo_tarifa],2,financeiro[id_detalhe_grupo_tarifa],24,financeiro[id_tipo_tarifa],9)</f>
        <v>0</v>
      </c>
      <c r="AZ6" s="267">
        <f>SUMIFS(financeiro[valor],financeiro[IdAgente],B6,financeiro[idDet1],22,financeiro[idDet2],62,financeiro[idDet3],220,financeiro[id_grupo_tarifa],2,financeiro[id_detalhe_grupo_tarifa],11,financeiro[id_tipo_tarifa],9)+SUMIFS(financeiro[valor],financeiro[IdAgente],B6,financeiro[idDet1],22,financeiro[idDet2],62,financeiro[idDet3],220,financeiro[id_grupo_tarifa],2,financeiro[id_detalhe_grupo_tarifa],9,financeiro[id_tipo_tarifa],9)+SUMIFS(financeiro[valor],financeiro[IdAgente],B6,financeiro[idDet1],22,financeiro[idDet2],62,financeiro[idDet3],220,financeiro[id_grupo_tarifa],2,financeiro[id_detalhe_grupo_tarifa],8,financeiro[id_tipo_tarifa],9)+SUMIFS(financeiro[valor],financeiro[IdAgente],B6,financeiro[idDet1],22,financeiro[idDet2],62,financeiro[idDet3],220,financeiro[id_grupo_tarifa],2,financeiro[id_detalhe_grupo_tarifa],10,financeiro[id_tipo_tarifa],9)+SUMIFS(financeiro[valor],financeiro[IdAgente],B6,financeiro[idDet1],22,financeiro[idDet2],62,financeiro[idDet3],220,financeiro[id_grupo_tarifa],2,financeiro[id_detalhe_grupo_tarifa],24,financeiro[id_tipo_tarifa],9)</f>
        <v>0</v>
      </c>
      <c r="BA6" s="267">
        <f>SUMIFS(financeiro[valor],financeiro[IdAgente],B6,financeiro[idDet1],22,financeiro[idDet2],60,financeiro[idDet3],220,financeiro[id_grupo_tarifa],2,financeiro[id_detalhe_grupo_tarifa],11,financeiro[id_tipo_tarifa],9)+SUMIFS(financeiro[valor],financeiro[IdAgente],B6,financeiro[idDet1],22,financeiro[idDet2],60,financeiro[idDet3],220,financeiro[id_grupo_tarifa],2,financeiro[id_detalhe_grupo_tarifa],9,financeiro[id_tipo_tarifa],9)+SUMIFS(financeiro[valor],financeiro[IdAgente],B6,financeiro[idDet1],22,financeiro[idDet2],60,financeiro[idDet3],220,financeiro[id_grupo_tarifa],2,financeiro[id_detalhe_grupo_tarifa],8,financeiro[id_tipo_tarifa],9)+SUMIFS(financeiro[valor],financeiro[IdAgente],B6,financeiro[idDet1],22,financeiro[idDet2],60,financeiro[idDet3],220,financeiro[id_grupo_tarifa],2,financeiro[id_detalhe_grupo_tarifa],10,financeiro[id_tipo_tarifa],9)+SUMIFS(financeiro[valor],financeiro[IdAgente],B6,financeiro[idDet1],22,financeiro[idDet2],60,financeiro[idDet3],220,financeiro[id_grupo_tarifa],2,financeiro[id_detalhe_grupo_tarifa],24,financeiro[id_tipo_tarifa],9)</f>
        <v>0</v>
      </c>
      <c r="BB6" s="267">
        <f>SUMIFS(financeiro[valor],financeiro[IdAgente],B6,financeiro[idDet1],22,financeiro[idDet2],60,financeiro[idDet3],102,financeiro[id_grupo_tarifa],2,financeiro[id_detalhe_grupo_tarifa],11,financeiro[id_tipo_tarifa],9)+SUMIFS(financeiro[valor],financeiro[IdAgente],B6,financeiro[idDet1],22,financeiro[idDet2],60,financeiro[idDet3],102,financeiro[id_grupo_tarifa],2,financeiro[id_detalhe_grupo_tarifa],9,financeiro[id_tipo_tarifa],9)+SUMIFS(financeiro[valor],financeiro[IdAgente],B6,financeiro[idDet1],22,financeiro[idDet2],60,financeiro[idDet3],102,financeiro[id_grupo_tarifa],2,financeiro[id_detalhe_grupo_tarifa],8,financeiro[id_tipo_tarifa],9)+SUMIFS(financeiro[valor],financeiro[IdAgente],B6,financeiro[idDet1],22,financeiro[idDet2],60,financeiro[idDet3],102,financeiro[id_grupo_tarifa],2,financeiro[id_detalhe_grupo_tarifa],10,financeiro[id_tipo_tarifa],9)+SUMIFS(financeiro[valor],financeiro[IdAgente],B6,financeiro[idDet1],22,financeiro[idDet2],60,financeiro[idDet3],102,financeiro[id_grupo_tarifa],2,financeiro[id_detalhe_grupo_tarifa],24,financeiro[id_tipo_tarifa],9)</f>
        <v>0</v>
      </c>
      <c r="BC6" s="267">
        <f>SUMIFS(financeiro[valor],financeiro[IdAgente],B6,financeiro[idDet1],22,financeiro[idDet2],60,financeiro[idDet3],522,financeiro[valor],"&lt;0")</f>
        <v>0</v>
      </c>
      <c r="BD6" s="267">
        <f>SUMIFS(financeiro[valor],financeiro[IdAgente],B6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6" s="267">
        <f>SUMIFS(financeiro[valor],financeiro[IdAgente],B6,financeiro[id_natureza_dado],2,financeiro[id_detalhe_natureza],2,financeiro[idDet1],20,financeiro[idDet2],60,financeiro[idDet3],82,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6" s="267">
        <f>SUMIFS(financeiro[valor],financeiro[IdAgente],B6,financeiro[id_natureza_dado],2,financeiro[id_detalhe_natureza],2,financeiro[idDet1],20,financeiro[idDet2],60,financeiro[idDet3],81,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6" s="267">
        <f>SUMIFS(financeiro[valor],financeiro[IdAgente],B6,financeiro[id_natureza_dado],2,financeiro[id_detalhe_natureza],2,financeiro[idDet1],20,financeiro[idDet2],60,financeiro[idDet3],503,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6" s="267">
        <f>SUMIFS(financeiro[valor],financeiro[IdAgente],B6,financeiro[idDet1],22,financeiro[idDet2],60,financeiro[idDet3],123)</f>
        <v>0</v>
      </c>
      <c r="BI6" s="267">
        <f>SUMIFS(financeiro[valor],financeiro[IdAgente],B6,financeiro[idDet1],20,financeiro[idDet2],60,financeiro[idDet3],73)</f>
        <v>0</v>
      </c>
      <c r="BJ6" s="267">
        <f>SUMIFS(financeiro[valor],financeiro[IdAgente],B6,financeiro[idDet1],22,financeiro[idDet2],60,financeiro[idDet3],527)</f>
        <v>0</v>
      </c>
      <c r="BK6" s="267">
        <f>SUMIFS(financeiro[valor],financeiro[IdAgente],B6,financeiro[idDet1],22,financeiro[idDet2],60,financeiro[idDet3],510)</f>
        <v>0</v>
      </c>
      <c r="BL6" s="267">
        <f>SUMIFS(financeiro[valor],financeiro[IdAgente],B6,financeiro[idDet1],22,financeiro[idDet2],60,financeiro[idDet3],526,
financeiro[id_grupo_tarifa],1,financeiro[id_detalhe_grupo_tarifa],3,financeiro[id_tipo_tarifa],9,financeiro[id_subgrupo],3)</f>
        <v>0</v>
      </c>
      <c r="BM6" s="267">
        <f>SUMIFS(financeiro[valor],financeiro[IdAgente],B6,financeiro[idDet1],22,financeiro[idDet2],60,financeiro[idDet3],999,
financeiro[id_grupo_tarifa],3,financeiro[id_detalhe_grupo_tarifa],17,financeiro[id_tipo_tarifa],9)</f>
        <v>0</v>
      </c>
      <c r="BN6" s="267">
        <f>SUMIFS(financeiro[valor],financeiro[IdAgente],B6,financeiro[idDet1],22,financeiro[idDet2],60,financeiro[idDet3],526,financeiro[id_grupo_tarifa],1,financeiro[id_detalhe_grupo_tarifa],7,financeiro[id_tipo_tarifa],9,financeiro[valor],"&lt;0")+SUMIFS(financeiro[valor],financeiro[IdAgente],B6,financeiro[idDet1],22,financeiro[idDet2],60,financeiro[idDet3],526,financeiro[id_grupo_tarifa],2,financeiro[id_detalhe_grupo_tarifa],11,financeiro[id_tipo_tarifa],9,financeiro[valor],"&lt;0")+SUMIFS(financeiro[valor],financeiro[IdAgente],B6,financeiro[idDet1],22,financeiro[idDet2],60,financeiro[idDet3],526,financeiro[id_grupo_tarifa],2,financeiro[id_detalhe_grupo_tarifa],8,financeiro[id_tipo_tarifa],9,financeiro[valor],"&lt;0")</f>
        <v>0</v>
      </c>
      <c r="BO6" s="267">
        <f>SUMIFS(financeiro[valor],financeiro[IdAgente],B6,financeiro[idDet1],22,financeiro[idDet2],60,financeiro[idDet3],999,financeiro[id_grupo_tarifa],4,financeiro[id_detalhe_grupo_tarifa],999,financeiro[id_tipo_tarifa],9,financeiro[valor],"&lt;0")</f>
        <v>0</v>
      </c>
      <c r="BP6" s="267">
        <f>SUMIFS(financeiro[valor],financeiro[IdAgente],B6,financeiro[idDet1],22,financeiro[idDet2],60,financeiro[idDet3],530,financeiro[valor],"&lt;0")</f>
        <v>0</v>
      </c>
      <c r="BQ6" s="267">
        <f>SUMIFS(financeiro[valor],financeiro[IdAgente],B6,financeiro[idDet1],22,financeiro[idDet2],60,financeiro[idDet3],531,financeiro[valor],"&lt;0")</f>
        <v>0</v>
      </c>
      <c r="BR6" s="267">
        <f>SUMIFS(financeiro[valor],financeiro[IdAgente],B6,financeiro[idDet1],22,financeiro[idDet2],62,financeiro[idDet3],532,financeiro[valor],"&lt;0")</f>
        <v>0</v>
      </c>
      <c r="BS6" s="267">
        <f>SUMIFS(financeiro[valor],financeiro[IdAgente],B6,financeiro[idDet1],22,financeiro[idDet2],62,financeiro[idDet3],533,financeiro[valor],"&lt;0")</f>
        <v>0</v>
      </c>
      <c r="BT6" s="267">
        <f>SUMIFS(financeiro[valor],financeiro[IdAgente],B6,financeiro[idDet1],22,financeiro[idDet2],62,financeiro[idDet3],534,financeiro[valor],"&lt;0")</f>
        <v>0</v>
      </c>
      <c r="BW6" s="210" t="s">
        <v>65</v>
      </c>
      <c r="BX6" t="str">
        <f>Efeito!B7</f>
        <v>NO SELECT</v>
      </c>
      <c r="BY6" s="267">
        <f>SUMIFS(Banco[valor],Banco[IdAgente],BX6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6" s="267">
        <f>SUMIFS(Banco[valor],Banco[IdAgente],BX6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6" s="267">
        <f>SUMIFS(Banco[valor],Banco[IdAgente],BX6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6" s="267">
        <f>SUMIFS(Banco[valor],Banco[IdAgente],BX6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6" s="267">
        <f>SUMIFS(Banco[valor],Banco[IdAgente],BX6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6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6" s="267">
        <f>SUMIFS(Banco[valor],Banco[IdAgente],BX6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6" s="267">
        <f>SUMIFS(Banco[valor],Banco[IdAgente],BX6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6" s="267">
        <f>SUMIFS(Banco[valor],Banco[IdAgente],BX6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6" s="267">
        <f>SUMIFS(Banco[valor],Banco[IdAgente],BX6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6" s="267">
        <f>SUMIFS(Banco[valor],Banco[IdAgente],BX6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6" s="267">
        <f>SUMIFS(Banco[valor],Banco[IdAgente],BX6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6" s="267">
        <f>SUMIFS(Banco[valor],Banco[IdAgente],BX6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6" s="267">
        <f>SUMIFS(Banco[valor],Banco[IdAgente],B6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6" s="267">
        <f>SUMIFS(Banco[valor],Banco[IdAgente],B6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6" s="267">
        <f>SUMIFS(Banco[valor],Banco[IdAgente],B6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7" spans="1:91">
      <c r="A7" t="s">
        <v>150</v>
      </c>
      <c r="B7">
        <f>Efeito!B8</f>
        <v>5367</v>
      </c>
      <c r="C7" s="267">
        <f>SUMIFS(Banco[valor],Banco[IdAgente],B7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5446973.46942796</v>
      </c>
      <c r="D7" s="267">
        <f>SUMIFS(Banco[valor],Banco[IdAgente],B7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7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7" s="267">
        <f>SUMIFS(Banco[valor],Banco[IdAgente],B7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-956769.74870776897</v>
      </c>
      <c r="F7" s="267">
        <f>SUMIFS(Banco[valor],Banco[IdAgente],B7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7" s="267">
        <f>SUMIFS(Banco[valor],Banco[IdAgente],B7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7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7" s="267">
        <f>SUMIFS(Banco[valor],Banco[IdAgente],B7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1260860.18081891</v>
      </c>
      <c r="I7" s="267">
        <f>SUMIFS(Banco[valor],Banco[IdAgente],B7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881278.939022757</v>
      </c>
      <c r="J7" s="267">
        <f>SUMIFS(Banco[valor],Banco[IdAgente],B7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126858.63073606</v>
      </c>
      <c r="K7" s="267">
        <f>SUMIFS(Banco[valor],Banco[IdAgente],B7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7" s="267">
        <f>SUMIFS(Banco[valor],Banco[IdAgente],B7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7" s="267">
        <f>SUMIFS(Banco[valor],Banco[IdAgente],B7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7" s="267">
        <f>SUMIFS(Banco[valor],Banco[IdAgente],B7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6728723.3022920303</v>
      </c>
      <c r="O7" s="267">
        <f>SUMIFS(Banco[valor],Banco[IdAgente],B7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12416474.760976899</v>
      </c>
      <c r="P7" s="267">
        <f t="shared" si="2"/>
        <v>25904399.534566849</v>
      </c>
      <c r="Q7" s="267">
        <f>SUMIFS(Banco[valor],Banco[IdAgente],B7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31348763.505233001</v>
      </c>
      <c r="R7" s="267">
        <f>SUMIFS(Banco[valor],Banco[IdAgente],B7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57253163.039799899</v>
      </c>
      <c r="S7" s="4"/>
      <c r="T7" s="4"/>
      <c r="U7" s="4"/>
      <c r="V7" s="267">
        <f>SUMIFS(financeiro[valor],financeiro[IdAgente],B7,financeiro[idDet1],22,financeiro[idDet2],60,financeiro[idDet3],526,financeiro[id_grupo_tarifa],1,financeiro[id_detalhe_grupo_tarifa],7,financeiro[id_tipo_tarifa],9,financeiro[id_subgrupo],99,financeiro[valor],"&gt;0")+SUMIFS(financeiro[valor],financeiro[IdAgente],B7,financeiro[idDet1],22,financeiro[idDet2],60,financeiro[idDet3],526,financeiro[id_grupo_tarifa],2,financeiro[id_detalhe_grupo_tarifa],11,financeiro[id_tipo_tarifa],9,financeiro[valor],"&gt;0")+SUMIFS(financeiro[valor],financeiro[IdAgente],B7,financeiro[idDet1],22,financeiro[idDet2],60,financeiro[idDet3],526,financeiro[id_grupo_tarifa],2,financeiro[id_detalhe_grupo_tarifa],9,financeiro[id_tipo_tarifa],9,financeiro[valor],"&gt;0")+SUMIFS(financeiro[valor],financeiro[IdAgente],B7,financeiro[idDet1],22,financeiro[idDet2],60,financeiro[idDet3],526,financeiro[id_grupo_tarifa],2,financeiro[id_detalhe_grupo_tarifa],8,financeiro[id_tipo_tarifa],9,financeiro[valor],"&gt;0")+SUMIFS(financeiro[valor],financeiro[IdAgente],B7,financeiro[idDet1],22,financeiro[idDet2],60,financeiro[idDet3],526,financeiro[id_grupo_tarifa],2,financeiro[id_detalhe_grupo_tarifa],10,financeiro[id_tipo_tarifa],9,financeiro[valor],"&gt;0")+SUMIFS(financeiro[valor],financeiro[IdAgente],B7,financeiro[idDet1],22,financeiro[idDet2],60,financeiro[idDet3],526,financeiro[id_grupo_tarifa],2,financeiro[id_detalhe_grupo_tarifa],24,financeiro[id_tipo_tarifa],9,financeiro[valor],"&gt;0")</f>
        <v>282033.34125102236</v>
      </c>
      <c r="W7" s="267">
        <f>SUMIFS(financeiro[valor],financeiro[IdAgente],B7,financeiro[idDet1],20,financeiro[idDet2],60,financeiro[idDet3],999,financeiro[id_grupo_tarifa],3,financeiro[id_detalhe_grupo_tarifa],14,financeiro[id_tipo_tarifa],9)+SUMIFS(financeiro[valor],financeiro[IdAgente],B7,financeiro[idDet1],20,financeiro[idDet2],60,financeiro[idDet3],999,financeiro[id_grupo_tarifa],3,financeiro[id_detalhe_grupo_tarifa],15,financeiro[id_tipo_tarifa],9)+SUMIFS(financeiro[valor],financeiro[IdAgente],B7,financeiro[idDet1],20,financeiro[idDet2],60,financeiro[idDet3],999,financeiro[id_grupo_tarifa],3,financeiro[id_detalhe_grupo_tarifa],16,financeiro[id_tipo_tarifa],9)+SUMIFS(financeiro[valor],financeiro[IdAgente],B7,financeiro[idDet1],20,financeiro[idDet2],60,financeiro[idDet3],999,financeiro[id_grupo_tarifa],3,financeiro[id_detalhe_grupo_tarifa],17,financeiro[id_tipo_tarifa],9)+SUMIFS(financeiro[valor],financeiro[IdAgente],B7,financeiro[idDet1],20,financeiro[idDet2],60,financeiro[idDet3],999,financeiro[id_grupo_tarifa],3,financeiro[id_detalhe_grupo_tarifa],18,financeiro[id_tipo_tarifa],9)+SUMIFS(financeiro[valor],financeiro[IdAgente],B7,financeiro[idDet1],20,financeiro[idDet2],60,financeiro[idDet3],999,financeiro[id_grupo_tarifa],3,financeiro[id_detalhe_grupo_tarifa],19,financeiro[id_tipo_tarifa],9)</f>
        <v>-985371.82346183178</v>
      </c>
      <c r="X7" s="267">
        <f>SUMIFS(financeiro[valor],financeiro[IdAgente],B7,financeiro[idDet1],20,financeiro[idDet2],60,financeiro[idDet3],999,financeiro[id_grupo_tarifa],3,financeiro[id_detalhe_grupo_tarifa],12,financeiro[id_tipo_tarifa],9)+SUMIFS(financeiro[valor],financeiro[IdAgente],B7,financeiro[idDet1],20,financeiro[idDet2],60,financeiro[idDet3],999,financeiro[id_grupo_tarifa],4,financeiro[id_detalhe_grupo_tarifa],999,financeiro[id_tipo_tarifa],9)</f>
        <v>0</v>
      </c>
      <c r="Y7" s="267">
        <f>SUMIFS(financeiro[valor],financeiro[IdAgente],B7,financeiro[idDet1],20,financeiro[idDet2],60,financeiro[idDet3],179,financeiro[id_grupo_tarifa],99,financeiro[id_detalhe_grupo_tarifa],999,financeiro[id_tipo_tarifa],9)</f>
        <v>0</v>
      </c>
      <c r="Z7" s="267">
        <f>SUMIFS(financeiro[valor],financeiro[IdAgente],B7,financeiro[idDet1],20,financeiro[idDet2],60,financeiro[idDet3],999,financeiro[id_grupo_tarifa],2,financeiro[id_detalhe_grupo_tarifa],11,financeiro[id_tipo_tarifa],9,financeiro[valor],"&gt;0")+SUMIFS(financeiro[valor],financeiro[IdAgente],B7,financeiro[idDet1],20,financeiro[idDet2],60,financeiro[idDet3],999,financeiro[id_grupo_tarifa],2,financeiro[id_detalhe_grupo_tarifa],9,financeiro[id_tipo_tarifa],9,financeiro[valor],"&gt;0")+SUMIFS(financeiro[valor],financeiro[IdAgente],B7,financeiro[idDet1],20,financeiro[idDet2],60,financeiro[idDet3],999,financeiro[id_grupo_tarifa],2,financeiro[id_detalhe_grupo_tarifa],8,financeiro[id_tipo_tarifa],9,financeiro[valor],"&gt;0")+SUMIFS(financeiro[valor],financeiro[IdAgente],B7,financeiro[idDet1],20,financeiro[idDet2],60,financeiro[idDet3],999,financeiro[id_grupo_tarifa],2,financeiro[id_detalhe_grupo_tarifa],10,financeiro[id_tipo_tarifa],9,financeiro[valor],"&gt;0")+SUMIFS(financeiro[valor],financeiro[IdAgente],B7,financeiro[idDet1],20,financeiro[idDet2],60,financeiro[idDet3],999,financeiro[id_grupo_tarifa],2,financeiro[id_detalhe_grupo_tarifa],24,financeiro[id_tipo_tarifa],9,financeiro[valor],"&gt;0")+SUMIFS(financeiro[valor],financeiro[IdAgente],B7,financeiro[idDet1],20,financeiro[idDet2],60,financeiro[idDet3],999,financeiro[id_grupo_tarifa],2,financeiro[id_detalhe_grupo_tarifa],17,financeiro[id_tipo_tarifa],9,financeiro[valor],"&gt;0")+SUMIFS(financeiro[valor],financeiro[IdAgente],B7,financeiro[idDet1],999,financeiro[idDet2],999999,financeiro[idDet3],999,financeiro[id_grupo_tarifa],99,financeiro[id_detalhe_grupo_tarifa],999,financeiro[id_tipo_tarifa],9,financeiro[valor],"&gt;0")</f>
        <v>130392.528991948</v>
      </c>
      <c r="AA7" s="267">
        <f>SUMIFS(financeiro[valor],financeiro[IdAgente],B7,financeiro[idDet1],22,financeiro[idDet2],60,financeiro[idDet3],529,financeiro[id_grupo_tarifa],1,financeiro[id_detalhe_grupo_tarifa],1,financeiro[id_tipo_tarifa],9,financeiro[valor],"&gt;0")+SUMIFS(financeiro[valor],financeiro[IdAgente],B7,financeiro[idDet1],22,financeiro[idDet2],60,financeiro[idDet3],529,financeiro[id_grupo_tarifa],1,financeiro[id_detalhe_grupo_tarifa],2,financeiro[id_tipo_tarifa],9,financeiro[valor],"&gt;0")</f>
        <v>0</v>
      </c>
      <c r="AB7" s="269"/>
      <c r="AC7" s="267">
        <f>SUMIFS(financeiro[valor],financeiro[IdAgente],B7,financeiro[idDet1],22,financeiro[idDet2],60,financeiro[idDet3],999,financeiro[id_grupo_tarifa],2,financeiro[id_detalhe_grupo_tarifa],30,financeiro[id_tipo_tarifa],9,financeiro[valor],"&gt;0")</f>
        <v>0</v>
      </c>
      <c r="AD7" s="267">
        <f>SUMIFS(financeiro[valor],financeiro[IdAgente],B7,financeiro[idDet1],22,financeiro[idDet2],60,financeiro[idDet3],178,financeiro[id_grupo_tarifa],1,financeiro[id_detalhe_grupo_tarifa],7,financeiro[id_tipo_tarifa],9)</f>
        <v>-12881.8067004103</v>
      </c>
      <c r="AE7" s="267">
        <f>SUMIFS(financeiro[valor],financeiro[IdAgente],B7,financeiro[idDet1],22,financeiro[idDet2],60,financeiro[idDet3],242,financeiro[id_grupo_tarifa],4,financeiro[id_detalhe_grupo_tarifa],999,financeiro[id_tipo_tarifa],9)</f>
        <v>-13396235.4811807</v>
      </c>
      <c r="AF7" s="267">
        <f>SUMIFS(financeiro[valor],financeiro[IdAgente],B7,financeiro[idDet1],22,financeiro[idDet2],60,financeiro[idDet3],525,financeiro[id_grupo_tarifa],2,financeiro[id_tipo_tarifa],9)</f>
        <v>0</v>
      </c>
      <c r="AG7" s="267">
        <f>SUMIFS(financeiro[valor],financeiro[IdAgente],B7,financeiro[idDet1],22,financeiro[idDet2],60,financeiro[idDet3],524)</f>
        <v>0</v>
      </c>
      <c r="AH7" s="269"/>
      <c r="AI7" s="267">
        <f>SUMIFS(financeiro[valor],financeiro[IdAgente],B7,financeiro[idDet1],22,financeiro[idDet2],60,financeiro[idDet3],523,financeiro[id_grupo_tarifa],2,financeiro[id_detalhe_grupo_tarifa],30,financeiro[id_tipo_tarifa],9)</f>
        <v>0</v>
      </c>
      <c r="AJ7" s="267">
        <f>SUMIFS(financeiro[valor],financeiro[IdAgente],B7,financeiro[idDet1],22,financeiro[idDet2],60,financeiro[idDet3],503,financeiro[id_grupo_tarifa],99,financeiro[id_detalhe_grupo_tarifa],999,financeiro[id_tipo_tarifa],3)</f>
        <v>0</v>
      </c>
      <c r="AK7" s="269"/>
      <c r="AL7" s="269"/>
      <c r="AM7" s="269"/>
      <c r="AN7" s="269"/>
      <c r="AO7" s="269"/>
      <c r="AP7" s="269"/>
      <c r="AQ7" s="269"/>
      <c r="AR7" s="269"/>
      <c r="AS7" s="269"/>
      <c r="AT7" s="267">
        <f>SUMIFS(financeiro[valor],financeiro[IdAgente],B7,financeiro[idDet1],22,financeiro[idDet2],60,financeiro[idDet3],235,financeiro[id_grupo_tarifa],4,financeiro[id_detalhe_grupo_tarifa],999,financeiro[id_tipo_tarifa],9)</f>
        <v>0</v>
      </c>
      <c r="AU7" s="267">
        <f>SUMIFS(financeiro[valor],financeiro[IdAgente],B7,financeiro[idDet1],22,financeiro[idDet2],60,financeiro[idDet3],512,
financeiro[id_grupo_tarifa],3,financeiro[id_detalhe_grupo_tarifa],28,financeiro[id_tipo_tarifa],9)</f>
        <v>0</v>
      </c>
      <c r="AV7" s="267">
        <f>SUMIFS(financeiro[valor],financeiro[IdAgente],B7,financeiro[idDet1],22,financeiro[idDet2],60,financeiro[idDet3],241,financeiro[id_grupo_tarifa],2,financeiro[id_detalhe_grupo_tarifa],11,financeiro[id_tipo_tarifa],9)+SUMIFS(financeiro[valor],financeiro[IdAgente],B7,financeiro[idDet1],22,financeiro[idDet2],60,financeiro[idDet3],241,financeiro[id_grupo_tarifa],2,financeiro[id_detalhe_grupo_tarifa],9,financeiro[id_tipo_tarifa],9)+SUMIFS(financeiro[valor],financeiro[IdAgente],B7,financeiro[idDet1],22,financeiro[idDet2],60,financeiro[idDet3],241,financeiro[id_grupo_tarifa],2,financeiro[id_detalhe_grupo_tarifa],8,financeiro[id_tipo_tarifa],9)+SUMIFS(financeiro[valor],financeiro[IdAgente],B7,financeiro[idDet1],22,financeiro[idDet2],60,financeiro[idDet3],241,financeiro[id_grupo_tarifa],2,financeiro[id_detalhe_grupo_tarifa],10,financeiro[id_tipo_tarifa],9)+SUMIFS(financeiro[valor],financeiro[IdAgente],B7,financeiro[idDet1],22,financeiro[idDet2],60,financeiro[idDet3],241,financeiro[id_grupo_tarifa],2,financeiro[id_detalhe_grupo_tarifa],24,financeiro[id_tipo_tarifa],9)</f>
        <v>-1087409.0887999998</v>
      </c>
      <c r="AW7" s="267">
        <f>SUMIFS(financeiro[valor],financeiro[IdAgente],B7,financeiro[idDet1],22,financeiro[idDet2],60,financeiro[idDet3],241,financeiro[id_grupo_tarifa],3,financeiro[id_detalhe_grupo_tarifa],17,financeiro[id_tipo_tarifa],9)</f>
        <v>40022.245799999997</v>
      </c>
      <c r="AX7" s="267">
        <f>SUMIFS(financeiro[valor],financeiro[IdAgente],B7,financeiro[idDet1],22,financeiro[idDet2],60,financeiro[idDet3],240,financeiro[id_grupo_tarifa],2,financeiro[id_detalhe_grupo_tarifa],11,financeiro[id_tipo_tarifa],9)+SUMIFS(financeiro[valor],financeiro[IdAgente],B7,financeiro[idDet1],22,financeiro[idDet2],60,financeiro[idDet3],240,financeiro[id_grupo_tarifa],2,financeiro[id_detalhe_grupo_tarifa],9,financeiro[id_tipo_tarifa],9)+SUMIFS(financeiro[valor],financeiro[IdAgente],B7,financeiro[idDet1],22,financeiro[idDet2],60,financeiro[idDet3],240,financeiro[id_grupo_tarifa],2,financeiro[id_detalhe_grupo_tarifa],8,financeiro[id_tipo_tarifa],9)+SUMIFS(financeiro[valor],financeiro[IdAgente],B7,financeiro[idDet1],22,financeiro[idDet2],60,financeiro[idDet3],240,financeiro[id_grupo_tarifa],2,financeiro[id_detalhe_grupo_tarifa],10,financeiro[id_tipo_tarifa],9)+SUMIFS(financeiro[valor],financeiro[IdAgente],B7,financeiro[idDet1],22,financeiro[idDet2],60,financeiro[idDet3],240,financeiro[id_grupo_tarifa],2,financeiro[id_detalhe_grupo_tarifa],24,financeiro[id_tipo_tarifa],9)</f>
        <v>0</v>
      </c>
      <c r="AY7" s="267">
        <f>SUMIFS(financeiro[valor],financeiro[IdAgente],B7,financeiro[idDet1],22,financeiro[idDet2],60,financeiro[idDet3],106,financeiro[id_grupo_tarifa],2,financeiro[id_detalhe_grupo_tarifa],11,financeiro[id_tipo_tarifa],9)+SUMIFS(financeiro[valor],financeiro[IdAgente],B7,financeiro[idDet1],22,financeiro[idDet2],60,financeiro[idDet3],106,financeiro[id_grupo_tarifa],2,financeiro[id_detalhe_grupo_tarifa],9,financeiro[id_tipo_tarifa],9)+SUMIFS(financeiro[valor],financeiro[IdAgente],B7,financeiro[idDet1],22,financeiro[idDet2],60,financeiro[idDet3],106,financeiro[id_grupo_tarifa],2,financeiro[id_detalhe_grupo_tarifa],8,financeiro[id_tipo_tarifa],9)+SUMIFS(financeiro[valor],financeiro[IdAgente],B7,financeiro[idDet1],22,financeiro[idDet2],60,financeiro[idDet3],106,financeiro[id_grupo_tarifa],2,financeiro[id_detalhe_grupo_tarifa],10,financeiro[id_tipo_tarifa],9)+SUMIFS(financeiro[valor],financeiro[IdAgente],B7,financeiro[idDet1],22,financeiro[idDet2],60,financeiro[idDet3],106,financeiro[id_grupo_tarifa],2,financeiro[id_detalhe_grupo_tarifa],24,financeiro[id_tipo_tarifa],9)</f>
        <v>-369514.098724543</v>
      </c>
      <c r="AZ7" s="267">
        <f>SUMIFS(financeiro[valor],financeiro[IdAgente],B7,financeiro[idDet1],22,financeiro[idDet2],62,financeiro[idDet3],220,financeiro[id_grupo_tarifa],2,financeiro[id_detalhe_grupo_tarifa],11,financeiro[id_tipo_tarifa],9)+SUMIFS(financeiro[valor],financeiro[IdAgente],B7,financeiro[idDet1],22,financeiro[idDet2],62,financeiro[idDet3],220,financeiro[id_grupo_tarifa],2,financeiro[id_detalhe_grupo_tarifa],9,financeiro[id_tipo_tarifa],9)+SUMIFS(financeiro[valor],financeiro[IdAgente],B7,financeiro[idDet1],22,financeiro[idDet2],62,financeiro[idDet3],220,financeiro[id_grupo_tarifa],2,financeiro[id_detalhe_grupo_tarifa],8,financeiro[id_tipo_tarifa],9)+SUMIFS(financeiro[valor],financeiro[IdAgente],B7,financeiro[idDet1],22,financeiro[idDet2],62,financeiro[idDet3],220,financeiro[id_grupo_tarifa],2,financeiro[id_detalhe_grupo_tarifa],10,financeiro[id_tipo_tarifa],9)+SUMIFS(financeiro[valor],financeiro[IdAgente],B7,financeiro[idDet1],22,financeiro[idDet2],62,financeiro[idDet3],220,financeiro[id_grupo_tarifa],2,financeiro[id_detalhe_grupo_tarifa],24,financeiro[id_tipo_tarifa],9)</f>
        <v>-994467.01896482753</v>
      </c>
      <c r="BA7" s="267">
        <f>SUMIFS(financeiro[valor],financeiro[IdAgente],B7,financeiro[idDet1],22,financeiro[idDet2],60,financeiro[idDet3],220,financeiro[id_grupo_tarifa],2,financeiro[id_detalhe_grupo_tarifa],11,financeiro[id_tipo_tarifa],9)+SUMIFS(financeiro[valor],financeiro[IdAgente],B7,financeiro[idDet1],22,financeiro[idDet2],60,financeiro[idDet3],220,financeiro[id_grupo_tarifa],2,financeiro[id_detalhe_grupo_tarifa],9,financeiro[id_tipo_tarifa],9)+SUMIFS(financeiro[valor],financeiro[IdAgente],B7,financeiro[idDet1],22,financeiro[idDet2],60,financeiro[idDet3],220,financeiro[id_grupo_tarifa],2,financeiro[id_detalhe_grupo_tarifa],8,financeiro[id_tipo_tarifa],9)+SUMIFS(financeiro[valor],financeiro[IdAgente],B7,financeiro[idDet1],22,financeiro[idDet2],60,financeiro[idDet3],220,financeiro[id_grupo_tarifa],2,financeiro[id_detalhe_grupo_tarifa],10,financeiro[id_tipo_tarifa],9)+SUMIFS(financeiro[valor],financeiro[IdAgente],B7,financeiro[idDet1],22,financeiro[idDet2],60,financeiro[idDet3],220,financeiro[id_grupo_tarifa],2,financeiro[id_detalhe_grupo_tarifa],24,financeiro[id_tipo_tarifa],9)</f>
        <v>1122722.319799928</v>
      </c>
      <c r="BB7" s="267">
        <f>SUMIFS(financeiro[valor],financeiro[IdAgente],B7,financeiro[idDet1],22,financeiro[idDet2],60,financeiro[idDet3],102,financeiro[id_grupo_tarifa],2,financeiro[id_detalhe_grupo_tarifa],11,financeiro[id_tipo_tarifa],9)+SUMIFS(financeiro[valor],financeiro[IdAgente],B7,financeiro[idDet1],22,financeiro[idDet2],60,financeiro[idDet3],102,financeiro[id_grupo_tarifa],2,financeiro[id_detalhe_grupo_tarifa],9,financeiro[id_tipo_tarifa],9)+SUMIFS(financeiro[valor],financeiro[IdAgente],B7,financeiro[idDet1],22,financeiro[idDet2],60,financeiro[idDet3],102,financeiro[id_grupo_tarifa],2,financeiro[id_detalhe_grupo_tarifa],8,financeiro[id_tipo_tarifa],9)+SUMIFS(financeiro[valor],financeiro[IdAgente],B7,financeiro[idDet1],22,financeiro[idDet2],60,financeiro[idDet3],102,financeiro[id_grupo_tarifa],2,financeiro[id_detalhe_grupo_tarifa],10,financeiro[id_tipo_tarifa],9)+SUMIFS(financeiro[valor],financeiro[IdAgente],B7,financeiro[idDet1],22,financeiro[idDet2],60,financeiro[idDet3],102,financeiro[id_grupo_tarifa],2,financeiro[id_detalhe_grupo_tarifa],24,financeiro[id_tipo_tarifa],9)</f>
        <v>0</v>
      </c>
      <c r="BC7" s="267">
        <f>SUMIFS(financeiro[valor],financeiro[IdAgente],B7,financeiro[idDet1],22,financeiro[idDet2],60,financeiro[idDet3],522,financeiro[valor],"&lt;0")</f>
        <v>-152140.14687615749</v>
      </c>
      <c r="BD7" s="267">
        <f>SUMIFS(financeiro[valor],financeiro[IdAgente],B7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7" s="267">
        <f>SUMIFS(financeiro[valor],financeiro[IdAgente],B7,financeiro[id_natureza_dado],2,financeiro[id_detalhe_natureza],2,financeiro[idDet1],20,financeiro[idDet2],60,financeiro[idDet3],82,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7" s="267">
        <f>SUMIFS(financeiro[valor],financeiro[IdAgente],B7,financeiro[id_natureza_dado],2,financeiro[id_detalhe_natureza],2,financeiro[idDet1],20,financeiro[idDet2],60,financeiro[idDet3],81,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7" s="267">
        <f>SUMIFS(financeiro[valor],financeiro[IdAgente],B7,financeiro[id_natureza_dado],2,financeiro[id_detalhe_natureza],2,financeiro[idDet1],20,financeiro[idDet2],60,financeiro[idDet3],503,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7" s="267">
        <f>SUMIFS(financeiro[valor],financeiro[IdAgente],B7,financeiro[idDet1],22,financeiro[idDet2],60,financeiro[idDet3],123)</f>
        <v>0</v>
      </c>
      <c r="BI7" s="267">
        <f>SUMIFS(financeiro[valor],financeiro[IdAgente],B7,financeiro[idDet1],20,financeiro[idDet2],60,financeiro[idDet3],73)</f>
        <v>0</v>
      </c>
      <c r="BJ7" s="267">
        <f>SUMIFS(financeiro[valor],financeiro[IdAgente],B7,financeiro[idDet1],22,financeiro[idDet2],60,financeiro[idDet3],527)</f>
        <v>0</v>
      </c>
      <c r="BK7" s="267">
        <f>SUMIFS(financeiro[valor],financeiro[IdAgente],B7,financeiro[idDet1],22,financeiro[idDet2],60,financeiro[idDet3],510)</f>
        <v>0</v>
      </c>
      <c r="BL7" s="267">
        <f>SUMIFS(financeiro[valor],financeiro[IdAgente],B7,financeiro[idDet1],22,financeiro[idDet2],60,financeiro[idDet3],526,
financeiro[id_grupo_tarifa],1,financeiro[id_detalhe_grupo_tarifa],3,financeiro[id_tipo_tarifa],9,financeiro[id_subgrupo],3)</f>
        <v>0</v>
      </c>
      <c r="BM7" s="267">
        <f>SUMIFS(financeiro[valor],financeiro[IdAgente],B7,financeiro[idDet1],22,financeiro[idDet2],60,financeiro[idDet3],999,
financeiro[id_grupo_tarifa],3,financeiro[id_detalhe_grupo_tarifa],17,financeiro[id_tipo_tarifa],9)</f>
        <v>0</v>
      </c>
      <c r="BN7" s="267">
        <f>SUMIFS(financeiro[valor],financeiro[IdAgente],B7,financeiro[idDet1],22,financeiro[idDet2],60,financeiro[idDet3],526,financeiro[id_grupo_tarifa],1,financeiro[id_detalhe_grupo_tarifa],7,financeiro[id_tipo_tarifa],9,financeiro[valor],"&lt;0")+SUMIFS(financeiro[valor],financeiro[IdAgente],B7,financeiro[idDet1],22,financeiro[idDet2],60,financeiro[idDet3],526,financeiro[id_grupo_tarifa],2,financeiro[id_detalhe_grupo_tarifa],11,financeiro[id_tipo_tarifa],9,financeiro[valor],"&lt;0")+SUMIFS(financeiro[valor],financeiro[IdAgente],B7,financeiro[idDet1],22,financeiro[idDet2],60,financeiro[idDet3],526,financeiro[id_grupo_tarifa],2,financeiro[id_detalhe_grupo_tarifa],8,financeiro[id_tipo_tarifa],9,financeiro[valor],"&lt;0")</f>
        <v>0</v>
      </c>
      <c r="BO7" s="267">
        <f>SUMIFS(financeiro[valor],financeiro[IdAgente],B7,financeiro[idDet1],22,financeiro[idDet2],60,financeiro[idDet3],999,financeiro[id_grupo_tarifa],4,financeiro[id_detalhe_grupo_tarifa],999,financeiro[id_tipo_tarifa],9,financeiro[valor],"&lt;0")</f>
        <v>0</v>
      </c>
      <c r="BP7" s="267">
        <f>SUMIFS(financeiro[valor],financeiro[IdAgente],B7,financeiro[idDet1],22,financeiro[idDet2],60,financeiro[idDet3],530,financeiro[valor],"&lt;0")</f>
        <v>0</v>
      </c>
      <c r="BQ7" s="267">
        <f>SUMIFS(financeiro[valor],financeiro[IdAgente],B7,financeiro[idDet1],22,financeiro[idDet2],60,financeiro[idDet3],531,financeiro[valor],"&lt;0")</f>
        <v>0</v>
      </c>
      <c r="BR7" s="267">
        <f>SUMIFS(financeiro[valor],financeiro[IdAgente],B7,financeiro[idDet1],22,financeiro[idDet2],62,financeiro[idDet3],532,financeiro[valor],"&lt;0")</f>
        <v>0</v>
      </c>
      <c r="BS7" s="267">
        <f>SUMIFS(financeiro[valor],financeiro[IdAgente],B7,financeiro[idDet1],22,financeiro[idDet2],62,financeiro[idDet3],533,financeiro[valor],"&lt;0")</f>
        <v>0</v>
      </c>
      <c r="BT7" s="267">
        <f>SUMIFS(financeiro[valor],financeiro[IdAgente],B7,financeiro[idDet1],22,financeiro[idDet2],62,financeiro[idDet3],534,financeiro[valor],"&lt;0")</f>
        <v>0</v>
      </c>
      <c r="BU7" s="4"/>
      <c r="BV7" s="4"/>
      <c r="BW7" s="211" t="s">
        <v>150</v>
      </c>
      <c r="BX7">
        <f>Efeito!B8</f>
        <v>5367</v>
      </c>
      <c r="BY7" s="267">
        <f>SUMIFS(Banco[valor],Banco[IdAgente],BX7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5202011.8445100002</v>
      </c>
      <c r="BZ7" s="267">
        <f>SUMIFS(Banco[valor],Banco[IdAgente],BX7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7" s="267">
        <f>SUMIFS(Banco[valor],Banco[IdAgente],BX7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-102804.124043207</v>
      </c>
      <c r="CB7" s="267">
        <f>SUMIFS(Banco[valor],Banco[IdAgente],BX7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399058.48950999998</v>
      </c>
      <c r="CC7" s="267">
        <f>SUMIFS(Banco[valor],Banco[IdAgente],BX7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7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781587.37920289475</v>
      </c>
      <c r="CD7" s="267">
        <f>SUMIFS(Banco[valor],Banco[IdAgente],BX7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1242481.9441147</v>
      </c>
      <c r="CE7" s="267">
        <f>SUMIFS(Banco[valor],Banco[IdAgente],BX7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744177.82493999903</v>
      </c>
      <c r="CF7" s="267">
        <f>SUMIFS(Banco[valor],Banco[IdAgente],BX7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110021.877859115</v>
      </c>
      <c r="CG7" s="267">
        <f>SUMIFS(Banco[valor],Banco[IdAgente],BX7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7" s="267">
        <f>SUMIFS(Banco[valor],Banco[IdAgente],BX7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7" s="267">
        <f>SUMIFS(Banco[valor],Banco[IdAgente],BX7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7" s="267">
        <f>SUMIFS(Banco[valor],Banco[IdAgente],BX7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7462030.3475799998</v>
      </c>
      <c r="CK7" s="267">
        <f>SUMIFS(Banco[valor],Banco[IdAgente],B7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24333214.355310801</v>
      </c>
      <c r="CL7" s="267">
        <f>SUMIFS(Banco[valor],Banco[IdAgente],B7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28005172.761328898</v>
      </c>
      <c r="CM7" s="267">
        <f>SUMIFS(Banco[valor],Banco[IdAgente],B7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28000000</v>
      </c>
    </row>
    <row r="8" spans="1:91">
      <c r="A8" t="s">
        <v>66</v>
      </c>
      <c r="B8" t="str">
        <f>Efeito!B9</f>
        <v>NO SELECT</v>
      </c>
      <c r="C8" s="267">
        <f>SUMIFS(Banco[valor],Banco[IdAgente],B8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8" s="267">
        <f>SUMIFS(Banco[valor],Banco[IdAgente],B8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8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8" s="267">
        <f>SUMIFS(Banco[valor],Banco[IdAgente],B8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8" s="267">
        <f>SUMIFS(Banco[valor],Banco[IdAgente],B8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8" s="267">
        <f>SUMIFS(Banco[valor],Banco[IdAgente],B8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8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8" s="267">
        <f>SUMIFS(Banco[valor],Banco[IdAgente],B8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8" s="267">
        <f>SUMIFS(Banco[valor],Banco[IdAgente],B8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8" s="267">
        <f>SUMIFS(Banco[valor],Banco[IdAgente],B8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8" s="267">
        <f>SUMIFS(Banco[valor],Banco[IdAgente],B8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8" s="267">
        <f>SUMIFS(Banco[valor],Banco[IdAgente],B8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8" s="267">
        <f>SUMIFS(Banco[valor],Banco[IdAgente],B8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8" s="267">
        <f>SUMIFS(Banco[valor],Banco[IdAgente],B8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8" s="267">
        <f>SUMIFS(Banco[valor],Banco[IdAgente],B8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8" s="267">
        <f t="shared" si="2"/>
        <v>0</v>
      </c>
      <c r="Q8" s="267">
        <f>SUMIFS(Banco[valor],Banco[IdAgente],B8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8" s="267">
        <f>SUMIFS(Banco[valor],Banco[IdAgente],B8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8" s="4"/>
      <c r="T8" s="4"/>
      <c r="U8" s="4"/>
      <c r="V8" s="267">
        <f>SUMIFS(financeiro[valor],financeiro[IdAgente],B8,financeiro[idDet1],22,financeiro[idDet2],60,financeiro[idDet3],526,financeiro[id_grupo_tarifa],1,financeiro[id_detalhe_grupo_tarifa],7,financeiro[id_tipo_tarifa],9,financeiro[id_subgrupo],99,financeiro[valor],"&gt;0")+SUMIFS(financeiro[valor],financeiro[IdAgente],B8,financeiro[idDet1],22,financeiro[idDet2],60,financeiro[idDet3],526,financeiro[id_grupo_tarifa],2,financeiro[id_detalhe_grupo_tarifa],11,financeiro[id_tipo_tarifa],9,financeiro[valor],"&gt;0")+SUMIFS(financeiro[valor],financeiro[IdAgente],B8,financeiro[idDet1],22,financeiro[idDet2],60,financeiro[idDet3],526,financeiro[id_grupo_tarifa],2,financeiro[id_detalhe_grupo_tarifa],9,financeiro[id_tipo_tarifa],9,financeiro[valor],"&gt;0")+SUMIFS(financeiro[valor],financeiro[IdAgente],B8,financeiro[idDet1],22,financeiro[idDet2],60,financeiro[idDet3],526,financeiro[id_grupo_tarifa],2,financeiro[id_detalhe_grupo_tarifa],8,financeiro[id_tipo_tarifa],9,financeiro[valor],"&gt;0")+SUMIFS(financeiro[valor],financeiro[IdAgente],B8,financeiro[idDet1],22,financeiro[idDet2],60,financeiro[idDet3],526,financeiro[id_grupo_tarifa],2,financeiro[id_detalhe_grupo_tarifa],10,financeiro[id_tipo_tarifa],9,financeiro[valor],"&gt;0")+SUMIFS(financeiro[valor],financeiro[IdAgente],B8,financeiro[idDet1],22,financeiro[idDet2],60,financeiro[idDet3],526,financeiro[id_grupo_tarifa],2,financeiro[id_detalhe_grupo_tarifa],24,financeiro[id_tipo_tarifa],9,financeiro[valor],"&gt;0")</f>
        <v>0</v>
      </c>
      <c r="W8" s="267">
        <f>SUMIFS(financeiro[valor],financeiro[IdAgente],B8,financeiro[idDet1],20,financeiro[idDet2],60,financeiro[idDet3],999,financeiro[id_grupo_tarifa],3,financeiro[id_detalhe_grupo_tarifa],14,financeiro[id_tipo_tarifa],9)+SUMIFS(financeiro[valor],financeiro[IdAgente],B8,financeiro[idDet1],20,financeiro[idDet2],60,financeiro[idDet3],999,financeiro[id_grupo_tarifa],3,financeiro[id_detalhe_grupo_tarifa],15,financeiro[id_tipo_tarifa],9)+SUMIFS(financeiro[valor],financeiro[IdAgente],B8,financeiro[idDet1],20,financeiro[idDet2],60,financeiro[idDet3],999,financeiro[id_grupo_tarifa],3,financeiro[id_detalhe_grupo_tarifa],16,financeiro[id_tipo_tarifa],9)+SUMIFS(financeiro[valor],financeiro[IdAgente],B8,financeiro[idDet1],20,financeiro[idDet2],60,financeiro[idDet3],999,financeiro[id_grupo_tarifa],3,financeiro[id_detalhe_grupo_tarifa],17,financeiro[id_tipo_tarifa],9)+SUMIFS(financeiro[valor],financeiro[IdAgente],B8,financeiro[idDet1],20,financeiro[idDet2],60,financeiro[idDet3],999,financeiro[id_grupo_tarifa],3,financeiro[id_detalhe_grupo_tarifa],18,financeiro[id_tipo_tarifa],9)+SUMIFS(financeiro[valor],financeiro[IdAgente],B8,financeiro[idDet1],20,financeiro[idDet2],60,financeiro[idDet3],999,financeiro[id_grupo_tarifa],3,financeiro[id_detalhe_grupo_tarifa],19,financeiro[id_tipo_tarifa],9)</f>
        <v>0</v>
      </c>
      <c r="X8" s="267">
        <f>SUMIFS(financeiro[valor],financeiro[IdAgente],B8,financeiro[idDet1],20,financeiro[idDet2],60,financeiro[idDet3],999,financeiro[id_grupo_tarifa],3,financeiro[id_detalhe_grupo_tarifa],12,financeiro[id_tipo_tarifa],9)+SUMIFS(financeiro[valor],financeiro[IdAgente],B8,financeiro[idDet1],20,financeiro[idDet2],60,financeiro[idDet3],999,financeiro[id_grupo_tarifa],4,financeiro[id_detalhe_grupo_tarifa],999,financeiro[id_tipo_tarifa],9)</f>
        <v>0</v>
      </c>
      <c r="Y8" s="267">
        <f>SUMIFS(financeiro[valor],financeiro[IdAgente],B8,financeiro[idDet1],20,financeiro[idDet2],60,financeiro[idDet3],179,financeiro[id_grupo_tarifa],99,financeiro[id_detalhe_grupo_tarifa],999,financeiro[id_tipo_tarifa],9)</f>
        <v>0</v>
      </c>
      <c r="Z8" s="267">
        <f>SUMIFS(financeiro[valor],financeiro[IdAgente],B8,financeiro[idDet1],20,financeiro[idDet2],60,financeiro[idDet3],999,financeiro[id_grupo_tarifa],2,financeiro[id_detalhe_grupo_tarifa],11,financeiro[id_tipo_tarifa],9,financeiro[valor],"&gt;0")+SUMIFS(financeiro[valor],financeiro[IdAgente],B8,financeiro[idDet1],20,financeiro[idDet2],60,financeiro[idDet3],999,financeiro[id_grupo_tarifa],2,financeiro[id_detalhe_grupo_tarifa],9,financeiro[id_tipo_tarifa],9,financeiro[valor],"&gt;0")+SUMIFS(financeiro[valor],financeiro[IdAgente],B8,financeiro[idDet1],20,financeiro[idDet2],60,financeiro[idDet3],999,financeiro[id_grupo_tarifa],2,financeiro[id_detalhe_grupo_tarifa],8,financeiro[id_tipo_tarifa],9,financeiro[valor],"&gt;0")+SUMIFS(financeiro[valor],financeiro[IdAgente],B8,financeiro[idDet1],20,financeiro[idDet2],60,financeiro[idDet3],999,financeiro[id_grupo_tarifa],2,financeiro[id_detalhe_grupo_tarifa],10,financeiro[id_tipo_tarifa],9,financeiro[valor],"&gt;0")+SUMIFS(financeiro[valor],financeiro[IdAgente],B8,financeiro[idDet1],20,financeiro[idDet2],60,financeiro[idDet3],999,financeiro[id_grupo_tarifa],2,financeiro[id_detalhe_grupo_tarifa],24,financeiro[id_tipo_tarifa],9,financeiro[valor],"&gt;0")+SUMIFS(financeiro[valor],financeiro[IdAgente],B8,financeiro[idDet1],20,financeiro[idDet2],60,financeiro[idDet3],999,financeiro[id_grupo_tarifa],2,financeiro[id_detalhe_grupo_tarifa],17,financeiro[id_tipo_tarifa],9,financeiro[valor],"&gt;0")+SUMIFS(financeiro[valor],financeiro[IdAgente],B8,financeiro[idDet1],999,financeiro[idDet2],999999,financeiro[idDet3],999,financeiro[id_grupo_tarifa],99,financeiro[id_detalhe_grupo_tarifa],999,financeiro[id_tipo_tarifa],9,financeiro[valor],"&gt;0")</f>
        <v>0</v>
      </c>
      <c r="AA8" s="267">
        <f>SUMIFS(financeiro[valor],financeiro[IdAgente],B8,financeiro[idDet1],22,financeiro[idDet2],60,financeiro[idDet3],529,financeiro[id_grupo_tarifa],1,financeiro[id_detalhe_grupo_tarifa],1,financeiro[id_tipo_tarifa],9,financeiro[valor],"&gt;0")+SUMIFS(financeiro[valor],financeiro[IdAgente],B8,financeiro[idDet1],22,financeiro[idDet2],60,financeiro[idDet3],529,financeiro[id_grupo_tarifa],1,financeiro[id_detalhe_grupo_tarifa],2,financeiro[id_tipo_tarifa],9,financeiro[valor],"&gt;0")</f>
        <v>0</v>
      </c>
      <c r="AB8" s="269"/>
      <c r="AC8" s="267">
        <f>SUMIFS(financeiro[valor],financeiro[IdAgente],B8,financeiro[idDet1],22,financeiro[idDet2],60,financeiro[idDet3],999,financeiro[id_grupo_tarifa],2,financeiro[id_detalhe_grupo_tarifa],30,financeiro[id_tipo_tarifa],9,financeiro[valor],"&gt;0")</f>
        <v>0</v>
      </c>
      <c r="AD8" s="267">
        <f>SUMIFS(financeiro[valor],financeiro[IdAgente],B8,financeiro[idDet1],22,financeiro[idDet2],60,financeiro[idDet3],178,financeiro[id_grupo_tarifa],1,financeiro[id_detalhe_grupo_tarifa],7,financeiro[id_tipo_tarifa],9)</f>
        <v>0</v>
      </c>
      <c r="AE8" s="267">
        <f>SUMIFS(financeiro[valor],financeiro[IdAgente],B8,financeiro[idDet1],22,financeiro[idDet2],60,financeiro[idDet3],242,financeiro[id_grupo_tarifa],4,financeiro[id_detalhe_grupo_tarifa],999,financeiro[id_tipo_tarifa],9)</f>
        <v>0</v>
      </c>
      <c r="AF8" s="267">
        <f>SUMIFS(financeiro[valor],financeiro[IdAgente],B8,financeiro[idDet1],22,financeiro[idDet2],60,financeiro[idDet3],525,financeiro[id_grupo_tarifa],2,financeiro[id_tipo_tarifa],9)</f>
        <v>0</v>
      </c>
      <c r="AG8" s="267">
        <f>SUMIFS(financeiro[valor],financeiro[IdAgente],B8,financeiro[idDet1],22,financeiro[idDet2],60,financeiro[idDet3],524)</f>
        <v>0</v>
      </c>
      <c r="AH8" s="269"/>
      <c r="AI8" s="267">
        <f>SUMIFS(financeiro[valor],financeiro[IdAgente],B8,financeiro[idDet1],22,financeiro[idDet2],60,financeiro[idDet3],523,financeiro[id_grupo_tarifa],2,financeiro[id_detalhe_grupo_tarifa],30,financeiro[id_tipo_tarifa],9)</f>
        <v>0</v>
      </c>
      <c r="AJ8" s="267">
        <f>SUMIFS(financeiro[valor],financeiro[IdAgente],B8,financeiro[idDet1],22,financeiro[idDet2],60,financeiro[idDet3],503,financeiro[id_grupo_tarifa],99,financeiro[id_detalhe_grupo_tarifa],999,financeiro[id_tipo_tarifa],3)</f>
        <v>0</v>
      </c>
      <c r="AK8" s="269"/>
      <c r="AL8" s="269"/>
      <c r="AM8" s="269"/>
      <c r="AN8" s="269"/>
      <c r="AO8" s="269"/>
      <c r="AP8" s="269"/>
      <c r="AQ8" s="269"/>
      <c r="AR8" s="269"/>
      <c r="AS8" s="269"/>
      <c r="AT8" s="267">
        <f>SUMIFS(financeiro[valor],financeiro[IdAgente],B8,financeiro[idDet1],22,financeiro[idDet2],60,financeiro[idDet3],235,financeiro[id_grupo_tarifa],4,financeiro[id_detalhe_grupo_tarifa],999,financeiro[id_tipo_tarifa],9)</f>
        <v>0</v>
      </c>
      <c r="AU8" s="267">
        <f>SUMIFS(financeiro[valor],financeiro[IdAgente],B8,financeiro[idDet1],22,financeiro[idDet2],60,financeiro[idDet3],512,
financeiro[id_grupo_tarifa],3,financeiro[id_detalhe_grupo_tarifa],28,financeiro[id_tipo_tarifa],9)</f>
        <v>0</v>
      </c>
      <c r="AV8" s="267">
        <f>SUMIFS(financeiro[valor],financeiro[IdAgente],B8,financeiro[idDet1],22,financeiro[idDet2],60,financeiro[idDet3],241,financeiro[id_grupo_tarifa],2,financeiro[id_detalhe_grupo_tarifa],11,financeiro[id_tipo_tarifa],9)+SUMIFS(financeiro[valor],financeiro[IdAgente],B8,financeiro[idDet1],22,financeiro[idDet2],60,financeiro[idDet3],241,financeiro[id_grupo_tarifa],2,financeiro[id_detalhe_grupo_tarifa],9,financeiro[id_tipo_tarifa],9)+SUMIFS(financeiro[valor],financeiro[IdAgente],B8,financeiro[idDet1],22,financeiro[idDet2],60,financeiro[idDet3],241,financeiro[id_grupo_tarifa],2,financeiro[id_detalhe_grupo_tarifa],8,financeiro[id_tipo_tarifa],9)+SUMIFS(financeiro[valor],financeiro[IdAgente],B8,financeiro[idDet1],22,financeiro[idDet2],60,financeiro[idDet3],241,financeiro[id_grupo_tarifa],2,financeiro[id_detalhe_grupo_tarifa],10,financeiro[id_tipo_tarifa],9)+SUMIFS(financeiro[valor],financeiro[IdAgente],B8,financeiro[idDet1],22,financeiro[idDet2],60,financeiro[idDet3],241,financeiro[id_grupo_tarifa],2,financeiro[id_detalhe_grupo_tarifa],24,financeiro[id_tipo_tarifa],9)</f>
        <v>0</v>
      </c>
      <c r="AW8" s="267">
        <f>SUMIFS(financeiro[valor],financeiro[IdAgente],B8,financeiro[idDet1],22,financeiro[idDet2],60,financeiro[idDet3],241,financeiro[id_grupo_tarifa],3,financeiro[id_detalhe_grupo_tarifa],17,financeiro[id_tipo_tarifa],9)</f>
        <v>0</v>
      </c>
      <c r="AX8" s="267">
        <f>SUMIFS(financeiro[valor],financeiro[IdAgente],B8,financeiro[idDet1],22,financeiro[idDet2],60,financeiro[idDet3],240,financeiro[id_grupo_tarifa],2,financeiro[id_detalhe_grupo_tarifa],11,financeiro[id_tipo_tarifa],9)+SUMIFS(financeiro[valor],financeiro[IdAgente],B8,financeiro[idDet1],22,financeiro[idDet2],60,financeiro[idDet3],240,financeiro[id_grupo_tarifa],2,financeiro[id_detalhe_grupo_tarifa],9,financeiro[id_tipo_tarifa],9)+SUMIFS(financeiro[valor],financeiro[IdAgente],B8,financeiro[idDet1],22,financeiro[idDet2],60,financeiro[idDet3],240,financeiro[id_grupo_tarifa],2,financeiro[id_detalhe_grupo_tarifa],8,financeiro[id_tipo_tarifa],9)+SUMIFS(financeiro[valor],financeiro[IdAgente],B8,financeiro[idDet1],22,financeiro[idDet2],60,financeiro[idDet3],240,financeiro[id_grupo_tarifa],2,financeiro[id_detalhe_grupo_tarifa],10,financeiro[id_tipo_tarifa],9)+SUMIFS(financeiro[valor],financeiro[IdAgente],B8,financeiro[idDet1],22,financeiro[idDet2],60,financeiro[idDet3],240,financeiro[id_grupo_tarifa],2,financeiro[id_detalhe_grupo_tarifa],24,financeiro[id_tipo_tarifa],9)</f>
        <v>0</v>
      </c>
      <c r="AY8" s="267">
        <f>SUMIFS(financeiro[valor],financeiro[IdAgente],B8,financeiro[idDet1],22,financeiro[idDet2],60,financeiro[idDet3],106,financeiro[id_grupo_tarifa],2,financeiro[id_detalhe_grupo_tarifa],11,financeiro[id_tipo_tarifa],9)+SUMIFS(financeiro[valor],financeiro[IdAgente],B8,financeiro[idDet1],22,financeiro[idDet2],60,financeiro[idDet3],106,financeiro[id_grupo_tarifa],2,financeiro[id_detalhe_grupo_tarifa],9,financeiro[id_tipo_tarifa],9)+SUMIFS(financeiro[valor],financeiro[IdAgente],B8,financeiro[idDet1],22,financeiro[idDet2],60,financeiro[idDet3],106,financeiro[id_grupo_tarifa],2,financeiro[id_detalhe_grupo_tarifa],8,financeiro[id_tipo_tarifa],9)+SUMIFS(financeiro[valor],financeiro[IdAgente],B8,financeiro[idDet1],22,financeiro[idDet2],60,financeiro[idDet3],106,financeiro[id_grupo_tarifa],2,financeiro[id_detalhe_grupo_tarifa],10,financeiro[id_tipo_tarifa],9)+SUMIFS(financeiro[valor],financeiro[IdAgente],B8,financeiro[idDet1],22,financeiro[idDet2],60,financeiro[idDet3],106,financeiro[id_grupo_tarifa],2,financeiro[id_detalhe_grupo_tarifa],24,financeiro[id_tipo_tarifa],9)</f>
        <v>0</v>
      </c>
      <c r="AZ8" s="267">
        <f>SUMIFS(financeiro[valor],financeiro[IdAgente],B8,financeiro[idDet1],22,financeiro[idDet2],62,financeiro[idDet3],220,financeiro[id_grupo_tarifa],2,financeiro[id_detalhe_grupo_tarifa],11,financeiro[id_tipo_tarifa],9)+SUMIFS(financeiro[valor],financeiro[IdAgente],B8,financeiro[idDet1],22,financeiro[idDet2],62,financeiro[idDet3],220,financeiro[id_grupo_tarifa],2,financeiro[id_detalhe_grupo_tarifa],9,financeiro[id_tipo_tarifa],9)+SUMIFS(financeiro[valor],financeiro[IdAgente],B8,financeiro[idDet1],22,financeiro[idDet2],62,financeiro[idDet3],220,financeiro[id_grupo_tarifa],2,financeiro[id_detalhe_grupo_tarifa],8,financeiro[id_tipo_tarifa],9)+SUMIFS(financeiro[valor],financeiro[IdAgente],B8,financeiro[idDet1],22,financeiro[idDet2],62,financeiro[idDet3],220,financeiro[id_grupo_tarifa],2,financeiro[id_detalhe_grupo_tarifa],10,financeiro[id_tipo_tarifa],9)+SUMIFS(financeiro[valor],financeiro[IdAgente],B8,financeiro[idDet1],22,financeiro[idDet2],62,financeiro[idDet3],220,financeiro[id_grupo_tarifa],2,financeiro[id_detalhe_grupo_tarifa],24,financeiro[id_tipo_tarifa],9)</f>
        <v>0</v>
      </c>
      <c r="BA8" s="267">
        <f>SUMIFS(financeiro[valor],financeiro[IdAgente],B8,financeiro[idDet1],22,financeiro[idDet2],60,financeiro[idDet3],220,financeiro[id_grupo_tarifa],2,financeiro[id_detalhe_grupo_tarifa],11,financeiro[id_tipo_tarifa],9)+SUMIFS(financeiro[valor],financeiro[IdAgente],B8,financeiro[idDet1],22,financeiro[idDet2],60,financeiro[idDet3],220,financeiro[id_grupo_tarifa],2,financeiro[id_detalhe_grupo_tarifa],9,financeiro[id_tipo_tarifa],9)+SUMIFS(financeiro[valor],financeiro[IdAgente],B8,financeiro[idDet1],22,financeiro[idDet2],60,financeiro[idDet3],220,financeiro[id_grupo_tarifa],2,financeiro[id_detalhe_grupo_tarifa],8,financeiro[id_tipo_tarifa],9)+SUMIFS(financeiro[valor],financeiro[IdAgente],B8,financeiro[idDet1],22,financeiro[idDet2],60,financeiro[idDet3],220,financeiro[id_grupo_tarifa],2,financeiro[id_detalhe_grupo_tarifa],10,financeiro[id_tipo_tarifa],9)+SUMIFS(financeiro[valor],financeiro[IdAgente],B8,financeiro[idDet1],22,financeiro[idDet2],60,financeiro[idDet3],220,financeiro[id_grupo_tarifa],2,financeiro[id_detalhe_grupo_tarifa],24,financeiro[id_tipo_tarifa],9)</f>
        <v>0</v>
      </c>
      <c r="BB8" s="267">
        <f>SUMIFS(financeiro[valor],financeiro[IdAgente],B8,financeiro[idDet1],22,financeiro[idDet2],60,financeiro[idDet3],102,financeiro[id_grupo_tarifa],2,financeiro[id_detalhe_grupo_tarifa],11,financeiro[id_tipo_tarifa],9)+SUMIFS(financeiro[valor],financeiro[IdAgente],B8,financeiro[idDet1],22,financeiro[idDet2],60,financeiro[idDet3],102,financeiro[id_grupo_tarifa],2,financeiro[id_detalhe_grupo_tarifa],9,financeiro[id_tipo_tarifa],9)+SUMIFS(financeiro[valor],financeiro[IdAgente],B8,financeiro[idDet1],22,financeiro[idDet2],60,financeiro[idDet3],102,financeiro[id_grupo_tarifa],2,financeiro[id_detalhe_grupo_tarifa],8,financeiro[id_tipo_tarifa],9)+SUMIFS(financeiro[valor],financeiro[IdAgente],B8,financeiro[idDet1],22,financeiro[idDet2],60,financeiro[idDet3],102,financeiro[id_grupo_tarifa],2,financeiro[id_detalhe_grupo_tarifa],10,financeiro[id_tipo_tarifa],9)+SUMIFS(financeiro[valor],financeiro[IdAgente],B8,financeiro[idDet1],22,financeiro[idDet2],60,financeiro[idDet3],102,financeiro[id_grupo_tarifa],2,financeiro[id_detalhe_grupo_tarifa],24,financeiro[id_tipo_tarifa],9)</f>
        <v>0</v>
      </c>
      <c r="BC8" s="267">
        <f>SUMIFS(financeiro[valor],financeiro[IdAgente],B8,financeiro[idDet1],22,financeiro[idDet2],60,financeiro[idDet3],522,financeiro[valor],"&lt;0")</f>
        <v>0</v>
      </c>
      <c r="BD8" s="267">
        <f>SUMIFS(financeiro[valor],financeiro[IdAgente],B8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8" s="267">
        <f>SUMIFS(financeiro[valor],financeiro[IdAgente],B8,financeiro[id_natureza_dado],2,financeiro[id_detalhe_natureza],2,financeiro[idDet1],20,financeiro[idDet2],60,financeiro[idDet3],82,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8" s="267">
        <f>SUMIFS(financeiro[valor],financeiro[IdAgente],B8,financeiro[id_natureza_dado],2,financeiro[id_detalhe_natureza],2,financeiro[idDet1],20,financeiro[idDet2],60,financeiro[idDet3],81,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8" s="267">
        <f>SUMIFS(financeiro[valor],financeiro[IdAgente],B8,financeiro[id_natureza_dado],2,financeiro[id_detalhe_natureza],2,financeiro[idDet1],20,financeiro[idDet2],60,financeiro[idDet3],503,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8" s="267">
        <f>SUMIFS(financeiro[valor],financeiro[IdAgente],B8,financeiro[idDet1],22,financeiro[idDet2],60,financeiro[idDet3],123)</f>
        <v>0</v>
      </c>
      <c r="BI8" s="267">
        <f>SUMIFS(financeiro[valor],financeiro[IdAgente],B8,financeiro[idDet1],20,financeiro[idDet2],60,financeiro[idDet3],73)</f>
        <v>0</v>
      </c>
      <c r="BJ8" s="267">
        <f>SUMIFS(financeiro[valor],financeiro[IdAgente],B8,financeiro[idDet1],22,financeiro[idDet2],60,financeiro[idDet3],527)</f>
        <v>0</v>
      </c>
      <c r="BK8" s="267">
        <f>SUMIFS(financeiro[valor],financeiro[IdAgente],B8,financeiro[idDet1],22,financeiro[idDet2],60,financeiro[idDet3],510)</f>
        <v>0</v>
      </c>
      <c r="BL8" s="267">
        <f>SUMIFS(financeiro[valor],financeiro[IdAgente],B8,financeiro[idDet1],22,financeiro[idDet2],60,financeiro[idDet3],526,
financeiro[id_grupo_tarifa],1,financeiro[id_detalhe_grupo_tarifa],3,financeiro[id_tipo_tarifa],9,financeiro[id_subgrupo],3)</f>
        <v>0</v>
      </c>
      <c r="BM8" s="267">
        <f>SUMIFS(financeiro[valor],financeiro[IdAgente],B8,financeiro[idDet1],22,financeiro[idDet2],60,financeiro[idDet3],999,
financeiro[id_grupo_tarifa],3,financeiro[id_detalhe_grupo_tarifa],17,financeiro[id_tipo_tarifa],9)</f>
        <v>0</v>
      </c>
      <c r="BN8" s="267">
        <f>SUMIFS(financeiro[valor],financeiro[IdAgente],B8,financeiro[idDet1],22,financeiro[idDet2],60,financeiro[idDet3],526,financeiro[id_grupo_tarifa],1,financeiro[id_detalhe_grupo_tarifa],7,financeiro[id_tipo_tarifa],9,financeiro[valor],"&lt;0")+SUMIFS(financeiro[valor],financeiro[IdAgente],B8,financeiro[idDet1],22,financeiro[idDet2],60,financeiro[idDet3],526,financeiro[id_grupo_tarifa],2,financeiro[id_detalhe_grupo_tarifa],11,financeiro[id_tipo_tarifa],9,financeiro[valor],"&lt;0")+SUMIFS(financeiro[valor],financeiro[IdAgente],B8,financeiro[idDet1],22,financeiro[idDet2],60,financeiro[idDet3],526,financeiro[id_grupo_tarifa],2,financeiro[id_detalhe_grupo_tarifa],8,financeiro[id_tipo_tarifa],9,financeiro[valor],"&lt;0")</f>
        <v>0</v>
      </c>
      <c r="BO8" s="267">
        <f>SUMIFS(financeiro[valor],financeiro[IdAgente],B8,financeiro[idDet1],22,financeiro[idDet2],60,financeiro[idDet3],999,financeiro[id_grupo_tarifa],4,financeiro[id_detalhe_grupo_tarifa],999,financeiro[id_tipo_tarifa],9,financeiro[valor],"&lt;0")</f>
        <v>0</v>
      </c>
      <c r="BP8" s="267">
        <f>SUMIFS(financeiro[valor],financeiro[IdAgente],B8,financeiro[idDet1],22,financeiro[idDet2],60,financeiro[idDet3],530,financeiro[valor],"&lt;0")</f>
        <v>0</v>
      </c>
      <c r="BQ8" s="267">
        <f>SUMIFS(financeiro[valor],financeiro[IdAgente],B8,financeiro[idDet1],22,financeiro[idDet2],60,financeiro[idDet3],531,financeiro[valor],"&lt;0")</f>
        <v>0</v>
      </c>
      <c r="BR8" s="267">
        <f>SUMIFS(financeiro[valor],financeiro[IdAgente],B8,financeiro[idDet1],22,financeiro[idDet2],62,financeiro[idDet3],532,financeiro[valor],"&lt;0")</f>
        <v>0</v>
      </c>
      <c r="BS8" s="267">
        <f>SUMIFS(financeiro[valor],financeiro[IdAgente],B8,financeiro[idDet1],22,financeiro[idDet2],62,financeiro[idDet3],533,financeiro[valor],"&lt;0")</f>
        <v>0</v>
      </c>
      <c r="BT8" s="267">
        <f>SUMIFS(financeiro[valor],financeiro[IdAgente],B8,financeiro[idDet1],22,financeiro[idDet2],62,financeiro[idDet3],534,financeiro[valor],"&lt;0")</f>
        <v>0</v>
      </c>
      <c r="BU8" s="4"/>
      <c r="BV8" s="4"/>
      <c r="BW8" s="210" t="s">
        <v>66</v>
      </c>
      <c r="BX8" t="str">
        <f>Efeito!B9</f>
        <v>NO SELECT</v>
      </c>
      <c r="BY8" s="267">
        <f>SUMIFS(Banco[valor],Banco[IdAgente],BX8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8" s="267">
        <f>SUMIFS(Banco[valor],Banco[IdAgente],BX8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8" s="267">
        <f>SUMIFS(Banco[valor],Banco[IdAgente],BX8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8" s="267">
        <f>SUMIFS(Banco[valor],Banco[IdAgente],BX8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8" s="267">
        <f>SUMIFS(Banco[valor],Banco[IdAgente],BX8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8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8" s="267">
        <f>SUMIFS(Banco[valor],Banco[IdAgente],BX8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8" s="267">
        <f>SUMIFS(Banco[valor],Banco[IdAgente],BX8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8" s="267">
        <f>SUMIFS(Banco[valor],Banco[IdAgente],BX8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8" s="267">
        <f>SUMIFS(Banco[valor],Banco[IdAgente],BX8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8" s="267">
        <f>SUMIFS(Banco[valor],Banco[IdAgente],BX8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8" s="267">
        <f>SUMIFS(Banco[valor],Banco[IdAgente],BX8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8" s="267">
        <f>SUMIFS(Banco[valor],Banco[IdAgente],BX8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8" s="267">
        <f>SUMIFS(Banco[valor],Banco[IdAgente],B8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8" s="267">
        <f>SUMIFS(Banco[valor],Banco[IdAgente],B8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8" s="267">
        <f>SUMIFS(Banco[valor],Banco[IdAgente],B8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9" spans="1:91">
      <c r="A9" t="s">
        <v>153</v>
      </c>
      <c r="B9" t="str">
        <f>Efeito!B10</f>
        <v>NO SELECT</v>
      </c>
      <c r="C9" s="267">
        <f>SUMIFS(Banco[valor],Banco[IdAgente],B9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9" s="267">
        <f>SUMIFS(Banco[valor],Banco[IdAgente],B9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9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9" s="267">
        <f>SUMIFS(Banco[valor],Banco[IdAgente],B9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9" s="267">
        <f>SUMIFS(Banco[valor],Banco[IdAgente],B9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9" s="267">
        <f>SUMIFS(Banco[valor],Banco[IdAgente],B9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9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9" s="267">
        <f>SUMIFS(Banco[valor],Banco[IdAgente],B9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9" s="267">
        <f>SUMIFS(Banco[valor],Banco[IdAgente],B9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9" s="267">
        <f>SUMIFS(Banco[valor],Banco[IdAgente],B9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9" s="267">
        <f>SUMIFS(Banco[valor],Banco[IdAgente],B9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9" s="267">
        <f>SUMIFS(Banco[valor],Banco[IdAgente],B9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9" s="267">
        <f>SUMIFS(Banco[valor],Banco[IdAgente],B9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9" s="267">
        <f>SUMIFS(Banco[valor],Banco[IdAgente],B9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9" s="267">
        <f>SUMIFS(Banco[valor],Banco[IdAgente],B9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9" s="267">
        <f t="shared" si="2"/>
        <v>0</v>
      </c>
      <c r="Q9" s="267">
        <f>SUMIFS(Banco[valor],Banco[IdAgente],B9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9" s="267">
        <f>SUMIFS(Banco[valor],Banco[IdAgente],B9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9" s="4"/>
      <c r="T9" s="4"/>
      <c r="U9" s="4"/>
      <c r="V9" s="267">
        <f>SUMIFS(financeiro[valor],financeiro[IdAgente],B9,financeiro[idDet1],22,financeiro[idDet2],60,financeiro[idDet3],526,financeiro[id_grupo_tarifa],1,financeiro[id_detalhe_grupo_tarifa],7,financeiro[id_tipo_tarifa],9,financeiro[id_subgrupo],99,financeiro[valor],"&gt;0")+SUMIFS(financeiro[valor],financeiro[IdAgente],B9,financeiro[idDet1],22,financeiro[idDet2],60,financeiro[idDet3],526,financeiro[id_grupo_tarifa],2,financeiro[id_detalhe_grupo_tarifa],11,financeiro[id_tipo_tarifa],9,financeiro[valor],"&gt;0")+SUMIFS(financeiro[valor],financeiro[IdAgente],B9,financeiro[idDet1],22,financeiro[idDet2],60,financeiro[idDet3],526,financeiro[id_grupo_tarifa],2,financeiro[id_detalhe_grupo_tarifa],9,financeiro[id_tipo_tarifa],9,financeiro[valor],"&gt;0")+SUMIFS(financeiro[valor],financeiro[IdAgente],B9,financeiro[idDet1],22,financeiro[idDet2],60,financeiro[idDet3],526,financeiro[id_grupo_tarifa],2,financeiro[id_detalhe_grupo_tarifa],8,financeiro[id_tipo_tarifa],9,financeiro[valor],"&gt;0")+SUMIFS(financeiro[valor],financeiro[IdAgente],B9,financeiro[idDet1],22,financeiro[idDet2],60,financeiro[idDet3],526,financeiro[id_grupo_tarifa],2,financeiro[id_detalhe_grupo_tarifa],10,financeiro[id_tipo_tarifa],9,financeiro[valor],"&gt;0")+SUMIFS(financeiro[valor],financeiro[IdAgente],B9,financeiro[idDet1],22,financeiro[idDet2],60,financeiro[idDet3],526,financeiro[id_grupo_tarifa],2,financeiro[id_detalhe_grupo_tarifa],24,financeiro[id_tipo_tarifa],9,financeiro[valor],"&gt;0")</f>
        <v>0</v>
      </c>
      <c r="W9" s="267">
        <f>SUMIFS(financeiro[valor],financeiro[IdAgente],B9,financeiro[idDet1],20,financeiro[idDet2],60,financeiro[idDet3],999,financeiro[id_grupo_tarifa],3,financeiro[id_detalhe_grupo_tarifa],14,financeiro[id_tipo_tarifa],9)+SUMIFS(financeiro[valor],financeiro[IdAgente],B9,financeiro[idDet1],20,financeiro[idDet2],60,financeiro[idDet3],999,financeiro[id_grupo_tarifa],3,financeiro[id_detalhe_grupo_tarifa],15,financeiro[id_tipo_tarifa],9)+SUMIFS(financeiro[valor],financeiro[IdAgente],B9,financeiro[idDet1],20,financeiro[idDet2],60,financeiro[idDet3],999,financeiro[id_grupo_tarifa],3,financeiro[id_detalhe_grupo_tarifa],16,financeiro[id_tipo_tarifa],9)+SUMIFS(financeiro[valor],financeiro[IdAgente],B9,financeiro[idDet1],20,financeiro[idDet2],60,financeiro[idDet3],999,financeiro[id_grupo_tarifa],3,financeiro[id_detalhe_grupo_tarifa],17,financeiro[id_tipo_tarifa],9)+SUMIFS(financeiro[valor],financeiro[IdAgente],B9,financeiro[idDet1],20,financeiro[idDet2],60,financeiro[idDet3],999,financeiro[id_grupo_tarifa],3,financeiro[id_detalhe_grupo_tarifa],18,financeiro[id_tipo_tarifa],9)+SUMIFS(financeiro[valor],financeiro[IdAgente],B9,financeiro[idDet1],20,financeiro[idDet2],60,financeiro[idDet3],999,financeiro[id_grupo_tarifa],3,financeiro[id_detalhe_grupo_tarifa],19,financeiro[id_tipo_tarifa],9)</f>
        <v>0</v>
      </c>
      <c r="X9" s="267">
        <f>SUMIFS(financeiro[valor],financeiro[IdAgente],B9,financeiro[idDet1],20,financeiro[idDet2],60,financeiro[idDet3],999,financeiro[id_grupo_tarifa],3,financeiro[id_detalhe_grupo_tarifa],12,financeiro[id_tipo_tarifa],9)+SUMIFS(financeiro[valor],financeiro[IdAgente],B9,financeiro[idDet1],20,financeiro[idDet2],60,financeiro[idDet3],999,financeiro[id_grupo_tarifa],4,financeiro[id_detalhe_grupo_tarifa],999,financeiro[id_tipo_tarifa],9)</f>
        <v>0</v>
      </c>
      <c r="Y9" s="267">
        <f>SUMIFS(financeiro[valor],financeiro[IdAgente],B9,financeiro[idDet1],20,financeiro[idDet2],60,financeiro[idDet3],179,financeiro[id_grupo_tarifa],99,financeiro[id_detalhe_grupo_tarifa],999,financeiro[id_tipo_tarifa],9)</f>
        <v>0</v>
      </c>
      <c r="Z9" s="267">
        <f>SUMIFS(financeiro[valor],financeiro[IdAgente],B9,financeiro[idDet1],20,financeiro[idDet2],60,financeiro[idDet3],999,financeiro[id_grupo_tarifa],2,financeiro[id_detalhe_grupo_tarifa],11,financeiro[id_tipo_tarifa],9,financeiro[valor],"&gt;0")+SUMIFS(financeiro[valor],financeiro[IdAgente],B9,financeiro[idDet1],20,financeiro[idDet2],60,financeiro[idDet3],999,financeiro[id_grupo_tarifa],2,financeiro[id_detalhe_grupo_tarifa],9,financeiro[id_tipo_tarifa],9,financeiro[valor],"&gt;0")+SUMIFS(financeiro[valor],financeiro[IdAgente],B9,financeiro[idDet1],20,financeiro[idDet2],60,financeiro[idDet3],999,financeiro[id_grupo_tarifa],2,financeiro[id_detalhe_grupo_tarifa],8,financeiro[id_tipo_tarifa],9,financeiro[valor],"&gt;0")+SUMIFS(financeiro[valor],financeiro[IdAgente],B9,financeiro[idDet1],20,financeiro[idDet2],60,financeiro[idDet3],999,financeiro[id_grupo_tarifa],2,financeiro[id_detalhe_grupo_tarifa],10,financeiro[id_tipo_tarifa],9,financeiro[valor],"&gt;0")+SUMIFS(financeiro[valor],financeiro[IdAgente],B9,financeiro[idDet1],20,financeiro[idDet2],60,financeiro[idDet3],999,financeiro[id_grupo_tarifa],2,financeiro[id_detalhe_grupo_tarifa],24,financeiro[id_tipo_tarifa],9,financeiro[valor],"&gt;0")+SUMIFS(financeiro[valor],financeiro[IdAgente],B9,financeiro[idDet1],20,financeiro[idDet2],60,financeiro[idDet3],999,financeiro[id_grupo_tarifa],2,financeiro[id_detalhe_grupo_tarifa],17,financeiro[id_tipo_tarifa],9,financeiro[valor],"&gt;0")+SUMIFS(financeiro[valor],financeiro[IdAgente],B9,financeiro[idDet1],999,financeiro[idDet2],999999,financeiro[idDet3],999,financeiro[id_grupo_tarifa],99,financeiro[id_detalhe_grupo_tarifa],999,financeiro[id_tipo_tarifa],9,financeiro[valor],"&gt;0")</f>
        <v>0</v>
      </c>
      <c r="AA9" s="267">
        <f>SUMIFS(financeiro[valor],financeiro[IdAgente],B9,financeiro[idDet1],22,financeiro[idDet2],60,financeiro[idDet3],529,financeiro[id_grupo_tarifa],1,financeiro[id_detalhe_grupo_tarifa],1,financeiro[id_tipo_tarifa],9,financeiro[valor],"&gt;0")+SUMIFS(financeiro[valor],financeiro[IdAgente],B9,financeiro[idDet1],22,financeiro[idDet2],60,financeiro[idDet3],529,financeiro[id_grupo_tarifa],1,financeiro[id_detalhe_grupo_tarifa],2,financeiro[id_tipo_tarifa],9,financeiro[valor],"&gt;0")</f>
        <v>0</v>
      </c>
      <c r="AB9" s="269"/>
      <c r="AC9" s="267">
        <f>SUMIFS(financeiro[valor],financeiro[IdAgente],B9,financeiro[idDet1],22,financeiro[idDet2],60,financeiro[idDet3],999,financeiro[id_grupo_tarifa],2,financeiro[id_detalhe_grupo_tarifa],30,financeiro[id_tipo_tarifa],9,financeiro[valor],"&gt;0")</f>
        <v>0</v>
      </c>
      <c r="AD9" s="267">
        <f>SUMIFS(financeiro[valor],financeiro[IdAgente],B9,financeiro[idDet1],22,financeiro[idDet2],60,financeiro[idDet3],178,financeiro[id_grupo_tarifa],1,financeiro[id_detalhe_grupo_tarifa],7,financeiro[id_tipo_tarifa],9)</f>
        <v>0</v>
      </c>
      <c r="AE9" s="267">
        <f>SUMIFS(financeiro[valor],financeiro[IdAgente],B9,financeiro[idDet1],22,financeiro[idDet2],60,financeiro[idDet3],242,financeiro[id_grupo_tarifa],4,financeiro[id_detalhe_grupo_tarifa],999,financeiro[id_tipo_tarifa],9)</f>
        <v>0</v>
      </c>
      <c r="AF9" s="267">
        <f>SUMIFS(financeiro[valor],financeiro[IdAgente],B9,financeiro[idDet1],22,financeiro[idDet2],60,financeiro[idDet3],525,financeiro[id_grupo_tarifa],2,financeiro[id_tipo_tarifa],9)</f>
        <v>0</v>
      </c>
      <c r="AG9" s="267">
        <f>SUMIFS(financeiro[valor],financeiro[IdAgente],B9,financeiro[idDet1],22,financeiro[idDet2],60,financeiro[idDet3],524)</f>
        <v>0</v>
      </c>
      <c r="AH9" s="269"/>
      <c r="AI9" s="267">
        <f>SUMIFS(financeiro[valor],financeiro[IdAgente],B9,financeiro[idDet1],22,financeiro[idDet2],60,financeiro[idDet3],523,financeiro[id_grupo_tarifa],2,financeiro[id_detalhe_grupo_tarifa],30,financeiro[id_tipo_tarifa],9)</f>
        <v>0</v>
      </c>
      <c r="AJ9" s="267">
        <f>SUMIFS(financeiro[valor],financeiro[IdAgente],B9,financeiro[idDet1],22,financeiro[idDet2],60,financeiro[idDet3],503,financeiro[id_grupo_tarifa],99,financeiro[id_detalhe_grupo_tarifa],999,financeiro[id_tipo_tarifa],3)</f>
        <v>0</v>
      </c>
      <c r="AK9" s="269"/>
      <c r="AL9" s="269"/>
      <c r="AM9" s="269"/>
      <c r="AN9" s="269"/>
      <c r="AO9" s="269"/>
      <c r="AP9" s="269"/>
      <c r="AQ9" s="269"/>
      <c r="AR9" s="269"/>
      <c r="AS9" s="269"/>
      <c r="AT9" s="267">
        <f>SUMIFS(financeiro[valor],financeiro[IdAgente],B9,financeiro[idDet1],22,financeiro[idDet2],60,financeiro[idDet3],235,financeiro[id_grupo_tarifa],4,financeiro[id_detalhe_grupo_tarifa],999,financeiro[id_tipo_tarifa],9)</f>
        <v>0</v>
      </c>
      <c r="AU9" s="267">
        <f>SUMIFS(financeiro[valor],financeiro[IdAgente],B9,financeiro[idDet1],22,financeiro[idDet2],60,financeiro[idDet3],512,
financeiro[id_grupo_tarifa],3,financeiro[id_detalhe_grupo_tarifa],28,financeiro[id_tipo_tarifa],9)</f>
        <v>0</v>
      </c>
      <c r="AV9" s="267">
        <f>SUMIFS(financeiro[valor],financeiro[IdAgente],B9,financeiro[idDet1],22,financeiro[idDet2],60,financeiro[idDet3],241,financeiro[id_grupo_tarifa],2,financeiro[id_detalhe_grupo_tarifa],11,financeiro[id_tipo_tarifa],9)+SUMIFS(financeiro[valor],financeiro[IdAgente],B9,financeiro[idDet1],22,financeiro[idDet2],60,financeiro[idDet3],241,financeiro[id_grupo_tarifa],2,financeiro[id_detalhe_grupo_tarifa],9,financeiro[id_tipo_tarifa],9)+SUMIFS(financeiro[valor],financeiro[IdAgente],B9,financeiro[idDet1],22,financeiro[idDet2],60,financeiro[idDet3],241,financeiro[id_grupo_tarifa],2,financeiro[id_detalhe_grupo_tarifa],8,financeiro[id_tipo_tarifa],9)+SUMIFS(financeiro[valor],financeiro[IdAgente],B9,financeiro[idDet1],22,financeiro[idDet2],60,financeiro[idDet3],241,financeiro[id_grupo_tarifa],2,financeiro[id_detalhe_grupo_tarifa],10,financeiro[id_tipo_tarifa],9)+SUMIFS(financeiro[valor],financeiro[IdAgente],B9,financeiro[idDet1],22,financeiro[idDet2],60,financeiro[idDet3],241,financeiro[id_grupo_tarifa],2,financeiro[id_detalhe_grupo_tarifa],24,financeiro[id_tipo_tarifa],9)</f>
        <v>0</v>
      </c>
      <c r="AW9" s="267">
        <f>SUMIFS(financeiro[valor],financeiro[IdAgente],B9,financeiro[idDet1],22,financeiro[idDet2],60,financeiro[idDet3],241,financeiro[id_grupo_tarifa],3,financeiro[id_detalhe_grupo_tarifa],17,financeiro[id_tipo_tarifa],9)</f>
        <v>0</v>
      </c>
      <c r="AX9" s="267">
        <f>SUMIFS(financeiro[valor],financeiro[IdAgente],B9,financeiro[idDet1],22,financeiro[idDet2],60,financeiro[idDet3],240,financeiro[id_grupo_tarifa],2,financeiro[id_detalhe_grupo_tarifa],11,financeiro[id_tipo_tarifa],9)+SUMIFS(financeiro[valor],financeiro[IdAgente],B9,financeiro[idDet1],22,financeiro[idDet2],60,financeiro[idDet3],240,financeiro[id_grupo_tarifa],2,financeiro[id_detalhe_grupo_tarifa],9,financeiro[id_tipo_tarifa],9)+SUMIFS(financeiro[valor],financeiro[IdAgente],B9,financeiro[idDet1],22,financeiro[idDet2],60,financeiro[idDet3],240,financeiro[id_grupo_tarifa],2,financeiro[id_detalhe_grupo_tarifa],8,financeiro[id_tipo_tarifa],9)+SUMIFS(financeiro[valor],financeiro[IdAgente],B9,financeiro[idDet1],22,financeiro[idDet2],60,financeiro[idDet3],240,financeiro[id_grupo_tarifa],2,financeiro[id_detalhe_grupo_tarifa],10,financeiro[id_tipo_tarifa],9)+SUMIFS(financeiro[valor],financeiro[IdAgente],B9,financeiro[idDet1],22,financeiro[idDet2],60,financeiro[idDet3],240,financeiro[id_grupo_tarifa],2,financeiro[id_detalhe_grupo_tarifa],24,financeiro[id_tipo_tarifa],9)</f>
        <v>0</v>
      </c>
      <c r="AY9" s="267">
        <f>SUMIFS(financeiro[valor],financeiro[IdAgente],B9,financeiro[idDet1],22,financeiro[idDet2],60,financeiro[idDet3],106,financeiro[id_grupo_tarifa],2,financeiro[id_detalhe_grupo_tarifa],11,financeiro[id_tipo_tarifa],9)+SUMIFS(financeiro[valor],financeiro[IdAgente],B9,financeiro[idDet1],22,financeiro[idDet2],60,financeiro[idDet3],106,financeiro[id_grupo_tarifa],2,financeiro[id_detalhe_grupo_tarifa],9,financeiro[id_tipo_tarifa],9)+SUMIFS(financeiro[valor],financeiro[IdAgente],B9,financeiro[idDet1],22,financeiro[idDet2],60,financeiro[idDet3],106,financeiro[id_grupo_tarifa],2,financeiro[id_detalhe_grupo_tarifa],8,financeiro[id_tipo_tarifa],9)+SUMIFS(financeiro[valor],financeiro[IdAgente],B9,financeiro[idDet1],22,financeiro[idDet2],60,financeiro[idDet3],106,financeiro[id_grupo_tarifa],2,financeiro[id_detalhe_grupo_tarifa],10,financeiro[id_tipo_tarifa],9)+SUMIFS(financeiro[valor],financeiro[IdAgente],B9,financeiro[idDet1],22,financeiro[idDet2],60,financeiro[idDet3],106,financeiro[id_grupo_tarifa],2,financeiro[id_detalhe_grupo_tarifa],24,financeiro[id_tipo_tarifa],9)</f>
        <v>0</v>
      </c>
      <c r="AZ9" s="267">
        <f>SUMIFS(financeiro[valor],financeiro[IdAgente],B9,financeiro[idDet1],22,financeiro[idDet2],62,financeiro[idDet3],220,financeiro[id_grupo_tarifa],2,financeiro[id_detalhe_grupo_tarifa],11,financeiro[id_tipo_tarifa],9)+SUMIFS(financeiro[valor],financeiro[IdAgente],B9,financeiro[idDet1],22,financeiro[idDet2],62,financeiro[idDet3],220,financeiro[id_grupo_tarifa],2,financeiro[id_detalhe_grupo_tarifa],9,financeiro[id_tipo_tarifa],9)+SUMIFS(financeiro[valor],financeiro[IdAgente],B9,financeiro[idDet1],22,financeiro[idDet2],62,financeiro[idDet3],220,financeiro[id_grupo_tarifa],2,financeiro[id_detalhe_grupo_tarifa],8,financeiro[id_tipo_tarifa],9)+SUMIFS(financeiro[valor],financeiro[IdAgente],B9,financeiro[idDet1],22,financeiro[idDet2],62,financeiro[idDet3],220,financeiro[id_grupo_tarifa],2,financeiro[id_detalhe_grupo_tarifa],10,financeiro[id_tipo_tarifa],9)+SUMIFS(financeiro[valor],financeiro[IdAgente],B9,financeiro[idDet1],22,financeiro[idDet2],62,financeiro[idDet3],220,financeiro[id_grupo_tarifa],2,financeiro[id_detalhe_grupo_tarifa],24,financeiro[id_tipo_tarifa],9)</f>
        <v>0</v>
      </c>
      <c r="BA9" s="267">
        <f>SUMIFS(financeiro[valor],financeiro[IdAgente],B9,financeiro[idDet1],22,financeiro[idDet2],60,financeiro[idDet3],220,financeiro[id_grupo_tarifa],2,financeiro[id_detalhe_grupo_tarifa],11,financeiro[id_tipo_tarifa],9)+SUMIFS(financeiro[valor],financeiro[IdAgente],B9,financeiro[idDet1],22,financeiro[idDet2],60,financeiro[idDet3],220,financeiro[id_grupo_tarifa],2,financeiro[id_detalhe_grupo_tarifa],9,financeiro[id_tipo_tarifa],9)+SUMIFS(financeiro[valor],financeiro[IdAgente],B9,financeiro[idDet1],22,financeiro[idDet2],60,financeiro[idDet3],220,financeiro[id_grupo_tarifa],2,financeiro[id_detalhe_grupo_tarifa],8,financeiro[id_tipo_tarifa],9)+SUMIFS(financeiro[valor],financeiro[IdAgente],B9,financeiro[idDet1],22,financeiro[idDet2],60,financeiro[idDet3],220,financeiro[id_grupo_tarifa],2,financeiro[id_detalhe_grupo_tarifa],10,financeiro[id_tipo_tarifa],9)+SUMIFS(financeiro[valor],financeiro[IdAgente],B9,financeiro[idDet1],22,financeiro[idDet2],60,financeiro[idDet3],220,financeiro[id_grupo_tarifa],2,financeiro[id_detalhe_grupo_tarifa],24,financeiro[id_tipo_tarifa],9)</f>
        <v>0</v>
      </c>
      <c r="BB9" s="267">
        <f>SUMIFS(financeiro[valor],financeiro[IdAgente],B9,financeiro[idDet1],22,financeiro[idDet2],60,financeiro[idDet3],102,financeiro[id_grupo_tarifa],2,financeiro[id_detalhe_grupo_tarifa],11,financeiro[id_tipo_tarifa],9)+SUMIFS(financeiro[valor],financeiro[IdAgente],B9,financeiro[idDet1],22,financeiro[idDet2],60,financeiro[idDet3],102,financeiro[id_grupo_tarifa],2,financeiro[id_detalhe_grupo_tarifa],9,financeiro[id_tipo_tarifa],9)+SUMIFS(financeiro[valor],financeiro[IdAgente],B9,financeiro[idDet1],22,financeiro[idDet2],60,financeiro[idDet3],102,financeiro[id_grupo_tarifa],2,financeiro[id_detalhe_grupo_tarifa],8,financeiro[id_tipo_tarifa],9)+SUMIFS(financeiro[valor],financeiro[IdAgente],B9,financeiro[idDet1],22,financeiro[idDet2],60,financeiro[idDet3],102,financeiro[id_grupo_tarifa],2,financeiro[id_detalhe_grupo_tarifa],10,financeiro[id_tipo_tarifa],9)+SUMIFS(financeiro[valor],financeiro[IdAgente],B9,financeiro[idDet1],22,financeiro[idDet2],60,financeiro[idDet3],102,financeiro[id_grupo_tarifa],2,financeiro[id_detalhe_grupo_tarifa],24,financeiro[id_tipo_tarifa],9)</f>
        <v>0</v>
      </c>
      <c r="BC9" s="267">
        <f>SUMIFS(financeiro[valor],financeiro[IdAgente],B9,financeiro[idDet1],22,financeiro[idDet2],60,financeiro[idDet3],522,financeiro[valor],"&lt;0")</f>
        <v>0</v>
      </c>
      <c r="BD9" s="267">
        <f>SUMIFS(financeiro[valor],financeiro[IdAgente],B9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9" s="267">
        <f>SUMIFS(financeiro[valor],financeiro[IdAgente],B9,financeiro[id_natureza_dado],2,financeiro[id_detalhe_natureza],2,financeiro[idDet1],20,financeiro[idDet2],60,financeiro[idDet3],82,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9" s="267">
        <f>SUMIFS(financeiro[valor],financeiro[IdAgente],B9,financeiro[id_natureza_dado],2,financeiro[id_detalhe_natureza],2,financeiro[idDet1],20,financeiro[idDet2],60,financeiro[idDet3],81,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9" s="267">
        <f>SUMIFS(financeiro[valor],financeiro[IdAgente],B9,financeiro[id_natureza_dado],2,financeiro[id_detalhe_natureza],2,financeiro[idDet1],20,financeiro[idDet2],60,financeiro[idDet3],503,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9" s="267">
        <f>SUMIFS(financeiro[valor],financeiro[IdAgente],B9,financeiro[idDet1],22,financeiro[idDet2],60,financeiro[idDet3],123)</f>
        <v>0</v>
      </c>
      <c r="BI9" s="267">
        <f>SUMIFS(financeiro[valor],financeiro[IdAgente],B9,financeiro[idDet1],20,financeiro[idDet2],60,financeiro[idDet3],73)</f>
        <v>0</v>
      </c>
      <c r="BJ9" s="267">
        <f>SUMIFS(financeiro[valor],financeiro[IdAgente],B9,financeiro[idDet1],22,financeiro[idDet2],60,financeiro[idDet3],527)</f>
        <v>0</v>
      </c>
      <c r="BK9" s="267">
        <f>SUMIFS(financeiro[valor],financeiro[IdAgente],B9,financeiro[idDet1],22,financeiro[idDet2],60,financeiro[idDet3],510)</f>
        <v>0</v>
      </c>
      <c r="BL9" s="267">
        <f>SUMIFS(financeiro[valor],financeiro[IdAgente],B9,financeiro[idDet1],22,financeiro[idDet2],60,financeiro[idDet3],526,
financeiro[id_grupo_tarifa],1,financeiro[id_detalhe_grupo_tarifa],3,financeiro[id_tipo_tarifa],9,financeiro[id_subgrupo],3)</f>
        <v>0</v>
      </c>
      <c r="BM9" s="267">
        <f>SUMIFS(financeiro[valor],financeiro[IdAgente],B9,financeiro[idDet1],22,financeiro[idDet2],60,financeiro[idDet3],999,
financeiro[id_grupo_tarifa],3,financeiro[id_detalhe_grupo_tarifa],17,financeiro[id_tipo_tarifa],9)</f>
        <v>0</v>
      </c>
      <c r="BN9" s="267">
        <f>SUMIFS(financeiro[valor],financeiro[IdAgente],B9,financeiro[idDet1],22,financeiro[idDet2],60,financeiro[idDet3],526,financeiro[id_grupo_tarifa],1,financeiro[id_detalhe_grupo_tarifa],7,financeiro[id_tipo_tarifa],9,financeiro[valor],"&lt;0")+SUMIFS(financeiro[valor],financeiro[IdAgente],B9,financeiro[idDet1],22,financeiro[idDet2],60,financeiro[idDet3],526,financeiro[id_grupo_tarifa],2,financeiro[id_detalhe_grupo_tarifa],11,financeiro[id_tipo_tarifa],9,financeiro[valor],"&lt;0")+SUMIFS(financeiro[valor],financeiro[IdAgente],B9,financeiro[idDet1],22,financeiro[idDet2],60,financeiro[idDet3],526,financeiro[id_grupo_tarifa],2,financeiro[id_detalhe_grupo_tarifa],8,financeiro[id_tipo_tarifa],9,financeiro[valor],"&lt;0")</f>
        <v>0</v>
      </c>
      <c r="BO9" s="267">
        <f>SUMIFS(financeiro[valor],financeiro[IdAgente],B9,financeiro[idDet1],22,financeiro[idDet2],60,financeiro[idDet3],999,financeiro[id_grupo_tarifa],4,financeiro[id_detalhe_grupo_tarifa],999,financeiro[id_tipo_tarifa],9,financeiro[valor],"&lt;0")</f>
        <v>0</v>
      </c>
      <c r="BP9" s="267">
        <f>SUMIFS(financeiro[valor],financeiro[IdAgente],B9,financeiro[idDet1],22,financeiro[idDet2],60,financeiro[idDet3],530,financeiro[valor],"&lt;0")</f>
        <v>0</v>
      </c>
      <c r="BQ9" s="267">
        <f>SUMIFS(financeiro[valor],financeiro[IdAgente],B9,financeiro[idDet1],22,financeiro[idDet2],60,financeiro[idDet3],531,financeiro[valor],"&lt;0")</f>
        <v>0</v>
      </c>
      <c r="BR9" s="267">
        <f>SUMIFS(financeiro[valor],financeiro[IdAgente],B9,financeiro[idDet1],22,financeiro[idDet2],62,financeiro[idDet3],532,financeiro[valor],"&lt;0")</f>
        <v>0</v>
      </c>
      <c r="BS9" s="267">
        <f>SUMIFS(financeiro[valor],financeiro[IdAgente],B9,financeiro[idDet1],22,financeiro[idDet2],62,financeiro[idDet3],533,financeiro[valor],"&lt;0")</f>
        <v>0</v>
      </c>
      <c r="BT9" s="267">
        <f>SUMIFS(financeiro[valor],financeiro[IdAgente],B9,financeiro[idDet1],22,financeiro[idDet2],62,financeiro[idDet3],534,financeiro[valor],"&lt;0")</f>
        <v>0</v>
      </c>
      <c r="BU9" s="4"/>
      <c r="BV9" s="4"/>
      <c r="BW9" s="210" t="s">
        <v>153</v>
      </c>
      <c r="BX9" t="str">
        <f>Efeito!B10</f>
        <v>NO SELECT</v>
      </c>
      <c r="BY9" s="267">
        <f>SUMIFS(Banco[valor],Banco[IdAgente],BX9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9" s="267">
        <f>SUMIFS(Banco[valor],Banco[IdAgente],BX9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9" s="267">
        <f>SUMIFS(Banco[valor],Banco[IdAgente],BX9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9" s="267">
        <f>SUMIFS(Banco[valor],Banco[IdAgente],BX9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9" s="267">
        <f>SUMIFS(Banco[valor],Banco[IdAgente],BX9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9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9" s="267">
        <f>SUMIFS(Banco[valor],Banco[IdAgente],BX9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9" s="267">
        <f>SUMIFS(Banco[valor],Banco[IdAgente],BX9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9" s="267">
        <f>SUMIFS(Banco[valor],Banco[IdAgente],BX9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9" s="267">
        <f>SUMIFS(Banco[valor],Banco[IdAgente],BX9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9" s="267">
        <f>SUMIFS(Banco[valor],Banco[IdAgente],BX9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9" s="267">
        <f>SUMIFS(Banco[valor],Banco[IdAgente],BX9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9" s="267">
        <f>SUMIFS(Banco[valor],Banco[IdAgente],BX9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9" s="267">
        <f>SUMIFS(Banco[valor],Banco[IdAgente],B9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9" s="267">
        <f>SUMIFS(Banco[valor],Banco[IdAgente],B9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9" s="267">
        <f>SUMIFS(Banco[valor],Banco[IdAgente],B9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10" spans="1:91">
      <c r="A10" t="s">
        <v>156</v>
      </c>
      <c r="B10" t="str">
        <f>Efeito!B11</f>
        <v>NO SELECT</v>
      </c>
      <c r="C10" s="267">
        <f>SUMIFS(Banco[valor],Banco[IdAgente],B10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10" s="267">
        <f>SUMIFS(Banco[valor],Banco[IdAgente],B10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10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10" s="267">
        <f>SUMIFS(Banco[valor],Banco[IdAgente],B10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10" s="267">
        <f>SUMIFS(Banco[valor],Banco[IdAgente],B10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10" s="267">
        <f>SUMIFS(Banco[valor],Banco[IdAgente],B10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10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10" s="267">
        <f>SUMIFS(Banco[valor],Banco[IdAgente],B10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10" s="267">
        <f>SUMIFS(Banco[valor],Banco[IdAgente],B10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10" s="267">
        <f>SUMIFS(Banco[valor],Banco[IdAgente],B10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10" s="267">
        <f>SUMIFS(Banco[valor],Banco[IdAgente],B10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10" s="267">
        <f>SUMIFS(Banco[valor],Banco[IdAgente],B10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10" s="267">
        <f>SUMIFS(Banco[valor],Banco[IdAgente],B10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10" s="267">
        <f>SUMIFS(Banco[valor],Banco[IdAgente],B10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10" s="267">
        <f>SUMIFS(Banco[valor],Banco[IdAgente],B10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10" s="267">
        <f t="shared" si="2"/>
        <v>0</v>
      </c>
      <c r="Q10" s="267">
        <f>SUMIFS(Banco[valor],Banco[IdAgente],B10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10" s="267">
        <f>SUMIFS(Banco[valor],Banco[IdAgente],B10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10" s="4"/>
      <c r="T10" s="4"/>
      <c r="U10" s="4"/>
      <c r="V10" s="267">
        <f>SUMIFS(financeiro[valor],financeiro[IdAgente],B10,financeiro[idDet1],22,financeiro[idDet2],60,financeiro[idDet3],526,financeiro[id_grupo_tarifa],1,financeiro[id_detalhe_grupo_tarifa],7,financeiro[id_tipo_tarifa],9,financeiro[id_subgrupo],99,financeiro[valor],"&gt;0")+SUMIFS(financeiro[valor],financeiro[IdAgente],B10,financeiro[idDet1],22,financeiro[idDet2],60,financeiro[idDet3],526,financeiro[id_grupo_tarifa],2,financeiro[id_detalhe_grupo_tarifa],11,financeiro[id_tipo_tarifa],9,financeiro[valor],"&gt;0")+SUMIFS(financeiro[valor],financeiro[IdAgente],B10,financeiro[idDet1],22,financeiro[idDet2],60,financeiro[idDet3],526,financeiro[id_grupo_tarifa],2,financeiro[id_detalhe_grupo_tarifa],9,financeiro[id_tipo_tarifa],9,financeiro[valor],"&gt;0")+SUMIFS(financeiro[valor],financeiro[IdAgente],B10,financeiro[idDet1],22,financeiro[idDet2],60,financeiro[idDet3],526,financeiro[id_grupo_tarifa],2,financeiro[id_detalhe_grupo_tarifa],8,financeiro[id_tipo_tarifa],9,financeiro[valor],"&gt;0")+SUMIFS(financeiro[valor],financeiro[IdAgente],B10,financeiro[idDet1],22,financeiro[idDet2],60,financeiro[idDet3],526,financeiro[id_grupo_tarifa],2,financeiro[id_detalhe_grupo_tarifa],10,financeiro[id_tipo_tarifa],9,financeiro[valor],"&gt;0")+SUMIFS(financeiro[valor],financeiro[IdAgente],B10,financeiro[idDet1],22,financeiro[idDet2],60,financeiro[idDet3],526,financeiro[id_grupo_tarifa],2,financeiro[id_detalhe_grupo_tarifa],24,financeiro[id_tipo_tarifa],9,financeiro[valor],"&gt;0")</f>
        <v>0</v>
      </c>
      <c r="W10" s="267">
        <f>SUMIFS(financeiro[valor],financeiro[IdAgente],B10,financeiro[idDet1],20,financeiro[idDet2],60,financeiro[idDet3],999,financeiro[id_grupo_tarifa],3,financeiro[id_detalhe_grupo_tarifa],14,financeiro[id_tipo_tarifa],9)+SUMIFS(financeiro[valor],financeiro[IdAgente],B10,financeiro[idDet1],20,financeiro[idDet2],60,financeiro[idDet3],999,financeiro[id_grupo_tarifa],3,financeiro[id_detalhe_grupo_tarifa],15,financeiro[id_tipo_tarifa],9)+SUMIFS(financeiro[valor],financeiro[IdAgente],B10,financeiro[idDet1],20,financeiro[idDet2],60,financeiro[idDet3],999,financeiro[id_grupo_tarifa],3,financeiro[id_detalhe_grupo_tarifa],16,financeiro[id_tipo_tarifa],9)+SUMIFS(financeiro[valor],financeiro[IdAgente],B10,financeiro[idDet1],20,financeiro[idDet2],60,financeiro[idDet3],999,financeiro[id_grupo_tarifa],3,financeiro[id_detalhe_grupo_tarifa],17,financeiro[id_tipo_tarifa],9)+SUMIFS(financeiro[valor],financeiro[IdAgente],B10,financeiro[idDet1],20,financeiro[idDet2],60,financeiro[idDet3],999,financeiro[id_grupo_tarifa],3,financeiro[id_detalhe_grupo_tarifa],18,financeiro[id_tipo_tarifa],9)+SUMIFS(financeiro[valor],financeiro[IdAgente],B10,financeiro[idDet1],20,financeiro[idDet2],60,financeiro[idDet3],999,financeiro[id_grupo_tarifa],3,financeiro[id_detalhe_grupo_tarifa],19,financeiro[id_tipo_tarifa],9)</f>
        <v>0</v>
      </c>
      <c r="X10" s="267">
        <f>SUMIFS(financeiro[valor],financeiro[IdAgente],B10,financeiro[idDet1],20,financeiro[idDet2],60,financeiro[idDet3],999,financeiro[id_grupo_tarifa],3,financeiro[id_detalhe_grupo_tarifa],12,financeiro[id_tipo_tarifa],9)+SUMIFS(financeiro[valor],financeiro[IdAgente],B10,financeiro[idDet1],20,financeiro[idDet2],60,financeiro[idDet3],999,financeiro[id_grupo_tarifa],4,financeiro[id_detalhe_grupo_tarifa],999,financeiro[id_tipo_tarifa],9)</f>
        <v>0</v>
      </c>
      <c r="Y10" s="267">
        <f>SUMIFS(financeiro[valor],financeiro[IdAgente],B10,financeiro[idDet1],20,financeiro[idDet2],60,financeiro[idDet3],179,financeiro[id_grupo_tarifa],99,financeiro[id_detalhe_grupo_tarifa],999,financeiro[id_tipo_tarifa],9)</f>
        <v>0</v>
      </c>
      <c r="Z10" s="267">
        <f>SUMIFS(financeiro[valor],financeiro[IdAgente],B10,financeiro[idDet1],20,financeiro[idDet2],60,financeiro[idDet3],999,financeiro[id_grupo_tarifa],2,financeiro[id_detalhe_grupo_tarifa],11,financeiro[id_tipo_tarifa],9,financeiro[valor],"&gt;0")+SUMIFS(financeiro[valor],financeiro[IdAgente],B10,financeiro[idDet1],20,financeiro[idDet2],60,financeiro[idDet3],999,financeiro[id_grupo_tarifa],2,financeiro[id_detalhe_grupo_tarifa],9,financeiro[id_tipo_tarifa],9,financeiro[valor],"&gt;0")+SUMIFS(financeiro[valor],financeiro[IdAgente],B10,financeiro[idDet1],20,financeiro[idDet2],60,financeiro[idDet3],999,financeiro[id_grupo_tarifa],2,financeiro[id_detalhe_grupo_tarifa],8,financeiro[id_tipo_tarifa],9,financeiro[valor],"&gt;0")+SUMIFS(financeiro[valor],financeiro[IdAgente],B10,financeiro[idDet1],20,financeiro[idDet2],60,financeiro[idDet3],999,financeiro[id_grupo_tarifa],2,financeiro[id_detalhe_grupo_tarifa],10,financeiro[id_tipo_tarifa],9,financeiro[valor],"&gt;0")+SUMIFS(financeiro[valor],financeiro[IdAgente],B10,financeiro[idDet1],20,financeiro[idDet2],60,financeiro[idDet3],999,financeiro[id_grupo_tarifa],2,financeiro[id_detalhe_grupo_tarifa],24,financeiro[id_tipo_tarifa],9,financeiro[valor],"&gt;0")+SUMIFS(financeiro[valor],financeiro[IdAgente],B10,financeiro[idDet1],20,financeiro[idDet2],60,financeiro[idDet3],999,financeiro[id_grupo_tarifa],2,financeiro[id_detalhe_grupo_tarifa],17,financeiro[id_tipo_tarifa],9,financeiro[valor],"&gt;0")+SUMIFS(financeiro[valor],financeiro[IdAgente],B10,financeiro[idDet1],999,financeiro[idDet2],999999,financeiro[idDet3],999,financeiro[id_grupo_tarifa],99,financeiro[id_detalhe_grupo_tarifa],999,financeiro[id_tipo_tarifa],9,financeiro[valor],"&gt;0")</f>
        <v>0</v>
      </c>
      <c r="AA10" s="267">
        <f>SUMIFS(financeiro[valor],financeiro[IdAgente],B10,financeiro[idDet1],22,financeiro[idDet2],60,financeiro[idDet3],529,financeiro[id_grupo_tarifa],1,financeiro[id_detalhe_grupo_tarifa],1,financeiro[id_tipo_tarifa],9,financeiro[valor],"&gt;0")+SUMIFS(financeiro[valor],financeiro[IdAgente],B10,financeiro[idDet1],22,financeiro[idDet2],60,financeiro[idDet3],529,financeiro[id_grupo_tarifa],1,financeiro[id_detalhe_grupo_tarifa],2,financeiro[id_tipo_tarifa],9,financeiro[valor],"&gt;0")</f>
        <v>0</v>
      </c>
      <c r="AB10" s="269"/>
      <c r="AC10" s="267">
        <f>SUMIFS(financeiro[valor],financeiro[IdAgente],B10,financeiro[idDet1],22,financeiro[idDet2],60,financeiro[idDet3],999,financeiro[id_grupo_tarifa],2,financeiro[id_detalhe_grupo_tarifa],30,financeiro[id_tipo_tarifa],9,financeiro[valor],"&gt;0")</f>
        <v>0</v>
      </c>
      <c r="AD10" s="267">
        <f>SUMIFS(financeiro[valor],financeiro[IdAgente],B10,financeiro[idDet1],22,financeiro[idDet2],60,financeiro[idDet3],178,financeiro[id_grupo_tarifa],1,financeiro[id_detalhe_grupo_tarifa],7,financeiro[id_tipo_tarifa],9)</f>
        <v>0</v>
      </c>
      <c r="AE10" s="267">
        <f>SUMIFS(financeiro[valor],financeiro[IdAgente],B10,financeiro[idDet1],22,financeiro[idDet2],60,financeiro[idDet3],242,financeiro[id_grupo_tarifa],4,financeiro[id_detalhe_grupo_tarifa],999,financeiro[id_tipo_tarifa],9)</f>
        <v>0</v>
      </c>
      <c r="AF10" s="267">
        <f>SUMIFS(financeiro[valor],financeiro[IdAgente],B10,financeiro[idDet1],22,financeiro[idDet2],60,financeiro[idDet3],525,financeiro[id_grupo_tarifa],2,financeiro[id_tipo_tarifa],9)</f>
        <v>0</v>
      </c>
      <c r="AG10" s="267">
        <f>SUMIFS(financeiro[valor],financeiro[IdAgente],B10,financeiro[idDet1],22,financeiro[idDet2],60,financeiro[idDet3],524)</f>
        <v>0</v>
      </c>
      <c r="AH10" s="269"/>
      <c r="AI10" s="267">
        <f>SUMIFS(financeiro[valor],financeiro[IdAgente],B10,financeiro[idDet1],22,financeiro[idDet2],60,financeiro[idDet3],523,financeiro[id_grupo_tarifa],2,financeiro[id_detalhe_grupo_tarifa],30,financeiro[id_tipo_tarifa],9)</f>
        <v>0</v>
      </c>
      <c r="AJ10" s="267">
        <f>SUMIFS(financeiro[valor],financeiro[IdAgente],B10,financeiro[idDet1],22,financeiro[idDet2],60,financeiro[idDet3],503,financeiro[id_grupo_tarifa],99,financeiro[id_detalhe_grupo_tarifa],999,financeiro[id_tipo_tarifa],3)</f>
        <v>0</v>
      </c>
      <c r="AK10" s="269"/>
      <c r="AL10" s="269"/>
      <c r="AM10" s="269"/>
      <c r="AN10" s="269"/>
      <c r="AO10" s="269"/>
      <c r="AP10" s="269"/>
      <c r="AQ10" s="269"/>
      <c r="AR10" s="269"/>
      <c r="AS10" s="269"/>
      <c r="AT10" s="267">
        <f>SUMIFS(financeiro[valor],financeiro[IdAgente],B10,financeiro[idDet1],22,financeiro[idDet2],60,financeiro[idDet3],235,financeiro[id_grupo_tarifa],4,financeiro[id_detalhe_grupo_tarifa],999,financeiro[id_tipo_tarifa],9)</f>
        <v>0</v>
      </c>
      <c r="AU10" s="267">
        <f>SUMIFS(financeiro[valor],financeiro[IdAgente],B10,financeiro[idDet1],22,financeiro[idDet2],60,financeiro[idDet3],512,
financeiro[id_grupo_tarifa],3,financeiro[id_detalhe_grupo_tarifa],28,financeiro[id_tipo_tarifa],9)</f>
        <v>0</v>
      </c>
      <c r="AV10" s="267">
        <f>SUMIFS(financeiro[valor],financeiro[IdAgente],B10,financeiro[idDet1],22,financeiro[idDet2],60,financeiro[idDet3],241,financeiro[id_grupo_tarifa],2,financeiro[id_detalhe_grupo_tarifa],11,financeiro[id_tipo_tarifa],9)+SUMIFS(financeiro[valor],financeiro[IdAgente],B10,financeiro[idDet1],22,financeiro[idDet2],60,financeiro[idDet3],241,financeiro[id_grupo_tarifa],2,financeiro[id_detalhe_grupo_tarifa],9,financeiro[id_tipo_tarifa],9)+SUMIFS(financeiro[valor],financeiro[IdAgente],B10,financeiro[idDet1],22,financeiro[idDet2],60,financeiro[idDet3],241,financeiro[id_grupo_tarifa],2,financeiro[id_detalhe_grupo_tarifa],8,financeiro[id_tipo_tarifa],9)+SUMIFS(financeiro[valor],financeiro[IdAgente],B10,financeiro[idDet1],22,financeiro[idDet2],60,financeiro[idDet3],241,financeiro[id_grupo_tarifa],2,financeiro[id_detalhe_grupo_tarifa],10,financeiro[id_tipo_tarifa],9)+SUMIFS(financeiro[valor],financeiro[IdAgente],B10,financeiro[idDet1],22,financeiro[idDet2],60,financeiro[idDet3],241,financeiro[id_grupo_tarifa],2,financeiro[id_detalhe_grupo_tarifa],24,financeiro[id_tipo_tarifa],9)</f>
        <v>0</v>
      </c>
      <c r="AW10" s="267">
        <f>SUMIFS(financeiro[valor],financeiro[IdAgente],B10,financeiro[idDet1],22,financeiro[idDet2],60,financeiro[idDet3],241,financeiro[id_grupo_tarifa],3,financeiro[id_detalhe_grupo_tarifa],17,financeiro[id_tipo_tarifa],9)</f>
        <v>0</v>
      </c>
      <c r="AX10" s="267">
        <f>SUMIFS(financeiro[valor],financeiro[IdAgente],B10,financeiro[idDet1],22,financeiro[idDet2],60,financeiro[idDet3],240,financeiro[id_grupo_tarifa],2,financeiro[id_detalhe_grupo_tarifa],11,financeiro[id_tipo_tarifa],9)+SUMIFS(financeiro[valor],financeiro[IdAgente],B10,financeiro[idDet1],22,financeiro[idDet2],60,financeiro[idDet3],240,financeiro[id_grupo_tarifa],2,financeiro[id_detalhe_grupo_tarifa],9,financeiro[id_tipo_tarifa],9)+SUMIFS(financeiro[valor],financeiro[IdAgente],B10,financeiro[idDet1],22,financeiro[idDet2],60,financeiro[idDet3],240,financeiro[id_grupo_tarifa],2,financeiro[id_detalhe_grupo_tarifa],8,financeiro[id_tipo_tarifa],9)+SUMIFS(financeiro[valor],financeiro[IdAgente],B10,financeiro[idDet1],22,financeiro[idDet2],60,financeiro[idDet3],240,financeiro[id_grupo_tarifa],2,financeiro[id_detalhe_grupo_tarifa],10,financeiro[id_tipo_tarifa],9)+SUMIFS(financeiro[valor],financeiro[IdAgente],B10,financeiro[idDet1],22,financeiro[idDet2],60,financeiro[idDet3],240,financeiro[id_grupo_tarifa],2,financeiro[id_detalhe_grupo_tarifa],24,financeiro[id_tipo_tarifa],9)</f>
        <v>0</v>
      </c>
      <c r="AY10" s="267">
        <f>SUMIFS(financeiro[valor],financeiro[IdAgente],B10,financeiro[idDet1],22,financeiro[idDet2],60,financeiro[idDet3],106,financeiro[id_grupo_tarifa],2,financeiro[id_detalhe_grupo_tarifa],11,financeiro[id_tipo_tarifa],9)+SUMIFS(financeiro[valor],financeiro[IdAgente],B10,financeiro[idDet1],22,financeiro[idDet2],60,financeiro[idDet3],106,financeiro[id_grupo_tarifa],2,financeiro[id_detalhe_grupo_tarifa],9,financeiro[id_tipo_tarifa],9)+SUMIFS(financeiro[valor],financeiro[IdAgente],B10,financeiro[idDet1],22,financeiro[idDet2],60,financeiro[idDet3],106,financeiro[id_grupo_tarifa],2,financeiro[id_detalhe_grupo_tarifa],8,financeiro[id_tipo_tarifa],9)+SUMIFS(financeiro[valor],financeiro[IdAgente],B10,financeiro[idDet1],22,financeiro[idDet2],60,financeiro[idDet3],106,financeiro[id_grupo_tarifa],2,financeiro[id_detalhe_grupo_tarifa],10,financeiro[id_tipo_tarifa],9)+SUMIFS(financeiro[valor],financeiro[IdAgente],B10,financeiro[idDet1],22,financeiro[idDet2],60,financeiro[idDet3],106,financeiro[id_grupo_tarifa],2,financeiro[id_detalhe_grupo_tarifa],24,financeiro[id_tipo_tarifa],9)</f>
        <v>0</v>
      </c>
      <c r="AZ10" s="267">
        <f>SUMIFS(financeiro[valor],financeiro[IdAgente],B10,financeiro[idDet1],22,financeiro[idDet2],62,financeiro[idDet3],220,financeiro[id_grupo_tarifa],2,financeiro[id_detalhe_grupo_tarifa],11,financeiro[id_tipo_tarifa],9)+SUMIFS(financeiro[valor],financeiro[IdAgente],B10,financeiro[idDet1],22,financeiro[idDet2],62,financeiro[idDet3],220,financeiro[id_grupo_tarifa],2,financeiro[id_detalhe_grupo_tarifa],9,financeiro[id_tipo_tarifa],9)+SUMIFS(financeiro[valor],financeiro[IdAgente],B10,financeiro[idDet1],22,financeiro[idDet2],62,financeiro[idDet3],220,financeiro[id_grupo_tarifa],2,financeiro[id_detalhe_grupo_tarifa],8,financeiro[id_tipo_tarifa],9)+SUMIFS(financeiro[valor],financeiro[IdAgente],B10,financeiro[idDet1],22,financeiro[idDet2],62,financeiro[idDet3],220,financeiro[id_grupo_tarifa],2,financeiro[id_detalhe_grupo_tarifa],10,financeiro[id_tipo_tarifa],9)+SUMIFS(financeiro[valor],financeiro[IdAgente],B10,financeiro[idDet1],22,financeiro[idDet2],62,financeiro[idDet3],220,financeiro[id_grupo_tarifa],2,financeiro[id_detalhe_grupo_tarifa],24,financeiro[id_tipo_tarifa],9)</f>
        <v>0</v>
      </c>
      <c r="BA10" s="267">
        <f>SUMIFS(financeiro[valor],financeiro[IdAgente],B10,financeiro[idDet1],22,financeiro[idDet2],60,financeiro[idDet3],220,financeiro[id_grupo_tarifa],2,financeiro[id_detalhe_grupo_tarifa],11,financeiro[id_tipo_tarifa],9)+SUMIFS(financeiro[valor],financeiro[IdAgente],B10,financeiro[idDet1],22,financeiro[idDet2],60,financeiro[idDet3],220,financeiro[id_grupo_tarifa],2,financeiro[id_detalhe_grupo_tarifa],9,financeiro[id_tipo_tarifa],9)+SUMIFS(financeiro[valor],financeiro[IdAgente],B10,financeiro[idDet1],22,financeiro[idDet2],60,financeiro[idDet3],220,financeiro[id_grupo_tarifa],2,financeiro[id_detalhe_grupo_tarifa],8,financeiro[id_tipo_tarifa],9)+SUMIFS(financeiro[valor],financeiro[IdAgente],B10,financeiro[idDet1],22,financeiro[idDet2],60,financeiro[idDet3],220,financeiro[id_grupo_tarifa],2,financeiro[id_detalhe_grupo_tarifa],10,financeiro[id_tipo_tarifa],9)+SUMIFS(financeiro[valor],financeiro[IdAgente],B10,financeiro[idDet1],22,financeiro[idDet2],60,financeiro[idDet3],220,financeiro[id_grupo_tarifa],2,financeiro[id_detalhe_grupo_tarifa],24,financeiro[id_tipo_tarifa],9)</f>
        <v>0</v>
      </c>
      <c r="BB10" s="267">
        <f>SUMIFS(financeiro[valor],financeiro[IdAgente],B10,financeiro[idDet1],22,financeiro[idDet2],60,financeiro[idDet3],102,financeiro[id_grupo_tarifa],2,financeiro[id_detalhe_grupo_tarifa],11,financeiro[id_tipo_tarifa],9)+SUMIFS(financeiro[valor],financeiro[IdAgente],B10,financeiro[idDet1],22,financeiro[idDet2],60,financeiro[idDet3],102,financeiro[id_grupo_tarifa],2,financeiro[id_detalhe_grupo_tarifa],9,financeiro[id_tipo_tarifa],9)+SUMIFS(financeiro[valor],financeiro[IdAgente],B10,financeiro[idDet1],22,financeiro[idDet2],60,financeiro[idDet3],102,financeiro[id_grupo_tarifa],2,financeiro[id_detalhe_grupo_tarifa],8,financeiro[id_tipo_tarifa],9)+SUMIFS(financeiro[valor],financeiro[IdAgente],B10,financeiro[idDet1],22,financeiro[idDet2],60,financeiro[idDet3],102,financeiro[id_grupo_tarifa],2,financeiro[id_detalhe_grupo_tarifa],10,financeiro[id_tipo_tarifa],9)+SUMIFS(financeiro[valor],financeiro[IdAgente],B10,financeiro[idDet1],22,financeiro[idDet2],60,financeiro[idDet3],102,financeiro[id_grupo_tarifa],2,financeiro[id_detalhe_grupo_tarifa],24,financeiro[id_tipo_tarifa],9)</f>
        <v>0</v>
      </c>
      <c r="BC10" s="267">
        <f>SUMIFS(financeiro[valor],financeiro[IdAgente],B10,financeiro[idDet1],22,financeiro[idDet2],60,financeiro[idDet3],522,financeiro[valor],"&lt;0")</f>
        <v>0</v>
      </c>
      <c r="BD10" s="267">
        <f>SUMIFS(financeiro[valor],financeiro[IdAgente],B10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10" s="267">
        <f>SUMIFS(financeiro[valor],financeiro[IdAgente],B10,financeiro[id_natureza_dado],2,financeiro[id_detalhe_natureza],2,financeiro[idDet1],20,financeiro[idDet2],60,financeiro[idDet3],82,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10" s="267">
        <f>SUMIFS(financeiro[valor],financeiro[IdAgente],B10,financeiro[id_natureza_dado],2,financeiro[id_detalhe_natureza],2,financeiro[idDet1],20,financeiro[idDet2],60,financeiro[idDet3],81,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10" s="267">
        <f>SUMIFS(financeiro[valor],financeiro[IdAgente],B10,financeiro[id_natureza_dado],2,financeiro[id_detalhe_natureza],2,financeiro[idDet1],20,financeiro[idDet2],60,financeiro[idDet3],503,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10" s="267">
        <f>SUMIFS(financeiro[valor],financeiro[IdAgente],B10,financeiro[idDet1],22,financeiro[idDet2],60,financeiro[idDet3],123)</f>
        <v>0</v>
      </c>
      <c r="BI10" s="267">
        <f>SUMIFS(financeiro[valor],financeiro[IdAgente],B10,financeiro[idDet1],20,financeiro[idDet2],60,financeiro[idDet3],73)</f>
        <v>0</v>
      </c>
      <c r="BJ10" s="267">
        <f>SUMIFS(financeiro[valor],financeiro[IdAgente],B10,financeiro[idDet1],22,financeiro[idDet2],60,financeiro[idDet3],527)</f>
        <v>0</v>
      </c>
      <c r="BK10" s="267">
        <f>SUMIFS(financeiro[valor],financeiro[IdAgente],B10,financeiro[idDet1],22,financeiro[idDet2],60,financeiro[idDet3],510)</f>
        <v>0</v>
      </c>
      <c r="BL10" s="267">
        <f>SUMIFS(financeiro[valor],financeiro[IdAgente],B10,financeiro[idDet1],22,financeiro[idDet2],60,financeiro[idDet3],526,
financeiro[id_grupo_tarifa],1,financeiro[id_detalhe_grupo_tarifa],3,financeiro[id_tipo_tarifa],9,financeiro[id_subgrupo],3)</f>
        <v>0</v>
      </c>
      <c r="BM10" s="267">
        <f>SUMIFS(financeiro[valor],financeiro[IdAgente],B10,financeiro[idDet1],22,financeiro[idDet2],60,financeiro[idDet3],999,
financeiro[id_grupo_tarifa],3,financeiro[id_detalhe_grupo_tarifa],17,financeiro[id_tipo_tarifa],9)</f>
        <v>0</v>
      </c>
      <c r="BN10" s="267">
        <f>SUMIFS(financeiro[valor],financeiro[IdAgente],B10,financeiro[idDet1],22,financeiro[idDet2],60,financeiro[idDet3],526,financeiro[id_grupo_tarifa],1,financeiro[id_detalhe_grupo_tarifa],7,financeiro[id_tipo_tarifa],9,financeiro[valor],"&lt;0")+SUMIFS(financeiro[valor],financeiro[IdAgente],B10,financeiro[idDet1],22,financeiro[idDet2],60,financeiro[idDet3],526,financeiro[id_grupo_tarifa],2,financeiro[id_detalhe_grupo_tarifa],11,financeiro[id_tipo_tarifa],9,financeiro[valor],"&lt;0")+SUMIFS(financeiro[valor],financeiro[IdAgente],B10,financeiro[idDet1],22,financeiro[idDet2],60,financeiro[idDet3],526,financeiro[id_grupo_tarifa],2,financeiro[id_detalhe_grupo_tarifa],8,financeiro[id_tipo_tarifa],9,financeiro[valor],"&lt;0")</f>
        <v>0</v>
      </c>
      <c r="BO10" s="267">
        <f>SUMIFS(financeiro[valor],financeiro[IdAgente],B10,financeiro[idDet1],22,financeiro[idDet2],60,financeiro[idDet3],999,financeiro[id_grupo_tarifa],4,financeiro[id_detalhe_grupo_tarifa],999,financeiro[id_tipo_tarifa],9,financeiro[valor],"&lt;0")</f>
        <v>0</v>
      </c>
      <c r="BP10" s="267">
        <f>SUMIFS(financeiro[valor],financeiro[IdAgente],B10,financeiro[idDet1],22,financeiro[idDet2],60,financeiro[idDet3],530,financeiro[valor],"&lt;0")</f>
        <v>0</v>
      </c>
      <c r="BQ10" s="267">
        <f>SUMIFS(financeiro[valor],financeiro[IdAgente],B10,financeiro[idDet1],22,financeiro[idDet2],60,financeiro[idDet3],531,financeiro[valor],"&lt;0")</f>
        <v>0</v>
      </c>
      <c r="BR10" s="267">
        <f>SUMIFS(financeiro[valor],financeiro[IdAgente],B10,financeiro[idDet1],22,financeiro[idDet2],62,financeiro[idDet3],532,financeiro[valor],"&lt;0")</f>
        <v>0</v>
      </c>
      <c r="BS10" s="267">
        <f>SUMIFS(financeiro[valor],financeiro[IdAgente],B10,financeiro[idDet1],22,financeiro[idDet2],62,financeiro[idDet3],533,financeiro[valor],"&lt;0")</f>
        <v>0</v>
      </c>
      <c r="BT10" s="267">
        <f>SUMIFS(financeiro[valor],financeiro[IdAgente],B10,financeiro[idDet1],22,financeiro[idDet2],62,financeiro[idDet3],534,financeiro[valor],"&lt;0")</f>
        <v>0</v>
      </c>
      <c r="BU10" s="4"/>
      <c r="BV10" s="4"/>
      <c r="BW10" s="210" t="s">
        <v>156</v>
      </c>
      <c r="BX10" t="str">
        <f>Efeito!B11</f>
        <v>NO SELECT</v>
      </c>
      <c r="BY10" s="267">
        <f>SUMIFS(Banco[valor],Banco[IdAgente],BX10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10" s="267">
        <f>SUMIFS(Banco[valor],Banco[IdAgente],BX10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10" s="267">
        <f>SUMIFS(Banco[valor],Banco[IdAgente],BX10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10" s="267">
        <f>SUMIFS(Banco[valor],Banco[IdAgente],BX10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10" s="267">
        <f>SUMIFS(Banco[valor],Banco[IdAgente],BX10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10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10" s="267">
        <f>SUMIFS(Banco[valor],Banco[IdAgente],BX10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10" s="267">
        <f>SUMIFS(Banco[valor],Banco[IdAgente],BX10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10" s="267">
        <f>SUMIFS(Banco[valor],Banco[IdAgente],BX10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10" s="267">
        <f>SUMIFS(Banco[valor],Banco[IdAgente],BX10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10" s="267">
        <f>SUMIFS(Banco[valor],Banco[IdAgente],BX10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10" s="267">
        <f>SUMIFS(Banco[valor],Banco[IdAgente],BX10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10" s="267">
        <f>SUMIFS(Banco[valor],Banco[IdAgente],BX10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10" s="267">
        <f>SUMIFS(Banco[valor],Banco[IdAgente],B10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10" s="267">
        <f>SUMIFS(Banco[valor],Banco[IdAgente],B10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10" s="267">
        <f>SUMIFS(Banco[valor],Banco[IdAgente],B10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11" spans="1:91">
      <c r="A11" t="s">
        <v>54</v>
      </c>
      <c r="B11" t="str">
        <f>Efeito!B12</f>
        <v>NO SELECT</v>
      </c>
      <c r="C11" s="267">
        <f>SUMIFS(Banco[valor],Banco[IdAgente],B11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11" s="267">
        <f>SUMIFS(Banco[valor],Banco[IdAgente],B11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11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11" s="267">
        <f>SUMIFS(Banco[valor],Banco[IdAgente],B11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11" s="267">
        <f>SUMIFS(Banco[valor],Banco[IdAgente],B11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11" s="267">
        <f>SUMIFS(Banco[valor],Banco[IdAgente],B11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11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11" s="267">
        <f>SUMIFS(Banco[valor],Banco[IdAgente],B11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11" s="267">
        <f>SUMIFS(Banco[valor],Banco[IdAgente],B11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11" s="267">
        <f>SUMIFS(Banco[valor],Banco[IdAgente],B11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11" s="267">
        <f>SUMIFS(Banco[valor],Banco[IdAgente],B11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11" s="267">
        <f>SUMIFS(Banco[valor],Banco[IdAgente],B11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11" s="267">
        <f>SUMIFS(Banco[valor],Banco[IdAgente],B11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11" s="267">
        <f>SUMIFS(Banco[valor],Banco[IdAgente],B11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11" s="267">
        <f>SUMIFS(Banco[valor],Banco[IdAgente],B11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11" s="267">
        <f t="shared" si="2"/>
        <v>0</v>
      </c>
      <c r="Q11" s="267">
        <f>SUMIFS(Banco[valor],Banco[IdAgente],B11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11" s="267">
        <f>SUMIFS(Banco[valor],Banco[IdAgente],B11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11" s="4"/>
      <c r="T11" s="4"/>
      <c r="U11" s="4"/>
      <c r="V11" s="267">
        <f>SUMIFS(financeiro[valor],financeiro[IdAgente],B11,financeiro[idDet1],22,financeiro[idDet2],60,financeiro[idDet3],526,financeiro[id_grupo_tarifa],1,financeiro[id_detalhe_grupo_tarifa],7,financeiro[id_tipo_tarifa],9,financeiro[id_subgrupo],99,financeiro[valor],"&gt;0")+SUMIFS(financeiro[valor],financeiro[IdAgente],B11,financeiro[idDet1],22,financeiro[idDet2],60,financeiro[idDet3],526,financeiro[id_grupo_tarifa],2,financeiro[id_detalhe_grupo_tarifa],11,financeiro[id_tipo_tarifa],9,financeiro[valor],"&gt;0")+SUMIFS(financeiro[valor],financeiro[IdAgente],B11,financeiro[idDet1],22,financeiro[idDet2],60,financeiro[idDet3],526,financeiro[id_grupo_tarifa],2,financeiro[id_detalhe_grupo_tarifa],9,financeiro[id_tipo_tarifa],9,financeiro[valor],"&gt;0")+SUMIFS(financeiro[valor],financeiro[IdAgente],B11,financeiro[idDet1],22,financeiro[idDet2],60,financeiro[idDet3],526,financeiro[id_grupo_tarifa],2,financeiro[id_detalhe_grupo_tarifa],8,financeiro[id_tipo_tarifa],9,financeiro[valor],"&gt;0")+SUMIFS(financeiro[valor],financeiro[IdAgente],B11,financeiro[idDet1],22,financeiro[idDet2],60,financeiro[idDet3],526,financeiro[id_grupo_tarifa],2,financeiro[id_detalhe_grupo_tarifa],10,financeiro[id_tipo_tarifa],9,financeiro[valor],"&gt;0")+SUMIFS(financeiro[valor],financeiro[IdAgente],B11,financeiro[idDet1],22,financeiro[idDet2],60,financeiro[idDet3],526,financeiro[id_grupo_tarifa],2,financeiro[id_detalhe_grupo_tarifa],24,financeiro[id_tipo_tarifa],9,financeiro[valor],"&gt;0")</f>
        <v>0</v>
      </c>
      <c r="W11" s="267">
        <f>SUMIFS(financeiro[valor],financeiro[IdAgente],B11,financeiro[idDet1],20,financeiro[idDet2],60,financeiro[idDet3],999,financeiro[id_grupo_tarifa],3,financeiro[id_detalhe_grupo_tarifa],14,financeiro[id_tipo_tarifa],9)+SUMIFS(financeiro[valor],financeiro[IdAgente],B11,financeiro[idDet1],20,financeiro[idDet2],60,financeiro[idDet3],999,financeiro[id_grupo_tarifa],3,financeiro[id_detalhe_grupo_tarifa],15,financeiro[id_tipo_tarifa],9)+SUMIFS(financeiro[valor],financeiro[IdAgente],B11,financeiro[idDet1],20,financeiro[idDet2],60,financeiro[idDet3],999,financeiro[id_grupo_tarifa],3,financeiro[id_detalhe_grupo_tarifa],16,financeiro[id_tipo_tarifa],9)+SUMIFS(financeiro[valor],financeiro[IdAgente],B11,financeiro[idDet1],20,financeiro[idDet2],60,financeiro[idDet3],999,financeiro[id_grupo_tarifa],3,financeiro[id_detalhe_grupo_tarifa],17,financeiro[id_tipo_tarifa],9)+SUMIFS(financeiro[valor],financeiro[IdAgente],B11,financeiro[idDet1],20,financeiro[idDet2],60,financeiro[idDet3],999,financeiro[id_grupo_tarifa],3,financeiro[id_detalhe_grupo_tarifa],18,financeiro[id_tipo_tarifa],9)+SUMIFS(financeiro[valor],financeiro[IdAgente],B11,financeiro[idDet1],20,financeiro[idDet2],60,financeiro[idDet3],999,financeiro[id_grupo_tarifa],3,financeiro[id_detalhe_grupo_tarifa],19,financeiro[id_tipo_tarifa],9)</f>
        <v>0</v>
      </c>
      <c r="X11" s="267">
        <f>SUMIFS(financeiro[valor],financeiro[IdAgente],B11,financeiro[idDet1],20,financeiro[idDet2],60,financeiro[idDet3],999,financeiro[id_grupo_tarifa],3,financeiro[id_detalhe_grupo_tarifa],12,financeiro[id_tipo_tarifa],9)+SUMIFS(financeiro[valor],financeiro[IdAgente],B11,financeiro[idDet1],20,financeiro[idDet2],60,financeiro[idDet3],999,financeiro[id_grupo_tarifa],4,financeiro[id_detalhe_grupo_tarifa],999,financeiro[id_tipo_tarifa],9)</f>
        <v>0</v>
      </c>
      <c r="Y11" s="267">
        <f>SUMIFS(financeiro[valor],financeiro[IdAgente],B11,financeiro[idDet1],20,financeiro[idDet2],60,financeiro[idDet3],179,financeiro[id_grupo_tarifa],99,financeiro[id_detalhe_grupo_tarifa],999,financeiro[id_tipo_tarifa],9)</f>
        <v>0</v>
      </c>
      <c r="Z11" s="267">
        <f>SUMIFS(financeiro[valor],financeiro[IdAgente],B11,financeiro[idDet1],20,financeiro[idDet2],60,financeiro[idDet3],999,financeiro[id_grupo_tarifa],2,financeiro[id_detalhe_grupo_tarifa],11,financeiro[id_tipo_tarifa],9,financeiro[valor],"&gt;0")+SUMIFS(financeiro[valor],financeiro[IdAgente],B11,financeiro[idDet1],20,financeiro[idDet2],60,financeiro[idDet3],999,financeiro[id_grupo_tarifa],2,financeiro[id_detalhe_grupo_tarifa],9,financeiro[id_tipo_tarifa],9,financeiro[valor],"&gt;0")+SUMIFS(financeiro[valor],financeiro[IdAgente],B11,financeiro[idDet1],20,financeiro[idDet2],60,financeiro[idDet3],999,financeiro[id_grupo_tarifa],2,financeiro[id_detalhe_grupo_tarifa],8,financeiro[id_tipo_tarifa],9,financeiro[valor],"&gt;0")+SUMIFS(financeiro[valor],financeiro[IdAgente],B11,financeiro[idDet1],20,financeiro[idDet2],60,financeiro[idDet3],999,financeiro[id_grupo_tarifa],2,financeiro[id_detalhe_grupo_tarifa],10,financeiro[id_tipo_tarifa],9,financeiro[valor],"&gt;0")+SUMIFS(financeiro[valor],financeiro[IdAgente],B11,financeiro[idDet1],20,financeiro[idDet2],60,financeiro[idDet3],999,financeiro[id_grupo_tarifa],2,financeiro[id_detalhe_grupo_tarifa],24,financeiro[id_tipo_tarifa],9,financeiro[valor],"&gt;0")+SUMIFS(financeiro[valor],financeiro[IdAgente],B11,financeiro[idDet1],20,financeiro[idDet2],60,financeiro[idDet3],999,financeiro[id_grupo_tarifa],2,financeiro[id_detalhe_grupo_tarifa],17,financeiro[id_tipo_tarifa],9,financeiro[valor],"&gt;0")+SUMIFS(financeiro[valor],financeiro[IdAgente],B11,financeiro[idDet1],999,financeiro[idDet2],999999,financeiro[idDet3],999,financeiro[id_grupo_tarifa],99,financeiro[id_detalhe_grupo_tarifa],999,financeiro[id_tipo_tarifa],9,financeiro[valor],"&gt;0")</f>
        <v>0</v>
      </c>
      <c r="AA11" s="267">
        <f>SUMIFS(financeiro[valor],financeiro[IdAgente],B11,financeiro[idDet1],22,financeiro[idDet2],60,financeiro[idDet3],529,financeiro[id_grupo_tarifa],1,financeiro[id_detalhe_grupo_tarifa],1,financeiro[id_tipo_tarifa],9,financeiro[valor],"&gt;0")+SUMIFS(financeiro[valor],financeiro[IdAgente],B11,financeiro[idDet1],22,financeiro[idDet2],60,financeiro[idDet3],529,financeiro[id_grupo_tarifa],1,financeiro[id_detalhe_grupo_tarifa],2,financeiro[id_tipo_tarifa],9,financeiro[valor],"&gt;0")</f>
        <v>0</v>
      </c>
      <c r="AB11" s="269"/>
      <c r="AC11" s="267">
        <f>SUMIFS(financeiro[valor],financeiro[IdAgente],B11,financeiro[idDet1],22,financeiro[idDet2],60,financeiro[idDet3],999,financeiro[id_grupo_tarifa],2,financeiro[id_detalhe_grupo_tarifa],30,financeiro[id_tipo_tarifa],9,financeiro[valor],"&gt;0")</f>
        <v>0</v>
      </c>
      <c r="AD11" s="267">
        <f>SUMIFS(financeiro[valor],financeiro[IdAgente],B11,financeiro[idDet1],22,financeiro[idDet2],60,financeiro[idDet3],178,financeiro[id_grupo_tarifa],1,financeiro[id_detalhe_grupo_tarifa],7,financeiro[id_tipo_tarifa],9)</f>
        <v>0</v>
      </c>
      <c r="AE11" s="267">
        <f>SUMIFS(financeiro[valor],financeiro[IdAgente],B11,financeiro[idDet1],22,financeiro[idDet2],60,financeiro[idDet3],242,financeiro[id_grupo_tarifa],4,financeiro[id_detalhe_grupo_tarifa],999,financeiro[id_tipo_tarifa],9)</f>
        <v>0</v>
      </c>
      <c r="AF11" s="267">
        <f>SUMIFS(financeiro[valor],financeiro[IdAgente],B11,financeiro[idDet1],22,financeiro[idDet2],60,financeiro[idDet3],525,financeiro[id_grupo_tarifa],2,financeiro[id_tipo_tarifa],9)</f>
        <v>0</v>
      </c>
      <c r="AG11" s="267">
        <f>SUMIFS(financeiro[valor],financeiro[IdAgente],B11,financeiro[idDet1],22,financeiro[idDet2],60,financeiro[idDet3],524)</f>
        <v>0</v>
      </c>
      <c r="AH11" s="269"/>
      <c r="AI11" s="267">
        <f>SUMIFS(financeiro[valor],financeiro[IdAgente],B11,financeiro[idDet1],22,financeiro[idDet2],60,financeiro[idDet3],523,financeiro[id_grupo_tarifa],2,financeiro[id_detalhe_grupo_tarifa],30,financeiro[id_tipo_tarifa],9)</f>
        <v>0</v>
      </c>
      <c r="AJ11" s="267">
        <f>SUMIFS(financeiro[valor],financeiro[IdAgente],B11,financeiro[idDet1],22,financeiro[idDet2],60,financeiro[idDet3],503,financeiro[id_grupo_tarifa],99,financeiro[id_detalhe_grupo_tarifa],999,financeiro[id_tipo_tarifa],3)</f>
        <v>0</v>
      </c>
      <c r="AK11" s="269"/>
      <c r="AL11" s="269"/>
      <c r="AM11" s="269"/>
      <c r="AN11" s="269"/>
      <c r="AO11" s="269"/>
      <c r="AP11" s="269"/>
      <c r="AQ11" s="269"/>
      <c r="AR11" s="269"/>
      <c r="AS11" s="269"/>
      <c r="AT11" s="267">
        <f>SUMIFS(financeiro[valor],financeiro[IdAgente],B11,financeiro[idDet1],22,financeiro[idDet2],60,financeiro[idDet3],235,financeiro[id_grupo_tarifa],4,financeiro[id_detalhe_grupo_tarifa],999,financeiro[id_tipo_tarifa],9)</f>
        <v>0</v>
      </c>
      <c r="AU11" s="267">
        <f>SUMIFS(financeiro[valor],financeiro[IdAgente],B11,financeiro[idDet1],22,financeiro[idDet2],60,financeiro[idDet3],512,
financeiro[id_grupo_tarifa],3,financeiro[id_detalhe_grupo_tarifa],28,financeiro[id_tipo_tarifa],9)</f>
        <v>0</v>
      </c>
      <c r="AV11" s="267">
        <f>SUMIFS(financeiro[valor],financeiro[IdAgente],B11,financeiro[idDet1],22,financeiro[idDet2],60,financeiro[idDet3],241,financeiro[id_grupo_tarifa],2,financeiro[id_detalhe_grupo_tarifa],11,financeiro[id_tipo_tarifa],9)+SUMIFS(financeiro[valor],financeiro[IdAgente],B11,financeiro[idDet1],22,financeiro[idDet2],60,financeiro[idDet3],241,financeiro[id_grupo_tarifa],2,financeiro[id_detalhe_grupo_tarifa],9,financeiro[id_tipo_tarifa],9)+SUMIFS(financeiro[valor],financeiro[IdAgente],B11,financeiro[idDet1],22,financeiro[idDet2],60,financeiro[idDet3],241,financeiro[id_grupo_tarifa],2,financeiro[id_detalhe_grupo_tarifa],8,financeiro[id_tipo_tarifa],9)+SUMIFS(financeiro[valor],financeiro[IdAgente],B11,financeiro[idDet1],22,financeiro[idDet2],60,financeiro[idDet3],241,financeiro[id_grupo_tarifa],2,financeiro[id_detalhe_grupo_tarifa],10,financeiro[id_tipo_tarifa],9)+SUMIFS(financeiro[valor],financeiro[IdAgente],B11,financeiro[idDet1],22,financeiro[idDet2],60,financeiro[idDet3],241,financeiro[id_grupo_tarifa],2,financeiro[id_detalhe_grupo_tarifa],24,financeiro[id_tipo_tarifa],9)</f>
        <v>0</v>
      </c>
      <c r="AW11" s="267">
        <f>SUMIFS(financeiro[valor],financeiro[IdAgente],B11,financeiro[idDet1],22,financeiro[idDet2],60,financeiro[idDet3],241,financeiro[id_grupo_tarifa],3,financeiro[id_detalhe_grupo_tarifa],17,financeiro[id_tipo_tarifa],9)</f>
        <v>0</v>
      </c>
      <c r="AX11" s="267">
        <f>SUMIFS(financeiro[valor],financeiro[IdAgente],B11,financeiro[idDet1],22,financeiro[idDet2],60,financeiro[idDet3],240,financeiro[id_grupo_tarifa],2,financeiro[id_detalhe_grupo_tarifa],11,financeiro[id_tipo_tarifa],9)+SUMIFS(financeiro[valor],financeiro[IdAgente],B11,financeiro[idDet1],22,financeiro[idDet2],60,financeiro[idDet3],240,financeiro[id_grupo_tarifa],2,financeiro[id_detalhe_grupo_tarifa],9,financeiro[id_tipo_tarifa],9)+SUMIFS(financeiro[valor],financeiro[IdAgente],B11,financeiro[idDet1],22,financeiro[idDet2],60,financeiro[idDet3],240,financeiro[id_grupo_tarifa],2,financeiro[id_detalhe_grupo_tarifa],8,financeiro[id_tipo_tarifa],9)+SUMIFS(financeiro[valor],financeiro[IdAgente],B11,financeiro[idDet1],22,financeiro[idDet2],60,financeiro[idDet3],240,financeiro[id_grupo_tarifa],2,financeiro[id_detalhe_grupo_tarifa],10,financeiro[id_tipo_tarifa],9)+SUMIFS(financeiro[valor],financeiro[IdAgente],B11,financeiro[idDet1],22,financeiro[idDet2],60,financeiro[idDet3],240,financeiro[id_grupo_tarifa],2,financeiro[id_detalhe_grupo_tarifa],24,financeiro[id_tipo_tarifa],9)</f>
        <v>0</v>
      </c>
      <c r="AY11" s="267">
        <f>SUMIFS(financeiro[valor],financeiro[IdAgente],B11,financeiro[idDet1],22,financeiro[idDet2],60,financeiro[idDet3],106,financeiro[id_grupo_tarifa],2,financeiro[id_detalhe_grupo_tarifa],11,financeiro[id_tipo_tarifa],9)+SUMIFS(financeiro[valor],financeiro[IdAgente],B11,financeiro[idDet1],22,financeiro[idDet2],60,financeiro[idDet3],106,financeiro[id_grupo_tarifa],2,financeiro[id_detalhe_grupo_tarifa],9,financeiro[id_tipo_tarifa],9)+SUMIFS(financeiro[valor],financeiro[IdAgente],B11,financeiro[idDet1],22,financeiro[idDet2],60,financeiro[idDet3],106,financeiro[id_grupo_tarifa],2,financeiro[id_detalhe_grupo_tarifa],8,financeiro[id_tipo_tarifa],9)+SUMIFS(financeiro[valor],financeiro[IdAgente],B11,financeiro[idDet1],22,financeiro[idDet2],60,financeiro[idDet3],106,financeiro[id_grupo_tarifa],2,financeiro[id_detalhe_grupo_tarifa],10,financeiro[id_tipo_tarifa],9)+SUMIFS(financeiro[valor],financeiro[IdAgente],B11,financeiro[idDet1],22,financeiro[idDet2],60,financeiro[idDet3],106,financeiro[id_grupo_tarifa],2,financeiro[id_detalhe_grupo_tarifa],24,financeiro[id_tipo_tarifa],9)</f>
        <v>0</v>
      </c>
      <c r="AZ11" s="267">
        <f>SUMIFS(financeiro[valor],financeiro[IdAgente],B11,financeiro[idDet1],22,financeiro[idDet2],62,financeiro[idDet3],220,financeiro[id_grupo_tarifa],2,financeiro[id_detalhe_grupo_tarifa],11,financeiro[id_tipo_tarifa],9)+SUMIFS(financeiro[valor],financeiro[IdAgente],B11,financeiro[idDet1],22,financeiro[idDet2],62,financeiro[idDet3],220,financeiro[id_grupo_tarifa],2,financeiro[id_detalhe_grupo_tarifa],9,financeiro[id_tipo_tarifa],9)+SUMIFS(financeiro[valor],financeiro[IdAgente],B11,financeiro[idDet1],22,financeiro[idDet2],62,financeiro[idDet3],220,financeiro[id_grupo_tarifa],2,financeiro[id_detalhe_grupo_tarifa],8,financeiro[id_tipo_tarifa],9)+SUMIFS(financeiro[valor],financeiro[IdAgente],B11,financeiro[idDet1],22,financeiro[idDet2],62,financeiro[idDet3],220,financeiro[id_grupo_tarifa],2,financeiro[id_detalhe_grupo_tarifa],10,financeiro[id_tipo_tarifa],9)+SUMIFS(financeiro[valor],financeiro[IdAgente],B11,financeiro[idDet1],22,financeiro[idDet2],62,financeiro[idDet3],220,financeiro[id_grupo_tarifa],2,financeiro[id_detalhe_grupo_tarifa],24,financeiro[id_tipo_tarifa],9)</f>
        <v>0</v>
      </c>
      <c r="BA11" s="267">
        <f>SUMIFS(financeiro[valor],financeiro[IdAgente],B11,financeiro[idDet1],22,financeiro[idDet2],60,financeiro[idDet3],220,financeiro[id_grupo_tarifa],2,financeiro[id_detalhe_grupo_tarifa],11,financeiro[id_tipo_tarifa],9)+SUMIFS(financeiro[valor],financeiro[IdAgente],B11,financeiro[idDet1],22,financeiro[idDet2],60,financeiro[idDet3],220,financeiro[id_grupo_tarifa],2,financeiro[id_detalhe_grupo_tarifa],9,financeiro[id_tipo_tarifa],9)+SUMIFS(financeiro[valor],financeiro[IdAgente],B11,financeiro[idDet1],22,financeiro[idDet2],60,financeiro[idDet3],220,financeiro[id_grupo_tarifa],2,financeiro[id_detalhe_grupo_tarifa],8,financeiro[id_tipo_tarifa],9)+SUMIFS(financeiro[valor],financeiro[IdAgente],B11,financeiro[idDet1],22,financeiro[idDet2],60,financeiro[idDet3],220,financeiro[id_grupo_tarifa],2,financeiro[id_detalhe_grupo_tarifa],10,financeiro[id_tipo_tarifa],9)+SUMIFS(financeiro[valor],financeiro[IdAgente],B11,financeiro[idDet1],22,financeiro[idDet2],60,financeiro[idDet3],220,financeiro[id_grupo_tarifa],2,financeiro[id_detalhe_grupo_tarifa],24,financeiro[id_tipo_tarifa],9)</f>
        <v>0</v>
      </c>
      <c r="BB11" s="267">
        <f>SUMIFS(financeiro[valor],financeiro[IdAgente],B11,financeiro[idDet1],22,financeiro[idDet2],60,financeiro[idDet3],102,financeiro[id_grupo_tarifa],2,financeiro[id_detalhe_grupo_tarifa],11,financeiro[id_tipo_tarifa],9)+SUMIFS(financeiro[valor],financeiro[IdAgente],B11,financeiro[idDet1],22,financeiro[idDet2],60,financeiro[idDet3],102,financeiro[id_grupo_tarifa],2,financeiro[id_detalhe_grupo_tarifa],9,financeiro[id_tipo_tarifa],9)+SUMIFS(financeiro[valor],financeiro[IdAgente],B11,financeiro[idDet1],22,financeiro[idDet2],60,financeiro[idDet3],102,financeiro[id_grupo_tarifa],2,financeiro[id_detalhe_grupo_tarifa],8,financeiro[id_tipo_tarifa],9)+SUMIFS(financeiro[valor],financeiro[IdAgente],B11,financeiro[idDet1],22,financeiro[idDet2],60,financeiro[idDet3],102,financeiro[id_grupo_tarifa],2,financeiro[id_detalhe_grupo_tarifa],10,financeiro[id_tipo_tarifa],9)+SUMIFS(financeiro[valor],financeiro[IdAgente],B11,financeiro[idDet1],22,financeiro[idDet2],60,financeiro[idDet3],102,financeiro[id_grupo_tarifa],2,financeiro[id_detalhe_grupo_tarifa],24,financeiro[id_tipo_tarifa],9)</f>
        <v>0</v>
      </c>
      <c r="BC11" s="267">
        <f>SUMIFS(financeiro[valor],financeiro[IdAgente],B11,financeiro[idDet1],22,financeiro[idDet2],60,financeiro[idDet3],522,financeiro[valor],"&lt;0")</f>
        <v>0</v>
      </c>
      <c r="BD11" s="267">
        <f>SUMIFS(financeiro[valor],financeiro[IdAgente],B11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11" s="267">
        <f>SUMIFS(financeiro[valor],financeiro[IdAgente],B11,financeiro[id_natureza_dado],2,financeiro[id_detalhe_natureza],2,financeiro[idDet1],20,financeiro[idDet2],60,financeiro[idDet3],82,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11" s="267">
        <f>SUMIFS(financeiro[valor],financeiro[IdAgente],B11,financeiro[id_natureza_dado],2,financeiro[id_detalhe_natureza],2,financeiro[idDet1],20,financeiro[idDet2],60,financeiro[idDet3],81,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11" s="267">
        <f>SUMIFS(financeiro[valor],financeiro[IdAgente],B11,financeiro[id_natureza_dado],2,financeiro[id_detalhe_natureza],2,financeiro[idDet1],20,financeiro[idDet2],60,financeiro[idDet3],503,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11" s="267">
        <f>SUMIFS(financeiro[valor],financeiro[IdAgente],B11,financeiro[idDet1],22,financeiro[idDet2],60,financeiro[idDet3],123)</f>
        <v>0</v>
      </c>
      <c r="BI11" s="267">
        <f>SUMIFS(financeiro[valor],financeiro[IdAgente],B11,financeiro[idDet1],20,financeiro[idDet2],60,financeiro[idDet3],73)</f>
        <v>0</v>
      </c>
      <c r="BJ11" s="267">
        <f>SUMIFS(financeiro[valor],financeiro[IdAgente],B11,financeiro[idDet1],22,financeiro[idDet2],60,financeiro[idDet3],527)</f>
        <v>0</v>
      </c>
      <c r="BK11" s="267">
        <f>SUMIFS(financeiro[valor],financeiro[IdAgente],B11,financeiro[idDet1],22,financeiro[idDet2],60,financeiro[idDet3],510)</f>
        <v>0</v>
      </c>
      <c r="BL11" s="267">
        <f>SUMIFS(financeiro[valor],financeiro[IdAgente],B11,financeiro[idDet1],22,financeiro[idDet2],60,financeiro[idDet3],526,
financeiro[id_grupo_tarifa],1,financeiro[id_detalhe_grupo_tarifa],3,financeiro[id_tipo_tarifa],9,financeiro[id_subgrupo],3)</f>
        <v>0</v>
      </c>
      <c r="BM11" s="267">
        <f>SUMIFS(financeiro[valor],financeiro[IdAgente],B11,financeiro[idDet1],22,financeiro[idDet2],60,financeiro[idDet3],999,
financeiro[id_grupo_tarifa],3,financeiro[id_detalhe_grupo_tarifa],17,financeiro[id_tipo_tarifa],9)</f>
        <v>0</v>
      </c>
      <c r="BN11" s="267">
        <f>SUMIFS(financeiro[valor],financeiro[IdAgente],B11,financeiro[idDet1],22,financeiro[idDet2],60,financeiro[idDet3],526,financeiro[id_grupo_tarifa],1,financeiro[id_detalhe_grupo_tarifa],7,financeiro[id_tipo_tarifa],9,financeiro[valor],"&lt;0")+SUMIFS(financeiro[valor],financeiro[IdAgente],B11,financeiro[idDet1],22,financeiro[idDet2],60,financeiro[idDet3],526,financeiro[id_grupo_tarifa],2,financeiro[id_detalhe_grupo_tarifa],11,financeiro[id_tipo_tarifa],9,financeiro[valor],"&lt;0")+SUMIFS(financeiro[valor],financeiro[IdAgente],B11,financeiro[idDet1],22,financeiro[idDet2],60,financeiro[idDet3],526,financeiro[id_grupo_tarifa],2,financeiro[id_detalhe_grupo_tarifa],8,financeiro[id_tipo_tarifa],9,financeiro[valor],"&lt;0")</f>
        <v>0</v>
      </c>
      <c r="BO11" s="267">
        <f>SUMIFS(financeiro[valor],financeiro[IdAgente],B11,financeiro[idDet1],22,financeiro[idDet2],60,financeiro[idDet3],999,financeiro[id_grupo_tarifa],4,financeiro[id_detalhe_grupo_tarifa],999,financeiro[id_tipo_tarifa],9,financeiro[valor],"&lt;0")</f>
        <v>0</v>
      </c>
      <c r="BP11" s="267">
        <f>SUMIFS(financeiro[valor],financeiro[IdAgente],B11,financeiro[idDet1],22,financeiro[idDet2],60,financeiro[idDet3],530,financeiro[valor],"&lt;0")</f>
        <v>0</v>
      </c>
      <c r="BQ11" s="267">
        <f>SUMIFS(financeiro[valor],financeiro[IdAgente],B11,financeiro[idDet1],22,financeiro[idDet2],60,financeiro[idDet3],531,financeiro[valor],"&lt;0")</f>
        <v>0</v>
      </c>
      <c r="BR11" s="267">
        <f>SUMIFS(financeiro[valor],financeiro[IdAgente],B11,financeiro[idDet1],22,financeiro[idDet2],62,financeiro[idDet3],532,financeiro[valor],"&lt;0")</f>
        <v>0</v>
      </c>
      <c r="BS11" s="267">
        <f>SUMIFS(financeiro[valor],financeiro[IdAgente],B11,financeiro[idDet1],22,financeiro[idDet2],62,financeiro[idDet3],533,financeiro[valor],"&lt;0")</f>
        <v>0</v>
      </c>
      <c r="BT11" s="267">
        <f>SUMIFS(financeiro[valor],financeiro[IdAgente],B11,financeiro[idDet1],22,financeiro[idDet2],62,financeiro[idDet3],534,financeiro[valor],"&lt;0")</f>
        <v>0</v>
      </c>
      <c r="BW11" s="209" t="s">
        <v>54</v>
      </c>
      <c r="BX11" t="str">
        <f>Efeito!B12</f>
        <v>NO SELECT</v>
      </c>
      <c r="BY11" s="267">
        <f>SUMIFS(Banco[valor],Banco[IdAgente],BX11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11" s="267">
        <f>SUMIFS(Banco[valor],Banco[IdAgente],BX11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11" s="267">
        <f>SUMIFS(Banco[valor],Banco[IdAgente],BX11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11" s="267">
        <f>SUMIFS(Banco[valor],Banco[IdAgente],BX11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11" s="267">
        <f>SUMIFS(Banco[valor],Banco[IdAgente],BX11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11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11" s="267">
        <f>SUMIFS(Banco[valor],Banco[IdAgente],BX11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11" s="267">
        <f>SUMIFS(Banco[valor],Banco[IdAgente],BX11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11" s="267">
        <f>SUMIFS(Banco[valor],Banco[IdAgente],BX11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11" s="267">
        <f>SUMIFS(Banco[valor],Banco[IdAgente],BX11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11" s="267">
        <f>SUMIFS(Banco[valor],Banco[IdAgente],BX11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11" s="267">
        <f>SUMIFS(Banco[valor],Banco[IdAgente],BX11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11" s="267">
        <f>SUMIFS(Banco[valor],Banco[IdAgente],BX11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11" s="267">
        <f>SUMIFS(Banco[valor],Banco[IdAgente],B11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11" s="267">
        <f>SUMIFS(Banco[valor],Banco[IdAgente],B11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11" s="267">
        <f>SUMIFS(Banco[valor],Banco[IdAgente],B11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12" spans="1:91">
      <c r="A12" t="s">
        <v>159</v>
      </c>
      <c r="B12" t="str">
        <f>Efeito!B13</f>
        <v>NO SELECT</v>
      </c>
      <c r="C12" s="267">
        <f>SUMIFS(Banco[valor],Banco[IdAgente],B12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12" s="267">
        <f>SUMIFS(Banco[valor],Banco[IdAgente],B12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12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12" s="267">
        <f>SUMIFS(Banco[valor],Banco[IdAgente],B12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12" s="267">
        <f>SUMIFS(Banco[valor],Banco[IdAgente],B12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12" s="267">
        <f>SUMIFS(Banco[valor],Banco[IdAgente],B12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12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12" s="267">
        <f>SUMIFS(Banco[valor],Banco[IdAgente],B12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12" s="267">
        <f>SUMIFS(Banco[valor],Banco[IdAgente],B12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12" s="267">
        <f>SUMIFS(Banco[valor],Banco[IdAgente],B12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12" s="267">
        <f>SUMIFS(Banco[valor],Banco[IdAgente],B12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12" s="267">
        <f>SUMIFS(Banco[valor],Banco[IdAgente],B12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12" s="267">
        <f>SUMIFS(Banco[valor],Banco[IdAgente],B12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12" s="267">
        <f>SUMIFS(Banco[valor],Banco[IdAgente],B12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12" s="267">
        <f>SUMIFS(Banco[valor],Banco[IdAgente],B12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12" s="267">
        <f t="shared" si="2"/>
        <v>0</v>
      </c>
      <c r="Q12" s="267">
        <f>SUMIFS(Banco[valor],Banco[IdAgente],B12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12" s="267">
        <f>SUMIFS(Banco[valor],Banco[IdAgente],B12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12" s="4"/>
      <c r="T12" s="4"/>
      <c r="U12" s="4"/>
      <c r="V12" s="267">
        <f>SUMIFS(financeiro[valor],financeiro[IdAgente],B12,financeiro[idDet1],22,financeiro[idDet2],60,financeiro[idDet3],526,financeiro[id_grupo_tarifa],1,financeiro[id_detalhe_grupo_tarifa],7,financeiro[id_tipo_tarifa],9,financeiro[id_subgrupo],99,financeiro[valor],"&gt;0")+SUMIFS(financeiro[valor],financeiro[IdAgente],B12,financeiro[idDet1],22,financeiro[idDet2],60,financeiro[idDet3],526,financeiro[id_grupo_tarifa],2,financeiro[id_detalhe_grupo_tarifa],11,financeiro[id_tipo_tarifa],9,financeiro[valor],"&gt;0")+SUMIFS(financeiro[valor],financeiro[IdAgente],B12,financeiro[idDet1],22,financeiro[idDet2],60,financeiro[idDet3],526,financeiro[id_grupo_tarifa],2,financeiro[id_detalhe_grupo_tarifa],9,financeiro[id_tipo_tarifa],9,financeiro[valor],"&gt;0")+SUMIFS(financeiro[valor],financeiro[IdAgente],B12,financeiro[idDet1],22,financeiro[idDet2],60,financeiro[idDet3],526,financeiro[id_grupo_tarifa],2,financeiro[id_detalhe_grupo_tarifa],8,financeiro[id_tipo_tarifa],9,financeiro[valor],"&gt;0")+SUMIFS(financeiro[valor],financeiro[IdAgente],B12,financeiro[idDet1],22,financeiro[idDet2],60,financeiro[idDet3],526,financeiro[id_grupo_tarifa],2,financeiro[id_detalhe_grupo_tarifa],10,financeiro[id_tipo_tarifa],9,financeiro[valor],"&gt;0")+SUMIFS(financeiro[valor],financeiro[IdAgente],B12,financeiro[idDet1],22,financeiro[idDet2],60,financeiro[idDet3],526,financeiro[id_grupo_tarifa],2,financeiro[id_detalhe_grupo_tarifa],24,financeiro[id_tipo_tarifa],9,financeiro[valor],"&gt;0")</f>
        <v>0</v>
      </c>
      <c r="W12" s="267">
        <f>SUMIFS(financeiro[valor],financeiro[IdAgente],B12,financeiro[idDet1],20,financeiro[idDet2],60,financeiro[idDet3],999,financeiro[id_grupo_tarifa],3,financeiro[id_detalhe_grupo_tarifa],14,financeiro[id_tipo_tarifa],9)+SUMIFS(financeiro[valor],financeiro[IdAgente],B12,financeiro[idDet1],20,financeiro[idDet2],60,financeiro[idDet3],999,financeiro[id_grupo_tarifa],3,financeiro[id_detalhe_grupo_tarifa],15,financeiro[id_tipo_tarifa],9)+SUMIFS(financeiro[valor],financeiro[IdAgente],B12,financeiro[idDet1],20,financeiro[idDet2],60,financeiro[idDet3],999,financeiro[id_grupo_tarifa],3,financeiro[id_detalhe_grupo_tarifa],16,financeiro[id_tipo_tarifa],9)+SUMIFS(financeiro[valor],financeiro[IdAgente],B12,financeiro[idDet1],20,financeiro[idDet2],60,financeiro[idDet3],999,financeiro[id_grupo_tarifa],3,financeiro[id_detalhe_grupo_tarifa],17,financeiro[id_tipo_tarifa],9)+SUMIFS(financeiro[valor],financeiro[IdAgente],B12,financeiro[idDet1],20,financeiro[idDet2],60,financeiro[idDet3],999,financeiro[id_grupo_tarifa],3,financeiro[id_detalhe_grupo_tarifa],18,financeiro[id_tipo_tarifa],9)+SUMIFS(financeiro[valor],financeiro[IdAgente],B12,financeiro[idDet1],20,financeiro[idDet2],60,financeiro[idDet3],999,financeiro[id_grupo_tarifa],3,financeiro[id_detalhe_grupo_tarifa],19,financeiro[id_tipo_tarifa],9)</f>
        <v>0</v>
      </c>
      <c r="X12" s="267">
        <f>SUMIFS(financeiro[valor],financeiro[IdAgente],B12,financeiro[idDet1],20,financeiro[idDet2],60,financeiro[idDet3],999,financeiro[id_grupo_tarifa],3,financeiro[id_detalhe_grupo_tarifa],12,financeiro[id_tipo_tarifa],9)+SUMIFS(financeiro[valor],financeiro[IdAgente],B12,financeiro[idDet1],20,financeiro[idDet2],60,financeiro[idDet3],999,financeiro[id_grupo_tarifa],4,financeiro[id_detalhe_grupo_tarifa],999,financeiro[id_tipo_tarifa],9)</f>
        <v>0</v>
      </c>
      <c r="Y12" s="267">
        <f>SUMIFS(financeiro[valor],financeiro[IdAgente],B12,financeiro[idDet1],20,financeiro[idDet2],60,financeiro[idDet3],179,financeiro[id_grupo_tarifa],99,financeiro[id_detalhe_grupo_tarifa],999,financeiro[id_tipo_tarifa],9)</f>
        <v>0</v>
      </c>
      <c r="Z12" s="267">
        <f>SUMIFS(financeiro[valor],financeiro[IdAgente],B12,financeiro[idDet1],20,financeiro[idDet2],60,financeiro[idDet3],999,financeiro[id_grupo_tarifa],2,financeiro[id_detalhe_grupo_tarifa],11,financeiro[id_tipo_tarifa],9,financeiro[valor],"&gt;0")+SUMIFS(financeiro[valor],financeiro[IdAgente],B12,financeiro[idDet1],20,financeiro[idDet2],60,financeiro[idDet3],999,financeiro[id_grupo_tarifa],2,financeiro[id_detalhe_grupo_tarifa],9,financeiro[id_tipo_tarifa],9,financeiro[valor],"&gt;0")+SUMIFS(financeiro[valor],financeiro[IdAgente],B12,financeiro[idDet1],20,financeiro[idDet2],60,financeiro[idDet3],999,financeiro[id_grupo_tarifa],2,financeiro[id_detalhe_grupo_tarifa],8,financeiro[id_tipo_tarifa],9,financeiro[valor],"&gt;0")+SUMIFS(financeiro[valor],financeiro[IdAgente],B12,financeiro[idDet1],20,financeiro[idDet2],60,financeiro[idDet3],999,financeiro[id_grupo_tarifa],2,financeiro[id_detalhe_grupo_tarifa],10,financeiro[id_tipo_tarifa],9,financeiro[valor],"&gt;0")+SUMIFS(financeiro[valor],financeiro[IdAgente],B12,financeiro[idDet1],20,financeiro[idDet2],60,financeiro[idDet3],999,financeiro[id_grupo_tarifa],2,financeiro[id_detalhe_grupo_tarifa],24,financeiro[id_tipo_tarifa],9,financeiro[valor],"&gt;0")+SUMIFS(financeiro[valor],financeiro[IdAgente],B12,financeiro[idDet1],20,financeiro[idDet2],60,financeiro[idDet3],999,financeiro[id_grupo_tarifa],2,financeiro[id_detalhe_grupo_tarifa],17,financeiro[id_tipo_tarifa],9,financeiro[valor],"&gt;0")+SUMIFS(financeiro[valor],financeiro[IdAgente],B12,financeiro[idDet1],999,financeiro[idDet2],999999,financeiro[idDet3],999,financeiro[id_grupo_tarifa],99,financeiro[id_detalhe_grupo_tarifa],999,financeiro[id_tipo_tarifa],9,financeiro[valor],"&gt;0")</f>
        <v>0</v>
      </c>
      <c r="AA12" s="267">
        <f>SUMIFS(financeiro[valor],financeiro[IdAgente],B12,financeiro[idDet1],22,financeiro[idDet2],60,financeiro[idDet3],529,financeiro[id_grupo_tarifa],1,financeiro[id_detalhe_grupo_tarifa],1,financeiro[id_tipo_tarifa],9,financeiro[valor],"&gt;0")+SUMIFS(financeiro[valor],financeiro[IdAgente],B12,financeiro[idDet1],22,financeiro[idDet2],60,financeiro[idDet3],529,financeiro[id_grupo_tarifa],1,financeiro[id_detalhe_grupo_tarifa],2,financeiro[id_tipo_tarifa],9,financeiro[valor],"&gt;0")</f>
        <v>0</v>
      </c>
      <c r="AB12" s="269"/>
      <c r="AC12" s="267">
        <f>SUMIFS(financeiro[valor],financeiro[IdAgente],B12,financeiro[idDet1],22,financeiro[idDet2],60,financeiro[idDet3],999,financeiro[id_grupo_tarifa],2,financeiro[id_detalhe_grupo_tarifa],30,financeiro[id_tipo_tarifa],9,financeiro[valor],"&gt;0")</f>
        <v>0</v>
      </c>
      <c r="AD12" s="267">
        <f>SUMIFS(financeiro[valor],financeiro[IdAgente],B12,financeiro[idDet1],22,financeiro[idDet2],60,financeiro[idDet3],178,financeiro[id_grupo_tarifa],1,financeiro[id_detalhe_grupo_tarifa],7,financeiro[id_tipo_tarifa],9)</f>
        <v>0</v>
      </c>
      <c r="AE12" s="267">
        <f>SUMIFS(financeiro[valor],financeiro[IdAgente],B12,financeiro[idDet1],22,financeiro[idDet2],60,financeiro[idDet3],242,financeiro[id_grupo_tarifa],4,financeiro[id_detalhe_grupo_tarifa],999,financeiro[id_tipo_tarifa],9)</f>
        <v>0</v>
      </c>
      <c r="AF12" s="267">
        <f>SUMIFS(financeiro[valor],financeiro[IdAgente],B12,financeiro[idDet1],22,financeiro[idDet2],60,financeiro[idDet3],525,financeiro[id_grupo_tarifa],2,financeiro[id_tipo_tarifa],9)</f>
        <v>0</v>
      </c>
      <c r="AG12" s="267">
        <f>SUMIFS(financeiro[valor],financeiro[IdAgente],B12,financeiro[idDet1],22,financeiro[idDet2],60,financeiro[idDet3],524)</f>
        <v>0</v>
      </c>
      <c r="AH12" s="269"/>
      <c r="AI12" s="267">
        <f>SUMIFS(financeiro[valor],financeiro[IdAgente],B12,financeiro[idDet1],22,financeiro[idDet2],60,financeiro[idDet3],523,financeiro[id_grupo_tarifa],2,financeiro[id_detalhe_grupo_tarifa],30,financeiro[id_tipo_tarifa],9)</f>
        <v>0</v>
      </c>
      <c r="AJ12" s="267">
        <f>SUMIFS(financeiro[valor],financeiro[IdAgente],B12,financeiro[idDet1],22,financeiro[idDet2],60,financeiro[idDet3],503,financeiro[id_grupo_tarifa],99,financeiro[id_detalhe_grupo_tarifa],999,financeiro[id_tipo_tarifa],3)</f>
        <v>0</v>
      </c>
      <c r="AK12" s="269"/>
      <c r="AL12" s="269"/>
      <c r="AM12" s="269"/>
      <c r="AN12" s="269"/>
      <c r="AO12" s="269"/>
      <c r="AP12" s="269"/>
      <c r="AQ12" s="269"/>
      <c r="AR12" s="269"/>
      <c r="AS12" s="269"/>
      <c r="AT12" s="267">
        <f>SUMIFS(financeiro[valor],financeiro[IdAgente],B12,financeiro[idDet1],22,financeiro[idDet2],60,financeiro[idDet3],235,financeiro[id_grupo_tarifa],4,financeiro[id_detalhe_grupo_tarifa],999,financeiro[id_tipo_tarifa],9)</f>
        <v>0</v>
      </c>
      <c r="AU12" s="267">
        <f>SUMIFS(financeiro[valor],financeiro[IdAgente],B12,financeiro[idDet1],22,financeiro[idDet2],60,financeiro[idDet3],512,
financeiro[id_grupo_tarifa],3,financeiro[id_detalhe_grupo_tarifa],28,financeiro[id_tipo_tarifa],9)</f>
        <v>0</v>
      </c>
      <c r="AV12" s="267">
        <f>SUMIFS(financeiro[valor],financeiro[IdAgente],B12,financeiro[idDet1],22,financeiro[idDet2],60,financeiro[idDet3],241,financeiro[id_grupo_tarifa],2,financeiro[id_detalhe_grupo_tarifa],11,financeiro[id_tipo_tarifa],9)+SUMIFS(financeiro[valor],financeiro[IdAgente],B12,financeiro[idDet1],22,financeiro[idDet2],60,financeiro[idDet3],241,financeiro[id_grupo_tarifa],2,financeiro[id_detalhe_grupo_tarifa],9,financeiro[id_tipo_tarifa],9)+SUMIFS(financeiro[valor],financeiro[IdAgente],B12,financeiro[idDet1],22,financeiro[idDet2],60,financeiro[idDet3],241,financeiro[id_grupo_tarifa],2,financeiro[id_detalhe_grupo_tarifa],8,financeiro[id_tipo_tarifa],9)+SUMIFS(financeiro[valor],financeiro[IdAgente],B12,financeiro[idDet1],22,financeiro[idDet2],60,financeiro[idDet3],241,financeiro[id_grupo_tarifa],2,financeiro[id_detalhe_grupo_tarifa],10,financeiro[id_tipo_tarifa],9)+SUMIFS(financeiro[valor],financeiro[IdAgente],B12,financeiro[idDet1],22,financeiro[idDet2],60,financeiro[idDet3],241,financeiro[id_grupo_tarifa],2,financeiro[id_detalhe_grupo_tarifa],24,financeiro[id_tipo_tarifa],9)</f>
        <v>0</v>
      </c>
      <c r="AW12" s="267">
        <f>SUMIFS(financeiro[valor],financeiro[IdAgente],B12,financeiro[idDet1],22,financeiro[idDet2],60,financeiro[idDet3],241,financeiro[id_grupo_tarifa],3,financeiro[id_detalhe_grupo_tarifa],17,financeiro[id_tipo_tarifa],9)</f>
        <v>0</v>
      </c>
      <c r="AX12" s="267">
        <f>SUMIFS(financeiro[valor],financeiro[IdAgente],B12,financeiro[idDet1],22,financeiro[idDet2],60,financeiro[idDet3],240,financeiro[id_grupo_tarifa],2,financeiro[id_detalhe_grupo_tarifa],11,financeiro[id_tipo_tarifa],9)+SUMIFS(financeiro[valor],financeiro[IdAgente],B12,financeiro[idDet1],22,financeiro[idDet2],60,financeiro[idDet3],240,financeiro[id_grupo_tarifa],2,financeiro[id_detalhe_grupo_tarifa],9,financeiro[id_tipo_tarifa],9)+SUMIFS(financeiro[valor],financeiro[IdAgente],B12,financeiro[idDet1],22,financeiro[idDet2],60,financeiro[idDet3],240,financeiro[id_grupo_tarifa],2,financeiro[id_detalhe_grupo_tarifa],8,financeiro[id_tipo_tarifa],9)+SUMIFS(financeiro[valor],financeiro[IdAgente],B12,financeiro[idDet1],22,financeiro[idDet2],60,financeiro[idDet3],240,financeiro[id_grupo_tarifa],2,financeiro[id_detalhe_grupo_tarifa],10,financeiro[id_tipo_tarifa],9)+SUMIFS(financeiro[valor],financeiro[IdAgente],B12,financeiro[idDet1],22,financeiro[idDet2],60,financeiro[idDet3],240,financeiro[id_grupo_tarifa],2,financeiro[id_detalhe_grupo_tarifa],24,financeiro[id_tipo_tarifa],9)</f>
        <v>0</v>
      </c>
      <c r="AY12" s="267">
        <f>SUMIFS(financeiro[valor],financeiro[IdAgente],B12,financeiro[idDet1],22,financeiro[idDet2],60,financeiro[idDet3],106,financeiro[id_grupo_tarifa],2,financeiro[id_detalhe_grupo_tarifa],11,financeiro[id_tipo_tarifa],9)+SUMIFS(financeiro[valor],financeiro[IdAgente],B12,financeiro[idDet1],22,financeiro[idDet2],60,financeiro[idDet3],106,financeiro[id_grupo_tarifa],2,financeiro[id_detalhe_grupo_tarifa],9,financeiro[id_tipo_tarifa],9)+SUMIFS(financeiro[valor],financeiro[IdAgente],B12,financeiro[idDet1],22,financeiro[idDet2],60,financeiro[idDet3],106,financeiro[id_grupo_tarifa],2,financeiro[id_detalhe_grupo_tarifa],8,financeiro[id_tipo_tarifa],9)+SUMIFS(financeiro[valor],financeiro[IdAgente],B12,financeiro[idDet1],22,financeiro[idDet2],60,financeiro[idDet3],106,financeiro[id_grupo_tarifa],2,financeiro[id_detalhe_grupo_tarifa],10,financeiro[id_tipo_tarifa],9)+SUMIFS(financeiro[valor],financeiro[IdAgente],B12,financeiro[idDet1],22,financeiro[idDet2],60,financeiro[idDet3],106,financeiro[id_grupo_tarifa],2,financeiro[id_detalhe_grupo_tarifa],24,financeiro[id_tipo_tarifa],9)</f>
        <v>0</v>
      </c>
      <c r="AZ12" s="267">
        <f>SUMIFS(financeiro[valor],financeiro[IdAgente],B12,financeiro[idDet1],22,financeiro[idDet2],62,financeiro[idDet3],220,financeiro[id_grupo_tarifa],2,financeiro[id_detalhe_grupo_tarifa],11,financeiro[id_tipo_tarifa],9)+SUMIFS(financeiro[valor],financeiro[IdAgente],B12,financeiro[idDet1],22,financeiro[idDet2],62,financeiro[idDet3],220,financeiro[id_grupo_tarifa],2,financeiro[id_detalhe_grupo_tarifa],9,financeiro[id_tipo_tarifa],9)+SUMIFS(financeiro[valor],financeiro[IdAgente],B12,financeiro[idDet1],22,financeiro[idDet2],62,financeiro[idDet3],220,financeiro[id_grupo_tarifa],2,financeiro[id_detalhe_grupo_tarifa],8,financeiro[id_tipo_tarifa],9)+SUMIFS(financeiro[valor],financeiro[IdAgente],B12,financeiro[idDet1],22,financeiro[idDet2],62,financeiro[idDet3],220,financeiro[id_grupo_tarifa],2,financeiro[id_detalhe_grupo_tarifa],10,financeiro[id_tipo_tarifa],9)+SUMIFS(financeiro[valor],financeiro[IdAgente],B12,financeiro[idDet1],22,financeiro[idDet2],62,financeiro[idDet3],220,financeiro[id_grupo_tarifa],2,financeiro[id_detalhe_grupo_tarifa],24,financeiro[id_tipo_tarifa],9)</f>
        <v>0</v>
      </c>
      <c r="BA12" s="267">
        <f>SUMIFS(financeiro[valor],financeiro[IdAgente],B12,financeiro[idDet1],22,financeiro[idDet2],60,financeiro[idDet3],220,financeiro[id_grupo_tarifa],2,financeiro[id_detalhe_grupo_tarifa],11,financeiro[id_tipo_tarifa],9)+SUMIFS(financeiro[valor],financeiro[IdAgente],B12,financeiro[idDet1],22,financeiro[idDet2],60,financeiro[idDet3],220,financeiro[id_grupo_tarifa],2,financeiro[id_detalhe_grupo_tarifa],9,financeiro[id_tipo_tarifa],9)+SUMIFS(financeiro[valor],financeiro[IdAgente],B12,financeiro[idDet1],22,financeiro[idDet2],60,financeiro[idDet3],220,financeiro[id_grupo_tarifa],2,financeiro[id_detalhe_grupo_tarifa],8,financeiro[id_tipo_tarifa],9)+SUMIFS(financeiro[valor],financeiro[IdAgente],B12,financeiro[idDet1],22,financeiro[idDet2],60,financeiro[idDet3],220,financeiro[id_grupo_tarifa],2,financeiro[id_detalhe_grupo_tarifa],10,financeiro[id_tipo_tarifa],9)+SUMIFS(financeiro[valor],financeiro[IdAgente],B12,financeiro[idDet1],22,financeiro[idDet2],60,financeiro[idDet3],220,financeiro[id_grupo_tarifa],2,financeiro[id_detalhe_grupo_tarifa],24,financeiro[id_tipo_tarifa],9)</f>
        <v>0</v>
      </c>
      <c r="BB12" s="267">
        <f>SUMIFS(financeiro[valor],financeiro[IdAgente],B12,financeiro[idDet1],22,financeiro[idDet2],60,financeiro[idDet3],102,financeiro[id_grupo_tarifa],2,financeiro[id_detalhe_grupo_tarifa],11,financeiro[id_tipo_tarifa],9)+SUMIFS(financeiro[valor],financeiro[IdAgente],B12,financeiro[idDet1],22,financeiro[idDet2],60,financeiro[idDet3],102,financeiro[id_grupo_tarifa],2,financeiro[id_detalhe_grupo_tarifa],9,financeiro[id_tipo_tarifa],9)+SUMIFS(financeiro[valor],financeiro[IdAgente],B12,financeiro[idDet1],22,financeiro[idDet2],60,financeiro[idDet3],102,financeiro[id_grupo_tarifa],2,financeiro[id_detalhe_grupo_tarifa],8,financeiro[id_tipo_tarifa],9)+SUMIFS(financeiro[valor],financeiro[IdAgente],B12,financeiro[idDet1],22,financeiro[idDet2],60,financeiro[idDet3],102,financeiro[id_grupo_tarifa],2,financeiro[id_detalhe_grupo_tarifa],10,financeiro[id_tipo_tarifa],9)+SUMIFS(financeiro[valor],financeiro[IdAgente],B12,financeiro[idDet1],22,financeiro[idDet2],60,financeiro[idDet3],102,financeiro[id_grupo_tarifa],2,financeiro[id_detalhe_grupo_tarifa],24,financeiro[id_tipo_tarifa],9)</f>
        <v>0</v>
      </c>
      <c r="BC12" s="267">
        <f>SUMIFS(financeiro[valor],financeiro[IdAgente],B12,financeiro[idDet1],22,financeiro[idDet2],60,financeiro[idDet3],522,financeiro[valor],"&lt;0")</f>
        <v>0</v>
      </c>
      <c r="BD12" s="267">
        <f>SUMIFS(financeiro[valor],financeiro[IdAgente],B12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12" s="267">
        <f>SUMIFS(financeiro[valor],financeiro[IdAgente],B12,financeiro[id_natureza_dado],2,financeiro[id_detalhe_natureza],2,financeiro[idDet1],20,financeiro[idDet2],60,financeiro[idDet3],82,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12" s="267">
        <f>SUMIFS(financeiro[valor],financeiro[IdAgente],B12,financeiro[id_natureza_dado],2,financeiro[id_detalhe_natureza],2,financeiro[idDet1],20,financeiro[idDet2],60,financeiro[idDet3],81,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12" s="267">
        <f>SUMIFS(financeiro[valor],financeiro[IdAgente],B12,financeiro[id_natureza_dado],2,financeiro[id_detalhe_natureza],2,financeiro[idDet1],20,financeiro[idDet2],60,financeiro[idDet3],503,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12" s="267">
        <f>SUMIFS(financeiro[valor],financeiro[IdAgente],B12,financeiro[idDet1],22,financeiro[idDet2],60,financeiro[idDet3],123)</f>
        <v>0</v>
      </c>
      <c r="BI12" s="267">
        <f>SUMIFS(financeiro[valor],financeiro[IdAgente],B12,financeiro[idDet1],20,financeiro[idDet2],60,financeiro[idDet3],73)</f>
        <v>0</v>
      </c>
      <c r="BJ12" s="267">
        <f>SUMIFS(financeiro[valor],financeiro[IdAgente],B12,financeiro[idDet1],22,financeiro[idDet2],60,financeiro[idDet3],527)</f>
        <v>0</v>
      </c>
      <c r="BK12" s="267">
        <f>SUMIFS(financeiro[valor],financeiro[IdAgente],B12,financeiro[idDet1],22,financeiro[idDet2],60,financeiro[idDet3],510)</f>
        <v>0</v>
      </c>
      <c r="BL12" s="267">
        <f>SUMIFS(financeiro[valor],financeiro[IdAgente],B12,financeiro[idDet1],22,financeiro[idDet2],60,financeiro[idDet3],526,
financeiro[id_grupo_tarifa],1,financeiro[id_detalhe_grupo_tarifa],3,financeiro[id_tipo_tarifa],9,financeiro[id_subgrupo],3)</f>
        <v>0</v>
      </c>
      <c r="BM12" s="267">
        <f>SUMIFS(financeiro[valor],financeiro[IdAgente],B12,financeiro[idDet1],22,financeiro[idDet2],60,financeiro[idDet3],999,
financeiro[id_grupo_tarifa],3,financeiro[id_detalhe_grupo_tarifa],17,financeiro[id_tipo_tarifa],9)</f>
        <v>0</v>
      </c>
      <c r="BN12" s="267">
        <f>SUMIFS(financeiro[valor],financeiro[IdAgente],B12,financeiro[idDet1],22,financeiro[idDet2],60,financeiro[idDet3],526,financeiro[id_grupo_tarifa],1,financeiro[id_detalhe_grupo_tarifa],7,financeiro[id_tipo_tarifa],9,financeiro[valor],"&lt;0")+SUMIFS(financeiro[valor],financeiro[IdAgente],B12,financeiro[idDet1],22,financeiro[idDet2],60,financeiro[idDet3],526,financeiro[id_grupo_tarifa],2,financeiro[id_detalhe_grupo_tarifa],11,financeiro[id_tipo_tarifa],9,financeiro[valor],"&lt;0")+SUMIFS(financeiro[valor],financeiro[IdAgente],B12,financeiro[idDet1],22,financeiro[idDet2],60,financeiro[idDet3],526,financeiro[id_grupo_tarifa],2,financeiro[id_detalhe_grupo_tarifa],8,financeiro[id_tipo_tarifa],9,financeiro[valor],"&lt;0")</f>
        <v>0</v>
      </c>
      <c r="BO12" s="267">
        <f>SUMIFS(financeiro[valor],financeiro[IdAgente],B12,financeiro[idDet1],22,financeiro[idDet2],60,financeiro[idDet3],999,financeiro[id_grupo_tarifa],4,financeiro[id_detalhe_grupo_tarifa],999,financeiro[id_tipo_tarifa],9,financeiro[valor],"&lt;0")</f>
        <v>0</v>
      </c>
      <c r="BP12" s="267">
        <f>SUMIFS(financeiro[valor],financeiro[IdAgente],B12,financeiro[idDet1],22,financeiro[idDet2],60,financeiro[idDet3],530,financeiro[valor],"&lt;0")</f>
        <v>0</v>
      </c>
      <c r="BQ12" s="267">
        <f>SUMIFS(financeiro[valor],financeiro[IdAgente],B12,financeiro[idDet1],22,financeiro[idDet2],60,financeiro[idDet3],531,financeiro[valor],"&lt;0")</f>
        <v>0</v>
      </c>
      <c r="BR12" s="267">
        <f>SUMIFS(financeiro[valor],financeiro[IdAgente],B12,financeiro[idDet1],22,financeiro[idDet2],62,financeiro[idDet3],532,financeiro[valor],"&lt;0")</f>
        <v>0</v>
      </c>
      <c r="BS12" s="267">
        <f>SUMIFS(financeiro[valor],financeiro[IdAgente],B12,financeiro[idDet1],22,financeiro[idDet2],62,financeiro[idDet3],533,financeiro[valor],"&lt;0")</f>
        <v>0</v>
      </c>
      <c r="BT12" s="267">
        <f>SUMIFS(financeiro[valor],financeiro[IdAgente],B12,financeiro[idDet1],22,financeiro[idDet2],62,financeiro[idDet3],534,financeiro[valor],"&lt;0")</f>
        <v>0</v>
      </c>
      <c r="BW12" s="210" t="s">
        <v>159</v>
      </c>
      <c r="BX12" t="str">
        <f>Efeito!B13</f>
        <v>NO SELECT</v>
      </c>
      <c r="BY12" s="267">
        <f>SUMIFS(Banco[valor],Banco[IdAgente],BX12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12" s="267">
        <f>SUMIFS(Banco[valor],Banco[IdAgente],BX12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12" s="267">
        <f>SUMIFS(Banco[valor],Banco[IdAgente],BX12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12" s="267">
        <f>SUMIFS(Banco[valor],Banco[IdAgente],BX12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12" s="267">
        <f>SUMIFS(Banco[valor],Banco[IdAgente],BX12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12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12" s="267">
        <f>SUMIFS(Banco[valor],Banco[IdAgente],BX12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12" s="267">
        <f>SUMIFS(Banco[valor],Banco[IdAgente],BX12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12" s="267">
        <f>SUMIFS(Banco[valor],Banco[IdAgente],BX12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12" s="267">
        <f>SUMIFS(Banco[valor],Banco[IdAgente],BX12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12" s="267">
        <f>SUMIFS(Banco[valor],Banco[IdAgente],BX12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12" s="267">
        <f>SUMIFS(Banco[valor],Banco[IdAgente],BX12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12" s="267">
        <f>SUMIFS(Banco[valor],Banco[IdAgente],BX12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12" s="267">
        <f>SUMIFS(Banco[valor],Banco[IdAgente],B12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12" s="267">
        <f>SUMIFS(Banco[valor],Banco[IdAgente],B12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12" s="267">
        <f>SUMIFS(Banco[valor],Banco[IdAgente],B12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13" spans="1:91">
      <c r="A13" t="s">
        <v>56</v>
      </c>
      <c r="B13" t="str">
        <f>Efeito!B14</f>
        <v>NO SELECT</v>
      </c>
      <c r="C13" s="267">
        <f>SUMIFS(Banco[valor],Banco[IdAgente],B13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13" s="267">
        <f>SUMIFS(Banco[valor],Banco[IdAgente],B13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13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13" s="267">
        <f>SUMIFS(Banco[valor],Banco[IdAgente],B13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13" s="267">
        <f>SUMIFS(Banco[valor],Banco[IdAgente],B13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13" s="267">
        <f>SUMIFS(Banco[valor],Banco[IdAgente],B13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13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13" s="267">
        <f>SUMIFS(Banco[valor],Banco[IdAgente],B13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13" s="267">
        <f>SUMIFS(Banco[valor],Banco[IdAgente],B13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13" s="267">
        <f>SUMIFS(Banco[valor],Banco[IdAgente],B13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13" s="267">
        <f>SUMIFS(Banco[valor],Banco[IdAgente],B13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13" s="267">
        <f>SUMIFS(Banco[valor],Banco[IdAgente],B13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13" s="267">
        <f>SUMIFS(Banco[valor],Banco[IdAgente],B13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13" s="267">
        <f>SUMIFS(Banco[valor],Banco[IdAgente],B13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13" s="267">
        <f>SUMIFS(Banco[valor],Banco[IdAgente],B13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13" s="267">
        <f t="shared" si="2"/>
        <v>0</v>
      </c>
      <c r="Q13" s="267">
        <f>SUMIFS(Banco[valor],Banco[IdAgente],B13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13" s="267">
        <f>SUMIFS(Banco[valor],Banco[IdAgente],B13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13" s="4"/>
      <c r="T13" s="4"/>
      <c r="U13" s="4"/>
      <c r="V13" s="267">
        <f>SUMIFS(financeiro[valor],financeiro[IdAgente],B13,financeiro[idDet1],22,financeiro[idDet2],60,financeiro[idDet3],526,financeiro[id_grupo_tarifa],1,financeiro[id_detalhe_grupo_tarifa],7,financeiro[id_tipo_tarifa],9,financeiro[id_subgrupo],99,financeiro[valor],"&gt;0")+SUMIFS(financeiro[valor],financeiro[IdAgente],B13,financeiro[idDet1],22,financeiro[idDet2],60,financeiro[idDet3],526,financeiro[id_grupo_tarifa],2,financeiro[id_detalhe_grupo_tarifa],11,financeiro[id_tipo_tarifa],9,financeiro[valor],"&gt;0")+SUMIFS(financeiro[valor],financeiro[IdAgente],B13,financeiro[idDet1],22,financeiro[idDet2],60,financeiro[idDet3],526,financeiro[id_grupo_tarifa],2,financeiro[id_detalhe_grupo_tarifa],9,financeiro[id_tipo_tarifa],9,financeiro[valor],"&gt;0")+SUMIFS(financeiro[valor],financeiro[IdAgente],B13,financeiro[idDet1],22,financeiro[idDet2],60,financeiro[idDet3],526,financeiro[id_grupo_tarifa],2,financeiro[id_detalhe_grupo_tarifa],8,financeiro[id_tipo_tarifa],9,financeiro[valor],"&gt;0")+SUMIFS(financeiro[valor],financeiro[IdAgente],B13,financeiro[idDet1],22,financeiro[idDet2],60,financeiro[idDet3],526,financeiro[id_grupo_tarifa],2,financeiro[id_detalhe_grupo_tarifa],10,financeiro[id_tipo_tarifa],9,financeiro[valor],"&gt;0")+SUMIFS(financeiro[valor],financeiro[IdAgente],B13,financeiro[idDet1],22,financeiro[idDet2],60,financeiro[idDet3],526,financeiro[id_grupo_tarifa],2,financeiro[id_detalhe_grupo_tarifa],24,financeiro[id_tipo_tarifa],9,financeiro[valor],"&gt;0")</f>
        <v>0</v>
      </c>
      <c r="W13" s="267">
        <f>SUMIFS(financeiro[valor],financeiro[IdAgente],B13,financeiro[idDet1],20,financeiro[idDet2],60,financeiro[idDet3],999,financeiro[id_grupo_tarifa],3,financeiro[id_detalhe_grupo_tarifa],14,financeiro[id_tipo_tarifa],9)+SUMIFS(financeiro[valor],financeiro[IdAgente],B13,financeiro[idDet1],20,financeiro[idDet2],60,financeiro[idDet3],999,financeiro[id_grupo_tarifa],3,financeiro[id_detalhe_grupo_tarifa],15,financeiro[id_tipo_tarifa],9)+SUMIFS(financeiro[valor],financeiro[IdAgente],B13,financeiro[idDet1],20,financeiro[idDet2],60,financeiro[idDet3],999,financeiro[id_grupo_tarifa],3,financeiro[id_detalhe_grupo_tarifa],16,financeiro[id_tipo_tarifa],9)+SUMIFS(financeiro[valor],financeiro[IdAgente],B13,financeiro[idDet1],20,financeiro[idDet2],60,financeiro[idDet3],999,financeiro[id_grupo_tarifa],3,financeiro[id_detalhe_grupo_tarifa],17,financeiro[id_tipo_tarifa],9)+SUMIFS(financeiro[valor],financeiro[IdAgente],B13,financeiro[idDet1],20,financeiro[idDet2],60,financeiro[idDet3],999,financeiro[id_grupo_tarifa],3,financeiro[id_detalhe_grupo_tarifa],18,financeiro[id_tipo_tarifa],9)+SUMIFS(financeiro[valor],financeiro[IdAgente],B13,financeiro[idDet1],20,financeiro[idDet2],60,financeiro[idDet3],999,financeiro[id_grupo_tarifa],3,financeiro[id_detalhe_grupo_tarifa],19,financeiro[id_tipo_tarifa],9)</f>
        <v>0</v>
      </c>
      <c r="X13" s="267">
        <f>SUMIFS(financeiro[valor],financeiro[IdAgente],B13,financeiro[idDet1],20,financeiro[idDet2],60,financeiro[idDet3],999,financeiro[id_grupo_tarifa],3,financeiro[id_detalhe_grupo_tarifa],12,financeiro[id_tipo_tarifa],9)+SUMIFS(financeiro[valor],financeiro[IdAgente],B13,financeiro[idDet1],20,financeiro[idDet2],60,financeiro[idDet3],999,financeiro[id_grupo_tarifa],4,financeiro[id_detalhe_grupo_tarifa],999,financeiro[id_tipo_tarifa],9)</f>
        <v>0</v>
      </c>
      <c r="Y13" s="267">
        <f>SUMIFS(financeiro[valor],financeiro[IdAgente],B13,financeiro[idDet1],20,financeiro[idDet2],60,financeiro[idDet3],179,financeiro[id_grupo_tarifa],99,financeiro[id_detalhe_grupo_tarifa],999,financeiro[id_tipo_tarifa],9)</f>
        <v>0</v>
      </c>
      <c r="Z13" s="267">
        <f>SUMIFS(financeiro[valor],financeiro[IdAgente],B13,financeiro[idDet1],20,financeiro[idDet2],60,financeiro[idDet3],999,financeiro[id_grupo_tarifa],2,financeiro[id_detalhe_grupo_tarifa],11,financeiro[id_tipo_tarifa],9,financeiro[valor],"&gt;0")+SUMIFS(financeiro[valor],financeiro[IdAgente],B13,financeiro[idDet1],20,financeiro[idDet2],60,financeiro[idDet3],999,financeiro[id_grupo_tarifa],2,financeiro[id_detalhe_grupo_tarifa],9,financeiro[id_tipo_tarifa],9,financeiro[valor],"&gt;0")+SUMIFS(financeiro[valor],financeiro[IdAgente],B13,financeiro[idDet1],20,financeiro[idDet2],60,financeiro[idDet3],999,financeiro[id_grupo_tarifa],2,financeiro[id_detalhe_grupo_tarifa],8,financeiro[id_tipo_tarifa],9,financeiro[valor],"&gt;0")+SUMIFS(financeiro[valor],financeiro[IdAgente],B13,financeiro[idDet1],20,financeiro[idDet2],60,financeiro[idDet3],999,financeiro[id_grupo_tarifa],2,financeiro[id_detalhe_grupo_tarifa],10,financeiro[id_tipo_tarifa],9,financeiro[valor],"&gt;0")+SUMIFS(financeiro[valor],financeiro[IdAgente],B13,financeiro[idDet1],20,financeiro[idDet2],60,financeiro[idDet3],999,financeiro[id_grupo_tarifa],2,financeiro[id_detalhe_grupo_tarifa],24,financeiro[id_tipo_tarifa],9,financeiro[valor],"&gt;0")+SUMIFS(financeiro[valor],financeiro[IdAgente],B13,financeiro[idDet1],20,financeiro[idDet2],60,financeiro[idDet3],999,financeiro[id_grupo_tarifa],2,financeiro[id_detalhe_grupo_tarifa],17,financeiro[id_tipo_tarifa],9,financeiro[valor],"&gt;0")+SUMIFS(financeiro[valor],financeiro[IdAgente],B13,financeiro[idDet1],999,financeiro[idDet2],999999,financeiro[idDet3],999,financeiro[id_grupo_tarifa],99,financeiro[id_detalhe_grupo_tarifa],999,financeiro[id_tipo_tarifa],9,financeiro[valor],"&gt;0")</f>
        <v>0</v>
      </c>
      <c r="AA13" s="267">
        <f>SUMIFS(financeiro[valor],financeiro[IdAgente],B13,financeiro[idDet1],22,financeiro[idDet2],60,financeiro[idDet3],529,financeiro[id_grupo_tarifa],1,financeiro[id_detalhe_grupo_tarifa],1,financeiro[id_tipo_tarifa],9,financeiro[valor],"&gt;0")+SUMIFS(financeiro[valor],financeiro[IdAgente],B13,financeiro[idDet1],22,financeiro[idDet2],60,financeiro[idDet3],529,financeiro[id_grupo_tarifa],1,financeiro[id_detalhe_grupo_tarifa],2,financeiro[id_tipo_tarifa],9,financeiro[valor],"&gt;0")</f>
        <v>0</v>
      </c>
      <c r="AB13" s="269"/>
      <c r="AC13" s="267">
        <f>SUMIFS(financeiro[valor],financeiro[IdAgente],B13,financeiro[idDet1],22,financeiro[idDet2],60,financeiro[idDet3],999,financeiro[id_grupo_tarifa],2,financeiro[id_detalhe_grupo_tarifa],30,financeiro[id_tipo_tarifa],9,financeiro[valor],"&gt;0")</f>
        <v>0</v>
      </c>
      <c r="AD13" s="267">
        <f>SUMIFS(financeiro[valor],financeiro[IdAgente],B13,financeiro[idDet1],22,financeiro[idDet2],60,financeiro[idDet3],178,financeiro[id_grupo_tarifa],1,financeiro[id_detalhe_grupo_tarifa],7,financeiro[id_tipo_tarifa],9)</f>
        <v>0</v>
      </c>
      <c r="AE13" s="267">
        <f>SUMIFS(financeiro[valor],financeiro[IdAgente],B13,financeiro[idDet1],22,financeiro[idDet2],60,financeiro[idDet3],242,financeiro[id_grupo_tarifa],4,financeiro[id_detalhe_grupo_tarifa],999,financeiro[id_tipo_tarifa],9)</f>
        <v>0</v>
      </c>
      <c r="AF13" s="267">
        <f>SUMIFS(financeiro[valor],financeiro[IdAgente],B13,financeiro[idDet1],22,financeiro[idDet2],60,financeiro[idDet3],525,financeiro[id_grupo_tarifa],2,financeiro[id_tipo_tarifa],9)</f>
        <v>0</v>
      </c>
      <c r="AG13" s="267">
        <f>SUMIFS(financeiro[valor],financeiro[IdAgente],B13,financeiro[idDet1],22,financeiro[idDet2],60,financeiro[idDet3],524)</f>
        <v>0</v>
      </c>
      <c r="AH13" s="269"/>
      <c r="AI13" s="267">
        <f>SUMIFS(financeiro[valor],financeiro[IdAgente],B13,financeiro[idDet1],22,financeiro[idDet2],60,financeiro[idDet3],523,financeiro[id_grupo_tarifa],2,financeiro[id_detalhe_grupo_tarifa],30,financeiro[id_tipo_tarifa],9)</f>
        <v>0</v>
      </c>
      <c r="AJ13" s="267">
        <f>SUMIFS(financeiro[valor],financeiro[IdAgente],B13,financeiro[idDet1],22,financeiro[idDet2],60,financeiro[idDet3],503,financeiro[id_grupo_tarifa],99,financeiro[id_detalhe_grupo_tarifa],999,financeiro[id_tipo_tarifa],3)</f>
        <v>0</v>
      </c>
      <c r="AK13" s="269"/>
      <c r="AL13" s="269"/>
      <c r="AM13" s="269"/>
      <c r="AN13" s="269"/>
      <c r="AO13" s="269"/>
      <c r="AP13" s="269"/>
      <c r="AQ13" s="269"/>
      <c r="AR13" s="269"/>
      <c r="AS13" s="269"/>
      <c r="AT13" s="267">
        <f>SUMIFS(financeiro[valor],financeiro[IdAgente],B13,financeiro[idDet1],22,financeiro[idDet2],60,financeiro[idDet3],235,financeiro[id_grupo_tarifa],4,financeiro[id_detalhe_grupo_tarifa],999,financeiro[id_tipo_tarifa],9)</f>
        <v>0</v>
      </c>
      <c r="AU13" s="267">
        <f>SUMIFS(financeiro[valor],financeiro[IdAgente],B13,financeiro[idDet1],22,financeiro[idDet2],60,financeiro[idDet3],512,
financeiro[id_grupo_tarifa],3,financeiro[id_detalhe_grupo_tarifa],28,financeiro[id_tipo_tarifa],9)</f>
        <v>0</v>
      </c>
      <c r="AV13" s="267">
        <f>SUMIFS(financeiro[valor],financeiro[IdAgente],B13,financeiro[idDet1],22,financeiro[idDet2],60,financeiro[idDet3],241,financeiro[id_grupo_tarifa],2,financeiro[id_detalhe_grupo_tarifa],11,financeiro[id_tipo_tarifa],9)+SUMIFS(financeiro[valor],financeiro[IdAgente],B13,financeiro[idDet1],22,financeiro[idDet2],60,financeiro[idDet3],241,financeiro[id_grupo_tarifa],2,financeiro[id_detalhe_grupo_tarifa],9,financeiro[id_tipo_tarifa],9)+SUMIFS(financeiro[valor],financeiro[IdAgente],B13,financeiro[idDet1],22,financeiro[idDet2],60,financeiro[idDet3],241,financeiro[id_grupo_tarifa],2,financeiro[id_detalhe_grupo_tarifa],8,financeiro[id_tipo_tarifa],9)+SUMIFS(financeiro[valor],financeiro[IdAgente],B13,financeiro[idDet1],22,financeiro[idDet2],60,financeiro[idDet3],241,financeiro[id_grupo_tarifa],2,financeiro[id_detalhe_grupo_tarifa],10,financeiro[id_tipo_tarifa],9)+SUMIFS(financeiro[valor],financeiro[IdAgente],B13,financeiro[idDet1],22,financeiro[idDet2],60,financeiro[idDet3],241,financeiro[id_grupo_tarifa],2,financeiro[id_detalhe_grupo_tarifa],24,financeiro[id_tipo_tarifa],9)</f>
        <v>0</v>
      </c>
      <c r="AW13" s="267">
        <f>SUMIFS(financeiro[valor],financeiro[IdAgente],B13,financeiro[idDet1],22,financeiro[idDet2],60,financeiro[idDet3],241,financeiro[id_grupo_tarifa],3,financeiro[id_detalhe_grupo_tarifa],17,financeiro[id_tipo_tarifa],9)</f>
        <v>0</v>
      </c>
      <c r="AX13" s="267">
        <f>SUMIFS(financeiro[valor],financeiro[IdAgente],B13,financeiro[idDet1],22,financeiro[idDet2],60,financeiro[idDet3],240,financeiro[id_grupo_tarifa],2,financeiro[id_detalhe_grupo_tarifa],11,financeiro[id_tipo_tarifa],9)+SUMIFS(financeiro[valor],financeiro[IdAgente],B13,financeiro[idDet1],22,financeiro[idDet2],60,financeiro[idDet3],240,financeiro[id_grupo_tarifa],2,financeiro[id_detalhe_grupo_tarifa],9,financeiro[id_tipo_tarifa],9)+SUMIFS(financeiro[valor],financeiro[IdAgente],B13,financeiro[idDet1],22,financeiro[idDet2],60,financeiro[idDet3],240,financeiro[id_grupo_tarifa],2,financeiro[id_detalhe_grupo_tarifa],8,financeiro[id_tipo_tarifa],9)+SUMIFS(financeiro[valor],financeiro[IdAgente],B13,financeiro[idDet1],22,financeiro[idDet2],60,financeiro[idDet3],240,financeiro[id_grupo_tarifa],2,financeiro[id_detalhe_grupo_tarifa],10,financeiro[id_tipo_tarifa],9)+SUMIFS(financeiro[valor],financeiro[IdAgente],B13,financeiro[idDet1],22,financeiro[idDet2],60,financeiro[idDet3],240,financeiro[id_grupo_tarifa],2,financeiro[id_detalhe_grupo_tarifa],24,financeiro[id_tipo_tarifa],9)</f>
        <v>0</v>
      </c>
      <c r="AY13" s="267">
        <f>SUMIFS(financeiro[valor],financeiro[IdAgente],B13,financeiro[idDet1],22,financeiro[idDet2],60,financeiro[idDet3],106,financeiro[id_grupo_tarifa],2,financeiro[id_detalhe_grupo_tarifa],11,financeiro[id_tipo_tarifa],9)+SUMIFS(financeiro[valor],financeiro[IdAgente],B13,financeiro[idDet1],22,financeiro[idDet2],60,financeiro[idDet3],106,financeiro[id_grupo_tarifa],2,financeiro[id_detalhe_grupo_tarifa],9,financeiro[id_tipo_tarifa],9)+SUMIFS(financeiro[valor],financeiro[IdAgente],B13,financeiro[idDet1],22,financeiro[idDet2],60,financeiro[idDet3],106,financeiro[id_grupo_tarifa],2,financeiro[id_detalhe_grupo_tarifa],8,financeiro[id_tipo_tarifa],9)+SUMIFS(financeiro[valor],financeiro[IdAgente],B13,financeiro[idDet1],22,financeiro[idDet2],60,financeiro[idDet3],106,financeiro[id_grupo_tarifa],2,financeiro[id_detalhe_grupo_tarifa],10,financeiro[id_tipo_tarifa],9)+SUMIFS(financeiro[valor],financeiro[IdAgente],B13,financeiro[idDet1],22,financeiro[idDet2],60,financeiro[idDet3],106,financeiro[id_grupo_tarifa],2,financeiro[id_detalhe_grupo_tarifa],24,financeiro[id_tipo_tarifa],9)</f>
        <v>0</v>
      </c>
      <c r="AZ13" s="267">
        <f>SUMIFS(financeiro[valor],financeiro[IdAgente],B13,financeiro[idDet1],22,financeiro[idDet2],62,financeiro[idDet3],220,financeiro[id_grupo_tarifa],2,financeiro[id_detalhe_grupo_tarifa],11,financeiro[id_tipo_tarifa],9)+SUMIFS(financeiro[valor],financeiro[IdAgente],B13,financeiro[idDet1],22,financeiro[idDet2],62,financeiro[idDet3],220,financeiro[id_grupo_tarifa],2,financeiro[id_detalhe_grupo_tarifa],9,financeiro[id_tipo_tarifa],9)+SUMIFS(financeiro[valor],financeiro[IdAgente],B13,financeiro[idDet1],22,financeiro[idDet2],62,financeiro[idDet3],220,financeiro[id_grupo_tarifa],2,financeiro[id_detalhe_grupo_tarifa],8,financeiro[id_tipo_tarifa],9)+SUMIFS(financeiro[valor],financeiro[IdAgente],B13,financeiro[idDet1],22,financeiro[idDet2],62,financeiro[idDet3],220,financeiro[id_grupo_tarifa],2,financeiro[id_detalhe_grupo_tarifa],10,financeiro[id_tipo_tarifa],9)+SUMIFS(financeiro[valor],financeiro[IdAgente],B13,financeiro[idDet1],22,financeiro[idDet2],62,financeiro[idDet3],220,financeiro[id_grupo_tarifa],2,financeiro[id_detalhe_grupo_tarifa],24,financeiro[id_tipo_tarifa],9)</f>
        <v>0</v>
      </c>
      <c r="BA13" s="267">
        <f>SUMIFS(financeiro[valor],financeiro[IdAgente],B13,financeiro[idDet1],22,financeiro[idDet2],60,financeiro[idDet3],220,financeiro[id_grupo_tarifa],2,financeiro[id_detalhe_grupo_tarifa],11,financeiro[id_tipo_tarifa],9)+SUMIFS(financeiro[valor],financeiro[IdAgente],B13,financeiro[idDet1],22,financeiro[idDet2],60,financeiro[idDet3],220,financeiro[id_grupo_tarifa],2,financeiro[id_detalhe_grupo_tarifa],9,financeiro[id_tipo_tarifa],9)+SUMIFS(financeiro[valor],financeiro[IdAgente],B13,financeiro[idDet1],22,financeiro[idDet2],60,financeiro[idDet3],220,financeiro[id_grupo_tarifa],2,financeiro[id_detalhe_grupo_tarifa],8,financeiro[id_tipo_tarifa],9)+SUMIFS(financeiro[valor],financeiro[IdAgente],B13,financeiro[idDet1],22,financeiro[idDet2],60,financeiro[idDet3],220,financeiro[id_grupo_tarifa],2,financeiro[id_detalhe_grupo_tarifa],10,financeiro[id_tipo_tarifa],9)+SUMIFS(financeiro[valor],financeiro[IdAgente],B13,financeiro[idDet1],22,financeiro[idDet2],60,financeiro[idDet3],220,financeiro[id_grupo_tarifa],2,financeiro[id_detalhe_grupo_tarifa],24,financeiro[id_tipo_tarifa],9)</f>
        <v>0</v>
      </c>
      <c r="BB13" s="267">
        <f>SUMIFS(financeiro[valor],financeiro[IdAgente],B13,financeiro[idDet1],22,financeiro[idDet2],60,financeiro[idDet3],102,financeiro[id_grupo_tarifa],2,financeiro[id_detalhe_grupo_tarifa],11,financeiro[id_tipo_tarifa],9)+SUMIFS(financeiro[valor],financeiro[IdAgente],B13,financeiro[idDet1],22,financeiro[idDet2],60,financeiro[idDet3],102,financeiro[id_grupo_tarifa],2,financeiro[id_detalhe_grupo_tarifa],9,financeiro[id_tipo_tarifa],9)+SUMIFS(financeiro[valor],financeiro[IdAgente],B13,financeiro[idDet1],22,financeiro[idDet2],60,financeiro[idDet3],102,financeiro[id_grupo_tarifa],2,financeiro[id_detalhe_grupo_tarifa],8,financeiro[id_tipo_tarifa],9)+SUMIFS(financeiro[valor],financeiro[IdAgente],B13,financeiro[idDet1],22,financeiro[idDet2],60,financeiro[idDet3],102,financeiro[id_grupo_tarifa],2,financeiro[id_detalhe_grupo_tarifa],10,financeiro[id_tipo_tarifa],9)+SUMIFS(financeiro[valor],financeiro[IdAgente],B13,financeiro[idDet1],22,financeiro[idDet2],60,financeiro[idDet3],102,financeiro[id_grupo_tarifa],2,financeiro[id_detalhe_grupo_tarifa],24,financeiro[id_tipo_tarifa],9)</f>
        <v>0</v>
      </c>
      <c r="BC13" s="267">
        <f>SUMIFS(financeiro[valor],financeiro[IdAgente],B13,financeiro[idDet1],22,financeiro[idDet2],60,financeiro[idDet3],522,financeiro[valor],"&lt;0")</f>
        <v>0</v>
      </c>
      <c r="BD13" s="267">
        <f>SUMIFS(financeiro[valor],financeiro[IdAgente],B13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13" s="267">
        <f>SUMIFS(financeiro[valor],financeiro[IdAgente],B13,financeiro[id_natureza_dado],2,financeiro[id_detalhe_natureza],2,financeiro[idDet1],20,financeiro[idDet2],60,financeiro[idDet3],82,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13" s="267">
        <f>SUMIFS(financeiro[valor],financeiro[IdAgente],B13,financeiro[id_natureza_dado],2,financeiro[id_detalhe_natureza],2,financeiro[idDet1],20,financeiro[idDet2],60,financeiro[idDet3],81,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13" s="267">
        <f>SUMIFS(financeiro[valor],financeiro[IdAgente],B13,financeiro[id_natureza_dado],2,financeiro[id_detalhe_natureza],2,financeiro[idDet1],20,financeiro[idDet2],60,financeiro[idDet3],503,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13" s="267">
        <f>SUMIFS(financeiro[valor],financeiro[IdAgente],B13,financeiro[idDet1],22,financeiro[idDet2],60,financeiro[idDet3],123)</f>
        <v>0</v>
      </c>
      <c r="BI13" s="267">
        <f>SUMIFS(financeiro[valor],financeiro[IdAgente],B13,financeiro[idDet1],20,financeiro[idDet2],60,financeiro[idDet3],73)</f>
        <v>0</v>
      </c>
      <c r="BJ13" s="267">
        <f>SUMIFS(financeiro[valor],financeiro[IdAgente],B13,financeiro[idDet1],22,financeiro[idDet2],60,financeiro[idDet3],527)</f>
        <v>0</v>
      </c>
      <c r="BK13" s="267">
        <f>SUMIFS(financeiro[valor],financeiro[IdAgente],B13,financeiro[idDet1],22,financeiro[idDet2],60,financeiro[idDet3],510)</f>
        <v>0</v>
      </c>
      <c r="BL13" s="267">
        <f>SUMIFS(financeiro[valor],financeiro[IdAgente],B13,financeiro[idDet1],22,financeiro[idDet2],60,financeiro[idDet3],526,
financeiro[id_grupo_tarifa],1,financeiro[id_detalhe_grupo_tarifa],3,financeiro[id_tipo_tarifa],9,financeiro[id_subgrupo],3)</f>
        <v>0</v>
      </c>
      <c r="BM13" s="267">
        <f>SUMIFS(financeiro[valor],financeiro[IdAgente],B13,financeiro[idDet1],22,financeiro[idDet2],60,financeiro[idDet3],999,
financeiro[id_grupo_tarifa],3,financeiro[id_detalhe_grupo_tarifa],17,financeiro[id_tipo_tarifa],9)</f>
        <v>0</v>
      </c>
      <c r="BN13" s="267">
        <f>SUMIFS(financeiro[valor],financeiro[IdAgente],B13,financeiro[idDet1],22,financeiro[idDet2],60,financeiro[idDet3],526,financeiro[id_grupo_tarifa],1,financeiro[id_detalhe_grupo_tarifa],7,financeiro[id_tipo_tarifa],9,financeiro[valor],"&lt;0")+SUMIFS(financeiro[valor],financeiro[IdAgente],B13,financeiro[idDet1],22,financeiro[idDet2],60,financeiro[idDet3],526,financeiro[id_grupo_tarifa],2,financeiro[id_detalhe_grupo_tarifa],11,financeiro[id_tipo_tarifa],9,financeiro[valor],"&lt;0")+SUMIFS(financeiro[valor],financeiro[IdAgente],B13,financeiro[idDet1],22,financeiro[idDet2],60,financeiro[idDet3],526,financeiro[id_grupo_tarifa],2,financeiro[id_detalhe_grupo_tarifa],8,financeiro[id_tipo_tarifa],9,financeiro[valor],"&lt;0")</f>
        <v>0</v>
      </c>
      <c r="BO13" s="267">
        <f>SUMIFS(financeiro[valor],financeiro[IdAgente],B13,financeiro[idDet1],22,financeiro[idDet2],60,financeiro[idDet3],999,financeiro[id_grupo_tarifa],4,financeiro[id_detalhe_grupo_tarifa],999,financeiro[id_tipo_tarifa],9,financeiro[valor],"&lt;0")</f>
        <v>0</v>
      </c>
      <c r="BP13" s="267">
        <f>SUMIFS(financeiro[valor],financeiro[IdAgente],B13,financeiro[idDet1],22,financeiro[idDet2],60,financeiro[idDet3],530,financeiro[valor],"&lt;0")</f>
        <v>0</v>
      </c>
      <c r="BQ13" s="267">
        <f>SUMIFS(financeiro[valor],financeiro[IdAgente],B13,financeiro[idDet1],22,financeiro[idDet2],60,financeiro[idDet3],531,financeiro[valor],"&lt;0")</f>
        <v>0</v>
      </c>
      <c r="BR13" s="267">
        <f>SUMIFS(financeiro[valor],financeiro[IdAgente],B13,financeiro[idDet1],22,financeiro[idDet2],62,financeiro[idDet3],532,financeiro[valor],"&lt;0")</f>
        <v>0</v>
      </c>
      <c r="BS13" s="267">
        <f>SUMIFS(financeiro[valor],financeiro[IdAgente],B13,financeiro[idDet1],22,financeiro[idDet2],62,financeiro[idDet3],533,financeiro[valor],"&lt;0")</f>
        <v>0</v>
      </c>
      <c r="BT13" s="267">
        <f>SUMIFS(financeiro[valor],financeiro[IdAgente],B13,financeiro[idDet1],22,financeiro[idDet2],62,financeiro[idDet3],534,financeiro[valor],"&lt;0")</f>
        <v>0</v>
      </c>
      <c r="BW13" s="210" t="s">
        <v>56</v>
      </c>
      <c r="BX13" t="str">
        <f>Efeito!B14</f>
        <v>NO SELECT</v>
      </c>
      <c r="BY13" s="267">
        <f>SUMIFS(Banco[valor],Banco[IdAgente],BX13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13" s="267">
        <f>SUMIFS(Banco[valor],Banco[IdAgente],BX13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13" s="267">
        <f>SUMIFS(Banco[valor],Banco[IdAgente],BX13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13" s="267">
        <f>SUMIFS(Banco[valor],Banco[IdAgente],BX13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13" s="267">
        <f>SUMIFS(Banco[valor],Banco[IdAgente],BX13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13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13" s="267">
        <f>SUMIFS(Banco[valor],Banco[IdAgente],BX13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13" s="267">
        <f>SUMIFS(Banco[valor],Banco[IdAgente],BX13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13" s="267">
        <f>SUMIFS(Banco[valor],Banco[IdAgente],BX13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13" s="267">
        <f>SUMIFS(Banco[valor],Banco[IdAgente],BX13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13" s="267">
        <f>SUMIFS(Banco[valor],Banco[IdAgente],BX13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13" s="267">
        <f>SUMIFS(Banco[valor],Banco[IdAgente],BX13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13" s="267">
        <f>SUMIFS(Banco[valor],Banco[IdAgente],BX13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13" s="267">
        <f>SUMIFS(Banco[valor],Banco[IdAgente],B13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13" s="267">
        <f>SUMIFS(Banco[valor],Banco[IdAgente],B13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13" s="267">
        <f>SUMIFS(Banco[valor],Banco[IdAgente],B13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14" spans="1:91">
      <c r="A14" t="s">
        <v>162</v>
      </c>
      <c r="B14" t="str">
        <f>Efeito!B15</f>
        <v>NO SELECT</v>
      </c>
      <c r="C14" s="267">
        <f>SUMIFS(Banco[valor],Banco[IdAgente],B14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14" s="267">
        <f>SUMIFS(Banco[valor],Banco[IdAgente],B14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14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14" s="267">
        <f>SUMIFS(Banco[valor],Banco[IdAgente],B14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14" s="267">
        <f>SUMIFS(Banco[valor],Banco[IdAgente],B14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14" s="267">
        <f>SUMIFS(Banco[valor],Banco[IdAgente],B14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14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14" s="267">
        <f>SUMIFS(Banco[valor],Banco[IdAgente],B14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14" s="267">
        <f>SUMIFS(Banco[valor],Banco[IdAgente],B14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14" s="267">
        <f>SUMIFS(Banco[valor],Banco[IdAgente],B14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14" s="267">
        <f>SUMIFS(Banco[valor],Banco[IdAgente],B14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14" s="267">
        <f>SUMIFS(Banco[valor],Banco[IdAgente],B14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14" s="267">
        <f>SUMIFS(Banco[valor],Banco[IdAgente],B14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14" s="267">
        <f>SUMIFS(Banco[valor],Banco[IdAgente],B14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14" s="267">
        <f>SUMIFS(Banco[valor],Banco[IdAgente],B14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14" s="267">
        <f t="shared" si="2"/>
        <v>0</v>
      </c>
      <c r="Q14" s="267">
        <f>SUMIFS(Banco[valor],Banco[IdAgente],B14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14" s="267">
        <f>SUMIFS(Banco[valor],Banco[IdAgente],B14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14" s="4"/>
      <c r="T14" s="4"/>
      <c r="U14" s="4"/>
      <c r="V14" s="267">
        <f>SUMIFS(financeiro[valor],financeiro[IdAgente],B14,financeiro[idDet1],22,financeiro[idDet2],60,financeiro[idDet3],526,financeiro[id_grupo_tarifa],1,financeiro[id_detalhe_grupo_tarifa],7,financeiro[id_tipo_tarifa],9,financeiro[id_subgrupo],99,financeiro[valor],"&gt;0")+SUMIFS(financeiro[valor],financeiro[IdAgente],B14,financeiro[idDet1],22,financeiro[idDet2],60,financeiro[idDet3],526,financeiro[id_grupo_tarifa],2,financeiro[id_detalhe_grupo_tarifa],11,financeiro[id_tipo_tarifa],9,financeiro[valor],"&gt;0")+SUMIFS(financeiro[valor],financeiro[IdAgente],B14,financeiro[idDet1],22,financeiro[idDet2],60,financeiro[idDet3],526,financeiro[id_grupo_tarifa],2,financeiro[id_detalhe_grupo_tarifa],9,financeiro[id_tipo_tarifa],9,financeiro[valor],"&gt;0")+SUMIFS(financeiro[valor],financeiro[IdAgente],B14,financeiro[idDet1],22,financeiro[idDet2],60,financeiro[idDet3],526,financeiro[id_grupo_tarifa],2,financeiro[id_detalhe_grupo_tarifa],8,financeiro[id_tipo_tarifa],9,financeiro[valor],"&gt;0")+SUMIFS(financeiro[valor],financeiro[IdAgente],B14,financeiro[idDet1],22,financeiro[idDet2],60,financeiro[idDet3],526,financeiro[id_grupo_tarifa],2,financeiro[id_detalhe_grupo_tarifa],10,financeiro[id_tipo_tarifa],9,financeiro[valor],"&gt;0")+SUMIFS(financeiro[valor],financeiro[IdAgente],B14,financeiro[idDet1],22,financeiro[idDet2],60,financeiro[idDet3],526,financeiro[id_grupo_tarifa],2,financeiro[id_detalhe_grupo_tarifa],24,financeiro[id_tipo_tarifa],9,financeiro[valor],"&gt;0")</f>
        <v>0</v>
      </c>
      <c r="W14" s="267">
        <f>SUMIFS(financeiro[valor],financeiro[IdAgente],B14,financeiro[idDet1],20,financeiro[idDet2],60,financeiro[idDet3],999,financeiro[id_grupo_tarifa],3,financeiro[id_detalhe_grupo_tarifa],14,financeiro[id_tipo_tarifa],9)+SUMIFS(financeiro[valor],financeiro[IdAgente],B14,financeiro[idDet1],20,financeiro[idDet2],60,financeiro[idDet3],999,financeiro[id_grupo_tarifa],3,financeiro[id_detalhe_grupo_tarifa],15,financeiro[id_tipo_tarifa],9)+SUMIFS(financeiro[valor],financeiro[IdAgente],B14,financeiro[idDet1],20,financeiro[idDet2],60,financeiro[idDet3],999,financeiro[id_grupo_tarifa],3,financeiro[id_detalhe_grupo_tarifa],16,financeiro[id_tipo_tarifa],9)+SUMIFS(financeiro[valor],financeiro[IdAgente],B14,financeiro[idDet1],20,financeiro[idDet2],60,financeiro[idDet3],999,financeiro[id_grupo_tarifa],3,financeiro[id_detalhe_grupo_tarifa],17,financeiro[id_tipo_tarifa],9)+SUMIFS(financeiro[valor],financeiro[IdAgente],B14,financeiro[idDet1],20,financeiro[idDet2],60,financeiro[idDet3],999,financeiro[id_grupo_tarifa],3,financeiro[id_detalhe_grupo_tarifa],18,financeiro[id_tipo_tarifa],9)+SUMIFS(financeiro[valor],financeiro[IdAgente],B14,financeiro[idDet1],20,financeiro[idDet2],60,financeiro[idDet3],999,financeiro[id_grupo_tarifa],3,financeiro[id_detalhe_grupo_tarifa],19,financeiro[id_tipo_tarifa],9)</f>
        <v>0</v>
      </c>
      <c r="X14" s="267">
        <f>SUMIFS(financeiro[valor],financeiro[IdAgente],B14,financeiro[idDet1],20,financeiro[idDet2],60,financeiro[idDet3],999,financeiro[id_grupo_tarifa],3,financeiro[id_detalhe_grupo_tarifa],12,financeiro[id_tipo_tarifa],9)+SUMIFS(financeiro[valor],financeiro[IdAgente],B14,financeiro[idDet1],20,financeiro[idDet2],60,financeiro[idDet3],999,financeiro[id_grupo_tarifa],4,financeiro[id_detalhe_grupo_tarifa],999,financeiro[id_tipo_tarifa],9)</f>
        <v>0</v>
      </c>
      <c r="Y14" s="267">
        <f>SUMIFS(financeiro[valor],financeiro[IdAgente],B14,financeiro[idDet1],20,financeiro[idDet2],60,financeiro[idDet3],179,financeiro[id_grupo_tarifa],99,financeiro[id_detalhe_grupo_tarifa],999,financeiro[id_tipo_tarifa],9)</f>
        <v>0</v>
      </c>
      <c r="Z14" s="267">
        <f>SUMIFS(financeiro[valor],financeiro[IdAgente],B14,financeiro[idDet1],20,financeiro[idDet2],60,financeiro[idDet3],999,financeiro[id_grupo_tarifa],2,financeiro[id_detalhe_grupo_tarifa],11,financeiro[id_tipo_tarifa],9,financeiro[valor],"&gt;0")+SUMIFS(financeiro[valor],financeiro[IdAgente],B14,financeiro[idDet1],20,financeiro[idDet2],60,financeiro[idDet3],999,financeiro[id_grupo_tarifa],2,financeiro[id_detalhe_grupo_tarifa],9,financeiro[id_tipo_tarifa],9,financeiro[valor],"&gt;0")+SUMIFS(financeiro[valor],financeiro[IdAgente],B14,financeiro[idDet1],20,financeiro[idDet2],60,financeiro[idDet3],999,financeiro[id_grupo_tarifa],2,financeiro[id_detalhe_grupo_tarifa],8,financeiro[id_tipo_tarifa],9,financeiro[valor],"&gt;0")+SUMIFS(financeiro[valor],financeiro[IdAgente],B14,financeiro[idDet1],20,financeiro[idDet2],60,financeiro[idDet3],999,financeiro[id_grupo_tarifa],2,financeiro[id_detalhe_grupo_tarifa],10,financeiro[id_tipo_tarifa],9,financeiro[valor],"&gt;0")+SUMIFS(financeiro[valor],financeiro[IdAgente],B14,financeiro[idDet1],20,financeiro[idDet2],60,financeiro[idDet3],999,financeiro[id_grupo_tarifa],2,financeiro[id_detalhe_grupo_tarifa],24,financeiro[id_tipo_tarifa],9,financeiro[valor],"&gt;0")+SUMIFS(financeiro[valor],financeiro[IdAgente],B14,financeiro[idDet1],20,financeiro[idDet2],60,financeiro[idDet3],999,financeiro[id_grupo_tarifa],2,financeiro[id_detalhe_grupo_tarifa],17,financeiro[id_tipo_tarifa],9,financeiro[valor],"&gt;0")+SUMIFS(financeiro[valor],financeiro[IdAgente],B14,financeiro[idDet1],999,financeiro[idDet2],999999,financeiro[idDet3],999,financeiro[id_grupo_tarifa],99,financeiro[id_detalhe_grupo_tarifa],999,financeiro[id_tipo_tarifa],9,financeiro[valor],"&gt;0")</f>
        <v>0</v>
      </c>
      <c r="AA14" s="267">
        <f>SUMIFS(financeiro[valor],financeiro[IdAgente],B14,financeiro[idDet1],22,financeiro[idDet2],60,financeiro[idDet3],529,financeiro[id_grupo_tarifa],1,financeiro[id_detalhe_grupo_tarifa],1,financeiro[id_tipo_tarifa],9,financeiro[valor],"&gt;0")+SUMIFS(financeiro[valor],financeiro[IdAgente],B14,financeiro[idDet1],22,financeiro[idDet2],60,financeiro[idDet3],529,financeiro[id_grupo_tarifa],1,financeiro[id_detalhe_grupo_tarifa],2,financeiro[id_tipo_tarifa],9,financeiro[valor],"&gt;0")</f>
        <v>0</v>
      </c>
      <c r="AB14" s="269"/>
      <c r="AC14" s="267">
        <f>SUMIFS(financeiro[valor],financeiro[IdAgente],B14,financeiro[idDet1],22,financeiro[idDet2],60,financeiro[idDet3],999,financeiro[id_grupo_tarifa],2,financeiro[id_detalhe_grupo_tarifa],30,financeiro[id_tipo_tarifa],9,financeiro[valor],"&gt;0")</f>
        <v>0</v>
      </c>
      <c r="AD14" s="267">
        <f>SUMIFS(financeiro[valor],financeiro[IdAgente],B14,financeiro[idDet1],22,financeiro[idDet2],60,financeiro[idDet3],178,financeiro[id_grupo_tarifa],1,financeiro[id_detalhe_grupo_tarifa],7,financeiro[id_tipo_tarifa],9)</f>
        <v>0</v>
      </c>
      <c r="AE14" s="267">
        <f>SUMIFS(financeiro[valor],financeiro[IdAgente],B14,financeiro[idDet1],22,financeiro[idDet2],60,financeiro[idDet3],242,financeiro[id_grupo_tarifa],4,financeiro[id_detalhe_grupo_tarifa],999,financeiro[id_tipo_tarifa],9)</f>
        <v>0</v>
      </c>
      <c r="AF14" s="267">
        <f>SUMIFS(financeiro[valor],financeiro[IdAgente],B14,financeiro[idDet1],22,financeiro[idDet2],60,financeiro[idDet3],525,financeiro[id_grupo_tarifa],2,financeiro[id_tipo_tarifa],9)</f>
        <v>0</v>
      </c>
      <c r="AG14" s="267">
        <f>SUMIFS(financeiro[valor],financeiro[IdAgente],B14,financeiro[idDet1],22,financeiro[idDet2],60,financeiro[idDet3],524)</f>
        <v>0</v>
      </c>
      <c r="AH14" s="269"/>
      <c r="AI14" s="267">
        <f>SUMIFS(financeiro[valor],financeiro[IdAgente],B14,financeiro[idDet1],22,financeiro[idDet2],60,financeiro[idDet3],523,financeiro[id_grupo_tarifa],2,financeiro[id_detalhe_grupo_tarifa],30,financeiro[id_tipo_tarifa],9)</f>
        <v>0</v>
      </c>
      <c r="AJ14" s="267">
        <f>SUMIFS(financeiro[valor],financeiro[IdAgente],B14,financeiro[idDet1],22,financeiro[idDet2],60,financeiro[idDet3],503,financeiro[id_grupo_tarifa],99,financeiro[id_detalhe_grupo_tarifa],999,financeiro[id_tipo_tarifa],3)</f>
        <v>0</v>
      </c>
      <c r="AK14" s="269"/>
      <c r="AL14" s="269"/>
      <c r="AM14" s="269"/>
      <c r="AN14" s="269"/>
      <c r="AO14" s="269"/>
      <c r="AP14" s="269"/>
      <c r="AQ14" s="269"/>
      <c r="AR14" s="269"/>
      <c r="AS14" s="269"/>
      <c r="AT14" s="267">
        <f>SUMIFS(financeiro[valor],financeiro[IdAgente],B14,financeiro[idDet1],22,financeiro[idDet2],60,financeiro[idDet3],235,financeiro[id_grupo_tarifa],4,financeiro[id_detalhe_grupo_tarifa],999,financeiro[id_tipo_tarifa],9)</f>
        <v>0</v>
      </c>
      <c r="AU14" s="267">
        <f>SUMIFS(financeiro[valor],financeiro[IdAgente],B14,financeiro[idDet1],22,financeiro[idDet2],60,financeiro[idDet3],512,
financeiro[id_grupo_tarifa],3,financeiro[id_detalhe_grupo_tarifa],28,financeiro[id_tipo_tarifa],9)</f>
        <v>0</v>
      </c>
      <c r="AV14" s="267">
        <f>SUMIFS(financeiro[valor],financeiro[IdAgente],B14,financeiro[idDet1],22,financeiro[idDet2],60,financeiro[idDet3],241,financeiro[id_grupo_tarifa],2,financeiro[id_detalhe_grupo_tarifa],11,financeiro[id_tipo_tarifa],9)+SUMIFS(financeiro[valor],financeiro[IdAgente],B14,financeiro[idDet1],22,financeiro[idDet2],60,financeiro[idDet3],241,financeiro[id_grupo_tarifa],2,financeiro[id_detalhe_grupo_tarifa],9,financeiro[id_tipo_tarifa],9)+SUMIFS(financeiro[valor],financeiro[IdAgente],B14,financeiro[idDet1],22,financeiro[idDet2],60,financeiro[idDet3],241,financeiro[id_grupo_tarifa],2,financeiro[id_detalhe_grupo_tarifa],8,financeiro[id_tipo_tarifa],9)+SUMIFS(financeiro[valor],financeiro[IdAgente],B14,financeiro[idDet1],22,financeiro[idDet2],60,financeiro[idDet3],241,financeiro[id_grupo_tarifa],2,financeiro[id_detalhe_grupo_tarifa],10,financeiro[id_tipo_tarifa],9)+SUMIFS(financeiro[valor],financeiro[IdAgente],B14,financeiro[idDet1],22,financeiro[idDet2],60,financeiro[idDet3],241,financeiro[id_grupo_tarifa],2,financeiro[id_detalhe_grupo_tarifa],24,financeiro[id_tipo_tarifa],9)</f>
        <v>0</v>
      </c>
      <c r="AW14" s="267">
        <f>SUMIFS(financeiro[valor],financeiro[IdAgente],B14,financeiro[idDet1],22,financeiro[idDet2],60,financeiro[idDet3],241,financeiro[id_grupo_tarifa],3,financeiro[id_detalhe_grupo_tarifa],17,financeiro[id_tipo_tarifa],9)</f>
        <v>0</v>
      </c>
      <c r="AX14" s="267">
        <f>SUMIFS(financeiro[valor],financeiro[IdAgente],B14,financeiro[idDet1],22,financeiro[idDet2],60,financeiro[idDet3],240,financeiro[id_grupo_tarifa],2,financeiro[id_detalhe_grupo_tarifa],11,financeiro[id_tipo_tarifa],9)+SUMIFS(financeiro[valor],financeiro[IdAgente],B14,financeiro[idDet1],22,financeiro[idDet2],60,financeiro[idDet3],240,financeiro[id_grupo_tarifa],2,financeiro[id_detalhe_grupo_tarifa],9,financeiro[id_tipo_tarifa],9)+SUMIFS(financeiro[valor],financeiro[IdAgente],B14,financeiro[idDet1],22,financeiro[idDet2],60,financeiro[idDet3],240,financeiro[id_grupo_tarifa],2,financeiro[id_detalhe_grupo_tarifa],8,financeiro[id_tipo_tarifa],9)+SUMIFS(financeiro[valor],financeiro[IdAgente],B14,financeiro[idDet1],22,financeiro[idDet2],60,financeiro[idDet3],240,financeiro[id_grupo_tarifa],2,financeiro[id_detalhe_grupo_tarifa],10,financeiro[id_tipo_tarifa],9)+SUMIFS(financeiro[valor],financeiro[IdAgente],B14,financeiro[idDet1],22,financeiro[idDet2],60,financeiro[idDet3],240,financeiro[id_grupo_tarifa],2,financeiro[id_detalhe_grupo_tarifa],24,financeiro[id_tipo_tarifa],9)</f>
        <v>0</v>
      </c>
      <c r="AY14" s="267">
        <f>SUMIFS(financeiro[valor],financeiro[IdAgente],B14,financeiro[idDet1],22,financeiro[idDet2],60,financeiro[idDet3],106,financeiro[id_grupo_tarifa],2,financeiro[id_detalhe_grupo_tarifa],11,financeiro[id_tipo_tarifa],9)+SUMIFS(financeiro[valor],financeiro[IdAgente],B14,financeiro[idDet1],22,financeiro[idDet2],60,financeiro[idDet3],106,financeiro[id_grupo_tarifa],2,financeiro[id_detalhe_grupo_tarifa],9,financeiro[id_tipo_tarifa],9)+SUMIFS(financeiro[valor],financeiro[IdAgente],B14,financeiro[idDet1],22,financeiro[idDet2],60,financeiro[idDet3],106,financeiro[id_grupo_tarifa],2,financeiro[id_detalhe_grupo_tarifa],8,financeiro[id_tipo_tarifa],9)+SUMIFS(financeiro[valor],financeiro[IdAgente],B14,financeiro[idDet1],22,financeiro[idDet2],60,financeiro[idDet3],106,financeiro[id_grupo_tarifa],2,financeiro[id_detalhe_grupo_tarifa],10,financeiro[id_tipo_tarifa],9)+SUMIFS(financeiro[valor],financeiro[IdAgente],B14,financeiro[idDet1],22,financeiro[idDet2],60,financeiro[idDet3],106,financeiro[id_grupo_tarifa],2,financeiro[id_detalhe_grupo_tarifa],24,financeiro[id_tipo_tarifa],9)</f>
        <v>0</v>
      </c>
      <c r="AZ14" s="267">
        <f>SUMIFS(financeiro[valor],financeiro[IdAgente],B14,financeiro[idDet1],22,financeiro[idDet2],62,financeiro[idDet3],220,financeiro[id_grupo_tarifa],2,financeiro[id_detalhe_grupo_tarifa],11,financeiro[id_tipo_tarifa],9)+SUMIFS(financeiro[valor],financeiro[IdAgente],B14,financeiro[idDet1],22,financeiro[idDet2],62,financeiro[idDet3],220,financeiro[id_grupo_tarifa],2,financeiro[id_detalhe_grupo_tarifa],9,financeiro[id_tipo_tarifa],9)+SUMIFS(financeiro[valor],financeiro[IdAgente],B14,financeiro[idDet1],22,financeiro[idDet2],62,financeiro[idDet3],220,financeiro[id_grupo_tarifa],2,financeiro[id_detalhe_grupo_tarifa],8,financeiro[id_tipo_tarifa],9)+SUMIFS(financeiro[valor],financeiro[IdAgente],B14,financeiro[idDet1],22,financeiro[idDet2],62,financeiro[idDet3],220,financeiro[id_grupo_tarifa],2,financeiro[id_detalhe_grupo_tarifa],10,financeiro[id_tipo_tarifa],9)+SUMIFS(financeiro[valor],financeiro[IdAgente],B14,financeiro[idDet1],22,financeiro[idDet2],62,financeiro[idDet3],220,financeiro[id_grupo_tarifa],2,financeiro[id_detalhe_grupo_tarifa],24,financeiro[id_tipo_tarifa],9)</f>
        <v>0</v>
      </c>
      <c r="BA14" s="267">
        <f>SUMIFS(financeiro[valor],financeiro[IdAgente],B14,financeiro[idDet1],22,financeiro[idDet2],60,financeiro[idDet3],220,financeiro[id_grupo_tarifa],2,financeiro[id_detalhe_grupo_tarifa],11,financeiro[id_tipo_tarifa],9)+SUMIFS(financeiro[valor],financeiro[IdAgente],B14,financeiro[idDet1],22,financeiro[idDet2],60,financeiro[idDet3],220,financeiro[id_grupo_tarifa],2,financeiro[id_detalhe_grupo_tarifa],9,financeiro[id_tipo_tarifa],9)+SUMIFS(financeiro[valor],financeiro[IdAgente],B14,financeiro[idDet1],22,financeiro[idDet2],60,financeiro[idDet3],220,financeiro[id_grupo_tarifa],2,financeiro[id_detalhe_grupo_tarifa],8,financeiro[id_tipo_tarifa],9)+SUMIFS(financeiro[valor],financeiro[IdAgente],B14,financeiro[idDet1],22,financeiro[idDet2],60,financeiro[idDet3],220,financeiro[id_grupo_tarifa],2,financeiro[id_detalhe_grupo_tarifa],10,financeiro[id_tipo_tarifa],9)+SUMIFS(financeiro[valor],financeiro[IdAgente],B14,financeiro[idDet1],22,financeiro[idDet2],60,financeiro[idDet3],220,financeiro[id_grupo_tarifa],2,financeiro[id_detalhe_grupo_tarifa],24,financeiro[id_tipo_tarifa],9)</f>
        <v>0</v>
      </c>
      <c r="BB14" s="267">
        <f>SUMIFS(financeiro[valor],financeiro[IdAgente],B14,financeiro[idDet1],22,financeiro[idDet2],60,financeiro[idDet3],102,financeiro[id_grupo_tarifa],2,financeiro[id_detalhe_grupo_tarifa],11,financeiro[id_tipo_tarifa],9)+SUMIFS(financeiro[valor],financeiro[IdAgente],B14,financeiro[idDet1],22,financeiro[idDet2],60,financeiro[idDet3],102,financeiro[id_grupo_tarifa],2,financeiro[id_detalhe_grupo_tarifa],9,financeiro[id_tipo_tarifa],9)+SUMIFS(financeiro[valor],financeiro[IdAgente],B14,financeiro[idDet1],22,financeiro[idDet2],60,financeiro[idDet3],102,financeiro[id_grupo_tarifa],2,financeiro[id_detalhe_grupo_tarifa],8,financeiro[id_tipo_tarifa],9)+SUMIFS(financeiro[valor],financeiro[IdAgente],B14,financeiro[idDet1],22,financeiro[idDet2],60,financeiro[idDet3],102,financeiro[id_grupo_tarifa],2,financeiro[id_detalhe_grupo_tarifa],10,financeiro[id_tipo_tarifa],9)+SUMIFS(financeiro[valor],financeiro[IdAgente],B14,financeiro[idDet1],22,financeiro[idDet2],60,financeiro[idDet3],102,financeiro[id_grupo_tarifa],2,financeiro[id_detalhe_grupo_tarifa],24,financeiro[id_tipo_tarifa],9)</f>
        <v>0</v>
      </c>
      <c r="BC14" s="267">
        <f>SUMIFS(financeiro[valor],financeiro[IdAgente],B14,financeiro[idDet1],22,financeiro[idDet2],60,financeiro[idDet3],522,financeiro[valor],"&lt;0")</f>
        <v>0</v>
      </c>
      <c r="BD14" s="267">
        <f>SUMIFS(financeiro[valor],financeiro[IdAgente],B14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14" s="267">
        <f>SUMIFS(financeiro[valor],financeiro[IdAgente],B14,financeiro[id_natureza_dado],2,financeiro[id_detalhe_natureza],2,financeiro[idDet1],20,financeiro[idDet2],60,financeiro[idDet3],82,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14" s="267">
        <f>SUMIFS(financeiro[valor],financeiro[IdAgente],B14,financeiro[id_natureza_dado],2,financeiro[id_detalhe_natureza],2,financeiro[idDet1],20,financeiro[idDet2],60,financeiro[idDet3],81,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14" s="267">
        <f>SUMIFS(financeiro[valor],financeiro[IdAgente],B14,financeiro[id_natureza_dado],2,financeiro[id_detalhe_natureza],2,financeiro[idDet1],20,financeiro[idDet2],60,financeiro[idDet3],503,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14" s="267">
        <f>SUMIFS(financeiro[valor],financeiro[IdAgente],B14,financeiro[idDet1],22,financeiro[idDet2],60,financeiro[idDet3],123)</f>
        <v>0</v>
      </c>
      <c r="BI14" s="267">
        <f>SUMIFS(financeiro[valor],financeiro[IdAgente],B14,financeiro[idDet1],20,financeiro[idDet2],60,financeiro[idDet3],73)</f>
        <v>0</v>
      </c>
      <c r="BJ14" s="267">
        <f>SUMIFS(financeiro[valor],financeiro[IdAgente],B14,financeiro[idDet1],22,financeiro[idDet2],60,financeiro[idDet3],527)</f>
        <v>0</v>
      </c>
      <c r="BK14" s="267">
        <f>SUMIFS(financeiro[valor],financeiro[IdAgente],B14,financeiro[idDet1],22,financeiro[idDet2],60,financeiro[idDet3],510)</f>
        <v>0</v>
      </c>
      <c r="BL14" s="267">
        <f>SUMIFS(financeiro[valor],financeiro[IdAgente],B14,financeiro[idDet1],22,financeiro[idDet2],60,financeiro[idDet3],526,
financeiro[id_grupo_tarifa],1,financeiro[id_detalhe_grupo_tarifa],3,financeiro[id_tipo_tarifa],9,financeiro[id_subgrupo],3)</f>
        <v>0</v>
      </c>
      <c r="BM14" s="267">
        <f>SUMIFS(financeiro[valor],financeiro[IdAgente],B14,financeiro[idDet1],22,financeiro[idDet2],60,financeiro[idDet3],999,
financeiro[id_grupo_tarifa],3,financeiro[id_detalhe_grupo_tarifa],17,financeiro[id_tipo_tarifa],9)</f>
        <v>0</v>
      </c>
      <c r="BN14" s="267">
        <f>SUMIFS(financeiro[valor],financeiro[IdAgente],B14,financeiro[idDet1],22,financeiro[idDet2],60,financeiro[idDet3],526,financeiro[id_grupo_tarifa],1,financeiro[id_detalhe_grupo_tarifa],7,financeiro[id_tipo_tarifa],9,financeiro[valor],"&lt;0")+SUMIFS(financeiro[valor],financeiro[IdAgente],B14,financeiro[idDet1],22,financeiro[idDet2],60,financeiro[idDet3],526,financeiro[id_grupo_tarifa],2,financeiro[id_detalhe_grupo_tarifa],11,financeiro[id_tipo_tarifa],9,financeiro[valor],"&lt;0")+SUMIFS(financeiro[valor],financeiro[IdAgente],B14,financeiro[idDet1],22,financeiro[idDet2],60,financeiro[idDet3],526,financeiro[id_grupo_tarifa],2,financeiro[id_detalhe_grupo_tarifa],8,financeiro[id_tipo_tarifa],9,financeiro[valor],"&lt;0")</f>
        <v>0</v>
      </c>
      <c r="BO14" s="267">
        <f>SUMIFS(financeiro[valor],financeiro[IdAgente],B14,financeiro[idDet1],22,financeiro[idDet2],60,financeiro[idDet3],999,financeiro[id_grupo_tarifa],4,financeiro[id_detalhe_grupo_tarifa],999,financeiro[id_tipo_tarifa],9,financeiro[valor],"&lt;0")</f>
        <v>0</v>
      </c>
      <c r="BP14" s="267">
        <f>SUMIFS(financeiro[valor],financeiro[IdAgente],B14,financeiro[idDet1],22,financeiro[idDet2],60,financeiro[idDet3],530,financeiro[valor],"&lt;0")</f>
        <v>0</v>
      </c>
      <c r="BQ14" s="267">
        <f>SUMIFS(financeiro[valor],financeiro[IdAgente],B14,financeiro[idDet1],22,financeiro[idDet2],60,financeiro[idDet3],531,financeiro[valor],"&lt;0")</f>
        <v>0</v>
      </c>
      <c r="BR14" s="267">
        <f>SUMIFS(financeiro[valor],financeiro[IdAgente],B14,financeiro[idDet1],22,financeiro[idDet2],62,financeiro[idDet3],532,financeiro[valor],"&lt;0")</f>
        <v>0</v>
      </c>
      <c r="BS14" s="267">
        <f>SUMIFS(financeiro[valor],financeiro[IdAgente],B14,financeiro[idDet1],22,financeiro[idDet2],62,financeiro[idDet3],533,financeiro[valor],"&lt;0")</f>
        <v>0</v>
      </c>
      <c r="BT14" s="267">
        <f>SUMIFS(financeiro[valor],financeiro[IdAgente],B14,financeiro[idDet1],22,financeiro[idDet2],62,financeiro[idDet3],534,financeiro[valor],"&lt;0")</f>
        <v>0</v>
      </c>
      <c r="BW14" s="210" t="s">
        <v>162</v>
      </c>
      <c r="BX14" t="str">
        <f>Efeito!B15</f>
        <v>NO SELECT</v>
      </c>
      <c r="BY14" s="267">
        <f>SUMIFS(Banco[valor],Banco[IdAgente],BX14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14" s="267">
        <f>SUMIFS(Banco[valor],Banco[IdAgente],BX14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14" s="267">
        <f>SUMIFS(Banco[valor],Banco[IdAgente],BX14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14" s="267">
        <f>SUMIFS(Banco[valor],Banco[IdAgente],BX14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14" s="267">
        <f>SUMIFS(Banco[valor],Banco[IdAgente],BX14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14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14" s="267">
        <f>SUMIFS(Banco[valor],Banco[IdAgente],BX14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14" s="267">
        <f>SUMIFS(Banco[valor],Banco[IdAgente],BX14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14" s="267">
        <f>SUMIFS(Banco[valor],Banco[IdAgente],BX14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14" s="267">
        <f>SUMIFS(Banco[valor],Banco[IdAgente],BX14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14" s="267">
        <f>SUMIFS(Banco[valor],Banco[IdAgente],BX14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14" s="267">
        <f>SUMIFS(Banco[valor],Banco[IdAgente],BX14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14" s="267">
        <f>SUMIFS(Banco[valor],Banco[IdAgente],BX14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14" s="267">
        <f>SUMIFS(Banco[valor],Banco[IdAgente],B14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14" s="267">
        <f>SUMIFS(Banco[valor],Banco[IdAgente],B14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14" s="267">
        <f>SUMIFS(Banco[valor],Banco[IdAgente],B14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15" spans="1:91">
      <c r="A15" t="s">
        <v>55</v>
      </c>
      <c r="B15" t="str">
        <f>Efeito!B16</f>
        <v>NO SELECT</v>
      </c>
      <c r="C15" s="267">
        <f>SUMIFS(Banco[valor],Banco[IdAgente],B15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15" s="267">
        <f>SUMIFS(Banco[valor],Banco[IdAgente],B15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15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15" s="267">
        <f>SUMIFS(Banco[valor],Banco[IdAgente],B15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15" s="267">
        <f>SUMIFS(Banco[valor],Banco[IdAgente],B15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15" s="267">
        <f>SUMIFS(Banco[valor],Banco[IdAgente],B15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15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15" s="267">
        <f>SUMIFS(Banco[valor],Banco[IdAgente],B15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15" s="267">
        <f>SUMIFS(Banco[valor],Banco[IdAgente],B15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15" s="267">
        <f>SUMIFS(Banco[valor],Banco[IdAgente],B15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15" s="267">
        <f>SUMIFS(Banco[valor],Banco[IdAgente],B15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15" s="267">
        <f>SUMIFS(Banco[valor],Banco[IdAgente],B15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15" s="267">
        <f>SUMIFS(Banco[valor],Banco[IdAgente],B15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15" s="267">
        <f>SUMIFS(Banco[valor],Banco[IdAgente],B15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15" s="267">
        <f>SUMIFS(Banco[valor],Banco[IdAgente],B15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15" s="267">
        <f t="shared" si="2"/>
        <v>0</v>
      </c>
      <c r="Q15" s="267">
        <f>SUMIFS(Banco[valor],Banco[IdAgente],B15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15" s="267">
        <f>SUMIFS(Banco[valor],Banco[IdAgente],B15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15" s="4"/>
      <c r="T15" s="4"/>
      <c r="U15" s="4"/>
      <c r="V15" s="267">
        <f>SUMIFS(financeiro[valor],financeiro[IdAgente],B15,financeiro[idDet1],22,financeiro[idDet2],60,financeiro[idDet3],526,financeiro[id_grupo_tarifa],1,financeiro[id_detalhe_grupo_tarifa],7,financeiro[id_tipo_tarifa],9,financeiro[id_subgrupo],99,financeiro[valor],"&gt;0")+SUMIFS(financeiro[valor],financeiro[IdAgente],B15,financeiro[idDet1],22,financeiro[idDet2],60,financeiro[idDet3],526,financeiro[id_grupo_tarifa],2,financeiro[id_detalhe_grupo_tarifa],11,financeiro[id_tipo_tarifa],9,financeiro[valor],"&gt;0")+SUMIFS(financeiro[valor],financeiro[IdAgente],B15,financeiro[idDet1],22,financeiro[idDet2],60,financeiro[idDet3],526,financeiro[id_grupo_tarifa],2,financeiro[id_detalhe_grupo_tarifa],9,financeiro[id_tipo_tarifa],9,financeiro[valor],"&gt;0")+SUMIFS(financeiro[valor],financeiro[IdAgente],B15,financeiro[idDet1],22,financeiro[idDet2],60,financeiro[idDet3],526,financeiro[id_grupo_tarifa],2,financeiro[id_detalhe_grupo_tarifa],8,financeiro[id_tipo_tarifa],9,financeiro[valor],"&gt;0")+SUMIFS(financeiro[valor],financeiro[IdAgente],B15,financeiro[idDet1],22,financeiro[idDet2],60,financeiro[idDet3],526,financeiro[id_grupo_tarifa],2,financeiro[id_detalhe_grupo_tarifa],10,financeiro[id_tipo_tarifa],9,financeiro[valor],"&gt;0")+SUMIFS(financeiro[valor],financeiro[IdAgente],B15,financeiro[idDet1],22,financeiro[idDet2],60,financeiro[idDet3],526,financeiro[id_grupo_tarifa],2,financeiro[id_detalhe_grupo_tarifa],24,financeiro[id_tipo_tarifa],9,financeiro[valor],"&gt;0")</f>
        <v>0</v>
      </c>
      <c r="W15" s="267">
        <f>SUMIFS(financeiro[valor],financeiro[IdAgente],B15,financeiro[idDet1],20,financeiro[idDet2],60,financeiro[idDet3],999,financeiro[id_grupo_tarifa],3,financeiro[id_detalhe_grupo_tarifa],14,financeiro[id_tipo_tarifa],9)+SUMIFS(financeiro[valor],financeiro[IdAgente],B15,financeiro[idDet1],20,financeiro[idDet2],60,financeiro[idDet3],999,financeiro[id_grupo_tarifa],3,financeiro[id_detalhe_grupo_tarifa],15,financeiro[id_tipo_tarifa],9)+SUMIFS(financeiro[valor],financeiro[IdAgente],B15,financeiro[idDet1],20,financeiro[idDet2],60,financeiro[idDet3],999,financeiro[id_grupo_tarifa],3,financeiro[id_detalhe_grupo_tarifa],16,financeiro[id_tipo_tarifa],9)+SUMIFS(financeiro[valor],financeiro[IdAgente],B15,financeiro[idDet1],20,financeiro[idDet2],60,financeiro[idDet3],999,financeiro[id_grupo_tarifa],3,financeiro[id_detalhe_grupo_tarifa],17,financeiro[id_tipo_tarifa],9)+SUMIFS(financeiro[valor],financeiro[IdAgente],B15,financeiro[idDet1],20,financeiro[idDet2],60,financeiro[idDet3],999,financeiro[id_grupo_tarifa],3,financeiro[id_detalhe_grupo_tarifa],18,financeiro[id_tipo_tarifa],9)+SUMIFS(financeiro[valor],financeiro[IdAgente],B15,financeiro[idDet1],20,financeiro[idDet2],60,financeiro[idDet3],999,financeiro[id_grupo_tarifa],3,financeiro[id_detalhe_grupo_tarifa],19,financeiro[id_tipo_tarifa],9)</f>
        <v>0</v>
      </c>
      <c r="X15" s="267">
        <f>SUMIFS(financeiro[valor],financeiro[IdAgente],B15,financeiro[idDet1],20,financeiro[idDet2],60,financeiro[idDet3],999,financeiro[id_grupo_tarifa],3,financeiro[id_detalhe_grupo_tarifa],12,financeiro[id_tipo_tarifa],9)+SUMIFS(financeiro[valor],financeiro[IdAgente],B15,financeiro[idDet1],20,financeiro[idDet2],60,financeiro[idDet3],999,financeiro[id_grupo_tarifa],4,financeiro[id_detalhe_grupo_tarifa],999,financeiro[id_tipo_tarifa],9)</f>
        <v>0</v>
      </c>
      <c r="Y15" s="267">
        <f>SUMIFS(financeiro[valor],financeiro[IdAgente],B15,financeiro[idDet1],20,financeiro[idDet2],60,financeiro[idDet3],179,financeiro[id_grupo_tarifa],99,financeiro[id_detalhe_grupo_tarifa],999,financeiro[id_tipo_tarifa],9)</f>
        <v>0</v>
      </c>
      <c r="Z15" s="267">
        <f>SUMIFS(financeiro[valor],financeiro[IdAgente],B15,financeiro[idDet1],20,financeiro[idDet2],60,financeiro[idDet3],999,financeiro[id_grupo_tarifa],2,financeiro[id_detalhe_grupo_tarifa],11,financeiro[id_tipo_tarifa],9,financeiro[valor],"&gt;0")+SUMIFS(financeiro[valor],financeiro[IdAgente],B15,financeiro[idDet1],20,financeiro[idDet2],60,financeiro[idDet3],999,financeiro[id_grupo_tarifa],2,financeiro[id_detalhe_grupo_tarifa],9,financeiro[id_tipo_tarifa],9,financeiro[valor],"&gt;0")+SUMIFS(financeiro[valor],financeiro[IdAgente],B15,financeiro[idDet1],20,financeiro[idDet2],60,financeiro[idDet3],999,financeiro[id_grupo_tarifa],2,financeiro[id_detalhe_grupo_tarifa],8,financeiro[id_tipo_tarifa],9,financeiro[valor],"&gt;0")+SUMIFS(financeiro[valor],financeiro[IdAgente],B15,financeiro[idDet1],20,financeiro[idDet2],60,financeiro[idDet3],999,financeiro[id_grupo_tarifa],2,financeiro[id_detalhe_grupo_tarifa],10,financeiro[id_tipo_tarifa],9,financeiro[valor],"&gt;0")+SUMIFS(financeiro[valor],financeiro[IdAgente],B15,financeiro[idDet1],20,financeiro[idDet2],60,financeiro[idDet3],999,financeiro[id_grupo_tarifa],2,financeiro[id_detalhe_grupo_tarifa],24,financeiro[id_tipo_tarifa],9,financeiro[valor],"&gt;0")+SUMIFS(financeiro[valor],financeiro[IdAgente],B15,financeiro[idDet1],20,financeiro[idDet2],60,financeiro[idDet3],999,financeiro[id_grupo_tarifa],2,financeiro[id_detalhe_grupo_tarifa],17,financeiro[id_tipo_tarifa],9,financeiro[valor],"&gt;0")+SUMIFS(financeiro[valor],financeiro[IdAgente],B15,financeiro[idDet1],999,financeiro[idDet2],999999,financeiro[idDet3],999,financeiro[id_grupo_tarifa],99,financeiro[id_detalhe_grupo_tarifa],999,financeiro[id_tipo_tarifa],9,financeiro[valor],"&gt;0")</f>
        <v>0</v>
      </c>
      <c r="AA15" s="267">
        <f>SUMIFS(financeiro[valor],financeiro[IdAgente],B15,financeiro[idDet1],22,financeiro[idDet2],60,financeiro[idDet3],529,financeiro[id_grupo_tarifa],1,financeiro[id_detalhe_grupo_tarifa],1,financeiro[id_tipo_tarifa],9,financeiro[valor],"&gt;0")+SUMIFS(financeiro[valor],financeiro[IdAgente],B15,financeiro[idDet1],22,financeiro[idDet2],60,financeiro[idDet3],529,financeiro[id_grupo_tarifa],1,financeiro[id_detalhe_grupo_tarifa],2,financeiro[id_tipo_tarifa],9,financeiro[valor],"&gt;0")</f>
        <v>0</v>
      </c>
      <c r="AB15" s="269"/>
      <c r="AC15" s="267">
        <f>SUMIFS(financeiro[valor],financeiro[IdAgente],B15,financeiro[idDet1],22,financeiro[idDet2],60,financeiro[idDet3],999,financeiro[id_grupo_tarifa],2,financeiro[id_detalhe_grupo_tarifa],30,financeiro[id_tipo_tarifa],9,financeiro[valor],"&gt;0")</f>
        <v>0</v>
      </c>
      <c r="AD15" s="267">
        <f>SUMIFS(financeiro[valor],financeiro[IdAgente],B15,financeiro[idDet1],22,financeiro[idDet2],60,financeiro[idDet3],178,financeiro[id_grupo_tarifa],1,financeiro[id_detalhe_grupo_tarifa],7,financeiro[id_tipo_tarifa],9)</f>
        <v>0</v>
      </c>
      <c r="AE15" s="267">
        <f>SUMIFS(financeiro[valor],financeiro[IdAgente],B15,financeiro[idDet1],22,financeiro[idDet2],60,financeiro[idDet3],242,financeiro[id_grupo_tarifa],4,financeiro[id_detalhe_grupo_tarifa],999,financeiro[id_tipo_tarifa],9)</f>
        <v>0</v>
      </c>
      <c r="AF15" s="267">
        <f>SUMIFS(financeiro[valor],financeiro[IdAgente],B15,financeiro[idDet1],22,financeiro[idDet2],60,financeiro[idDet3],525,financeiro[id_grupo_tarifa],2,financeiro[id_tipo_tarifa],9)</f>
        <v>0</v>
      </c>
      <c r="AG15" s="267">
        <f>SUMIFS(financeiro[valor],financeiro[IdAgente],B15,financeiro[idDet1],22,financeiro[idDet2],60,financeiro[idDet3],524)</f>
        <v>0</v>
      </c>
      <c r="AH15" s="269"/>
      <c r="AI15" s="267">
        <f>SUMIFS(financeiro[valor],financeiro[IdAgente],B15,financeiro[idDet1],22,financeiro[idDet2],60,financeiro[idDet3],523,financeiro[id_grupo_tarifa],2,financeiro[id_detalhe_grupo_tarifa],30,financeiro[id_tipo_tarifa],9)</f>
        <v>0</v>
      </c>
      <c r="AJ15" s="267">
        <f>SUMIFS(financeiro[valor],financeiro[IdAgente],B15,financeiro[idDet1],22,financeiro[idDet2],60,financeiro[idDet3],503,financeiro[id_grupo_tarifa],99,financeiro[id_detalhe_grupo_tarifa],999,financeiro[id_tipo_tarifa],3)</f>
        <v>0</v>
      </c>
      <c r="AK15" s="269"/>
      <c r="AL15" s="269"/>
      <c r="AM15" s="269"/>
      <c r="AN15" s="269"/>
      <c r="AO15" s="269"/>
      <c r="AP15" s="269"/>
      <c r="AQ15" s="269"/>
      <c r="AR15" s="269"/>
      <c r="AS15" s="269"/>
      <c r="AT15" s="267">
        <f>SUMIFS(financeiro[valor],financeiro[IdAgente],B15,financeiro[idDet1],22,financeiro[idDet2],60,financeiro[idDet3],235,financeiro[id_grupo_tarifa],4,financeiro[id_detalhe_grupo_tarifa],999,financeiro[id_tipo_tarifa],9)</f>
        <v>0</v>
      </c>
      <c r="AU15" s="267">
        <f>SUMIFS(financeiro[valor],financeiro[IdAgente],B15,financeiro[idDet1],22,financeiro[idDet2],60,financeiro[idDet3],512,
financeiro[id_grupo_tarifa],3,financeiro[id_detalhe_grupo_tarifa],28,financeiro[id_tipo_tarifa],9)</f>
        <v>0</v>
      </c>
      <c r="AV15" s="267">
        <f>SUMIFS(financeiro[valor],financeiro[IdAgente],B15,financeiro[idDet1],22,financeiro[idDet2],60,financeiro[idDet3],241,financeiro[id_grupo_tarifa],2,financeiro[id_detalhe_grupo_tarifa],11,financeiro[id_tipo_tarifa],9)+SUMIFS(financeiro[valor],financeiro[IdAgente],B15,financeiro[idDet1],22,financeiro[idDet2],60,financeiro[idDet3],241,financeiro[id_grupo_tarifa],2,financeiro[id_detalhe_grupo_tarifa],9,financeiro[id_tipo_tarifa],9)+SUMIFS(financeiro[valor],financeiro[IdAgente],B15,financeiro[idDet1],22,financeiro[idDet2],60,financeiro[idDet3],241,financeiro[id_grupo_tarifa],2,financeiro[id_detalhe_grupo_tarifa],8,financeiro[id_tipo_tarifa],9)+SUMIFS(financeiro[valor],financeiro[IdAgente],B15,financeiro[idDet1],22,financeiro[idDet2],60,financeiro[idDet3],241,financeiro[id_grupo_tarifa],2,financeiro[id_detalhe_grupo_tarifa],10,financeiro[id_tipo_tarifa],9)+SUMIFS(financeiro[valor],financeiro[IdAgente],B15,financeiro[idDet1],22,financeiro[idDet2],60,financeiro[idDet3],241,financeiro[id_grupo_tarifa],2,financeiro[id_detalhe_grupo_tarifa],24,financeiro[id_tipo_tarifa],9)</f>
        <v>0</v>
      </c>
      <c r="AW15" s="267">
        <f>SUMIFS(financeiro[valor],financeiro[IdAgente],B15,financeiro[idDet1],22,financeiro[idDet2],60,financeiro[idDet3],241,financeiro[id_grupo_tarifa],3,financeiro[id_detalhe_grupo_tarifa],17,financeiro[id_tipo_tarifa],9)</f>
        <v>0</v>
      </c>
      <c r="AX15" s="267">
        <f>SUMIFS(financeiro[valor],financeiro[IdAgente],B15,financeiro[idDet1],22,financeiro[idDet2],60,financeiro[idDet3],240,financeiro[id_grupo_tarifa],2,financeiro[id_detalhe_grupo_tarifa],11,financeiro[id_tipo_tarifa],9)+SUMIFS(financeiro[valor],financeiro[IdAgente],B15,financeiro[idDet1],22,financeiro[idDet2],60,financeiro[idDet3],240,financeiro[id_grupo_tarifa],2,financeiro[id_detalhe_grupo_tarifa],9,financeiro[id_tipo_tarifa],9)+SUMIFS(financeiro[valor],financeiro[IdAgente],B15,financeiro[idDet1],22,financeiro[idDet2],60,financeiro[idDet3],240,financeiro[id_grupo_tarifa],2,financeiro[id_detalhe_grupo_tarifa],8,financeiro[id_tipo_tarifa],9)+SUMIFS(financeiro[valor],financeiro[IdAgente],B15,financeiro[idDet1],22,financeiro[idDet2],60,financeiro[idDet3],240,financeiro[id_grupo_tarifa],2,financeiro[id_detalhe_grupo_tarifa],10,financeiro[id_tipo_tarifa],9)+SUMIFS(financeiro[valor],financeiro[IdAgente],B15,financeiro[idDet1],22,financeiro[idDet2],60,financeiro[idDet3],240,financeiro[id_grupo_tarifa],2,financeiro[id_detalhe_grupo_tarifa],24,financeiro[id_tipo_tarifa],9)</f>
        <v>0</v>
      </c>
      <c r="AY15" s="267">
        <f>SUMIFS(financeiro[valor],financeiro[IdAgente],B15,financeiro[idDet1],22,financeiro[idDet2],60,financeiro[idDet3],106,financeiro[id_grupo_tarifa],2,financeiro[id_detalhe_grupo_tarifa],11,financeiro[id_tipo_tarifa],9)+SUMIFS(financeiro[valor],financeiro[IdAgente],B15,financeiro[idDet1],22,financeiro[idDet2],60,financeiro[idDet3],106,financeiro[id_grupo_tarifa],2,financeiro[id_detalhe_grupo_tarifa],9,financeiro[id_tipo_tarifa],9)+SUMIFS(financeiro[valor],financeiro[IdAgente],B15,financeiro[idDet1],22,financeiro[idDet2],60,financeiro[idDet3],106,financeiro[id_grupo_tarifa],2,financeiro[id_detalhe_grupo_tarifa],8,financeiro[id_tipo_tarifa],9)+SUMIFS(financeiro[valor],financeiro[IdAgente],B15,financeiro[idDet1],22,financeiro[idDet2],60,financeiro[idDet3],106,financeiro[id_grupo_tarifa],2,financeiro[id_detalhe_grupo_tarifa],10,financeiro[id_tipo_tarifa],9)+SUMIFS(financeiro[valor],financeiro[IdAgente],B15,financeiro[idDet1],22,financeiro[idDet2],60,financeiro[idDet3],106,financeiro[id_grupo_tarifa],2,financeiro[id_detalhe_grupo_tarifa],24,financeiro[id_tipo_tarifa],9)</f>
        <v>0</v>
      </c>
      <c r="AZ15" s="267">
        <f>SUMIFS(financeiro[valor],financeiro[IdAgente],B15,financeiro[idDet1],22,financeiro[idDet2],62,financeiro[idDet3],220,financeiro[id_grupo_tarifa],2,financeiro[id_detalhe_grupo_tarifa],11,financeiro[id_tipo_tarifa],9)+SUMIFS(financeiro[valor],financeiro[IdAgente],B15,financeiro[idDet1],22,financeiro[idDet2],62,financeiro[idDet3],220,financeiro[id_grupo_tarifa],2,financeiro[id_detalhe_grupo_tarifa],9,financeiro[id_tipo_tarifa],9)+SUMIFS(financeiro[valor],financeiro[IdAgente],B15,financeiro[idDet1],22,financeiro[idDet2],62,financeiro[idDet3],220,financeiro[id_grupo_tarifa],2,financeiro[id_detalhe_grupo_tarifa],8,financeiro[id_tipo_tarifa],9)+SUMIFS(financeiro[valor],financeiro[IdAgente],B15,financeiro[idDet1],22,financeiro[idDet2],62,financeiro[idDet3],220,financeiro[id_grupo_tarifa],2,financeiro[id_detalhe_grupo_tarifa],10,financeiro[id_tipo_tarifa],9)+SUMIFS(financeiro[valor],financeiro[IdAgente],B15,financeiro[idDet1],22,financeiro[idDet2],62,financeiro[idDet3],220,financeiro[id_grupo_tarifa],2,financeiro[id_detalhe_grupo_tarifa],24,financeiro[id_tipo_tarifa],9)</f>
        <v>0</v>
      </c>
      <c r="BA15" s="267">
        <f>SUMIFS(financeiro[valor],financeiro[IdAgente],B15,financeiro[idDet1],22,financeiro[idDet2],60,financeiro[idDet3],220,financeiro[id_grupo_tarifa],2,financeiro[id_detalhe_grupo_tarifa],11,financeiro[id_tipo_tarifa],9)+SUMIFS(financeiro[valor],financeiro[IdAgente],B15,financeiro[idDet1],22,financeiro[idDet2],60,financeiro[idDet3],220,financeiro[id_grupo_tarifa],2,financeiro[id_detalhe_grupo_tarifa],9,financeiro[id_tipo_tarifa],9)+SUMIFS(financeiro[valor],financeiro[IdAgente],B15,financeiro[idDet1],22,financeiro[idDet2],60,financeiro[idDet3],220,financeiro[id_grupo_tarifa],2,financeiro[id_detalhe_grupo_tarifa],8,financeiro[id_tipo_tarifa],9)+SUMIFS(financeiro[valor],financeiro[IdAgente],B15,financeiro[idDet1],22,financeiro[idDet2],60,financeiro[idDet3],220,financeiro[id_grupo_tarifa],2,financeiro[id_detalhe_grupo_tarifa],10,financeiro[id_tipo_tarifa],9)+SUMIFS(financeiro[valor],financeiro[IdAgente],B15,financeiro[idDet1],22,financeiro[idDet2],60,financeiro[idDet3],220,financeiro[id_grupo_tarifa],2,financeiro[id_detalhe_grupo_tarifa],24,financeiro[id_tipo_tarifa],9)</f>
        <v>0</v>
      </c>
      <c r="BB15" s="267">
        <f>SUMIFS(financeiro[valor],financeiro[IdAgente],B15,financeiro[idDet1],22,financeiro[idDet2],60,financeiro[idDet3],102,financeiro[id_grupo_tarifa],2,financeiro[id_detalhe_grupo_tarifa],11,financeiro[id_tipo_tarifa],9)+SUMIFS(financeiro[valor],financeiro[IdAgente],B15,financeiro[idDet1],22,financeiro[idDet2],60,financeiro[idDet3],102,financeiro[id_grupo_tarifa],2,financeiro[id_detalhe_grupo_tarifa],9,financeiro[id_tipo_tarifa],9)+SUMIFS(financeiro[valor],financeiro[IdAgente],B15,financeiro[idDet1],22,financeiro[idDet2],60,financeiro[idDet3],102,financeiro[id_grupo_tarifa],2,financeiro[id_detalhe_grupo_tarifa],8,financeiro[id_tipo_tarifa],9)+SUMIFS(financeiro[valor],financeiro[IdAgente],B15,financeiro[idDet1],22,financeiro[idDet2],60,financeiro[idDet3],102,financeiro[id_grupo_tarifa],2,financeiro[id_detalhe_grupo_tarifa],10,financeiro[id_tipo_tarifa],9)+SUMIFS(financeiro[valor],financeiro[IdAgente],B15,financeiro[idDet1],22,financeiro[idDet2],60,financeiro[idDet3],102,financeiro[id_grupo_tarifa],2,financeiro[id_detalhe_grupo_tarifa],24,financeiro[id_tipo_tarifa],9)</f>
        <v>0</v>
      </c>
      <c r="BC15" s="267">
        <f>SUMIFS(financeiro[valor],financeiro[IdAgente],B15,financeiro[idDet1],22,financeiro[idDet2],60,financeiro[idDet3],522,financeiro[valor],"&lt;0")</f>
        <v>0</v>
      </c>
      <c r="BD15" s="267">
        <f>SUMIFS(financeiro[valor],financeiro[IdAgente],B15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15" s="267">
        <f>SUMIFS(financeiro[valor],financeiro[IdAgente],B15,financeiro[id_natureza_dado],2,financeiro[id_detalhe_natureza],2,financeiro[idDet1],20,financeiro[idDet2],60,financeiro[idDet3],82,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15" s="267">
        <f>SUMIFS(financeiro[valor],financeiro[IdAgente],B15,financeiro[id_natureza_dado],2,financeiro[id_detalhe_natureza],2,financeiro[idDet1],20,financeiro[idDet2],60,financeiro[idDet3],81,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15" s="267">
        <f>SUMIFS(financeiro[valor],financeiro[IdAgente],B15,financeiro[id_natureza_dado],2,financeiro[id_detalhe_natureza],2,financeiro[idDet1],20,financeiro[idDet2],60,financeiro[idDet3],503,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15" s="267">
        <f>SUMIFS(financeiro[valor],financeiro[IdAgente],B15,financeiro[idDet1],22,financeiro[idDet2],60,financeiro[idDet3],123)</f>
        <v>0</v>
      </c>
      <c r="BI15" s="267">
        <f>SUMIFS(financeiro[valor],financeiro[IdAgente],B15,financeiro[idDet1],20,financeiro[idDet2],60,financeiro[idDet3],73)</f>
        <v>0</v>
      </c>
      <c r="BJ15" s="267">
        <f>SUMIFS(financeiro[valor],financeiro[IdAgente],B15,financeiro[idDet1],22,financeiro[idDet2],60,financeiro[idDet3],527)</f>
        <v>0</v>
      </c>
      <c r="BK15" s="267">
        <f>SUMIFS(financeiro[valor],financeiro[IdAgente],B15,financeiro[idDet1],22,financeiro[idDet2],60,financeiro[idDet3],510)</f>
        <v>0</v>
      </c>
      <c r="BL15" s="267">
        <f>SUMIFS(financeiro[valor],financeiro[IdAgente],B15,financeiro[idDet1],22,financeiro[idDet2],60,financeiro[idDet3],526,
financeiro[id_grupo_tarifa],1,financeiro[id_detalhe_grupo_tarifa],3,financeiro[id_tipo_tarifa],9,financeiro[id_subgrupo],3)</f>
        <v>0</v>
      </c>
      <c r="BM15" s="267">
        <f>SUMIFS(financeiro[valor],financeiro[IdAgente],B15,financeiro[idDet1],22,financeiro[idDet2],60,financeiro[idDet3],999,
financeiro[id_grupo_tarifa],3,financeiro[id_detalhe_grupo_tarifa],17,financeiro[id_tipo_tarifa],9)</f>
        <v>0</v>
      </c>
      <c r="BN15" s="267">
        <f>SUMIFS(financeiro[valor],financeiro[IdAgente],B15,financeiro[idDet1],22,financeiro[idDet2],60,financeiro[idDet3],526,financeiro[id_grupo_tarifa],1,financeiro[id_detalhe_grupo_tarifa],7,financeiro[id_tipo_tarifa],9,financeiro[valor],"&lt;0")+SUMIFS(financeiro[valor],financeiro[IdAgente],B15,financeiro[idDet1],22,financeiro[idDet2],60,financeiro[idDet3],526,financeiro[id_grupo_tarifa],2,financeiro[id_detalhe_grupo_tarifa],11,financeiro[id_tipo_tarifa],9,financeiro[valor],"&lt;0")+SUMIFS(financeiro[valor],financeiro[IdAgente],B15,financeiro[idDet1],22,financeiro[idDet2],60,financeiro[idDet3],526,financeiro[id_grupo_tarifa],2,financeiro[id_detalhe_grupo_tarifa],8,financeiro[id_tipo_tarifa],9,financeiro[valor],"&lt;0")</f>
        <v>0</v>
      </c>
      <c r="BO15" s="267">
        <f>SUMIFS(financeiro[valor],financeiro[IdAgente],B15,financeiro[idDet1],22,financeiro[idDet2],60,financeiro[idDet3],999,financeiro[id_grupo_tarifa],4,financeiro[id_detalhe_grupo_tarifa],999,financeiro[id_tipo_tarifa],9,financeiro[valor],"&lt;0")</f>
        <v>0</v>
      </c>
      <c r="BP15" s="267">
        <f>SUMIFS(financeiro[valor],financeiro[IdAgente],B15,financeiro[idDet1],22,financeiro[idDet2],60,financeiro[idDet3],530,financeiro[valor],"&lt;0")</f>
        <v>0</v>
      </c>
      <c r="BQ15" s="267">
        <f>SUMIFS(financeiro[valor],financeiro[IdAgente],B15,financeiro[idDet1],22,financeiro[idDet2],60,financeiro[idDet3],531,financeiro[valor],"&lt;0")</f>
        <v>0</v>
      </c>
      <c r="BR15" s="267">
        <f>SUMIFS(financeiro[valor],financeiro[IdAgente],B15,financeiro[idDet1],22,financeiro[idDet2],62,financeiro[idDet3],532,financeiro[valor],"&lt;0")</f>
        <v>0</v>
      </c>
      <c r="BS15" s="267">
        <f>SUMIFS(financeiro[valor],financeiro[IdAgente],B15,financeiro[idDet1],22,financeiro[idDet2],62,financeiro[idDet3],533,financeiro[valor],"&lt;0")</f>
        <v>0</v>
      </c>
      <c r="BT15" s="267">
        <f>SUMIFS(financeiro[valor],financeiro[IdAgente],B15,financeiro[idDet1],22,financeiro[idDet2],62,financeiro[idDet3],534,financeiro[valor],"&lt;0")</f>
        <v>0</v>
      </c>
      <c r="BW15" s="210" t="s">
        <v>55</v>
      </c>
      <c r="BX15" t="str">
        <f>Efeito!B16</f>
        <v>NO SELECT</v>
      </c>
      <c r="BY15" s="267">
        <f>SUMIFS(Banco[valor],Banco[IdAgente],BX15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15" s="267">
        <f>SUMIFS(Banco[valor],Banco[IdAgente],BX15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15" s="267">
        <f>SUMIFS(Banco[valor],Banco[IdAgente],BX15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15" s="267">
        <f>SUMIFS(Banco[valor],Banco[IdAgente],BX15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15" s="267">
        <f>SUMIFS(Banco[valor],Banco[IdAgente],BX15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15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15" s="267">
        <f>SUMIFS(Banco[valor],Banco[IdAgente],BX15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15" s="267">
        <f>SUMIFS(Banco[valor],Banco[IdAgente],BX15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15" s="267">
        <f>SUMIFS(Banco[valor],Banco[IdAgente],BX15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15" s="267">
        <f>SUMIFS(Banco[valor],Banco[IdAgente],BX15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15" s="267">
        <f>SUMIFS(Banco[valor],Banco[IdAgente],BX15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15" s="267">
        <f>SUMIFS(Banco[valor],Banco[IdAgente],BX15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15" s="267">
        <f>SUMIFS(Banco[valor],Banco[IdAgente],BX15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15" s="267">
        <f>SUMIFS(Banco[valor],Banco[IdAgente],B15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15" s="267">
        <f>SUMIFS(Banco[valor],Banco[IdAgente],B15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15" s="267">
        <f>SUMIFS(Banco[valor],Banco[IdAgente],B15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16" spans="1:91">
      <c r="A16" t="s">
        <v>57</v>
      </c>
      <c r="B16" t="str">
        <f>Efeito!B17</f>
        <v>NO SELECT</v>
      </c>
      <c r="C16" s="267">
        <f>SUMIFS(Banco[valor],Banco[IdAgente],B16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16" s="267">
        <f>SUMIFS(Banco[valor],Banco[IdAgente],B16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16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16" s="267">
        <f>SUMIFS(Banco[valor],Banco[IdAgente],B16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16" s="267">
        <f>SUMIFS(Banco[valor],Banco[IdAgente],B16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16" s="267">
        <f>SUMIFS(Banco[valor],Banco[IdAgente],B16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16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16" s="267">
        <f>SUMIFS(Banco[valor],Banco[IdAgente],B16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16" s="267">
        <f>SUMIFS(Banco[valor],Banco[IdAgente],B16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16" s="267">
        <f>SUMIFS(Banco[valor],Banco[IdAgente],B16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16" s="267">
        <f>SUMIFS(Banco[valor],Banco[IdAgente],B16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16" s="267">
        <f>SUMIFS(Banco[valor],Banco[IdAgente],B16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16" s="267">
        <f>SUMIFS(Banco[valor],Banco[IdAgente],B16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16" s="267">
        <f>SUMIFS(Banco[valor],Banco[IdAgente],B16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16" s="267">
        <f>SUMIFS(Banco[valor],Banco[IdAgente],B16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16" s="267">
        <f t="shared" si="2"/>
        <v>0</v>
      </c>
      <c r="Q16" s="267">
        <f>SUMIFS(Banco[valor],Banco[IdAgente],B16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16" s="267">
        <f>SUMIFS(Banco[valor],Banco[IdAgente],B16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16" s="4"/>
      <c r="T16" s="4"/>
      <c r="U16" s="4"/>
      <c r="V16" s="267">
        <f>SUMIFS(financeiro[valor],financeiro[IdAgente],B16,financeiro[idDet1],22,financeiro[idDet2],60,financeiro[idDet3],526,financeiro[id_grupo_tarifa],1,financeiro[id_detalhe_grupo_tarifa],7,financeiro[id_tipo_tarifa],9,financeiro[id_subgrupo],99,financeiro[valor],"&gt;0")+SUMIFS(financeiro[valor],financeiro[IdAgente],B16,financeiro[idDet1],22,financeiro[idDet2],60,financeiro[idDet3],526,financeiro[id_grupo_tarifa],2,financeiro[id_detalhe_grupo_tarifa],11,financeiro[id_tipo_tarifa],9,financeiro[valor],"&gt;0")+SUMIFS(financeiro[valor],financeiro[IdAgente],B16,financeiro[idDet1],22,financeiro[idDet2],60,financeiro[idDet3],526,financeiro[id_grupo_tarifa],2,financeiro[id_detalhe_grupo_tarifa],9,financeiro[id_tipo_tarifa],9,financeiro[valor],"&gt;0")+SUMIFS(financeiro[valor],financeiro[IdAgente],B16,financeiro[idDet1],22,financeiro[idDet2],60,financeiro[idDet3],526,financeiro[id_grupo_tarifa],2,financeiro[id_detalhe_grupo_tarifa],8,financeiro[id_tipo_tarifa],9,financeiro[valor],"&gt;0")+SUMIFS(financeiro[valor],financeiro[IdAgente],B16,financeiro[idDet1],22,financeiro[idDet2],60,financeiro[idDet3],526,financeiro[id_grupo_tarifa],2,financeiro[id_detalhe_grupo_tarifa],10,financeiro[id_tipo_tarifa],9,financeiro[valor],"&gt;0")+SUMIFS(financeiro[valor],financeiro[IdAgente],B16,financeiro[idDet1],22,financeiro[idDet2],60,financeiro[idDet3],526,financeiro[id_grupo_tarifa],2,financeiro[id_detalhe_grupo_tarifa],24,financeiro[id_tipo_tarifa],9,financeiro[valor],"&gt;0")</f>
        <v>0</v>
      </c>
      <c r="W16" s="267">
        <f>SUMIFS(financeiro[valor],financeiro[IdAgente],B16,financeiro[idDet1],20,financeiro[idDet2],60,financeiro[idDet3],999,financeiro[id_grupo_tarifa],3,financeiro[id_detalhe_grupo_tarifa],14,financeiro[id_tipo_tarifa],9)+SUMIFS(financeiro[valor],financeiro[IdAgente],B16,financeiro[idDet1],20,financeiro[idDet2],60,financeiro[idDet3],999,financeiro[id_grupo_tarifa],3,financeiro[id_detalhe_grupo_tarifa],15,financeiro[id_tipo_tarifa],9)+SUMIFS(financeiro[valor],financeiro[IdAgente],B16,financeiro[idDet1],20,financeiro[idDet2],60,financeiro[idDet3],999,financeiro[id_grupo_tarifa],3,financeiro[id_detalhe_grupo_tarifa],16,financeiro[id_tipo_tarifa],9)+SUMIFS(financeiro[valor],financeiro[IdAgente],B16,financeiro[idDet1],20,financeiro[idDet2],60,financeiro[idDet3],999,financeiro[id_grupo_tarifa],3,financeiro[id_detalhe_grupo_tarifa],17,financeiro[id_tipo_tarifa],9)+SUMIFS(financeiro[valor],financeiro[IdAgente],B16,financeiro[idDet1],20,financeiro[idDet2],60,financeiro[idDet3],999,financeiro[id_grupo_tarifa],3,financeiro[id_detalhe_grupo_tarifa],18,financeiro[id_tipo_tarifa],9)+SUMIFS(financeiro[valor],financeiro[IdAgente],B16,financeiro[idDet1],20,financeiro[idDet2],60,financeiro[idDet3],999,financeiro[id_grupo_tarifa],3,financeiro[id_detalhe_grupo_tarifa],19,financeiro[id_tipo_tarifa],9)</f>
        <v>0</v>
      </c>
      <c r="X16" s="267">
        <f>SUMIFS(financeiro[valor],financeiro[IdAgente],B16,financeiro[idDet1],20,financeiro[idDet2],60,financeiro[idDet3],999,financeiro[id_grupo_tarifa],3,financeiro[id_detalhe_grupo_tarifa],12,financeiro[id_tipo_tarifa],9)+SUMIFS(financeiro[valor],financeiro[IdAgente],B16,financeiro[idDet1],20,financeiro[idDet2],60,financeiro[idDet3],999,financeiro[id_grupo_tarifa],4,financeiro[id_detalhe_grupo_tarifa],999,financeiro[id_tipo_tarifa],9)</f>
        <v>0</v>
      </c>
      <c r="Y16" s="267">
        <f>SUMIFS(financeiro[valor],financeiro[IdAgente],B16,financeiro[idDet1],20,financeiro[idDet2],60,financeiro[idDet3],179,financeiro[id_grupo_tarifa],99,financeiro[id_detalhe_grupo_tarifa],999,financeiro[id_tipo_tarifa],9)</f>
        <v>0</v>
      </c>
      <c r="Z16" s="267">
        <f>SUMIFS(financeiro[valor],financeiro[IdAgente],B16,financeiro[idDet1],20,financeiro[idDet2],60,financeiro[idDet3],999,financeiro[id_grupo_tarifa],2,financeiro[id_detalhe_grupo_tarifa],11,financeiro[id_tipo_tarifa],9,financeiro[valor],"&gt;0")+SUMIFS(financeiro[valor],financeiro[IdAgente],B16,financeiro[idDet1],20,financeiro[idDet2],60,financeiro[idDet3],999,financeiro[id_grupo_tarifa],2,financeiro[id_detalhe_grupo_tarifa],9,financeiro[id_tipo_tarifa],9,financeiro[valor],"&gt;0")+SUMIFS(financeiro[valor],financeiro[IdAgente],B16,financeiro[idDet1],20,financeiro[idDet2],60,financeiro[idDet3],999,financeiro[id_grupo_tarifa],2,financeiro[id_detalhe_grupo_tarifa],8,financeiro[id_tipo_tarifa],9,financeiro[valor],"&gt;0")+SUMIFS(financeiro[valor],financeiro[IdAgente],B16,financeiro[idDet1],20,financeiro[idDet2],60,financeiro[idDet3],999,financeiro[id_grupo_tarifa],2,financeiro[id_detalhe_grupo_tarifa],10,financeiro[id_tipo_tarifa],9,financeiro[valor],"&gt;0")+SUMIFS(financeiro[valor],financeiro[IdAgente],B16,financeiro[idDet1],20,financeiro[idDet2],60,financeiro[idDet3],999,financeiro[id_grupo_tarifa],2,financeiro[id_detalhe_grupo_tarifa],24,financeiro[id_tipo_tarifa],9,financeiro[valor],"&gt;0")+SUMIFS(financeiro[valor],financeiro[IdAgente],B16,financeiro[idDet1],20,financeiro[idDet2],60,financeiro[idDet3],999,financeiro[id_grupo_tarifa],2,financeiro[id_detalhe_grupo_tarifa],17,financeiro[id_tipo_tarifa],9,financeiro[valor],"&gt;0")+SUMIFS(financeiro[valor],financeiro[IdAgente],B16,financeiro[idDet1],999,financeiro[idDet2],999999,financeiro[idDet3],999,financeiro[id_grupo_tarifa],99,financeiro[id_detalhe_grupo_tarifa],999,financeiro[id_tipo_tarifa],9,financeiro[valor],"&gt;0")</f>
        <v>0</v>
      </c>
      <c r="AA16" s="267">
        <f>SUMIFS(financeiro[valor],financeiro[IdAgente],B16,financeiro[idDet1],22,financeiro[idDet2],60,financeiro[idDet3],529,financeiro[id_grupo_tarifa],1,financeiro[id_detalhe_grupo_tarifa],1,financeiro[id_tipo_tarifa],9,financeiro[valor],"&gt;0")+SUMIFS(financeiro[valor],financeiro[IdAgente],B16,financeiro[idDet1],22,financeiro[idDet2],60,financeiro[idDet3],529,financeiro[id_grupo_tarifa],1,financeiro[id_detalhe_grupo_tarifa],2,financeiro[id_tipo_tarifa],9,financeiro[valor],"&gt;0")</f>
        <v>0</v>
      </c>
      <c r="AB16" s="269"/>
      <c r="AC16" s="267">
        <f>SUMIFS(financeiro[valor],financeiro[IdAgente],B16,financeiro[idDet1],22,financeiro[idDet2],60,financeiro[idDet3],999,financeiro[id_grupo_tarifa],2,financeiro[id_detalhe_grupo_tarifa],30,financeiro[id_tipo_tarifa],9,financeiro[valor],"&gt;0")</f>
        <v>0</v>
      </c>
      <c r="AD16" s="267">
        <f>SUMIFS(financeiro[valor],financeiro[IdAgente],B16,financeiro[idDet1],22,financeiro[idDet2],60,financeiro[idDet3],178,financeiro[id_grupo_tarifa],1,financeiro[id_detalhe_grupo_tarifa],7,financeiro[id_tipo_tarifa],9)</f>
        <v>0</v>
      </c>
      <c r="AE16" s="267">
        <f>SUMIFS(financeiro[valor],financeiro[IdAgente],B16,financeiro[idDet1],22,financeiro[idDet2],60,financeiro[idDet3],242,financeiro[id_grupo_tarifa],4,financeiro[id_detalhe_grupo_tarifa],999,financeiro[id_tipo_tarifa],9)</f>
        <v>0</v>
      </c>
      <c r="AF16" s="267">
        <f>SUMIFS(financeiro[valor],financeiro[IdAgente],B16,financeiro[idDet1],22,financeiro[idDet2],60,financeiro[idDet3],525,financeiro[id_grupo_tarifa],2,financeiro[id_tipo_tarifa],9)</f>
        <v>0</v>
      </c>
      <c r="AG16" s="267">
        <f>SUMIFS(financeiro[valor],financeiro[IdAgente],B16,financeiro[idDet1],22,financeiro[idDet2],60,financeiro[idDet3],524)</f>
        <v>0</v>
      </c>
      <c r="AH16" s="269"/>
      <c r="AI16" s="267">
        <f>SUMIFS(financeiro[valor],financeiro[IdAgente],B16,financeiro[idDet1],22,financeiro[idDet2],60,financeiro[idDet3],523,financeiro[id_grupo_tarifa],2,financeiro[id_detalhe_grupo_tarifa],30,financeiro[id_tipo_tarifa],9)</f>
        <v>0</v>
      </c>
      <c r="AJ16" s="267">
        <f>SUMIFS(financeiro[valor],financeiro[IdAgente],B16,financeiro[idDet1],22,financeiro[idDet2],60,financeiro[idDet3],503,financeiro[id_grupo_tarifa],99,financeiro[id_detalhe_grupo_tarifa],999,financeiro[id_tipo_tarifa],3)</f>
        <v>0</v>
      </c>
      <c r="AK16" s="269"/>
      <c r="AL16" s="269"/>
      <c r="AM16" s="269"/>
      <c r="AN16" s="269"/>
      <c r="AO16" s="269"/>
      <c r="AP16" s="269"/>
      <c r="AQ16" s="269"/>
      <c r="AR16" s="269"/>
      <c r="AS16" s="269"/>
      <c r="AT16" s="267">
        <f>SUMIFS(financeiro[valor],financeiro[IdAgente],B16,financeiro[idDet1],22,financeiro[idDet2],60,financeiro[idDet3],235,financeiro[id_grupo_tarifa],4,financeiro[id_detalhe_grupo_tarifa],999,financeiro[id_tipo_tarifa],9)</f>
        <v>0</v>
      </c>
      <c r="AU16" s="267">
        <f>SUMIFS(financeiro[valor],financeiro[IdAgente],B16,financeiro[idDet1],22,financeiro[idDet2],60,financeiro[idDet3],512,
financeiro[id_grupo_tarifa],3,financeiro[id_detalhe_grupo_tarifa],28,financeiro[id_tipo_tarifa],9)</f>
        <v>0</v>
      </c>
      <c r="AV16" s="267">
        <f>SUMIFS(financeiro[valor],financeiro[IdAgente],B16,financeiro[idDet1],22,financeiro[idDet2],60,financeiro[idDet3],241,financeiro[id_grupo_tarifa],2,financeiro[id_detalhe_grupo_tarifa],11,financeiro[id_tipo_tarifa],9)+SUMIFS(financeiro[valor],financeiro[IdAgente],B16,financeiro[idDet1],22,financeiro[idDet2],60,financeiro[idDet3],241,financeiro[id_grupo_tarifa],2,financeiro[id_detalhe_grupo_tarifa],9,financeiro[id_tipo_tarifa],9)+SUMIFS(financeiro[valor],financeiro[IdAgente],B16,financeiro[idDet1],22,financeiro[idDet2],60,financeiro[idDet3],241,financeiro[id_grupo_tarifa],2,financeiro[id_detalhe_grupo_tarifa],8,financeiro[id_tipo_tarifa],9)+SUMIFS(financeiro[valor],financeiro[IdAgente],B16,financeiro[idDet1],22,financeiro[idDet2],60,financeiro[idDet3],241,financeiro[id_grupo_tarifa],2,financeiro[id_detalhe_grupo_tarifa],10,financeiro[id_tipo_tarifa],9)+SUMIFS(financeiro[valor],financeiro[IdAgente],B16,financeiro[idDet1],22,financeiro[idDet2],60,financeiro[idDet3],241,financeiro[id_grupo_tarifa],2,financeiro[id_detalhe_grupo_tarifa],24,financeiro[id_tipo_tarifa],9)</f>
        <v>0</v>
      </c>
      <c r="AW16" s="267">
        <f>SUMIFS(financeiro[valor],financeiro[IdAgente],B16,financeiro[idDet1],22,financeiro[idDet2],60,financeiro[idDet3],241,financeiro[id_grupo_tarifa],3,financeiro[id_detalhe_grupo_tarifa],17,financeiro[id_tipo_tarifa],9)</f>
        <v>0</v>
      </c>
      <c r="AX16" s="267">
        <f>SUMIFS(financeiro[valor],financeiro[IdAgente],B16,financeiro[idDet1],22,financeiro[idDet2],60,financeiro[idDet3],240,financeiro[id_grupo_tarifa],2,financeiro[id_detalhe_grupo_tarifa],11,financeiro[id_tipo_tarifa],9)+SUMIFS(financeiro[valor],financeiro[IdAgente],B16,financeiro[idDet1],22,financeiro[idDet2],60,financeiro[idDet3],240,financeiro[id_grupo_tarifa],2,financeiro[id_detalhe_grupo_tarifa],9,financeiro[id_tipo_tarifa],9)+SUMIFS(financeiro[valor],financeiro[IdAgente],B16,financeiro[idDet1],22,financeiro[idDet2],60,financeiro[idDet3],240,financeiro[id_grupo_tarifa],2,financeiro[id_detalhe_grupo_tarifa],8,financeiro[id_tipo_tarifa],9)+SUMIFS(financeiro[valor],financeiro[IdAgente],B16,financeiro[idDet1],22,financeiro[idDet2],60,financeiro[idDet3],240,financeiro[id_grupo_tarifa],2,financeiro[id_detalhe_grupo_tarifa],10,financeiro[id_tipo_tarifa],9)+SUMIFS(financeiro[valor],financeiro[IdAgente],B16,financeiro[idDet1],22,financeiro[idDet2],60,financeiro[idDet3],240,financeiro[id_grupo_tarifa],2,financeiro[id_detalhe_grupo_tarifa],24,financeiro[id_tipo_tarifa],9)</f>
        <v>0</v>
      </c>
      <c r="AY16" s="267">
        <f>SUMIFS(financeiro[valor],financeiro[IdAgente],B16,financeiro[idDet1],22,financeiro[idDet2],60,financeiro[idDet3],106,financeiro[id_grupo_tarifa],2,financeiro[id_detalhe_grupo_tarifa],11,financeiro[id_tipo_tarifa],9)+SUMIFS(financeiro[valor],financeiro[IdAgente],B16,financeiro[idDet1],22,financeiro[idDet2],60,financeiro[idDet3],106,financeiro[id_grupo_tarifa],2,financeiro[id_detalhe_grupo_tarifa],9,financeiro[id_tipo_tarifa],9)+SUMIFS(financeiro[valor],financeiro[IdAgente],B16,financeiro[idDet1],22,financeiro[idDet2],60,financeiro[idDet3],106,financeiro[id_grupo_tarifa],2,financeiro[id_detalhe_grupo_tarifa],8,financeiro[id_tipo_tarifa],9)+SUMIFS(financeiro[valor],financeiro[IdAgente],B16,financeiro[idDet1],22,financeiro[idDet2],60,financeiro[idDet3],106,financeiro[id_grupo_tarifa],2,financeiro[id_detalhe_grupo_tarifa],10,financeiro[id_tipo_tarifa],9)+SUMIFS(financeiro[valor],financeiro[IdAgente],B16,financeiro[idDet1],22,financeiro[idDet2],60,financeiro[idDet3],106,financeiro[id_grupo_tarifa],2,financeiro[id_detalhe_grupo_tarifa],24,financeiro[id_tipo_tarifa],9)</f>
        <v>0</v>
      </c>
      <c r="AZ16" s="267">
        <f>SUMIFS(financeiro[valor],financeiro[IdAgente],B16,financeiro[idDet1],22,financeiro[idDet2],62,financeiro[idDet3],220,financeiro[id_grupo_tarifa],2,financeiro[id_detalhe_grupo_tarifa],11,financeiro[id_tipo_tarifa],9)+SUMIFS(financeiro[valor],financeiro[IdAgente],B16,financeiro[idDet1],22,financeiro[idDet2],62,financeiro[idDet3],220,financeiro[id_grupo_tarifa],2,financeiro[id_detalhe_grupo_tarifa],9,financeiro[id_tipo_tarifa],9)+SUMIFS(financeiro[valor],financeiro[IdAgente],B16,financeiro[idDet1],22,financeiro[idDet2],62,financeiro[idDet3],220,financeiro[id_grupo_tarifa],2,financeiro[id_detalhe_grupo_tarifa],8,financeiro[id_tipo_tarifa],9)+SUMIFS(financeiro[valor],financeiro[IdAgente],B16,financeiro[idDet1],22,financeiro[idDet2],62,financeiro[idDet3],220,financeiro[id_grupo_tarifa],2,financeiro[id_detalhe_grupo_tarifa],10,financeiro[id_tipo_tarifa],9)+SUMIFS(financeiro[valor],financeiro[IdAgente],B16,financeiro[idDet1],22,financeiro[idDet2],62,financeiro[idDet3],220,financeiro[id_grupo_tarifa],2,financeiro[id_detalhe_grupo_tarifa],24,financeiro[id_tipo_tarifa],9)</f>
        <v>0</v>
      </c>
      <c r="BA16" s="267">
        <f>SUMIFS(financeiro[valor],financeiro[IdAgente],B16,financeiro[idDet1],22,financeiro[idDet2],60,financeiro[idDet3],220,financeiro[id_grupo_tarifa],2,financeiro[id_detalhe_grupo_tarifa],11,financeiro[id_tipo_tarifa],9)+SUMIFS(financeiro[valor],financeiro[IdAgente],B16,financeiro[idDet1],22,financeiro[idDet2],60,financeiro[idDet3],220,financeiro[id_grupo_tarifa],2,financeiro[id_detalhe_grupo_tarifa],9,financeiro[id_tipo_tarifa],9)+SUMIFS(financeiro[valor],financeiro[IdAgente],B16,financeiro[idDet1],22,financeiro[idDet2],60,financeiro[idDet3],220,financeiro[id_grupo_tarifa],2,financeiro[id_detalhe_grupo_tarifa],8,financeiro[id_tipo_tarifa],9)+SUMIFS(financeiro[valor],financeiro[IdAgente],B16,financeiro[idDet1],22,financeiro[idDet2],60,financeiro[idDet3],220,financeiro[id_grupo_tarifa],2,financeiro[id_detalhe_grupo_tarifa],10,financeiro[id_tipo_tarifa],9)+SUMIFS(financeiro[valor],financeiro[IdAgente],B16,financeiro[idDet1],22,financeiro[idDet2],60,financeiro[idDet3],220,financeiro[id_grupo_tarifa],2,financeiro[id_detalhe_grupo_tarifa],24,financeiro[id_tipo_tarifa],9)</f>
        <v>0</v>
      </c>
      <c r="BB16" s="267">
        <f>SUMIFS(financeiro[valor],financeiro[IdAgente],B16,financeiro[idDet1],22,financeiro[idDet2],60,financeiro[idDet3],102,financeiro[id_grupo_tarifa],2,financeiro[id_detalhe_grupo_tarifa],11,financeiro[id_tipo_tarifa],9)+SUMIFS(financeiro[valor],financeiro[IdAgente],B16,financeiro[idDet1],22,financeiro[idDet2],60,financeiro[idDet3],102,financeiro[id_grupo_tarifa],2,financeiro[id_detalhe_grupo_tarifa],9,financeiro[id_tipo_tarifa],9)+SUMIFS(financeiro[valor],financeiro[IdAgente],B16,financeiro[idDet1],22,financeiro[idDet2],60,financeiro[idDet3],102,financeiro[id_grupo_tarifa],2,financeiro[id_detalhe_grupo_tarifa],8,financeiro[id_tipo_tarifa],9)+SUMIFS(financeiro[valor],financeiro[IdAgente],B16,financeiro[idDet1],22,financeiro[idDet2],60,financeiro[idDet3],102,financeiro[id_grupo_tarifa],2,financeiro[id_detalhe_grupo_tarifa],10,financeiro[id_tipo_tarifa],9)+SUMIFS(financeiro[valor],financeiro[IdAgente],B16,financeiro[idDet1],22,financeiro[idDet2],60,financeiro[idDet3],102,financeiro[id_grupo_tarifa],2,financeiro[id_detalhe_grupo_tarifa],24,financeiro[id_tipo_tarifa],9)</f>
        <v>0</v>
      </c>
      <c r="BC16" s="267">
        <f>SUMIFS(financeiro[valor],financeiro[IdAgente],B16,financeiro[idDet1],22,financeiro[idDet2],60,financeiro[idDet3],522,financeiro[valor],"&lt;0")</f>
        <v>0</v>
      </c>
      <c r="BD16" s="267">
        <f>SUMIFS(financeiro[valor],financeiro[IdAgente],B16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16" s="267">
        <f>SUMIFS(financeiro[valor],financeiro[IdAgente],B16,financeiro[id_natureza_dado],2,financeiro[id_detalhe_natureza],2,financeiro[idDet1],20,financeiro[idDet2],60,financeiro[idDet3],82,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16" s="267">
        <f>SUMIFS(financeiro[valor],financeiro[IdAgente],B16,financeiro[id_natureza_dado],2,financeiro[id_detalhe_natureza],2,financeiro[idDet1],20,financeiro[idDet2],60,financeiro[idDet3],81,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16" s="267">
        <f>SUMIFS(financeiro[valor],financeiro[IdAgente],B16,financeiro[id_natureza_dado],2,financeiro[id_detalhe_natureza],2,financeiro[idDet1],20,financeiro[idDet2],60,financeiro[idDet3],503,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16" s="267">
        <f>SUMIFS(financeiro[valor],financeiro[IdAgente],B16,financeiro[idDet1],22,financeiro[idDet2],60,financeiro[idDet3],123)</f>
        <v>0</v>
      </c>
      <c r="BI16" s="267">
        <f>SUMIFS(financeiro[valor],financeiro[IdAgente],B16,financeiro[idDet1],20,financeiro[idDet2],60,financeiro[idDet3],73)</f>
        <v>0</v>
      </c>
      <c r="BJ16" s="267">
        <f>SUMIFS(financeiro[valor],financeiro[IdAgente],B16,financeiro[idDet1],22,financeiro[idDet2],60,financeiro[idDet3],527)</f>
        <v>0</v>
      </c>
      <c r="BK16" s="267">
        <f>SUMIFS(financeiro[valor],financeiro[IdAgente],B16,financeiro[idDet1],22,financeiro[idDet2],60,financeiro[idDet3],510)</f>
        <v>0</v>
      </c>
      <c r="BL16" s="267">
        <f>SUMIFS(financeiro[valor],financeiro[IdAgente],B16,financeiro[idDet1],22,financeiro[idDet2],60,financeiro[idDet3],526,
financeiro[id_grupo_tarifa],1,financeiro[id_detalhe_grupo_tarifa],3,financeiro[id_tipo_tarifa],9,financeiro[id_subgrupo],3)</f>
        <v>0</v>
      </c>
      <c r="BM16" s="267">
        <f>SUMIFS(financeiro[valor],financeiro[IdAgente],B16,financeiro[idDet1],22,financeiro[idDet2],60,financeiro[idDet3],999,
financeiro[id_grupo_tarifa],3,financeiro[id_detalhe_grupo_tarifa],17,financeiro[id_tipo_tarifa],9)</f>
        <v>0</v>
      </c>
      <c r="BN16" s="267">
        <f>SUMIFS(financeiro[valor],financeiro[IdAgente],B16,financeiro[idDet1],22,financeiro[idDet2],60,financeiro[idDet3],526,financeiro[id_grupo_tarifa],1,financeiro[id_detalhe_grupo_tarifa],7,financeiro[id_tipo_tarifa],9,financeiro[valor],"&lt;0")+SUMIFS(financeiro[valor],financeiro[IdAgente],B16,financeiro[idDet1],22,financeiro[idDet2],60,financeiro[idDet3],526,financeiro[id_grupo_tarifa],2,financeiro[id_detalhe_grupo_tarifa],11,financeiro[id_tipo_tarifa],9,financeiro[valor],"&lt;0")+SUMIFS(financeiro[valor],financeiro[IdAgente],B16,financeiro[idDet1],22,financeiro[idDet2],60,financeiro[idDet3],526,financeiro[id_grupo_tarifa],2,financeiro[id_detalhe_grupo_tarifa],8,financeiro[id_tipo_tarifa],9,financeiro[valor],"&lt;0")</f>
        <v>0</v>
      </c>
      <c r="BO16" s="267">
        <f>SUMIFS(financeiro[valor],financeiro[IdAgente],B16,financeiro[idDet1],22,financeiro[idDet2],60,financeiro[idDet3],999,financeiro[id_grupo_tarifa],4,financeiro[id_detalhe_grupo_tarifa],999,financeiro[id_tipo_tarifa],9,financeiro[valor],"&lt;0")</f>
        <v>0</v>
      </c>
      <c r="BP16" s="267">
        <f>SUMIFS(financeiro[valor],financeiro[IdAgente],B16,financeiro[idDet1],22,financeiro[idDet2],60,financeiro[idDet3],530,financeiro[valor],"&lt;0")</f>
        <v>0</v>
      </c>
      <c r="BQ16" s="267">
        <f>SUMIFS(financeiro[valor],financeiro[IdAgente],B16,financeiro[idDet1],22,financeiro[idDet2],60,financeiro[idDet3],531,financeiro[valor],"&lt;0")</f>
        <v>0</v>
      </c>
      <c r="BR16" s="267">
        <f>SUMIFS(financeiro[valor],financeiro[IdAgente],B16,financeiro[idDet1],22,financeiro[idDet2],62,financeiro[idDet3],532,financeiro[valor],"&lt;0")</f>
        <v>0</v>
      </c>
      <c r="BS16" s="267">
        <f>SUMIFS(financeiro[valor],financeiro[IdAgente],B16,financeiro[idDet1],22,financeiro[idDet2],62,financeiro[idDet3],533,financeiro[valor],"&lt;0")</f>
        <v>0</v>
      </c>
      <c r="BT16" s="267">
        <f>SUMIFS(financeiro[valor],financeiro[IdAgente],B16,financeiro[idDet1],22,financeiro[idDet2],62,financeiro[idDet3],534,financeiro[valor],"&lt;0")</f>
        <v>0</v>
      </c>
      <c r="BW16" s="210" t="s">
        <v>57</v>
      </c>
      <c r="BX16" t="str">
        <f>Efeito!B17</f>
        <v>NO SELECT</v>
      </c>
      <c r="BY16" s="267">
        <f>SUMIFS(Banco[valor],Banco[IdAgente],BX16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16" s="267">
        <f>SUMIFS(Banco[valor],Banco[IdAgente],BX16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16" s="267">
        <f>SUMIFS(Banco[valor],Banco[IdAgente],BX16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16" s="267">
        <f>SUMIFS(Banco[valor],Banco[IdAgente],BX16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16" s="267">
        <f>SUMIFS(Banco[valor],Banco[IdAgente],BX16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16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16" s="267">
        <f>SUMIFS(Banco[valor],Banco[IdAgente],BX16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16" s="267">
        <f>SUMIFS(Banco[valor],Banco[IdAgente],BX16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16" s="267">
        <f>SUMIFS(Banco[valor],Banco[IdAgente],BX16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16" s="267">
        <f>SUMIFS(Banco[valor],Banco[IdAgente],BX16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16" s="267">
        <f>SUMIFS(Banco[valor],Banco[IdAgente],BX16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16" s="267">
        <f>SUMIFS(Banco[valor],Banco[IdAgente],BX16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16" s="267">
        <f>SUMIFS(Banco[valor],Banco[IdAgente],BX16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16" s="267">
        <f>SUMIFS(Banco[valor],Banco[IdAgente],B16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16" s="267">
        <f>SUMIFS(Banco[valor],Banco[IdAgente],B16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16" s="267">
        <f>SUMIFS(Banco[valor],Banco[IdAgente],B16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17" spans="1:91">
      <c r="A17" t="s">
        <v>58</v>
      </c>
      <c r="B17" t="str">
        <f>Efeito!B18</f>
        <v>NO SELECT</v>
      </c>
      <c r="C17" s="267">
        <f>SUMIFS(Banco[valor],Banco[IdAgente],B17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17" s="267">
        <f>SUMIFS(Banco[valor],Banco[IdAgente],B17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17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17" s="267">
        <f>SUMIFS(Banco[valor],Banco[IdAgente],B17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17" s="267">
        <f>SUMIFS(Banco[valor],Banco[IdAgente],B17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17" s="267">
        <f>SUMIFS(Banco[valor],Banco[IdAgente],B17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17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17" s="267">
        <f>SUMIFS(Banco[valor],Banco[IdAgente],B17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17" s="267">
        <f>SUMIFS(Banco[valor],Banco[IdAgente],B17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17" s="267">
        <f>SUMIFS(Banco[valor],Banco[IdAgente],B17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17" s="267">
        <f>SUMIFS(Banco[valor],Banco[IdAgente],B17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17" s="267">
        <f>SUMIFS(Banco[valor],Banco[IdAgente],B17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17" s="267">
        <f>SUMIFS(Banco[valor],Banco[IdAgente],B17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17" s="267">
        <f>SUMIFS(Banco[valor],Banco[IdAgente],B17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17" s="267">
        <f>SUMIFS(Banco[valor],Banco[IdAgente],B17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17" s="267">
        <f t="shared" si="2"/>
        <v>0</v>
      </c>
      <c r="Q17" s="267">
        <f>SUMIFS(Banco[valor],Banco[IdAgente],B17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17" s="267">
        <f>SUMIFS(Banco[valor],Banco[IdAgente],B17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17" s="4"/>
      <c r="T17" s="4"/>
      <c r="U17" s="4"/>
      <c r="V17" s="267">
        <f>SUMIFS(financeiro[valor],financeiro[IdAgente],B17,financeiro[idDet1],22,financeiro[idDet2],60,financeiro[idDet3],526,financeiro[id_grupo_tarifa],1,financeiro[id_detalhe_grupo_tarifa],7,financeiro[id_tipo_tarifa],9,financeiro[id_subgrupo],99,financeiro[valor],"&gt;0")+SUMIFS(financeiro[valor],financeiro[IdAgente],B17,financeiro[idDet1],22,financeiro[idDet2],60,financeiro[idDet3],526,financeiro[id_grupo_tarifa],2,financeiro[id_detalhe_grupo_tarifa],11,financeiro[id_tipo_tarifa],9,financeiro[valor],"&gt;0")+SUMIFS(financeiro[valor],financeiro[IdAgente],B17,financeiro[idDet1],22,financeiro[idDet2],60,financeiro[idDet3],526,financeiro[id_grupo_tarifa],2,financeiro[id_detalhe_grupo_tarifa],9,financeiro[id_tipo_tarifa],9,financeiro[valor],"&gt;0")+SUMIFS(financeiro[valor],financeiro[IdAgente],B17,financeiro[idDet1],22,financeiro[idDet2],60,financeiro[idDet3],526,financeiro[id_grupo_tarifa],2,financeiro[id_detalhe_grupo_tarifa],8,financeiro[id_tipo_tarifa],9,financeiro[valor],"&gt;0")+SUMIFS(financeiro[valor],financeiro[IdAgente],B17,financeiro[idDet1],22,financeiro[idDet2],60,financeiro[idDet3],526,financeiro[id_grupo_tarifa],2,financeiro[id_detalhe_grupo_tarifa],10,financeiro[id_tipo_tarifa],9,financeiro[valor],"&gt;0")+SUMIFS(financeiro[valor],financeiro[IdAgente],B17,financeiro[idDet1],22,financeiro[idDet2],60,financeiro[idDet3],526,financeiro[id_grupo_tarifa],2,financeiro[id_detalhe_grupo_tarifa],24,financeiro[id_tipo_tarifa],9,financeiro[valor],"&gt;0")</f>
        <v>0</v>
      </c>
      <c r="W17" s="267">
        <f>SUMIFS(financeiro[valor],financeiro[IdAgente],B17,financeiro[idDet1],20,financeiro[idDet2],60,financeiro[idDet3],999,financeiro[id_grupo_tarifa],3,financeiro[id_detalhe_grupo_tarifa],14,financeiro[id_tipo_tarifa],9)+SUMIFS(financeiro[valor],financeiro[IdAgente],B17,financeiro[idDet1],20,financeiro[idDet2],60,financeiro[idDet3],999,financeiro[id_grupo_tarifa],3,financeiro[id_detalhe_grupo_tarifa],15,financeiro[id_tipo_tarifa],9)+SUMIFS(financeiro[valor],financeiro[IdAgente],B17,financeiro[idDet1],20,financeiro[idDet2],60,financeiro[idDet3],999,financeiro[id_grupo_tarifa],3,financeiro[id_detalhe_grupo_tarifa],16,financeiro[id_tipo_tarifa],9)+SUMIFS(financeiro[valor],financeiro[IdAgente],B17,financeiro[idDet1],20,financeiro[idDet2],60,financeiro[idDet3],999,financeiro[id_grupo_tarifa],3,financeiro[id_detalhe_grupo_tarifa],17,financeiro[id_tipo_tarifa],9)+SUMIFS(financeiro[valor],financeiro[IdAgente],B17,financeiro[idDet1],20,financeiro[idDet2],60,financeiro[idDet3],999,financeiro[id_grupo_tarifa],3,financeiro[id_detalhe_grupo_tarifa],18,financeiro[id_tipo_tarifa],9)+SUMIFS(financeiro[valor],financeiro[IdAgente],B17,financeiro[idDet1],20,financeiro[idDet2],60,financeiro[idDet3],999,financeiro[id_grupo_tarifa],3,financeiro[id_detalhe_grupo_tarifa],19,financeiro[id_tipo_tarifa],9)</f>
        <v>0</v>
      </c>
      <c r="X17" s="267">
        <f>SUMIFS(financeiro[valor],financeiro[IdAgente],B17,financeiro[idDet1],20,financeiro[idDet2],60,financeiro[idDet3],999,financeiro[id_grupo_tarifa],3,financeiro[id_detalhe_grupo_tarifa],12,financeiro[id_tipo_tarifa],9)+SUMIFS(financeiro[valor],financeiro[IdAgente],B17,financeiro[idDet1],20,financeiro[idDet2],60,financeiro[idDet3],999,financeiro[id_grupo_tarifa],4,financeiro[id_detalhe_grupo_tarifa],999,financeiro[id_tipo_tarifa],9)</f>
        <v>0</v>
      </c>
      <c r="Y17" s="267">
        <f>SUMIFS(financeiro[valor],financeiro[IdAgente],B17,financeiro[idDet1],20,financeiro[idDet2],60,financeiro[idDet3],179,financeiro[id_grupo_tarifa],99,financeiro[id_detalhe_grupo_tarifa],999,financeiro[id_tipo_tarifa],9)</f>
        <v>0</v>
      </c>
      <c r="Z17" s="267">
        <f>SUMIFS(financeiro[valor],financeiro[IdAgente],B17,financeiro[idDet1],20,financeiro[idDet2],60,financeiro[idDet3],999,financeiro[id_grupo_tarifa],2,financeiro[id_detalhe_grupo_tarifa],11,financeiro[id_tipo_tarifa],9,financeiro[valor],"&gt;0")+SUMIFS(financeiro[valor],financeiro[IdAgente],B17,financeiro[idDet1],20,financeiro[idDet2],60,financeiro[idDet3],999,financeiro[id_grupo_tarifa],2,financeiro[id_detalhe_grupo_tarifa],9,financeiro[id_tipo_tarifa],9,financeiro[valor],"&gt;0")+SUMIFS(financeiro[valor],financeiro[IdAgente],B17,financeiro[idDet1],20,financeiro[idDet2],60,financeiro[idDet3],999,financeiro[id_grupo_tarifa],2,financeiro[id_detalhe_grupo_tarifa],8,financeiro[id_tipo_tarifa],9,financeiro[valor],"&gt;0")+SUMIFS(financeiro[valor],financeiro[IdAgente],B17,financeiro[idDet1],20,financeiro[idDet2],60,financeiro[idDet3],999,financeiro[id_grupo_tarifa],2,financeiro[id_detalhe_grupo_tarifa],10,financeiro[id_tipo_tarifa],9,financeiro[valor],"&gt;0")+SUMIFS(financeiro[valor],financeiro[IdAgente],B17,financeiro[idDet1],20,financeiro[idDet2],60,financeiro[idDet3],999,financeiro[id_grupo_tarifa],2,financeiro[id_detalhe_grupo_tarifa],24,financeiro[id_tipo_tarifa],9,financeiro[valor],"&gt;0")+SUMIFS(financeiro[valor],financeiro[IdAgente],B17,financeiro[idDet1],20,financeiro[idDet2],60,financeiro[idDet3],999,financeiro[id_grupo_tarifa],2,financeiro[id_detalhe_grupo_tarifa],17,financeiro[id_tipo_tarifa],9,financeiro[valor],"&gt;0")+SUMIFS(financeiro[valor],financeiro[IdAgente],B17,financeiro[idDet1],999,financeiro[idDet2],999999,financeiro[idDet3],999,financeiro[id_grupo_tarifa],99,financeiro[id_detalhe_grupo_tarifa],999,financeiro[id_tipo_tarifa],9,financeiro[valor],"&gt;0")</f>
        <v>0</v>
      </c>
      <c r="AA17" s="267">
        <f>SUMIFS(financeiro[valor],financeiro[IdAgente],B17,financeiro[idDet1],22,financeiro[idDet2],60,financeiro[idDet3],529,financeiro[id_grupo_tarifa],1,financeiro[id_detalhe_grupo_tarifa],1,financeiro[id_tipo_tarifa],9,financeiro[valor],"&gt;0")+SUMIFS(financeiro[valor],financeiro[IdAgente],B17,financeiro[idDet1],22,financeiro[idDet2],60,financeiro[idDet3],529,financeiro[id_grupo_tarifa],1,financeiro[id_detalhe_grupo_tarifa],2,financeiro[id_tipo_tarifa],9,financeiro[valor],"&gt;0")</f>
        <v>0</v>
      </c>
      <c r="AB17" s="269"/>
      <c r="AC17" s="267">
        <f>SUMIFS(financeiro[valor],financeiro[IdAgente],B17,financeiro[idDet1],22,financeiro[idDet2],60,financeiro[idDet3],999,financeiro[id_grupo_tarifa],2,financeiro[id_detalhe_grupo_tarifa],30,financeiro[id_tipo_tarifa],9,financeiro[valor],"&gt;0")</f>
        <v>0</v>
      </c>
      <c r="AD17" s="267">
        <f>SUMIFS(financeiro[valor],financeiro[IdAgente],B17,financeiro[idDet1],22,financeiro[idDet2],60,financeiro[idDet3],178,financeiro[id_grupo_tarifa],1,financeiro[id_detalhe_grupo_tarifa],7,financeiro[id_tipo_tarifa],9)</f>
        <v>0</v>
      </c>
      <c r="AE17" s="267">
        <f>SUMIFS(financeiro[valor],financeiro[IdAgente],B17,financeiro[idDet1],22,financeiro[idDet2],60,financeiro[idDet3],242,financeiro[id_grupo_tarifa],4,financeiro[id_detalhe_grupo_tarifa],999,financeiro[id_tipo_tarifa],9)</f>
        <v>0</v>
      </c>
      <c r="AF17" s="267">
        <f>SUMIFS(financeiro[valor],financeiro[IdAgente],B17,financeiro[idDet1],22,financeiro[idDet2],60,financeiro[idDet3],525,financeiro[id_grupo_tarifa],2,financeiro[id_tipo_tarifa],9)</f>
        <v>0</v>
      </c>
      <c r="AG17" s="267">
        <f>SUMIFS(financeiro[valor],financeiro[IdAgente],B17,financeiro[idDet1],22,financeiro[idDet2],60,financeiro[idDet3],524)</f>
        <v>0</v>
      </c>
      <c r="AH17" s="269"/>
      <c r="AI17" s="267">
        <f>SUMIFS(financeiro[valor],financeiro[IdAgente],B17,financeiro[idDet1],22,financeiro[idDet2],60,financeiro[idDet3],523,financeiro[id_grupo_tarifa],2,financeiro[id_detalhe_grupo_tarifa],30,financeiro[id_tipo_tarifa],9)</f>
        <v>0</v>
      </c>
      <c r="AJ17" s="267">
        <f>SUMIFS(financeiro[valor],financeiro[IdAgente],B17,financeiro[idDet1],22,financeiro[idDet2],60,financeiro[idDet3],503,financeiro[id_grupo_tarifa],99,financeiro[id_detalhe_grupo_tarifa],999,financeiro[id_tipo_tarifa],3)</f>
        <v>0</v>
      </c>
      <c r="AK17" s="269"/>
      <c r="AL17" s="269"/>
      <c r="AM17" s="269"/>
      <c r="AN17" s="269"/>
      <c r="AO17" s="269"/>
      <c r="AP17" s="269"/>
      <c r="AQ17" s="269"/>
      <c r="AR17" s="269"/>
      <c r="AS17" s="269"/>
      <c r="AT17" s="267">
        <f>SUMIFS(financeiro[valor],financeiro[IdAgente],B17,financeiro[idDet1],22,financeiro[idDet2],60,financeiro[idDet3],235,financeiro[id_grupo_tarifa],4,financeiro[id_detalhe_grupo_tarifa],999,financeiro[id_tipo_tarifa],9)</f>
        <v>0</v>
      </c>
      <c r="AU17" s="267">
        <f>SUMIFS(financeiro[valor],financeiro[IdAgente],B17,financeiro[idDet1],22,financeiro[idDet2],60,financeiro[idDet3],512,
financeiro[id_grupo_tarifa],3,financeiro[id_detalhe_grupo_tarifa],28,financeiro[id_tipo_tarifa],9)</f>
        <v>0</v>
      </c>
      <c r="AV17" s="267">
        <f>SUMIFS(financeiro[valor],financeiro[IdAgente],B17,financeiro[idDet1],22,financeiro[idDet2],60,financeiro[idDet3],241,financeiro[id_grupo_tarifa],2,financeiro[id_detalhe_grupo_tarifa],11,financeiro[id_tipo_tarifa],9)+SUMIFS(financeiro[valor],financeiro[IdAgente],B17,financeiro[idDet1],22,financeiro[idDet2],60,financeiro[idDet3],241,financeiro[id_grupo_tarifa],2,financeiro[id_detalhe_grupo_tarifa],9,financeiro[id_tipo_tarifa],9)+SUMIFS(financeiro[valor],financeiro[IdAgente],B17,financeiro[idDet1],22,financeiro[idDet2],60,financeiro[idDet3],241,financeiro[id_grupo_tarifa],2,financeiro[id_detalhe_grupo_tarifa],8,financeiro[id_tipo_tarifa],9)+SUMIFS(financeiro[valor],financeiro[IdAgente],B17,financeiro[idDet1],22,financeiro[idDet2],60,financeiro[idDet3],241,financeiro[id_grupo_tarifa],2,financeiro[id_detalhe_grupo_tarifa],10,financeiro[id_tipo_tarifa],9)+SUMIFS(financeiro[valor],financeiro[IdAgente],B17,financeiro[idDet1],22,financeiro[idDet2],60,financeiro[idDet3],241,financeiro[id_grupo_tarifa],2,financeiro[id_detalhe_grupo_tarifa],24,financeiro[id_tipo_tarifa],9)</f>
        <v>0</v>
      </c>
      <c r="AW17" s="267">
        <f>SUMIFS(financeiro[valor],financeiro[IdAgente],B17,financeiro[idDet1],22,financeiro[idDet2],60,financeiro[idDet3],241,financeiro[id_grupo_tarifa],3,financeiro[id_detalhe_grupo_tarifa],17,financeiro[id_tipo_tarifa],9)</f>
        <v>0</v>
      </c>
      <c r="AX17" s="267">
        <f>SUMIFS(financeiro[valor],financeiro[IdAgente],B17,financeiro[idDet1],22,financeiro[idDet2],60,financeiro[idDet3],240,financeiro[id_grupo_tarifa],2,financeiro[id_detalhe_grupo_tarifa],11,financeiro[id_tipo_tarifa],9)+SUMIFS(financeiro[valor],financeiro[IdAgente],B17,financeiro[idDet1],22,financeiro[idDet2],60,financeiro[idDet3],240,financeiro[id_grupo_tarifa],2,financeiro[id_detalhe_grupo_tarifa],9,financeiro[id_tipo_tarifa],9)+SUMIFS(financeiro[valor],financeiro[IdAgente],B17,financeiro[idDet1],22,financeiro[idDet2],60,financeiro[idDet3],240,financeiro[id_grupo_tarifa],2,financeiro[id_detalhe_grupo_tarifa],8,financeiro[id_tipo_tarifa],9)+SUMIFS(financeiro[valor],financeiro[IdAgente],B17,financeiro[idDet1],22,financeiro[idDet2],60,financeiro[idDet3],240,financeiro[id_grupo_tarifa],2,financeiro[id_detalhe_grupo_tarifa],10,financeiro[id_tipo_tarifa],9)+SUMIFS(financeiro[valor],financeiro[IdAgente],B17,financeiro[idDet1],22,financeiro[idDet2],60,financeiro[idDet3],240,financeiro[id_grupo_tarifa],2,financeiro[id_detalhe_grupo_tarifa],24,financeiro[id_tipo_tarifa],9)</f>
        <v>0</v>
      </c>
      <c r="AY17" s="267">
        <f>SUMIFS(financeiro[valor],financeiro[IdAgente],B17,financeiro[idDet1],22,financeiro[idDet2],60,financeiro[idDet3],106,financeiro[id_grupo_tarifa],2,financeiro[id_detalhe_grupo_tarifa],11,financeiro[id_tipo_tarifa],9)+SUMIFS(financeiro[valor],financeiro[IdAgente],B17,financeiro[idDet1],22,financeiro[idDet2],60,financeiro[idDet3],106,financeiro[id_grupo_tarifa],2,financeiro[id_detalhe_grupo_tarifa],9,financeiro[id_tipo_tarifa],9)+SUMIFS(financeiro[valor],financeiro[IdAgente],B17,financeiro[idDet1],22,financeiro[idDet2],60,financeiro[idDet3],106,financeiro[id_grupo_tarifa],2,financeiro[id_detalhe_grupo_tarifa],8,financeiro[id_tipo_tarifa],9)+SUMIFS(financeiro[valor],financeiro[IdAgente],B17,financeiro[idDet1],22,financeiro[idDet2],60,financeiro[idDet3],106,financeiro[id_grupo_tarifa],2,financeiro[id_detalhe_grupo_tarifa],10,financeiro[id_tipo_tarifa],9)+SUMIFS(financeiro[valor],financeiro[IdAgente],B17,financeiro[idDet1],22,financeiro[idDet2],60,financeiro[idDet3],106,financeiro[id_grupo_tarifa],2,financeiro[id_detalhe_grupo_tarifa],24,financeiro[id_tipo_tarifa],9)</f>
        <v>0</v>
      </c>
      <c r="AZ17" s="267">
        <f>SUMIFS(financeiro[valor],financeiro[IdAgente],B17,financeiro[idDet1],22,financeiro[idDet2],62,financeiro[idDet3],220,financeiro[id_grupo_tarifa],2,financeiro[id_detalhe_grupo_tarifa],11,financeiro[id_tipo_tarifa],9)+SUMIFS(financeiro[valor],financeiro[IdAgente],B17,financeiro[idDet1],22,financeiro[idDet2],62,financeiro[idDet3],220,financeiro[id_grupo_tarifa],2,financeiro[id_detalhe_grupo_tarifa],9,financeiro[id_tipo_tarifa],9)+SUMIFS(financeiro[valor],financeiro[IdAgente],B17,financeiro[idDet1],22,financeiro[idDet2],62,financeiro[idDet3],220,financeiro[id_grupo_tarifa],2,financeiro[id_detalhe_grupo_tarifa],8,financeiro[id_tipo_tarifa],9)+SUMIFS(financeiro[valor],financeiro[IdAgente],B17,financeiro[idDet1],22,financeiro[idDet2],62,financeiro[idDet3],220,financeiro[id_grupo_tarifa],2,financeiro[id_detalhe_grupo_tarifa],10,financeiro[id_tipo_tarifa],9)+SUMIFS(financeiro[valor],financeiro[IdAgente],B17,financeiro[idDet1],22,financeiro[idDet2],62,financeiro[idDet3],220,financeiro[id_grupo_tarifa],2,financeiro[id_detalhe_grupo_tarifa],24,financeiro[id_tipo_tarifa],9)</f>
        <v>0</v>
      </c>
      <c r="BA17" s="267">
        <f>SUMIFS(financeiro[valor],financeiro[IdAgente],B17,financeiro[idDet1],22,financeiro[idDet2],60,financeiro[idDet3],220,financeiro[id_grupo_tarifa],2,financeiro[id_detalhe_grupo_tarifa],11,financeiro[id_tipo_tarifa],9)+SUMIFS(financeiro[valor],financeiro[IdAgente],B17,financeiro[idDet1],22,financeiro[idDet2],60,financeiro[idDet3],220,financeiro[id_grupo_tarifa],2,financeiro[id_detalhe_grupo_tarifa],9,financeiro[id_tipo_tarifa],9)+SUMIFS(financeiro[valor],financeiro[IdAgente],B17,financeiro[idDet1],22,financeiro[idDet2],60,financeiro[idDet3],220,financeiro[id_grupo_tarifa],2,financeiro[id_detalhe_grupo_tarifa],8,financeiro[id_tipo_tarifa],9)+SUMIFS(financeiro[valor],financeiro[IdAgente],B17,financeiro[idDet1],22,financeiro[idDet2],60,financeiro[idDet3],220,financeiro[id_grupo_tarifa],2,financeiro[id_detalhe_grupo_tarifa],10,financeiro[id_tipo_tarifa],9)+SUMIFS(financeiro[valor],financeiro[IdAgente],B17,financeiro[idDet1],22,financeiro[idDet2],60,financeiro[idDet3],220,financeiro[id_grupo_tarifa],2,financeiro[id_detalhe_grupo_tarifa],24,financeiro[id_tipo_tarifa],9)</f>
        <v>0</v>
      </c>
      <c r="BB17" s="267">
        <f>SUMIFS(financeiro[valor],financeiro[IdAgente],B17,financeiro[idDet1],22,financeiro[idDet2],60,financeiro[idDet3],102,financeiro[id_grupo_tarifa],2,financeiro[id_detalhe_grupo_tarifa],11,financeiro[id_tipo_tarifa],9)+SUMIFS(financeiro[valor],financeiro[IdAgente],B17,financeiro[idDet1],22,financeiro[idDet2],60,financeiro[idDet3],102,financeiro[id_grupo_tarifa],2,financeiro[id_detalhe_grupo_tarifa],9,financeiro[id_tipo_tarifa],9)+SUMIFS(financeiro[valor],financeiro[IdAgente],B17,financeiro[idDet1],22,financeiro[idDet2],60,financeiro[idDet3],102,financeiro[id_grupo_tarifa],2,financeiro[id_detalhe_grupo_tarifa],8,financeiro[id_tipo_tarifa],9)+SUMIFS(financeiro[valor],financeiro[IdAgente],B17,financeiro[idDet1],22,financeiro[idDet2],60,financeiro[idDet3],102,financeiro[id_grupo_tarifa],2,financeiro[id_detalhe_grupo_tarifa],10,financeiro[id_tipo_tarifa],9)+SUMIFS(financeiro[valor],financeiro[IdAgente],B17,financeiro[idDet1],22,financeiro[idDet2],60,financeiro[idDet3],102,financeiro[id_grupo_tarifa],2,financeiro[id_detalhe_grupo_tarifa],24,financeiro[id_tipo_tarifa],9)</f>
        <v>0</v>
      </c>
      <c r="BC17" s="267">
        <f>SUMIFS(financeiro[valor],financeiro[IdAgente],B17,financeiro[idDet1],22,financeiro[idDet2],60,financeiro[idDet3],522,financeiro[valor],"&lt;0")</f>
        <v>0</v>
      </c>
      <c r="BD17" s="267">
        <f>SUMIFS(financeiro[valor],financeiro[IdAgente],B17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17" s="267">
        <f>SUMIFS(financeiro[valor],financeiro[IdAgente],B17,financeiro[id_natureza_dado],2,financeiro[id_detalhe_natureza],2,financeiro[idDet1],20,financeiro[idDet2],60,financeiro[idDet3],82,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17" s="267">
        <f>SUMIFS(financeiro[valor],financeiro[IdAgente],B17,financeiro[id_natureza_dado],2,financeiro[id_detalhe_natureza],2,financeiro[idDet1],20,financeiro[idDet2],60,financeiro[idDet3],81,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17" s="267">
        <f>SUMIFS(financeiro[valor],financeiro[IdAgente],B17,financeiro[id_natureza_dado],2,financeiro[id_detalhe_natureza],2,financeiro[idDet1],20,financeiro[idDet2],60,financeiro[idDet3],503,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17" s="267">
        <f>SUMIFS(financeiro[valor],financeiro[IdAgente],B17,financeiro[idDet1],22,financeiro[idDet2],60,financeiro[idDet3],123)</f>
        <v>0</v>
      </c>
      <c r="BI17" s="267">
        <f>SUMIFS(financeiro[valor],financeiro[IdAgente],B17,financeiro[idDet1],20,financeiro[idDet2],60,financeiro[idDet3],73)</f>
        <v>0</v>
      </c>
      <c r="BJ17" s="267">
        <f>SUMIFS(financeiro[valor],financeiro[IdAgente],B17,financeiro[idDet1],22,financeiro[idDet2],60,financeiro[idDet3],527)</f>
        <v>0</v>
      </c>
      <c r="BK17" s="267">
        <f>SUMIFS(financeiro[valor],financeiro[IdAgente],B17,financeiro[idDet1],22,financeiro[idDet2],60,financeiro[idDet3],510)</f>
        <v>0</v>
      </c>
      <c r="BL17" s="267">
        <f>SUMIFS(financeiro[valor],financeiro[IdAgente],B17,financeiro[idDet1],22,financeiro[idDet2],60,financeiro[idDet3],526,
financeiro[id_grupo_tarifa],1,financeiro[id_detalhe_grupo_tarifa],3,financeiro[id_tipo_tarifa],9,financeiro[id_subgrupo],3)</f>
        <v>0</v>
      </c>
      <c r="BM17" s="267">
        <f>SUMIFS(financeiro[valor],financeiro[IdAgente],B17,financeiro[idDet1],22,financeiro[idDet2],60,financeiro[idDet3],999,
financeiro[id_grupo_tarifa],3,financeiro[id_detalhe_grupo_tarifa],17,financeiro[id_tipo_tarifa],9)</f>
        <v>0</v>
      </c>
      <c r="BN17" s="267">
        <f>SUMIFS(financeiro[valor],financeiro[IdAgente],B17,financeiro[idDet1],22,financeiro[idDet2],60,financeiro[idDet3],526,financeiro[id_grupo_tarifa],1,financeiro[id_detalhe_grupo_tarifa],7,financeiro[id_tipo_tarifa],9,financeiro[valor],"&lt;0")+SUMIFS(financeiro[valor],financeiro[IdAgente],B17,financeiro[idDet1],22,financeiro[idDet2],60,financeiro[idDet3],526,financeiro[id_grupo_tarifa],2,financeiro[id_detalhe_grupo_tarifa],11,financeiro[id_tipo_tarifa],9,financeiro[valor],"&lt;0")+SUMIFS(financeiro[valor],financeiro[IdAgente],B17,financeiro[idDet1],22,financeiro[idDet2],60,financeiro[idDet3],526,financeiro[id_grupo_tarifa],2,financeiro[id_detalhe_grupo_tarifa],8,financeiro[id_tipo_tarifa],9,financeiro[valor],"&lt;0")</f>
        <v>0</v>
      </c>
      <c r="BO17" s="267">
        <f>SUMIFS(financeiro[valor],financeiro[IdAgente],B17,financeiro[idDet1],22,financeiro[idDet2],60,financeiro[idDet3],999,financeiro[id_grupo_tarifa],4,financeiro[id_detalhe_grupo_tarifa],999,financeiro[id_tipo_tarifa],9,financeiro[valor],"&lt;0")</f>
        <v>0</v>
      </c>
      <c r="BP17" s="267">
        <f>SUMIFS(financeiro[valor],financeiro[IdAgente],B17,financeiro[idDet1],22,financeiro[idDet2],60,financeiro[idDet3],530,financeiro[valor],"&lt;0")</f>
        <v>0</v>
      </c>
      <c r="BQ17" s="267">
        <f>SUMIFS(financeiro[valor],financeiro[IdAgente],B17,financeiro[idDet1],22,financeiro[idDet2],60,financeiro[idDet3],531,financeiro[valor],"&lt;0")</f>
        <v>0</v>
      </c>
      <c r="BR17" s="267">
        <f>SUMIFS(financeiro[valor],financeiro[IdAgente],B17,financeiro[idDet1],22,financeiro[idDet2],62,financeiro[idDet3],532,financeiro[valor],"&lt;0")</f>
        <v>0</v>
      </c>
      <c r="BS17" s="267">
        <f>SUMIFS(financeiro[valor],financeiro[IdAgente],B17,financeiro[idDet1],22,financeiro[idDet2],62,financeiro[idDet3],533,financeiro[valor],"&lt;0")</f>
        <v>0</v>
      </c>
      <c r="BT17" s="267">
        <f>SUMIFS(financeiro[valor],financeiro[IdAgente],B17,financeiro[idDet1],22,financeiro[idDet2],62,financeiro[idDet3],534,financeiro[valor],"&lt;0")</f>
        <v>0</v>
      </c>
      <c r="BW17" s="210" t="s">
        <v>58</v>
      </c>
      <c r="BX17" t="str">
        <f>Efeito!B18</f>
        <v>NO SELECT</v>
      </c>
      <c r="BY17" s="267">
        <f>SUMIFS(Banco[valor],Banco[IdAgente],BX17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17" s="267">
        <f>SUMIFS(Banco[valor],Banco[IdAgente],BX17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17" s="267">
        <f>SUMIFS(Banco[valor],Banco[IdAgente],BX17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17" s="267">
        <f>SUMIFS(Banco[valor],Banco[IdAgente],BX17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17" s="267">
        <f>SUMIFS(Banco[valor],Banco[IdAgente],BX17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17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17" s="267">
        <f>SUMIFS(Banco[valor],Banco[IdAgente],BX17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17" s="267">
        <f>SUMIFS(Banco[valor],Banco[IdAgente],BX17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17" s="267">
        <f>SUMIFS(Banco[valor],Banco[IdAgente],BX17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17" s="267">
        <f>SUMIFS(Banco[valor],Banco[IdAgente],BX17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17" s="267">
        <f>SUMIFS(Banco[valor],Banco[IdAgente],BX17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17" s="267">
        <f>SUMIFS(Banco[valor],Banco[IdAgente],BX17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17" s="267">
        <f>SUMIFS(Banco[valor],Banco[IdAgente],BX17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17" s="267">
        <f>SUMIFS(Banco[valor],Banco[IdAgente],B17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17" s="267">
        <f>SUMIFS(Banco[valor],Banco[IdAgente],B17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17" s="267">
        <f>SUMIFS(Banco[valor],Banco[IdAgente],B17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18" spans="1:91">
      <c r="A18" t="s">
        <v>165</v>
      </c>
      <c r="B18" t="str">
        <f>Efeito!B19</f>
        <v>NO SELECT</v>
      </c>
      <c r="C18" s="267">
        <f>SUMIFS(Banco[valor],Banco[IdAgente],B18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18" s="267">
        <f>SUMIFS(Banco[valor],Banco[IdAgente],B18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18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18" s="267">
        <f>SUMIFS(Banco[valor],Banco[IdAgente],B18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18" s="267">
        <f>SUMIFS(Banco[valor],Banco[IdAgente],B18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18" s="267">
        <f>SUMIFS(Banco[valor],Banco[IdAgente],B18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18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18" s="267">
        <f>SUMIFS(Banco[valor],Banco[IdAgente],B18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18" s="267">
        <f>SUMIFS(Banco[valor],Banco[IdAgente],B18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18" s="267">
        <f>SUMIFS(Banco[valor],Banco[IdAgente],B18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18" s="267">
        <f>SUMIFS(Banco[valor],Banco[IdAgente],B18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18" s="267">
        <f>SUMIFS(Banco[valor],Banco[IdAgente],B18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18" s="267">
        <f>SUMIFS(Banco[valor],Banco[IdAgente],B18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18" s="267">
        <f>SUMIFS(Banco[valor],Banco[IdAgente],B18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18" s="267">
        <f>SUMIFS(Banco[valor],Banco[IdAgente],B18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18" s="267">
        <f t="shared" si="2"/>
        <v>0</v>
      </c>
      <c r="Q18" s="267">
        <f>SUMIFS(Banco[valor],Banco[IdAgente],B18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18" s="267">
        <f>SUMIFS(Banco[valor],Banco[IdAgente],B18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18" s="4"/>
      <c r="T18" s="4"/>
      <c r="U18" s="4"/>
      <c r="V18" s="267">
        <f>SUMIFS(financeiro[valor],financeiro[IdAgente],B18,financeiro[idDet1],22,financeiro[idDet2],60,financeiro[idDet3],526,financeiro[id_grupo_tarifa],1,financeiro[id_detalhe_grupo_tarifa],7,financeiro[id_tipo_tarifa],9,financeiro[id_subgrupo],99,financeiro[valor],"&gt;0")+SUMIFS(financeiro[valor],financeiro[IdAgente],B18,financeiro[idDet1],22,financeiro[idDet2],60,financeiro[idDet3],526,financeiro[id_grupo_tarifa],2,financeiro[id_detalhe_grupo_tarifa],11,financeiro[id_tipo_tarifa],9,financeiro[valor],"&gt;0")+SUMIFS(financeiro[valor],financeiro[IdAgente],B18,financeiro[idDet1],22,financeiro[idDet2],60,financeiro[idDet3],526,financeiro[id_grupo_tarifa],2,financeiro[id_detalhe_grupo_tarifa],9,financeiro[id_tipo_tarifa],9,financeiro[valor],"&gt;0")+SUMIFS(financeiro[valor],financeiro[IdAgente],B18,financeiro[idDet1],22,financeiro[idDet2],60,financeiro[idDet3],526,financeiro[id_grupo_tarifa],2,financeiro[id_detalhe_grupo_tarifa],8,financeiro[id_tipo_tarifa],9,financeiro[valor],"&gt;0")+SUMIFS(financeiro[valor],financeiro[IdAgente],B18,financeiro[idDet1],22,financeiro[idDet2],60,financeiro[idDet3],526,financeiro[id_grupo_tarifa],2,financeiro[id_detalhe_grupo_tarifa],10,financeiro[id_tipo_tarifa],9,financeiro[valor],"&gt;0")+SUMIFS(financeiro[valor],financeiro[IdAgente],B18,financeiro[idDet1],22,financeiro[idDet2],60,financeiro[idDet3],526,financeiro[id_grupo_tarifa],2,financeiro[id_detalhe_grupo_tarifa],24,financeiro[id_tipo_tarifa],9,financeiro[valor],"&gt;0")</f>
        <v>0</v>
      </c>
      <c r="W18" s="267">
        <f>SUMIFS(financeiro[valor],financeiro[IdAgente],B18,financeiro[idDet1],20,financeiro[idDet2],60,financeiro[idDet3],999,financeiro[id_grupo_tarifa],3,financeiro[id_detalhe_grupo_tarifa],14,financeiro[id_tipo_tarifa],9)+SUMIFS(financeiro[valor],financeiro[IdAgente],B18,financeiro[idDet1],20,financeiro[idDet2],60,financeiro[idDet3],999,financeiro[id_grupo_tarifa],3,financeiro[id_detalhe_grupo_tarifa],15,financeiro[id_tipo_tarifa],9)+SUMIFS(financeiro[valor],financeiro[IdAgente],B18,financeiro[idDet1],20,financeiro[idDet2],60,financeiro[idDet3],999,financeiro[id_grupo_tarifa],3,financeiro[id_detalhe_grupo_tarifa],16,financeiro[id_tipo_tarifa],9)+SUMIFS(financeiro[valor],financeiro[IdAgente],B18,financeiro[idDet1],20,financeiro[idDet2],60,financeiro[idDet3],999,financeiro[id_grupo_tarifa],3,financeiro[id_detalhe_grupo_tarifa],17,financeiro[id_tipo_tarifa],9)+SUMIFS(financeiro[valor],financeiro[IdAgente],B18,financeiro[idDet1],20,financeiro[idDet2],60,financeiro[idDet3],999,financeiro[id_grupo_tarifa],3,financeiro[id_detalhe_grupo_tarifa],18,financeiro[id_tipo_tarifa],9)+SUMIFS(financeiro[valor],financeiro[IdAgente],B18,financeiro[idDet1],20,financeiro[idDet2],60,financeiro[idDet3],999,financeiro[id_grupo_tarifa],3,financeiro[id_detalhe_grupo_tarifa],19,financeiro[id_tipo_tarifa],9)</f>
        <v>0</v>
      </c>
      <c r="X18" s="267">
        <f>SUMIFS(financeiro[valor],financeiro[IdAgente],B18,financeiro[idDet1],20,financeiro[idDet2],60,financeiro[idDet3],999,financeiro[id_grupo_tarifa],3,financeiro[id_detalhe_grupo_tarifa],12,financeiro[id_tipo_tarifa],9)+SUMIFS(financeiro[valor],financeiro[IdAgente],B18,financeiro[idDet1],20,financeiro[idDet2],60,financeiro[idDet3],999,financeiro[id_grupo_tarifa],4,financeiro[id_detalhe_grupo_tarifa],999,financeiro[id_tipo_tarifa],9)</f>
        <v>0</v>
      </c>
      <c r="Y18" s="267">
        <f>SUMIFS(financeiro[valor],financeiro[IdAgente],B18,financeiro[idDet1],20,financeiro[idDet2],60,financeiro[idDet3],179,financeiro[id_grupo_tarifa],99,financeiro[id_detalhe_grupo_tarifa],999,financeiro[id_tipo_tarifa],9)</f>
        <v>0</v>
      </c>
      <c r="Z18" s="267">
        <f>SUMIFS(financeiro[valor],financeiro[IdAgente],B18,financeiro[idDet1],20,financeiro[idDet2],60,financeiro[idDet3],999,financeiro[id_grupo_tarifa],2,financeiro[id_detalhe_grupo_tarifa],11,financeiro[id_tipo_tarifa],9,financeiro[valor],"&gt;0")+SUMIFS(financeiro[valor],financeiro[IdAgente],B18,financeiro[idDet1],20,financeiro[idDet2],60,financeiro[idDet3],999,financeiro[id_grupo_tarifa],2,financeiro[id_detalhe_grupo_tarifa],9,financeiro[id_tipo_tarifa],9,financeiro[valor],"&gt;0")+SUMIFS(financeiro[valor],financeiro[IdAgente],B18,financeiro[idDet1],20,financeiro[idDet2],60,financeiro[idDet3],999,financeiro[id_grupo_tarifa],2,financeiro[id_detalhe_grupo_tarifa],8,financeiro[id_tipo_tarifa],9,financeiro[valor],"&gt;0")+SUMIFS(financeiro[valor],financeiro[IdAgente],B18,financeiro[idDet1],20,financeiro[idDet2],60,financeiro[idDet3],999,financeiro[id_grupo_tarifa],2,financeiro[id_detalhe_grupo_tarifa],10,financeiro[id_tipo_tarifa],9,financeiro[valor],"&gt;0")+SUMIFS(financeiro[valor],financeiro[IdAgente],B18,financeiro[idDet1],20,financeiro[idDet2],60,financeiro[idDet3],999,financeiro[id_grupo_tarifa],2,financeiro[id_detalhe_grupo_tarifa],24,financeiro[id_tipo_tarifa],9,financeiro[valor],"&gt;0")+SUMIFS(financeiro[valor],financeiro[IdAgente],B18,financeiro[idDet1],20,financeiro[idDet2],60,financeiro[idDet3],999,financeiro[id_grupo_tarifa],2,financeiro[id_detalhe_grupo_tarifa],17,financeiro[id_tipo_tarifa],9,financeiro[valor],"&gt;0")+SUMIFS(financeiro[valor],financeiro[IdAgente],B18,financeiro[idDet1],999,financeiro[idDet2],999999,financeiro[idDet3],999,financeiro[id_grupo_tarifa],99,financeiro[id_detalhe_grupo_tarifa],999,financeiro[id_tipo_tarifa],9,financeiro[valor],"&gt;0")</f>
        <v>0</v>
      </c>
      <c r="AA18" s="267">
        <f>SUMIFS(financeiro[valor],financeiro[IdAgente],B18,financeiro[idDet1],22,financeiro[idDet2],60,financeiro[idDet3],529,financeiro[id_grupo_tarifa],1,financeiro[id_detalhe_grupo_tarifa],1,financeiro[id_tipo_tarifa],9,financeiro[valor],"&gt;0")+SUMIFS(financeiro[valor],financeiro[IdAgente],B18,financeiro[idDet1],22,financeiro[idDet2],60,financeiro[idDet3],529,financeiro[id_grupo_tarifa],1,financeiro[id_detalhe_grupo_tarifa],2,financeiro[id_tipo_tarifa],9,financeiro[valor],"&gt;0")</f>
        <v>0</v>
      </c>
      <c r="AB18" s="269"/>
      <c r="AC18" s="267">
        <f>SUMIFS(financeiro[valor],financeiro[IdAgente],B18,financeiro[idDet1],22,financeiro[idDet2],60,financeiro[idDet3],999,financeiro[id_grupo_tarifa],2,financeiro[id_detalhe_grupo_tarifa],30,financeiro[id_tipo_tarifa],9,financeiro[valor],"&gt;0")</f>
        <v>0</v>
      </c>
      <c r="AD18" s="267">
        <f>SUMIFS(financeiro[valor],financeiro[IdAgente],B18,financeiro[idDet1],22,financeiro[idDet2],60,financeiro[idDet3],178,financeiro[id_grupo_tarifa],1,financeiro[id_detalhe_grupo_tarifa],7,financeiro[id_tipo_tarifa],9)</f>
        <v>0</v>
      </c>
      <c r="AE18" s="267">
        <f>SUMIFS(financeiro[valor],financeiro[IdAgente],B18,financeiro[idDet1],22,financeiro[idDet2],60,financeiro[idDet3],242,financeiro[id_grupo_tarifa],4,financeiro[id_detalhe_grupo_tarifa],999,financeiro[id_tipo_tarifa],9)</f>
        <v>0</v>
      </c>
      <c r="AF18" s="267">
        <f>SUMIFS(financeiro[valor],financeiro[IdAgente],B18,financeiro[idDet1],22,financeiro[idDet2],60,financeiro[idDet3],525,financeiro[id_grupo_tarifa],2,financeiro[id_tipo_tarifa],9)</f>
        <v>0</v>
      </c>
      <c r="AG18" s="267">
        <f>SUMIFS(financeiro[valor],financeiro[IdAgente],B18,financeiro[idDet1],22,financeiro[idDet2],60,financeiro[idDet3],524)</f>
        <v>0</v>
      </c>
      <c r="AH18" s="269"/>
      <c r="AI18" s="267">
        <f>SUMIFS(financeiro[valor],financeiro[IdAgente],B18,financeiro[idDet1],22,financeiro[idDet2],60,financeiro[idDet3],523,financeiro[id_grupo_tarifa],2,financeiro[id_detalhe_grupo_tarifa],30,financeiro[id_tipo_tarifa],9)</f>
        <v>0</v>
      </c>
      <c r="AJ18" s="267">
        <f>SUMIFS(financeiro[valor],financeiro[IdAgente],B18,financeiro[idDet1],22,financeiro[idDet2],60,financeiro[idDet3],503,financeiro[id_grupo_tarifa],99,financeiro[id_detalhe_grupo_tarifa],999,financeiro[id_tipo_tarifa],3)</f>
        <v>0</v>
      </c>
      <c r="AK18" s="269"/>
      <c r="AL18" s="269"/>
      <c r="AM18" s="269"/>
      <c r="AN18" s="269"/>
      <c r="AO18" s="269"/>
      <c r="AP18" s="269"/>
      <c r="AQ18" s="269"/>
      <c r="AR18" s="269"/>
      <c r="AS18" s="269"/>
      <c r="AT18" s="267">
        <f>SUMIFS(financeiro[valor],financeiro[IdAgente],B18,financeiro[idDet1],22,financeiro[idDet2],60,financeiro[idDet3],235,financeiro[id_grupo_tarifa],4,financeiro[id_detalhe_grupo_tarifa],999,financeiro[id_tipo_tarifa],9)</f>
        <v>0</v>
      </c>
      <c r="AU18" s="267">
        <f>SUMIFS(financeiro[valor],financeiro[IdAgente],B18,financeiro[idDet1],22,financeiro[idDet2],60,financeiro[idDet3],512,
financeiro[id_grupo_tarifa],3,financeiro[id_detalhe_grupo_tarifa],28,financeiro[id_tipo_tarifa],9)</f>
        <v>0</v>
      </c>
      <c r="AV18" s="267">
        <f>SUMIFS(financeiro[valor],financeiro[IdAgente],B18,financeiro[idDet1],22,financeiro[idDet2],60,financeiro[idDet3],241,financeiro[id_grupo_tarifa],2,financeiro[id_detalhe_grupo_tarifa],11,financeiro[id_tipo_tarifa],9)+SUMIFS(financeiro[valor],financeiro[IdAgente],B18,financeiro[idDet1],22,financeiro[idDet2],60,financeiro[idDet3],241,financeiro[id_grupo_tarifa],2,financeiro[id_detalhe_grupo_tarifa],9,financeiro[id_tipo_tarifa],9)+SUMIFS(financeiro[valor],financeiro[IdAgente],B18,financeiro[idDet1],22,financeiro[idDet2],60,financeiro[idDet3],241,financeiro[id_grupo_tarifa],2,financeiro[id_detalhe_grupo_tarifa],8,financeiro[id_tipo_tarifa],9)+SUMIFS(financeiro[valor],financeiro[IdAgente],B18,financeiro[idDet1],22,financeiro[idDet2],60,financeiro[idDet3],241,financeiro[id_grupo_tarifa],2,financeiro[id_detalhe_grupo_tarifa],10,financeiro[id_tipo_tarifa],9)+SUMIFS(financeiro[valor],financeiro[IdAgente],B18,financeiro[idDet1],22,financeiro[idDet2],60,financeiro[idDet3],241,financeiro[id_grupo_tarifa],2,financeiro[id_detalhe_grupo_tarifa],24,financeiro[id_tipo_tarifa],9)</f>
        <v>0</v>
      </c>
      <c r="AW18" s="267">
        <f>SUMIFS(financeiro[valor],financeiro[IdAgente],B18,financeiro[idDet1],22,financeiro[idDet2],60,financeiro[idDet3],241,financeiro[id_grupo_tarifa],3,financeiro[id_detalhe_grupo_tarifa],17,financeiro[id_tipo_tarifa],9)</f>
        <v>0</v>
      </c>
      <c r="AX18" s="267">
        <f>SUMIFS(financeiro[valor],financeiro[IdAgente],B18,financeiro[idDet1],22,financeiro[idDet2],60,financeiro[idDet3],240,financeiro[id_grupo_tarifa],2,financeiro[id_detalhe_grupo_tarifa],11,financeiro[id_tipo_tarifa],9)+SUMIFS(financeiro[valor],financeiro[IdAgente],B18,financeiro[idDet1],22,financeiro[idDet2],60,financeiro[idDet3],240,financeiro[id_grupo_tarifa],2,financeiro[id_detalhe_grupo_tarifa],9,financeiro[id_tipo_tarifa],9)+SUMIFS(financeiro[valor],financeiro[IdAgente],B18,financeiro[idDet1],22,financeiro[idDet2],60,financeiro[idDet3],240,financeiro[id_grupo_tarifa],2,financeiro[id_detalhe_grupo_tarifa],8,financeiro[id_tipo_tarifa],9)+SUMIFS(financeiro[valor],financeiro[IdAgente],B18,financeiro[idDet1],22,financeiro[idDet2],60,financeiro[idDet3],240,financeiro[id_grupo_tarifa],2,financeiro[id_detalhe_grupo_tarifa],10,financeiro[id_tipo_tarifa],9)+SUMIFS(financeiro[valor],financeiro[IdAgente],B18,financeiro[idDet1],22,financeiro[idDet2],60,financeiro[idDet3],240,financeiro[id_grupo_tarifa],2,financeiro[id_detalhe_grupo_tarifa],24,financeiro[id_tipo_tarifa],9)</f>
        <v>0</v>
      </c>
      <c r="AY18" s="267">
        <f>SUMIFS(financeiro[valor],financeiro[IdAgente],B18,financeiro[idDet1],22,financeiro[idDet2],60,financeiro[idDet3],106,financeiro[id_grupo_tarifa],2,financeiro[id_detalhe_grupo_tarifa],11,financeiro[id_tipo_tarifa],9)+SUMIFS(financeiro[valor],financeiro[IdAgente],B18,financeiro[idDet1],22,financeiro[idDet2],60,financeiro[idDet3],106,financeiro[id_grupo_tarifa],2,financeiro[id_detalhe_grupo_tarifa],9,financeiro[id_tipo_tarifa],9)+SUMIFS(financeiro[valor],financeiro[IdAgente],B18,financeiro[idDet1],22,financeiro[idDet2],60,financeiro[idDet3],106,financeiro[id_grupo_tarifa],2,financeiro[id_detalhe_grupo_tarifa],8,financeiro[id_tipo_tarifa],9)+SUMIFS(financeiro[valor],financeiro[IdAgente],B18,financeiro[idDet1],22,financeiro[idDet2],60,financeiro[idDet3],106,financeiro[id_grupo_tarifa],2,financeiro[id_detalhe_grupo_tarifa],10,financeiro[id_tipo_tarifa],9)+SUMIFS(financeiro[valor],financeiro[IdAgente],B18,financeiro[idDet1],22,financeiro[idDet2],60,financeiro[idDet3],106,financeiro[id_grupo_tarifa],2,financeiro[id_detalhe_grupo_tarifa],24,financeiro[id_tipo_tarifa],9)</f>
        <v>0</v>
      </c>
      <c r="AZ18" s="267">
        <f>SUMIFS(financeiro[valor],financeiro[IdAgente],B18,financeiro[idDet1],22,financeiro[idDet2],62,financeiro[idDet3],220,financeiro[id_grupo_tarifa],2,financeiro[id_detalhe_grupo_tarifa],11,financeiro[id_tipo_tarifa],9)+SUMIFS(financeiro[valor],financeiro[IdAgente],B18,financeiro[idDet1],22,financeiro[idDet2],62,financeiro[idDet3],220,financeiro[id_grupo_tarifa],2,financeiro[id_detalhe_grupo_tarifa],9,financeiro[id_tipo_tarifa],9)+SUMIFS(financeiro[valor],financeiro[IdAgente],B18,financeiro[idDet1],22,financeiro[idDet2],62,financeiro[idDet3],220,financeiro[id_grupo_tarifa],2,financeiro[id_detalhe_grupo_tarifa],8,financeiro[id_tipo_tarifa],9)+SUMIFS(financeiro[valor],financeiro[IdAgente],B18,financeiro[idDet1],22,financeiro[idDet2],62,financeiro[idDet3],220,financeiro[id_grupo_tarifa],2,financeiro[id_detalhe_grupo_tarifa],10,financeiro[id_tipo_tarifa],9)+SUMIFS(financeiro[valor],financeiro[IdAgente],B18,financeiro[idDet1],22,financeiro[idDet2],62,financeiro[idDet3],220,financeiro[id_grupo_tarifa],2,financeiro[id_detalhe_grupo_tarifa],24,financeiro[id_tipo_tarifa],9)</f>
        <v>0</v>
      </c>
      <c r="BA18" s="267">
        <f>SUMIFS(financeiro[valor],financeiro[IdAgente],B18,financeiro[idDet1],22,financeiro[idDet2],60,financeiro[idDet3],220,financeiro[id_grupo_tarifa],2,financeiro[id_detalhe_grupo_tarifa],11,financeiro[id_tipo_tarifa],9)+SUMIFS(financeiro[valor],financeiro[IdAgente],B18,financeiro[idDet1],22,financeiro[idDet2],60,financeiro[idDet3],220,financeiro[id_grupo_tarifa],2,financeiro[id_detalhe_grupo_tarifa],9,financeiro[id_tipo_tarifa],9)+SUMIFS(financeiro[valor],financeiro[IdAgente],B18,financeiro[idDet1],22,financeiro[idDet2],60,financeiro[idDet3],220,financeiro[id_grupo_tarifa],2,financeiro[id_detalhe_grupo_tarifa],8,financeiro[id_tipo_tarifa],9)+SUMIFS(financeiro[valor],financeiro[IdAgente],B18,financeiro[idDet1],22,financeiro[idDet2],60,financeiro[idDet3],220,financeiro[id_grupo_tarifa],2,financeiro[id_detalhe_grupo_tarifa],10,financeiro[id_tipo_tarifa],9)+SUMIFS(financeiro[valor],financeiro[IdAgente],B18,financeiro[idDet1],22,financeiro[idDet2],60,financeiro[idDet3],220,financeiro[id_grupo_tarifa],2,financeiro[id_detalhe_grupo_tarifa],24,financeiro[id_tipo_tarifa],9)</f>
        <v>0</v>
      </c>
      <c r="BB18" s="267">
        <f>SUMIFS(financeiro[valor],financeiro[IdAgente],B18,financeiro[idDet1],22,financeiro[idDet2],60,financeiro[idDet3],102,financeiro[id_grupo_tarifa],2,financeiro[id_detalhe_grupo_tarifa],11,financeiro[id_tipo_tarifa],9)+SUMIFS(financeiro[valor],financeiro[IdAgente],B18,financeiro[idDet1],22,financeiro[idDet2],60,financeiro[idDet3],102,financeiro[id_grupo_tarifa],2,financeiro[id_detalhe_grupo_tarifa],9,financeiro[id_tipo_tarifa],9)+SUMIFS(financeiro[valor],financeiro[IdAgente],B18,financeiro[idDet1],22,financeiro[idDet2],60,financeiro[idDet3],102,financeiro[id_grupo_tarifa],2,financeiro[id_detalhe_grupo_tarifa],8,financeiro[id_tipo_tarifa],9)+SUMIFS(financeiro[valor],financeiro[IdAgente],B18,financeiro[idDet1],22,financeiro[idDet2],60,financeiro[idDet3],102,financeiro[id_grupo_tarifa],2,financeiro[id_detalhe_grupo_tarifa],10,financeiro[id_tipo_tarifa],9)+SUMIFS(financeiro[valor],financeiro[IdAgente],B18,financeiro[idDet1],22,financeiro[idDet2],60,financeiro[idDet3],102,financeiro[id_grupo_tarifa],2,financeiro[id_detalhe_grupo_tarifa],24,financeiro[id_tipo_tarifa],9)</f>
        <v>0</v>
      </c>
      <c r="BC18" s="267">
        <f>SUMIFS(financeiro[valor],financeiro[IdAgente],B18,financeiro[idDet1],22,financeiro[idDet2],60,financeiro[idDet3],522,financeiro[valor],"&lt;0")</f>
        <v>0</v>
      </c>
      <c r="BD18" s="267">
        <f>SUMIFS(financeiro[valor],financeiro[IdAgente],B18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18" s="267">
        <f>SUMIFS(financeiro[valor],financeiro[IdAgente],B18,financeiro[id_natureza_dado],2,financeiro[id_detalhe_natureza],2,financeiro[idDet1],20,financeiro[idDet2],60,financeiro[idDet3],82,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18" s="267">
        <f>SUMIFS(financeiro[valor],financeiro[IdAgente],B18,financeiro[id_natureza_dado],2,financeiro[id_detalhe_natureza],2,financeiro[idDet1],20,financeiro[idDet2],60,financeiro[idDet3],81,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18" s="267">
        <f>SUMIFS(financeiro[valor],financeiro[IdAgente],B18,financeiro[id_natureza_dado],2,financeiro[id_detalhe_natureza],2,financeiro[idDet1],20,financeiro[idDet2],60,financeiro[idDet3],503,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18" s="267">
        <f>SUMIFS(financeiro[valor],financeiro[IdAgente],B18,financeiro[idDet1],22,financeiro[idDet2],60,financeiro[idDet3],123)</f>
        <v>0</v>
      </c>
      <c r="BI18" s="267">
        <f>SUMIFS(financeiro[valor],financeiro[IdAgente],B18,financeiro[idDet1],20,financeiro[idDet2],60,financeiro[idDet3],73)</f>
        <v>0</v>
      </c>
      <c r="BJ18" s="267">
        <f>SUMIFS(financeiro[valor],financeiro[IdAgente],B18,financeiro[idDet1],22,financeiro[idDet2],60,financeiro[idDet3],527)</f>
        <v>0</v>
      </c>
      <c r="BK18" s="267">
        <f>SUMIFS(financeiro[valor],financeiro[IdAgente],B18,financeiro[idDet1],22,financeiro[idDet2],60,financeiro[idDet3],510)</f>
        <v>0</v>
      </c>
      <c r="BL18" s="267">
        <f>SUMIFS(financeiro[valor],financeiro[IdAgente],B18,financeiro[idDet1],22,financeiro[idDet2],60,financeiro[idDet3],526,
financeiro[id_grupo_tarifa],1,financeiro[id_detalhe_grupo_tarifa],3,financeiro[id_tipo_tarifa],9,financeiro[id_subgrupo],3)</f>
        <v>0</v>
      </c>
      <c r="BM18" s="267">
        <f>SUMIFS(financeiro[valor],financeiro[IdAgente],B18,financeiro[idDet1],22,financeiro[idDet2],60,financeiro[idDet3],999,
financeiro[id_grupo_tarifa],3,financeiro[id_detalhe_grupo_tarifa],17,financeiro[id_tipo_tarifa],9)</f>
        <v>0</v>
      </c>
      <c r="BN18" s="267">
        <f>SUMIFS(financeiro[valor],financeiro[IdAgente],B18,financeiro[idDet1],22,financeiro[idDet2],60,financeiro[idDet3],526,financeiro[id_grupo_tarifa],1,financeiro[id_detalhe_grupo_tarifa],7,financeiro[id_tipo_tarifa],9,financeiro[valor],"&lt;0")+SUMIFS(financeiro[valor],financeiro[IdAgente],B18,financeiro[idDet1],22,financeiro[idDet2],60,financeiro[idDet3],526,financeiro[id_grupo_tarifa],2,financeiro[id_detalhe_grupo_tarifa],11,financeiro[id_tipo_tarifa],9,financeiro[valor],"&lt;0")+SUMIFS(financeiro[valor],financeiro[IdAgente],B18,financeiro[idDet1],22,financeiro[idDet2],60,financeiro[idDet3],526,financeiro[id_grupo_tarifa],2,financeiro[id_detalhe_grupo_tarifa],8,financeiro[id_tipo_tarifa],9,financeiro[valor],"&lt;0")</f>
        <v>0</v>
      </c>
      <c r="BO18" s="267">
        <f>SUMIFS(financeiro[valor],financeiro[IdAgente],B18,financeiro[idDet1],22,financeiro[idDet2],60,financeiro[idDet3],999,financeiro[id_grupo_tarifa],4,financeiro[id_detalhe_grupo_tarifa],999,financeiro[id_tipo_tarifa],9,financeiro[valor],"&lt;0")</f>
        <v>0</v>
      </c>
      <c r="BP18" s="267">
        <f>SUMIFS(financeiro[valor],financeiro[IdAgente],B18,financeiro[idDet1],22,financeiro[idDet2],60,financeiro[idDet3],530,financeiro[valor],"&lt;0")</f>
        <v>0</v>
      </c>
      <c r="BQ18" s="267">
        <f>SUMIFS(financeiro[valor],financeiro[IdAgente],B18,financeiro[idDet1],22,financeiro[idDet2],60,financeiro[idDet3],531,financeiro[valor],"&lt;0")</f>
        <v>0</v>
      </c>
      <c r="BR18" s="267">
        <f>SUMIFS(financeiro[valor],financeiro[IdAgente],B18,financeiro[idDet1],22,financeiro[idDet2],62,financeiro[idDet3],532,financeiro[valor],"&lt;0")</f>
        <v>0</v>
      </c>
      <c r="BS18" s="267">
        <f>SUMIFS(financeiro[valor],financeiro[IdAgente],B18,financeiro[idDet1],22,financeiro[idDet2],62,financeiro[idDet3],533,financeiro[valor],"&lt;0")</f>
        <v>0</v>
      </c>
      <c r="BT18" s="267">
        <f>SUMIFS(financeiro[valor],financeiro[IdAgente],B18,financeiro[idDet1],22,financeiro[idDet2],62,financeiro[idDet3],534,financeiro[valor],"&lt;0")</f>
        <v>0</v>
      </c>
      <c r="BW18" s="210" t="s">
        <v>165</v>
      </c>
      <c r="BX18" t="str">
        <f>Efeito!B19</f>
        <v>NO SELECT</v>
      </c>
      <c r="BY18" s="267">
        <f>SUMIFS(Banco[valor],Banco[IdAgente],BX18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18" s="267">
        <f>SUMIFS(Banco[valor],Banco[IdAgente],BX18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18" s="267">
        <f>SUMIFS(Banco[valor],Banco[IdAgente],BX18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18" s="267">
        <f>SUMIFS(Banco[valor],Banco[IdAgente],BX18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18" s="267">
        <f>SUMIFS(Banco[valor],Banco[IdAgente],BX18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18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18" s="267">
        <f>SUMIFS(Banco[valor],Banco[IdAgente],BX18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18" s="267">
        <f>SUMIFS(Banco[valor],Banco[IdAgente],BX18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18" s="267">
        <f>SUMIFS(Banco[valor],Banco[IdAgente],BX18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18" s="267">
        <f>SUMIFS(Banco[valor],Banco[IdAgente],BX18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18" s="267">
        <f>SUMIFS(Banco[valor],Banco[IdAgente],BX18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18" s="267">
        <f>SUMIFS(Banco[valor],Banco[IdAgente],BX18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18" s="267">
        <f>SUMIFS(Banco[valor],Banco[IdAgente],BX18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18" s="267">
        <f>SUMIFS(Banco[valor],Banco[IdAgente],B18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18" s="267">
        <f>SUMIFS(Banco[valor],Banco[IdAgente],B18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18" s="267">
        <f>SUMIFS(Banco[valor],Banco[IdAgente],B18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19" spans="1:91">
      <c r="A19" t="s">
        <v>168</v>
      </c>
      <c r="B19" t="str">
        <f>Efeito!B20</f>
        <v>NO SELECT</v>
      </c>
      <c r="C19" s="267">
        <f>SUMIFS(Banco[valor],Banco[IdAgente],B19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19" s="267">
        <f>SUMIFS(Banco[valor],Banco[IdAgente],B19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19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19" s="267">
        <f>SUMIFS(Banco[valor],Banco[IdAgente],B19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19" s="267">
        <f>SUMIFS(Banco[valor],Banco[IdAgente],B19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19" s="267">
        <f>SUMIFS(Banco[valor],Banco[IdAgente],B19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19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19" s="267">
        <f>SUMIFS(Banco[valor],Banco[IdAgente],B19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19" s="267">
        <f>SUMIFS(Banco[valor],Banco[IdAgente],B19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19" s="267">
        <f>SUMIFS(Banco[valor],Banco[IdAgente],B19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19" s="267">
        <f>SUMIFS(Banco[valor],Banco[IdAgente],B19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19" s="267">
        <f>SUMIFS(Banco[valor],Banco[IdAgente],B19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19" s="267">
        <f>SUMIFS(Banco[valor],Banco[IdAgente],B19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19" s="267">
        <f>SUMIFS(Banco[valor],Banco[IdAgente],B19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19" s="267">
        <f>SUMIFS(Banco[valor],Banco[IdAgente],B19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19" s="267">
        <f t="shared" si="2"/>
        <v>0</v>
      </c>
      <c r="Q19" s="267">
        <f>SUMIFS(Banco[valor],Banco[IdAgente],B19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19" s="267">
        <f>SUMIFS(Banco[valor],Banco[IdAgente],B19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19" s="4"/>
      <c r="T19" s="4"/>
      <c r="U19" s="4"/>
      <c r="V19" s="267">
        <f>SUMIFS(financeiro[valor],financeiro[IdAgente],B19,financeiro[idDet1],22,financeiro[idDet2],60,financeiro[idDet3],526,financeiro[id_grupo_tarifa],1,financeiro[id_detalhe_grupo_tarifa],7,financeiro[id_tipo_tarifa],9,financeiro[id_subgrupo],99,financeiro[valor],"&gt;0")+SUMIFS(financeiro[valor],financeiro[IdAgente],B19,financeiro[idDet1],22,financeiro[idDet2],60,financeiro[idDet3],526,financeiro[id_grupo_tarifa],2,financeiro[id_detalhe_grupo_tarifa],11,financeiro[id_tipo_tarifa],9,financeiro[valor],"&gt;0")+SUMIFS(financeiro[valor],financeiro[IdAgente],B19,financeiro[idDet1],22,financeiro[idDet2],60,financeiro[idDet3],526,financeiro[id_grupo_tarifa],2,financeiro[id_detalhe_grupo_tarifa],9,financeiro[id_tipo_tarifa],9,financeiro[valor],"&gt;0")+SUMIFS(financeiro[valor],financeiro[IdAgente],B19,financeiro[idDet1],22,financeiro[idDet2],60,financeiro[idDet3],526,financeiro[id_grupo_tarifa],2,financeiro[id_detalhe_grupo_tarifa],8,financeiro[id_tipo_tarifa],9,financeiro[valor],"&gt;0")+SUMIFS(financeiro[valor],financeiro[IdAgente],B19,financeiro[idDet1],22,financeiro[idDet2],60,financeiro[idDet3],526,financeiro[id_grupo_tarifa],2,financeiro[id_detalhe_grupo_tarifa],10,financeiro[id_tipo_tarifa],9,financeiro[valor],"&gt;0")+SUMIFS(financeiro[valor],financeiro[IdAgente],B19,financeiro[idDet1],22,financeiro[idDet2],60,financeiro[idDet3],526,financeiro[id_grupo_tarifa],2,financeiro[id_detalhe_grupo_tarifa],24,financeiro[id_tipo_tarifa],9,financeiro[valor],"&gt;0")</f>
        <v>0</v>
      </c>
      <c r="W19" s="267">
        <f>SUMIFS(financeiro[valor],financeiro[IdAgente],B19,financeiro[idDet1],20,financeiro[idDet2],60,financeiro[idDet3],999,financeiro[id_grupo_tarifa],3,financeiro[id_detalhe_grupo_tarifa],14,financeiro[id_tipo_tarifa],9)+SUMIFS(financeiro[valor],financeiro[IdAgente],B19,financeiro[idDet1],20,financeiro[idDet2],60,financeiro[idDet3],999,financeiro[id_grupo_tarifa],3,financeiro[id_detalhe_grupo_tarifa],15,financeiro[id_tipo_tarifa],9)+SUMIFS(financeiro[valor],financeiro[IdAgente],B19,financeiro[idDet1],20,financeiro[idDet2],60,financeiro[idDet3],999,financeiro[id_grupo_tarifa],3,financeiro[id_detalhe_grupo_tarifa],16,financeiro[id_tipo_tarifa],9)+SUMIFS(financeiro[valor],financeiro[IdAgente],B19,financeiro[idDet1],20,financeiro[idDet2],60,financeiro[idDet3],999,financeiro[id_grupo_tarifa],3,financeiro[id_detalhe_grupo_tarifa],17,financeiro[id_tipo_tarifa],9)+SUMIFS(financeiro[valor],financeiro[IdAgente],B19,financeiro[idDet1],20,financeiro[idDet2],60,financeiro[idDet3],999,financeiro[id_grupo_tarifa],3,financeiro[id_detalhe_grupo_tarifa],18,financeiro[id_tipo_tarifa],9)+SUMIFS(financeiro[valor],financeiro[IdAgente],B19,financeiro[idDet1],20,financeiro[idDet2],60,financeiro[idDet3],999,financeiro[id_grupo_tarifa],3,financeiro[id_detalhe_grupo_tarifa],19,financeiro[id_tipo_tarifa],9)</f>
        <v>0</v>
      </c>
      <c r="X19" s="267">
        <f>SUMIFS(financeiro[valor],financeiro[IdAgente],B19,financeiro[idDet1],20,financeiro[idDet2],60,financeiro[idDet3],999,financeiro[id_grupo_tarifa],3,financeiro[id_detalhe_grupo_tarifa],12,financeiro[id_tipo_tarifa],9)+SUMIFS(financeiro[valor],financeiro[IdAgente],B19,financeiro[idDet1],20,financeiro[idDet2],60,financeiro[idDet3],999,financeiro[id_grupo_tarifa],4,financeiro[id_detalhe_grupo_tarifa],999,financeiro[id_tipo_tarifa],9)</f>
        <v>0</v>
      </c>
      <c r="Y19" s="267">
        <f>SUMIFS(financeiro[valor],financeiro[IdAgente],B19,financeiro[idDet1],20,financeiro[idDet2],60,financeiro[idDet3],179,financeiro[id_grupo_tarifa],99,financeiro[id_detalhe_grupo_tarifa],999,financeiro[id_tipo_tarifa],9)</f>
        <v>0</v>
      </c>
      <c r="Z19" s="267">
        <f>SUMIFS(financeiro[valor],financeiro[IdAgente],B19,financeiro[idDet1],20,financeiro[idDet2],60,financeiro[idDet3],999,financeiro[id_grupo_tarifa],2,financeiro[id_detalhe_grupo_tarifa],11,financeiro[id_tipo_tarifa],9,financeiro[valor],"&gt;0")+SUMIFS(financeiro[valor],financeiro[IdAgente],B19,financeiro[idDet1],20,financeiro[idDet2],60,financeiro[idDet3],999,financeiro[id_grupo_tarifa],2,financeiro[id_detalhe_grupo_tarifa],9,financeiro[id_tipo_tarifa],9,financeiro[valor],"&gt;0")+SUMIFS(financeiro[valor],financeiro[IdAgente],B19,financeiro[idDet1],20,financeiro[idDet2],60,financeiro[idDet3],999,financeiro[id_grupo_tarifa],2,financeiro[id_detalhe_grupo_tarifa],8,financeiro[id_tipo_tarifa],9,financeiro[valor],"&gt;0")+SUMIFS(financeiro[valor],financeiro[IdAgente],B19,financeiro[idDet1],20,financeiro[idDet2],60,financeiro[idDet3],999,financeiro[id_grupo_tarifa],2,financeiro[id_detalhe_grupo_tarifa],10,financeiro[id_tipo_tarifa],9,financeiro[valor],"&gt;0")+SUMIFS(financeiro[valor],financeiro[IdAgente],B19,financeiro[idDet1],20,financeiro[idDet2],60,financeiro[idDet3],999,financeiro[id_grupo_tarifa],2,financeiro[id_detalhe_grupo_tarifa],24,financeiro[id_tipo_tarifa],9,financeiro[valor],"&gt;0")+SUMIFS(financeiro[valor],financeiro[IdAgente],B19,financeiro[idDet1],20,financeiro[idDet2],60,financeiro[idDet3],999,financeiro[id_grupo_tarifa],2,financeiro[id_detalhe_grupo_tarifa],17,financeiro[id_tipo_tarifa],9,financeiro[valor],"&gt;0")+SUMIFS(financeiro[valor],financeiro[IdAgente],B19,financeiro[idDet1],999,financeiro[idDet2],999999,financeiro[idDet3],999,financeiro[id_grupo_tarifa],99,financeiro[id_detalhe_grupo_tarifa],999,financeiro[id_tipo_tarifa],9,financeiro[valor],"&gt;0")</f>
        <v>0</v>
      </c>
      <c r="AA19" s="267">
        <f>SUMIFS(financeiro[valor],financeiro[IdAgente],B19,financeiro[idDet1],22,financeiro[idDet2],60,financeiro[idDet3],529,financeiro[id_grupo_tarifa],1,financeiro[id_detalhe_grupo_tarifa],1,financeiro[id_tipo_tarifa],9,financeiro[valor],"&gt;0")+SUMIFS(financeiro[valor],financeiro[IdAgente],B19,financeiro[idDet1],22,financeiro[idDet2],60,financeiro[idDet3],529,financeiro[id_grupo_tarifa],1,financeiro[id_detalhe_grupo_tarifa],2,financeiro[id_tipo_tarifa],9,financeiro[valor],"&gt;0")</f>
        <v>0</v>
      </c>
      <c r="AB19" s="269"/>
      <c r="AC19" s="267">
        <f>SUMIFS(financeiro[valor],financeiro[IdAgente],B19,financeiro[idDet1],22,financeiro[idDet2],60,financeiro[idDet3],999,financeiro[id_grupo_tarifa],2,financeiro[id_detalhe_grupo_tarifa],30,financeiro[id_tipo_tarifa],9,financeiro[valor],"&gt;0")</f>
        <v>0</v>
      </c>
      <c r="AD19" s="267">
        <f>SUMIFS(financeiro[valor],financeiro[IdAgente],B19,financeiro[idDet1],22,financeiro[idDet2],60,financeiro[idDet3],178,financeiro[id_grupo_tarifa],1,financeiro[id_detalhe_grupo_tarifa],7,financeiro[id_tipo_tarifa],9)</f>
        <v>0</v>
      </c>
      <c r="AE19" s="267">
        <f>SUMIFS(financeiro[valor],financeiro[IdAgente],B19,financeiro[idDet1],22,financeiro[idDet2],60,financeiro[idDet3],242,financeiro[id_grupo_tarifa],4,financeiro[id_detalhe_grupo_tarifa],999,financeiro[id_tipo_tarifa],9)</f>
        <v>0</v>
      </c>
      <c r="AF19" s="267">
        <f>SUMIFS(financeiro[valor],financeiro[IdAgente],B19,financeiro[idDet1],22,financeiro[idDet2],60,financeiro[idDet3],525,financeiro[id_grupo_tarifa],2,financeiro[id_tipo_tarifa],9)</f>
        <v>0</v>
      </c>
      <c r="AG19" s="267">
        <f>SUMIFS(financeiro[valor],financeiro[IdAgente],B19,financeiro[idDet1],22,financeiro[idDet2],60,financeiro[idDet3],524)</f>
        <v>0</v>
      </c>
      <c r="AH19" s="269"/>
      <c r="AI19" s="267">
        <f>SUMIFS(financeiro[valor],financeiro[IdAgente],B19,financeiro[idDet1],22,financeiro[idDet2],60,financeiro[idDet3],523,financeiro[id_grupo_tarifa],2,financeiro[id_detalhe_grupo_tarifa],30,financeiro[id_tipo_tarifa],9)</f>
        <v>0</v>
      </c>
      <c r="AJ19" s="267">
        <f>SUMIFS(financeiro[valor],financeiro[IdAgente],B19,financeiro[idDet1],22,financeiro[idDet2],60,financeiro[idDet3],503,financeiro[id_grupo_tarifa],99,financeiro[id_detalhe_grupo_tarifa],999,financeiro[id_tipo_tarifa],3)</f>
        <v>0</v>
      </c>
      <c r="AK19" s="269"/>
      <c r="AL19" s="269"/>
      <c r="AM19" s="269"/>
      <c r="AN19" s="269"/>
      <c r="AO19" s="269"/>
      <c r="AP19" s="269"/>
      <c r="AQ19" s="269"/>
      <c r="AR19" s="269"/>
      <c r="AS19" s="269"/>
      <c r="AT19" s="267">
        <f>SUMIFS(financeiro[valor],financeiro[IdAgente],B19,financeiro[idDet1],22,financeiro[idDet2],60,financeiro[idDet3],235,financeiro[id_grupo_tarifa],4,financeiro[id_detalhe_grupo_tarifa],999,financeiro[id_tipo_tarifa],9)</f>
        <v>0</v>
      </c>
      <c r="AU19" s="267">
        <f>SUMIFS(financeiro[valor],financeiro[IdAgente],B19,financeiro[idDet1],22,financeiro[idDet2],60,financeiro[idDet3],512,
financeiro[id_grupo_tarifa],3,financeiro[id_detalhe_grupo_tarifa],28,financeiro[id_tipo_tarifa],9)</f>
        <v>0</v>
      </c>
      <c r="AV19" s="267">
        <f>SUMIFS(financeiro[valor],financeiro[IdAgente],B19,financeiro[idDet1],22,financeiro[idDet2],60,financeiro[idDet3],241,financeiro[id_grupo_tarifa],2,financeiro[id_detalhe_grupo_tarifa],11,financeiro[id_tipo_tarifa],9)+SUMIFS(financeiro[valor],financeiro[IdAgente],B19,financeiro[idDet1],22,financeiro[idDet2],60,financeiro[idDet3],241,financeiro[id_grupo_tarifa],2,financeiro[id_detalhe_grupo_tarifa],9,financeiro[id_tipo_tarifa],9)+SUMIFS(financeiro[valor],financeiro[IdAgente],B19,financeiro[idDet1],22,financeiro[idDet2],60,financeiro[idDet3],241,financeiro[id_grupo_tarifa],2,financeiro[id_detalhe_grupo_tarifa],8,financeiro[id_tipo_tarifa],9)+SUMIFS(financeiro[valor],financeiro[IdAgente],B19,financeiro[idDet1],22,financeiro[idDet2],60,financeiro[idDet3],241,financeiro[id_grupo_tarifa],2,financeiro[id_detalhe_grupo_tarifa],10,financeiro[id_tipo_tarifa],9)+SUMIFS(financeiro[valor],financeiro[IdAgente],B19,financeiro[idDet1],22,financeiro[idDet2],60,financeiro[idDet3],241,financeiro[id_grupo_tarifa],2,financeiro[id_detalhe_grupo_tarifa],24,financeiro[id_tipo_tarifa],9)</f>
        <v>0</v>
      </c>
      <c r="AW19" s="267">
        <f>SUMIFS(financeiro[valor],financeiro[IdAgente],B19,financeiro[idDet1],22,financeiro[idDet2],60,financeiro[idDet3],241,financeiro[id_grupo_tarifa],3,financeiro[id_detalhe_grupo_tarifa],17,financeiro[id_tipo_tarifa],9)</f>
        <v>0</v>
      </c>
      <c r="AX19" s="267">
        <f>SUMIFS(financeiro[valor],financeiro[IdAgente],B19,financeiro[idDet1],22,financeiro[idDet2],60,financeiro[idDet3],240,financeiro[id_grupo_tarifa],2,financeiro[id_detalhe_grupo_tarifa],11,financeiro[id_tipo_tarifa],9)+SUMIFS(financeiro[valor],financeiro[IdAgente],B19,financeiro[idDet1],22,financeiro[idDet2],60,financeiro[idDet3],240,financeiro[id_grupo_tarifa],2,financeiro[id_detalhe_grupo_tarifa],9,financeiro[id_tipo_tarifa],9)+SUMIFS(financeiro[valor],financeiro[IdAgente],B19,financeiro[idDet1],22,financeiro[idDet2],60,financeiro[idDet3],240,financeiro[id_grupo_tarifa],2,financeiro[id_detalhe_grupo_tarifa],8,financeiro[id_tipo_tarifa],9)+SUMIFS(financeiro[valor],financeiro[IdAgente],B19,financeiro[idDet1],22,financeiro[idDet2],60,financeiro[idDet3],240,financeiro[id_grupo_tarifa],2,financeiro[id_detalhe_grupo_tarifa],10,financeiro[id_tipo_tarifa],9)+SUMIFS(financeiro[valor],financeiro[IdAgente],B19,financeiro[idDet1],22,financeiro[idDet2],60,financeiro[idDet3],240,financeiro[id_grupo_tarifa],2,financeiro[id_detalhe_grupo_tarifa],24,financeiro[id_tipo_tarifa],9)</f>
        <v>0</v>
      </c>
      <c r="AY19" s="267">
        <f>SUMIFS(financeiro[valor],financeiro[IdAgente],B19,financeiro[idDet1],22,financeiro[idDet2],60,financeiro[idDet3],106,financeiro[id_grupo_tarifa],2,financeiro[id_detalhe_grupo_tarifa],11,financeiro[id_tipo_tarifa],9)+SUMIFS(financeiro[valor],financeiro[IdAgente],B19,financeiro[idDet1],22,financeiro[idDet2],60,financeiro[idDet3],106,financeiro[id_grupo_tarifa],2,financeiro[id_detalhe_grupo_tarifa],9,financeiro[id_tipo_tarifa],9)+SUMIFS(financeiro[valor],financeiro[IdAgente],B19,financeiro[idDet1],22,financeiro[idDet2],60,financeiro[idDet3],106,financeiro[id_grupo_tarifa],2,financeiro[id_detalhe_grupo_tarifa],8,financeiro[id_tipo_tarifa],9)+SUMIFS(financeiro[valor],financeiro[IdAgente],B19,financeiro[idDet1],22,financeiro[idDet2],60,financeiro[idDet3],106,financeiro[id_grupo_tarifa],2,financeiro[id_detalhe_grupo_tarifa],10,financeiro[id_tipo_tarifa],9)+SUMIFS(financeiro[valor],financeiro[IdAgente],B19,financeiro[idDet1],22,financeiro[idDet2],60,financeiro[idDet3],106,financeiro[id_grupo_tarifa],2,financeiro[id_detalhe_grupo_tarifa],24,financeiro[id_tipo_tarifa],9)</f>
        <v>0</v>
      </c>
      <c r="AZ19" s="267">
        <f>SUMIFS(financeiro[valor],financeiro[IdAgente],B19,financeiro[idDet1],22,financeiro[idDet2],62,financeiro[idDet3],220,financeiro[id_grupo_tarifa],2,financeiro[id_detalhe_grupo_tarifa],11,financeiro[id_tipo_tarifa],9)+SUMIFS(financeiro[valor],financeiro[IdAgente],B19,financeiro[idDet1],22,financeiro[idDet2],62,financeiro[idDet3],220,financeiro[id_grupo_tarifa],2,financeiro[id_detalhe_grupo_tarifa],9,financeiro[id_tipo_tarifa],9)+SUMIFS(financeiro[valor],financeiro[IdAgente],B19,financeiro[idDet1],22,financeiro[idDet2],62,financeiro[idDet3],220,financeiro[id_grupo_tarifa],2,financeiro[id_detalhe_grupo_tarifa],8,financeiro[id_tipo_tarifa],9)+SUMIFS(financeiro[valor],financeiro[IdAgente],B19,financeiro[idDet1],22,financeiro[idDet2],62,financeiro[idDet3],220,financeiro[id_grupo_tarifa],2,financeiro[id_detalhe_grupo_tarifa],10,financeiro[id_tipo_tarifa],9)+SUMIFS(financeiro[valor],financeiro[IdAgente],B19,financeiro[idDet1],22,financeiro[idDet2],62,financeiro[idDet3],220,financeiro[id_grupo_tarifa],2,financeiro[id_detalhe_grupo_tarifa],24,financeiro[id_tipo_tarifa],9)</f>
        <v>0</v>
      </c>
      <c r="BA19" s="267">
        <f>SUMIFS(financeiro[valor],financeiro[IdAgente],B19,financeiro[idDet1],22,financeiro[idDet2],60,financeiro[idDet3],220,financeiro[id_grupo_tarifa],2,financeiro[id_detalhe_grupo_tarifa],11,financeiro[id_tipo_tarifa],9)+SUMIFS(financeiro[valor],financeiro[IdAgente],B19,financeiro[idDet1],22,financeiro[idDet2],60,financeiro[idDet3],220,financeiro[id_grupo_tarifa],2,financeiro[id_detalhe_grupo_tarifa],9,financeiro[id_tipo_tarifa],9)+SUMIFS(financeiro[valor],financeiro[IdAgente],B19,financeiro[idDet1],22,financeiro[idDet2],60,financeiro[idDet3],220,financeiro[id_grupo_tarifa],2,financeiro[id_detalhe_grupo_tarifa],8,financeiro[id_tipo_tarifa],9)+SUMIFS(financeiro[valor],financeiro[IdAgente],B19,financeiro[idDet1],22,financeiro[idDet2],60,financeiro[idDet3],220,financeiro[id_grupo_tarifa],2,financeiro[id_detalhe_grupo_tarifa],10,financeiro[id_tipo_tarifa],9)+SUMIFS(financeiro[valor],financeiro[IdAgente],B19,financeiro[idDet1],22,financeiro[idDet2],60,financeiro[idDet3],220,financeiro[id_grupo_tarifa],2,financeiro[id_detalhe_grupo_tarifa],24,financeiro[id_tipo_tarifa],9)</f>
        <v>0</v>
      </c>
      <c r="BB19" s="267">
        <f>SUMIFS(financeiro[valor],financeiro[IdAgente],B19,financeiro[idDet1],22,financeiro[idDet2],60,financeiro[idDet3],102,financeiro[id_grupo_tarifa],2,financeiro[id_detalhe_grupo_tarifa],11,financeiro[id_tipo_tarifa],9)+SUMIFS(financeiro[valor],financeiro[IdAgente],B19,financeiro[idDet1],22,financeiro[idDet2],60,financeiro[idDet3],102,financeiro[id_grupo_tarifa],2,financeiro[id_detalhe_grupo_tarifa],9,financeiro[id_tipo_tarifa],9)+SUMIFS(financeiro[valor],financeiro[IdAgente],B19,financeiro[idDet1],22,financeiro[idDet2],60,financeiro[idDet3],102,financeiro[id_grupo_tarifa],2,financeiro[id_detalhe_grupo_tarifa],8,financeiro[id_tipo_tarifa],9)+SUMIFS(financeiro[valor],financeiro[IdAgente],B19,financeiro[idDet1],22,financeiro[idDet2],60,financeiro[idDet3],102,financeiro[id_grupo_tarifa],2,financeiro[id_detalhe_grupo_tarifa],10,financeiro[id_tipo_tarifa],9)+SUMIFS(financeiro[valor],financeiro[IdAgente],B19,financeiro[idDet1],22,financeiro[idDet2],60,financeiro[idDet3],102,financeiro[id_grupo_tarifa],2,financeiro[id_detalhe_grupo_tarifa],24,financeiro[id_tipo_tarifa],9)</f>
        <v>0</v>
      </c>
      <c r="BC19" s="267">
        <f>SUMIFS(financeiro[valor],financeiro[IdAgente],B19,financeiro[idDet1],22,financeiro[idDet2],60,financeiro[idDet3],522,financeiro[valor],"&lt;0")</f>
        <v>0</v>
      </c>
      <c r="BD19" s="267">
        <f>SUMIFS(financeiro[valor],financeiro[IdAgente],B19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19" s="267">
        <f>SUMIFS(financeiro[valor],financeiro[IdAgente],B19,financeiro[id_natureza_dado],2,financeiro[id_detalhe_natureza],2,financeiro[idDet1],20,financeiro[idDet2],60,financeiro[idDet3],82,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19" s="267">
        <f>SUMIFS(financeiro[valor],financeiro[IdAgente],B19,financeiro[id_natureza_dado],2,financeiro[id_detalhe_natureza],2,financeiro[idDet1],20,financeiro[idDet2],60,financeiro[idDet3],81,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19" s="267">
        <f>SUMIFS(financeiro[valor],financeiro[IdAgente],B19,financeiro[id_natureza_dado],2,financeiro[id_detalhe_natureza],2,financeiro[idDet1],20,financeiro[idDet2],60,financeiro[idDet3],503,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19" s="267">
        <f>SUMIFS(financeiro[valor],financeiro[IdAgente],B19,financeiro[idDet1],22,financeiro[idDet2],60,financeiro[idDet3],123)</f>
        <v>0</v>
      </c>
      <c r="BI19" s="267">
        <f>SUMIFS(financeiro[valor],financeiro[IdAgente],B19,financeiro[idDet1],20,financeiro[idDet2],60,financeiro[idDet3],73)</f>
        <v>0</v>
      </c>
      <c r="BJ19" s="267">
        <f>SUMIFS(financeiro[valor],financeiro[IdAgente],B19,financeiro[idDet1],22,financeiro[idDet2],60,financeiro[idDet3],527)</f>
        <v>0</v>
      </c>
      <c r="BK19" s="267">
        <f>SUMIFS(financeiro[valor],financeiro[IdAgente],B19,financeiro[idDet1],22,financeiro[idDet2],60,financeiro[idDet3],510)</f>
        <v>0</v>
      </c>
      <c r="BL19" s="267">
        <f>SUMIFS(financeiro[valor],financeiro[IdAgente],B19,financeiro[idDet1],22,financeiro[idDet2],60,financeiro[idDet3],526,
financeiro[id_grupo_tarifa],1,financeiro[id_detalhe_grupo_tarifa],3,financeiro[id_tipo_tarifa],9,financeiro[id_subgrupo],3)</f>
        <v>0</v>
      </c>
      <c r="BM19" s="267">
        <f>SUMIFS(financeiro[valor],financeiro[IdAgente],B19,financeiro[idDet1],22,financeiro[idDet2],60,financeiro[idDet3],999,
financeiro[id_grupo_tarifa],3,financeiro[id_detalhe_grupo_tarifa],17,financeiro[id_tipo_tarifa],9)</f>
        <v>0</v>
      </c>
      <c r="BN19" s="267">
        <f>SUMIFS(financeiro[valor],financeiro[IdAgente],B19,financeiro[idDet1],22,financeiro[idDet2],60,financeiro[idDet3],526,financeiro[id_grupo_tarifa],1,financeiro[id_detalhe_grupo_tarifa],7,financeiro[id_tipo_tarifa],9,financeiro[valor],"&lt;0")+SUMIFS(financeiro[valor],financeiro[IdAgente],B19,financeiro[idDet1],22,financeiro[idDet2],60,financeiro[idDet3],526,financeiro[id_grupo_tarifa],2,financeiro[id_detalhe_grupo_tarifa],11,financeiro[id_tipo_tarifa],9,financeiro[valor],"&lt;0")+SUMIFS(financeiro[valor],financeiro[IdAgente],B19,financeiro[idDet1],22,financeiro[idDet2],60,financeiro[idDet3],526,financeiro[id_grupo_tarifa],2,financeiro[id_detalhe_grupo_tarifa],8,financeiro[id_tipo_tarifa],9,financeiro[valor],"&lt;0")</f>
        <v>0</v>
      </c>
      <c r="BO19" s="267">
        <f>SUMIFS(financeiro[valor],financeiro[IdAgente],B19,financeiro[idDet1],22,financeiro[idDet2],60,financeiro[idDet3],999,financeiro[id_grupo_tarifa],4,financeiro[id_detalhe_grupo_tarifa],999,financeiro[id_tipo_tarifa],9,financeiro[valor],"&lt;0")</f>
        <v>0</v>
      </c>
      <c r="BP19" s="267">
        <f>SUMIFS(financeiro[valor],financeiro[IdAgente],B19,financeiro[idDet1],22,financeiro[idDet2],60,financeiro[idDet3],530,financeiro[valor],"&lt;0")</f>
        <v>0</v>
      </c>
      <c r="BQ19" s="267">
        <f>SUMIFS(financeiro[valor],financeiro[IdAgente],B19,financeiro[idDet1],22,financeiro[idDet2],60,financeiro[idDet3],531,financeiro[valor],"&lt;0")</f>
        <v>0</v>
      </c>
      <c r="BR19" s="267">
        <f>SUMIFS(financeiro[valor],financeiro[IdAgente],B19,financeiro[idDet1],22,financeiro[idDet2],62,financeiro[idDet3],532,financeiro[valor],"&lt;0")</f>
        <v>0</v>
      </c>
      <c r="BS19" s="267">
        <f>SUMIFS(financeiro[valor],financeiro[IdAgente],B19,financeiro[idDet1],22,financeiro[idDet2],62,financeiro[idDet3],533,financeiro[valor],"&lt;0")</f>
        <v>0</v>
      </c>
      <c r="BT19" s="267">
        <f>SUMIFS(financeiro[valor],financeiro[IdAgente],B19,financeiro[idDet1],22,financeiro[idDet2],62,financeiro[idDet3],534,financeiro[valor],"&lt;0")</f>
        <v>0</v>
      </c>
      <c r="BW19" s="209" t="s">
        <v>168</v>
      </c>
      <c r="BX19" t="str">
        <f>Efeito!B20</f>
        <v>NO SELECT</v>
      </c>
      <c r="BY19" s="267">
        <f>SUMIFS(Banco[valor],Banco[IdAgente],BX19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19" s="267">
        <f>SUMIFS(Banco[valor],Banco[IdAgente],BX19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19" s="267">
        <f>SUMIFS(Banco[valor],Banco[IdAgente],BX19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19" s="267">
        <f>SUMIFS(Banco[valor],Banco[IdAgente],BX19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19" s="267">
        <f>SUMIFS(Banco[valor],Banco[IdAgente],BX19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19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19" s="267">
        <f>SUMIFS(Banco[valor],Banco[IdAgente],BX19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19" s="267">
        <f>SUMIFS(Banco[valor],Banco[IdAgente],BX19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19" s="267">
        <f>SUMIFS(Banco[valor],Banco[IdAgente],BX19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19" s="267">
        <f>SUMIFS(Banco[valor],Banco[IdAgente],BX19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19" s="267">
        <f>SUMIFS(Banco[valor],Banco[IdAgente],BX19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19" s="267">
        <f>SUMIFS(Banco[valor],Banco[IdAgente],BX19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19" s="267">
        <f>SUMIFS(Banco[valor],Banco[IdAgente],BX19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19" s="267">
        <f>SUMIFS(Banco[valor],Banco[IdAgente],B19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19" s="267">
        <f>SUMIFS(Banco[valor],Banco[IdAgente],B19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19" s="267">
        <f>SUMIFS(Banco[valor],Banco[IdAgente],B19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20" spans="1:91">
      <c r="A20" t="s">
        <v>171</v>
      </c>
      <c r="B20" t="str">
        <f>Efeito!B21</f>
        <v>NO SELECT</v>
      </c>
      <c r="C20" s="267">
        <f>SUMIFS(Banco[valor],Banco[IdAgente],B20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20" s="267">
        <f>SUMIFS(Banco[valor],Banco[IdAgente],B20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20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20" s="267">
        <f>SUMIFS(Banco[valor],Banco[IdAgente],B20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20" s="267">
        <f>SUMIFS(Banco[valor],Banco[IdAgente],B20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20" s="267">
        <f>SUMIFS(Banco[valor],Banco[IdAgente],B20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20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20" s="267">
        <f>SUMIFS(Banco[valor],Banco[IdAgente],B20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20" s="267">
        <f>SUMIFS(Banco[valor],Banco[IdAgente],B20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20" s="267">
        <f>SUMIFS(Banco[valor],Banco[IdAgente],B20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20" s="267">
        <f>SUMIFS(Banco[valor],Banco[IdAgente],B20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20" s="267">
        <f>SUMIFS(Banco[valor],Banco[IdAgente],B20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20" s="267">
        <f>SUMIFS(Banco[valor],Banco[IdAgente],B20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20" s="267">
        <f>SUMIFS(Banco[valor],Banco[IdAgente],B20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20" s="267">
        <f>SUMIFS(Banco[valor],Banco[IdAgente],B20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20" s="267">
        <f t="shared" si="2"/>
        <v>0</v>
      </c>
      <c r="Q20" s="267">
        <f>SUMIFS(Banco[valor],Banco[IdAgente],B20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20" s="267">
        <f>SUMIFS(Banco[valor],Banco[IdAgente],B20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20" s="4"/>
      <c r="T20" s="4"/>
      <c r="U20" s="4"/>
      <c r="V20" s="267">
        <f>SUMIFS(financeiro[valor],financeiro[IdAgente],B20,financeiro[idDet1],22,financeiro[idDet2],60,financeiro[idDet3],526,financeiro[id_grupo_tarifa],1,financeiro[id_detalhe_grupo_tarifa],7,financeiro[id_tipo_tarifa],9,financeiro[id_subgrupo],99,financeiro[valor],"&gt;0")+SUMIFS(financeiro[valor],financeiro[IdAgente],B20,financeiro[idDet1],22,financeiro[idDet2],60,financeiro[idDet3],526,financeiro[id_grupo_tarifa],2,financeiro[id_detalhe_grupo_tarifa],11,financeiro[id_tipo_tarifa],9,financeiro[valor],"&gt;0")+SUMIFS(financeiro[valor],financeiro[IdAgente],B20,financeiro[idDet1],22,financeiro[idDet2],60,financeiro[idDet3],526,financeiro[id_grupo_tarifa],2,financeiro[id_detalhe_grupo_tarifa],9,financeiro[id_tipo_tarifa],9,financeiro[valor],"&gt;0")+SUMIFS(financeiro[valor],financeiro[IdAgente],B20,financeiro[idDet1],22,financeiro[idDet2],60,financeiro[idDet3],526,financeiro[id_grupo_tarifa],2,financeiro[id_detalhe_grupo_tarifa],8,financeiro[id_tipo_tarifa],9,financeiro[valor],"&gt;0")+SUMIFS(financeiro[valor],financeiro[IdAgente],B20,financeiro[idDet1],22,financeiro[idDet2],60,financeiro[idDet3],526,financeiro[id_grupo_tarifa],2,financeiro[id_detalhe_grupo_tarifa],10,financeiro[id_tipo_tarifa],9,financeiro[valor],"&gt;0")+SUMIFS(financeiro[valor],financeiro[IdAgente],B20,financeiro[idDet1],22,financeiro[idDet2],60,financeiro[idDet3],526,financeiro[id_grupo_tarifa],2,financeiro[id_detalhe_grupo_tarifa],24,financeiro[id_tipo_tarifa],9,financeiro[valor],"&gt;0")</f>
        <v>0</v>
      </c>
      <c r="W20" s="267">
        <f>SUMIFS(financeiro[valor],financeiro[IdAgente],B20,financeiro[idDet1],20,financeiro[idDet2],60,financeiro[idDet3],999,financeiro[id_grupo_tarifa],3,financeiro[id_detalhe_grupo_tarifa],14,financeiro[id_tipo_tarifa],9)+SUMIFS(financeiro[valor],financeiro[IdAgente],B20,financeiro[idDet1],20,financeiro[idDet2],60,financeiro[idDet3],999,financeiro[id_grupo_tarifa],3,financeiro[id_detalhe_grupo_tarifa],15,financeiro[id_tipo_tarifa],9)+SUMIFS(financeiro[valor],financeiro[IdAgente],B20,financeiro[idDet1],20,financeiro[idDet2],60,financeiro[idDet3],999,financeiro[id_grupo_tarifa],3,financeiro[id_detalhe_grupo_tarifa],16,financeiro[id_tipo_tarifa],9)+SUMIFS(financeiro[valor],financeiro[IdAgente],B20,financeiro[idDet1],20,financeiro[idDet2],60,financeiro[idDet3],999,financeiro[id_grupo_tarifa],3,financeiro[id_detalhe_grupo_tarifa],17,financeiro[id_tipo_tarifa],9)+SUMIFS(financeiro[valor],financeiro[IdAgente],B20,financeiro[idDet1],20,financeiro[idDet2],60,financeiro[idDet3],999,financeiro[id_grupo_tarifa],3,financeiro[id_detalhe_grupo_tarifa],18,financeiro[id_tipo_tarifa],9)+SUMIFS(financeiro[valor],financeiro[IdAgente],B20,financeiro[idDet1],20,financeiro[idDet2],60,financeiro[idDet3],999,financeiro[id_grupo_tarifa],3,financeiro[id_detalhe_grupo_tarifa],19,financeiro[id_tipo_tarifa],9)</f>
        <v>0</v>
      </c>
      <c r="X20" s="267">
        <f>SUMIFS(financeiro[valor],financeiro[IdAgente],B20,financeiro[idDet1],20,financeiro[idDet2],60,financeiro[idDet3],999,financeiro[id_grupo_tarifa],3,financeiro[id_detalhe_grupo_tarifa],12,financeiro[id_tipo_tarifa],9)+SUMIFS(financeiro[valor],financeiro[IdAgente],B20,financeiro[idDet1],20,financeiro[idDet2],60,financeiro[idDet3],999,financeiro[id_grupo_tarifa],4,financeiro[id_detalhe_grupo_tarifa],999,financeiro[id_tipo_tarifa],9)</f>
        <v>0</v>
      </c>
      <c r="Y20" s="267">
        <f>SUMIFS(financeiro[valor],financeiro[IdAgente],B20,financeiro[idDet1],20,financeiro[idDet2],60,financeiro[idDet3],179,financeiro[id_grupo_tarifa],99,financeiro[id_detalhe_grupo_tarifa],999,financeiro[id_tipo_tarifa],9)</f>
        <v>0</v>
      </c>
      <c r="Z20" s="267">
        <f>SUMIFS(financeiro[valor],financeiro[IdAgente],B20,financeiro[idDet1],20,financeiro[idDet2],60,financeiro[idDet3],999,financeiro[id_grupo_tarifa],2,financeiro[id_detalhe_grupo_tarifa],11,financeiro[id_tipo_tarifa],9,financeiro[valor],"&gt;0")+SUMIFS(financeiro[valor],financeiro[IdAgente],B20,financeiro[idDet1],20,financeiro[idDet2],60,financeiro[idDet3],999,financeiro[id_grupo_tarifa],2,financeiro[id_detalhe_grupo_tarifa],9,financeiro[id_tipo_tarifa],9,financeiro[valor],"&gt;0")+SUMIFS(financeiro[valor],financeiro[IdAgente],B20,financeiro[idDet1],20,financeiro[idDet2],60,financeiro[idDet3],999,financeiro[id_grupo_tarifa],2,financeiro[id_detalhe_grupo_tarifa],8,financeiro[id_tipo_tarifa],9,financeiro[valor],"&gt;0")+SUMIFS(financeiro[valor],financeiro[IdAgente],B20,financeiro[idDet1],20,financeiro[idDet2],60,financeiro[idDet3],999,financeiro[id_grupo_tarifa],2,financeiro[id_detalhe_grupo_tarifa],10,financeiro[id_tipo_tarifa],9,financeiro[valor],"&gt;0")+SUMIFS(financeiro[valor],financeiro[IdAgente],B20,financeiro[idDet1],20,financeiro[idDet2],60,financeiro[idDet3],999,financeiro[id_grupo_tarifa],2,financeiro[id_detalhe_grupo_tarifa],24,financeiro[id_tipo_tarifa],9,financeiro[valor],"&gt;0")+SUMIFS(financeiro[valor],financeiro[IdAgente],B20,financeiro[idDet1],20,financeiro[idDet2],60,financeiro[idDet3],999,financeiro[id_grupo_tarifa],2,financeiro[id_detalhe_grupo_tarifa],17,financeiro[id_tipo_tarifa],9,financeiro[valor],"&gt;0")+SUMIFS(financeiro[valor],financeiro[IdAgente],B20,financeiro[idDet1],999,financeiro[idDet2],999999,financeiro[idDet3],999,financeiro[id_grupo_tarifa],99,financeiro[id_detalhe_grupo_tarifa],999,financeiro[id_tipo_tarifa],9,financeiro[valor],"&gt;0")</f>
        <v>0</v>
      </c>
      <c r="AA20" s="267">
        <f>SUMIFS(financeiro[valor],financeiro[IdAgente],B20,financeiro[idDet1],22,financeiro[idDet2],60,financeiro[idDet3],529,financeiro[id_grupo_tarifa],1,financeiro[id_detalhe_grupo_tarifa],1,financeiro[id_tipo_tarifa],9,financeiro[valor],"&gt;0")+SUMIFS(financeiro[valor],financeiro[IdAgente],B20,financeiro[idDet1],22,financeiro[idDet2],60,financeiro[idDet3],529,financeiro[id_grupo_tarifa],1,financeiro[id_detalhe_grupo_tarifa],2,financeiro[id_tipo_tarifa],9,financeiro[valor],"&gt;0")</f>
        <v>0</v>
      </c>
      <c r="AB20" s="269"/>
      <c r="AC20" s="267">
        <f>SUMIFS(financeiro[valor],financeiro[IdAgente],B20,financeiro[idDet1],22,financeiro[idDet2],60,financeiro[idDet3],999,financeiro[id_grupo_tarifa],2,financeiro[id_detalhe_grupo_tarifa],30,financeiro[id_tipo_tarifa],9,financeiro[valor],"&gt;0")</f>
        <v>0</v>
      </c>
      <c r="AD20" s="267">
        <f>SUMIFS(financeiro[valor],financeiro[IdAgente],B20,financeiro[idDet1],22,financeiro[idDet2],60,financeiro[idDet3],178,financeiro[id_grupo_tarifa],1,financeiro[id_detalhe_grupo_tarifa],7,financeiro[id_tipo_tarifa],9)</f>
        <v>0</v>
      </c>
      <c r="AE20" s="267">
        <f>SUMIFS(financeiro[valor],financeiro[IdAgente],B20,financeiro[idDet1],22,financeiro[idDet2],60,financeiro[idDet3],242,financeiro[id_grupo_tarifa],4,financeiro[id_detalhe_grupo_tarifa],999,financeiro[id_tipo_tarifa],9)</f>
        <v>0</v>
      </c>
      <c r="AF20" s="267">
        <f>SUMIFS(financeiro[valor],financeiro[IdAgente],B20,financeiro[idDet1],22,financeiro[idDet2],60,financeiro[idDet3],525,financeiro[id_grupo_tarifa],2,financeiro[id_tipo_tarifa],9)</f>
        <v>0</v>
      </c>
      <c r="AG20" s="267">
        <f>SUMIFS(financeiro[valor],financeiro[IdAgente],B20,financeiro[idDet1],22,financeiro[idDet2],60,financeiro[idDet3],524)</f>
        <v>0</v>
      </c>
      <c r="AH20" s="269"/>
      <c r="AI20" s="267">
        <f>SUMIFS(financeiro[valor],financeiro[IdAgente],B20,financeiro[idDet1],22,financeiro[idDet2],60,financeiro[idDet3],523,financeiro[id_grupo_tarifa],2,financeiro[id_detalhe_grupo_tarifa],30,financeiro[id_tipo_tarifa],9)</f>
        <v>0</v>
      </c>
      <c r="AJ20" s="267">
        <f>SUMIFS(financeiro[valor],financeiro[IdAgente],B20,financeiro[idDet1],22,financeiro[idDet2],60,financeiro[idDet3],503,financeiro[id_grupo_tarifa],99,financeiro[id_detalhe_grupo_tarifa],999,financeiro[id_tipo_tarifa],3)</f>
        <v>0</v>
      </c>
      <c r="AK20" s="269"/>
      <c r="AL20" s="269"/>
      <c r="AM20" s="269"/>
      <c r="AN20" s="269"/>
      <c r="AO20" s="269"/>
      <c r="AP20" s="269"/>
      <c r="AQ20" s="269"/>
      <c r="AR20" s="269"/>
      <c r="AS20" s="269"/>
      <c r="AT20" s="267">
        <f>SUMIFS(financeiro[valor],financeiro[IdAgente],B20,financeiro[idDet1],22,financeiro[idDet2],60,financeiro[idDet3],235,financeiro[id_grupo_tarifa],4,financeiro[id_detalhe_grupo_tarifa],999,financeiro[id_tipo_tarifa],9)</f>
        <v>0</v>
      </c>
      <c r="AU20" s="267">
        <f>SUMIFS(financeiro[valor],financeiro[IdAgente],B20,financeiro[idDet1],22,financeiro[idDet2],60,financeiro[idDet3],512,
financeiro[id_grupo_tarifa],3,financeiro[id_detalhe_grupo_tarifa],28,financeiro[id_tipo_tarifa],9)</f>
        <v>0</v>
      </c>
      <c r="AV20" s="267">
        <f>SUMIFS(financeiro[valor],financeiro[IdAgente],B20,financeiro[idDet1],22,financeiro[idDet2],60,financeiro[idDet3],241,financeiro[id_grupo_tarifa],2,financeiro[id_detalhe_grupo_tarifa],11,financeiro[id_tipo_tarifa],9)+SUMIFS(financeiro[valor],financeiro[IdAgente],B20,financeiro[idDet1],22,financeiro[idDet2],60,financeiro[idDet3],241,financeiro[id_grupo_tarifa],2,financeiro[id_detalhe_grupo_tarifa],9,financeiro[id_tipo_tarifa],9)+SUMIFS(financeiro[valor],financeiro[IdAgente],B20,financeiro[idDet1],22,financeiro[idDet2],60,financeiro[idDet3],241,financeiro[id_grupo_tarifa],2,financeiro[id_detalhe_grupo_tarifa],8,financeiro[id_tipo_tarifa],9)+SUMIFS(financeiro[valor],financeiro[IdAgente],B20,financeiro[idDet1],22,financeiro[idDet2],60,financeiro[idDet3],241,financeiro[id_grupo_tarifa],2,financeiro[id_detalhe_grupo_tarifa],10,financeiro[id_tipo_tarifa],9)+SUMIFS(financeiro[valor],financeiro[IdAgente],B20,financeiro[idDet1],22,financeiro[idDet2],60,financeiro[idDet3],241,financeiro[id_grupo_tarifa],2,financeiro[id_detalhe_grupo_tarifa],24,financeiro[id_tipo_tarifa],9)</f>
        <v>0</v>
      </c>
      <c r="AW20" s="267">
        <f>SUMIFS(financeiro[valor],financeiro[IdAgente],B20,financeiro[idDet1],22,financeiro[idDet2],60,financeiro[idDet3],241,financeiro[id_grupo_tarifa],3,financeiro[id_detalhe_grupo_tarifa],17,financeiro[id_tipo_tarifa],9)</f>
        <v>0</v>
      </c>
      <c r="AX20" s="267">
        <f>SUMIFS(financeiro[valor],financeiro[IdAgente],B20,financeiro[idDet1],22,financeiro[idDet2],60,financeiro[idDet3],240,financeiro[id_grupo_tarifa],2,financeiro[id_detalhe_grupo_tarifa],11,financeiro[id_tipo_tarifa],9)+SUMIFS(financeiro[valor],financeiro[IdAgente],B20,financeiro[idDet1],22,financeiro[idDet2],60,financeiro[idDet3],240,financeiro[id_grupo_tarifa],2,financeiro[id_detalhe_grupo_tarifa],9,financeiro[id_tipo_tarifa],9)+SUMIFS(financeiro[valor],financeiro[IdAgente],B20,financeiro[idDet1],22,financeiro[idDet2],60,financeiro[idDet3],240,financeiro[id_grupo_tarifa],2,financeiro[id_detalhe_grupo_tarifa],8,financeiro[id_tipo_tarifa],9)+SUMIFS(financeiro[valor],financeiro[IdAgente],B20,financeiro[idDet1],22,financeiro[idDet2],60,financeiro[idDet3],240,financeiro[id_grupo_tarifa],2,financeiro[id_detalhe_grupo_tarifa],10,financeiro[id_tipo_tarifa],9)+SUMIFS(financeiro[valor],financeiro[IdAgente],B20,financeiro[idDet1],22,financeiro[idDet2],60,financeiro[idDet3],240,financeiro[id_grupo_tarifa],2,financeiro[id_detalhe_grupo_tarifa],24,financeiro[id_tipo_tarifa],9)</f>
        <v>0</v>
      </c>
      <c r="AY20" s="267">
        <f>SUMIFS(financeiro[valor],financeiro[IdAgente],B20,financeiro[idDet1],22,financeiro[idDet2],60,financeiro[idDet3],106,financeiro[id_grupo_tarifa],2,financeiro[id_detalhe_grupo_tarifa],11,financeiro[id_tipo_tarifa],9)+SUMIFS(financeiro[valor],financeiro[IdAgente],B20,financeiro[idDet1],22,financeiro[idDet2],60,financeiro[idDet3],106,financeiro[id_grupo_tarifa],2,financeiro[id_detalhe_grupo_tarifa],9,financeiro[id_tipo_tarifa],9)+SUMIFS(financeiro[valor],financeiro[IdAgente],B20,financeiro[idDet1],22,financeiro[idDet2],60,financeiro[idDet3],106,financeiro[id_grupo_tarifa],2,financeiro[id_detalhe_grupo_tarifa],8,financeiro[id_tipo_tarifa],9)+SUMIFS(financeiro[valor],financeiro[IdAgente],B20,financeiro[idDet1],22,financeiro[idDet2],60,financeiro[idDet3],106,financeiro[id_grupo_tarifa],2,financeiro[id_detalhe_grupo_tarifa],10,financeiro[id_tipo_tarifa],9)+SUMIFS(financeiro[valor],financeiro[IdAgente],B20,financeiro[idDet1],22,financeiro[idDet2],60,financeiro[idDet3],106,financeiro[id_grupo_tarifa],2,financeiro[id_detalhe_grupo_tarifa],24,financeiro[id_tipo_tarifa],9)</f>
        <v>0</v>
      </c>
      <c r="AZ20" s="267">
        <f>SUMIFS(financeiro[valor],financeiro[IdAgente],B20,financeiro[idDet1],22,financeiro[idDet2],62,financeiro[idDet3],220,financeiro[id_grupo_tarifa],2,financeiro[id_detalhe_grupo_tarifa],11,financeiro[id_tipo_tarifa],9)+SUMIFS(financeiro[valor],financeiro[IdAgente],B20,financeiro[idDet1],22,financeiro[idDet2],62,financeiro[idDet3],220,financeiro[id_grupo_tarifa],2,financeiro[id_detalhe_grupo_tarifa],9,financeiro[id_tipo_tarifa],9)+SUMIFS(financeiro[valor],financeiro[IdAgente],B20,financeiro[idDet1],22,financeiro[idDet2],62,financeiro[idDet3],220,financeiro[id_grupo_tarifa],2,financeiro[id_detalhe_grupo_tarifa],8,financeiro[id_tipo_tarifa],9)+SUMIFS(financeiro[valor],financeiro[IdAgente],B20,financeiro[idDet1],22,financeiro[idDet2],62,financeiro[idDet3],220,financeiro[id_grupo_tarifa],2,financeiro[id_detalhe_grupo_tarifa],10,financeiro[id_tipo_tarifa],9)+SUMIFS(financeiro[valor],financeiro[IdAgente],B20,financeiro[idDet1],22,financeiro[idDet2],62,financeiro[idDet3],220,financeiro[id_grupo_tarifa],2,financeiro[id_detalhe_grupo_tarifa],24,financeiro[id_tipo_tarifa],9)</f>
        <v>0</v>
      </c>
      <c r="BA20" s="267">
        <f>SUMIFS(financeiro[valor],financeiro[IdAgente],B20,financeiro[idDet1],22,financeiro[idDet2],60,financeiro[idDet3],220,financeiro[id_grupo_tarifa],2,financeiro[id_detalhe_grupo_tarifa],11,financeiro[id_tipo_tarifa],9)+SUMIFS(financeiro[valor],financeiro[IdAgente],B20,financeiro[idDet1],22,financeiro[idDet2],60,financeiro[idDet3],220,financeiro[id_grupo_tarifa],2,financeiro[id_detalhe_grupo_tarifa],9,financeiro[id_tipo_tarifa],9)+SUMIFS(financeiro[valor],financeiro[IdAgente],B20,financeiro[idDet1],22,financeiro[idDet2],60,financeiro[idDet3],220,financeiro[id_grupo_tarifa],2,financeiro[id_detalhe_grupo_tarifa],8,financeiro[id_tipo_tarifa],9)+SUMIFS(financeiro[valor],financeiro[IdAgente],B20,financeiro[idDet1],22,financeiro[idDet2],60,financeiro[idDet3],220,financeiro[id_grupo_tarifa],2,financeiro[id_detalhe_grupo_tarifa],10,financeiro[id_tipo_tarifa],9)+SUMIFS(financeiro[valor],financeiro[IdAgente],B20,financeiro[idDet1],22,financeiro[idDet2],60,financeiro[idDet3],220,financeiro[id_grupo_tarifa],2,financeiro[id_detalhe_grupo_tarifa],24,financeiro[id_tipo_tarifa],9)</f>
        <v>0</v>
      </c>
      <c r="BB20" s="267">
        <f>SUMIFS(financeiro[valor],financeiro[IdAgente],B20,financeiro[idDet1],22,financeiro[idDet2],60,financeiro[idDet3],102,financeiro[id_grupo_tarifa],2,financeiro[id_detalhe_grupo_tarifa],11,financeiro[id_tipo_tarifa],9)+SUMIFS(financeiro[valor],financeiro[IdAgente],B20,financeiro[idDet1],22,financeiro[idDet2],60,financeiro[idDet3],102,financeiro[id_grupo_tarifa],2,financeiro[id_detalhe_grupo_tarifa],9,financeiro[id_tipo_tarifa],9)+SUMIFS(financeiro[valor],financeiro[IdAgente],B20,financeiro[idDet1],22,financeiro[idDet2],60,financeiro[idDet3],102,financeiro[id_grupo_tarifa],2,financeiro[id_detalhe_grupo_tarifa],8,financeiro[id_tipo_tarifa],9)+SUMIFS(financeiro[valor],financeiro[IdAgente],B20,financeiro[idDet1],22,financeiro[idDet2],60,financeiro[idDet3],102,financeiro[id_grupo_tarifa],2,financeiro[id_detalhe_grupo_tarifa],10,financeiro[id_tipo_tarifa],9)+SUMIFS(financeiro[valor],financeiro[IdAgente],B20,financeiro[idDet1],22,financeiro[idDet2],60,financeiro[idDet3],102,financeiro[id_grupo_tarifa],2,financeiro[id_detalhe_grupo_tarifa],24,financeiro[id_tipo_tarifa],9)</f>
        <v>0</v>
      </c>
      <c r="BC20" s="267">
        <f>SUMIFS(financeiro[valor],financeiro[IdAgente],B20,financeiro[idDet1],22,financeiro[idDet2],60,financeiro[idDet3],522,financeiro[valor],"&lt;0")</f>
        <v>0</v>
      </c>
      <c r="BD20" s="267">
        <f>SUMIFS(financeiro[valor],financeiro[IdAgente],B20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20" s="267">
        <f>SUMIFS(financeiro[valor],financeiro[IdAgente],B20,financeiro[id_natureza_dado],2,financeiro[id_detalhe_natureza],2,financeiro[idDet1],20,financeiro[idDet2],60,financeiro[idDet3],82,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20" s="267">
        <f>SUMIFS(financeiro[valor],financeiro[IdAgente],B20,financeiro[id_natureza_dado],2,financeiro[id_detalhe_natureza],2,financeiro[idDet1],20,financeiro[idDet2],60,financeiro[idDet3],81,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20" s="267">
        <f>SUMIFS(financeiro[valor],financeiro[IdAgente],B20,financeiro[id_natureza_dado],2,financeiro[id_detalhe_natureza],2,financeiro[idDet1],20,financeiro[idDet2],60,financeiro[idDet3],503,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20" s="267">
        <f>SUMIFS(financeiro[valor],financeiro[IdAgente],B20,financeiro[idDet1],22,financeiro[idDet2],60,financeiro[idDet3],123)</f>
        <v>0</v>
      </c>
      <c r="BI20" s="267">
        <f>SUMIFS(financeiro[valor],financeiro[IdAgente],B20,financeiro[idDet1],20,financeiro[idDet2],60,financeiro[idDet3],73)</f>
        <v>0</v>
      </c>
      <c r="BJ20" s="267">
        <f>SUMIFS(financeiro[valor],financeiro[IdAgente],B20,financeiro[idDet1],22,financeiro[idDet2],60,financeiro[idDet3],527)</f>
        <v>0</v>
      </c>
      <c r="BK20" s="267">
        <f>SUMIFS(financeiro[valor],financeiro[IdAgente],B20,financeiro[idDet1],22,financeiro[idDet2],60,financeiro[idDet3],510)</f>
        <v>0</v>
      </c>
      <c r="BL20" s="267">
        <f>SUMIFS(financeiro[valor],financeiro[IdAgente],B20,financeiro[idDet1],22,financeiro[idDet2],60,financeiro[idDet3],526,
financeiro[id_grupo_tarifa],1,financeiro[id_detalhe_grupo_tarifa],3,financeiro[id_tipo_tarifa],9,financeiro[id_subgrupo],3)</f>
        <v>0</v>
      </c>
      <c r="BM20" s="267">
        <f>SUMIFS(financeiro[valor],financeiro[IdAgente],B20,financeiro[idDet1],22,financeiro[idDet2],60,financeiro[idDet3],999,
financeiro[id_grupo_tarifa],3,financeiro[id_detalhe_grupo_tarifa],17,financeiro[id_tipo_tarifa],9)</f>
        <v>0</v>
      </c>
      <c r="BN20" s="267">
        <f>SUMIFS(financeiro[valor],financeiro[IdAgente],B20,financeiro[idDet1],22,financeiro[idDet2],60,financeiro[idDet3],526,financeiro[id_grupo_tarifa],1,financeiro[id_detalhe_grupo_tarifa],7,financeiro[id_tipo_tarifa],9,financeiro[valor],"&lt;0")+SUMIFS(financeiro[valor],financeiro[IdAgente],B20,financeiro[idDet1],22,financeiro[idDet2],60,financeiro[idDet3],526,financeiro[id_grupo_tarifa],2,financeiro[id_detalhe_grupo_tarifa],11,financeiro[id_tipo_tarifa],9,financeiro[valor],"&lt;0")+SUMIFS(financeiro[valor],financeiro[IdAgente],B20,financeiro[idDet1],22,financeiro[idDet2],60,financeiro[idDet3],526,financeiro[id_grupo_tarifa],2,financeiro[id_detalhe_grupo_tarifa],8,financeiro[id_tipo_tarifa],9,financeiro[valor],"&lt;0")</f>
        <v>0</v>
      </c>
      <c r="BO20" s="267">
        <f>SUMIFS(financeiro[valor],financeiro[IdAgente],B20,financeiro[idDet1],22,financeiro[idDet2],60,financeiro[idDet3],999,financeiro[id_grupo_tarifa],4,financeiro[id_detalhe_grupo_tarifa],999,financeiro[id_tipo_tarifa],9,financeiro[valor],"&lt;0")</f>
        <v>0</v>
      </c>
      <c r="BP20" s="267">
        <f>SUMIFS(financeiro[valor],financeiro[IdAgente],B20,financeiro[idDet1],22,financeiro[idDet2],60,financeiro[idDet3],530,financeiro[valor],"&lt;0")</f>
        <v>0</v>
      </c>
      <c r="BQ20" s="267">
        <f>SUMIFS(financeiro[valor],financeiro[IdAgente],B20,financeiro[idDet1],22,financeiro[idDet2],60,financeiro[idDet3],531,financeiro[valor],"&lt;0")</f>
        <v>0</v>
      </c>
      <c r="BR20" s="267">
        <f>SUMIFS(financeiro[valor],financeiro[IdAgente],B20,financeiro[idDet1],22,financeiro[idDet2],62,financeiro[idDet3],532,financeiro[valor],"&lt;0")</f>
        <v>0</v>
      </c>
      <c r="BS20" s="267">
        <f>SUMIFS(financeiro[valor],financeiro[IdAgente],B20,financeiro[idDet1],22,financeiro[idDet2],62,financeiro[idDet3],533,financeiro[valor],"&lt;0")</f>
        <v>0</v>
      </c>
      <c r="BT20" s="267">
        <f>SUMIFS(financeiro[valor],financeiro[IdAgente],B20,financeiro[idDet1],22,financeiro[idDet2],62,financeiro[idDet3],534,financeiro[valor],"&lt;0")</f>
        <v>0</v>
      </c>
      <c r="BW20" s="210" t="s">
        <v>171</v>
      </c>
      <c r="BX20" t="str">
        <f>Efeito!B21</f>
        <v>NO SELECT</v>
      </c>
      <c r="BY20" s="267">
        <f>SUMIFS(Banco[valor],Banco[IdAgente],BX20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20" s="267">
        <f>SUMIFS(Banco[valor],Banco[IdAgente],BX20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20" s="267">
        <f>SUMIFS(Banco[valor],Banco[IdAgente],BX20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20" s="267">
        <f>SUMIFS(Banco[valor],Banco[IdAgente],BX20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20" s="267">
        <f>SUMIFS(Banco[valor],Banco[IdAgente],BX20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20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20" s="267">
        <f>SUMIFS(Banco[valor],Banco[IdAgente],BX20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20" s="267">
        <f>SUMIFS(Banco[valor],Banco[IdAgente],BX20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20" s="267">
        <f>SUMIFS(Banco[valor],Banco[IdAgente],BX20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20" s="267">
        <f>SUMIFS(Banco[valor],Banco[IdAgente],BX20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20" s="267">
        <f>SUMIFS(Banco[valor],Banco[IdAgente],BX20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20" s="267">
        <f>SUMIFS(Banco[valor],Banco[IdAgente],BX20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20" s="267">
        <f>SUMIFS(Banco[valor],Banco[IdAgente],BX20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20" s="267">
        <f>SUMIFS(Banco[valor],Banco[IdAgente],B20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20" s="267">
        <f>SUMIFS(Banco[valor],Banco[IdAgente],B20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20" s="267">
        <f>SUMIFS(Banco[valor],Banco[IdAgente],B20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21" spans="1:91">
      <c r="A21" t="s">
        <v>174</v>
      </c>
      <c r="B21" t="str">
        <f>Efeito!B22</f>
        <v>NO SELECT</v>
      </c>
      <c r="C21" s="267">
        <f>SUMIFS(Banco[valor],Banco[IdAgente],B21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21" s="267">
        <f>SUMIFS(Banco[valor],Banco[IdAgente],B21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21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21" s="267">
        <f>SUMIFS(Banco[valor],Banco[IdAgente],B21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21" s="267">
        <f>SUMIFS(Banco[valor],Banco[IdAgente],B21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21" s="267">
        <f>SUMIFS(Banco[valor],Banco[IdAgente],B21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21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21" s="267">
        <f>SUMIFS(Banco[valor],Banco[IdAgente],B21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21" s="267">
        <f>SUMIFS(Banco[valor],Banco[IdAgente],B21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21" s="267">
        <f>SUMIFS(Banco[valor],Banco[IdAgente],B21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21" s="267">
        <f>SUMIFS(Banco[valor],Banco[IdAgente],B21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21" s="267">
        <f>SUMIFS(Banco[valor],Banco[IdAgente],B21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21" s="267">
        <f>SUMIFS(Banco[valor],Banco[IdAgente],B21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21" s="267">
        <f>SUMIFS(Banco[valor],Banco[IdAgente],B21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21" s="267">
        <f>SUMIFS(Banco[valor],Banco[IdAgente],B21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21" s="267">
        <f t="shared" si="2"/>
        <v>0</v>
      </c>
      <c r="Q21" s="267">
        <f>SUMIFS(Banco[valor],Banco[IdAgente],B21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21" s="267">
        <f>SUMIFS(Banco[valor],Banco[IdAgente],B21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21" s="4"/>
      <c r="T21" s="4"/>
      <c r="U21" s="4"/>
      <c r="V21" s="267">
        <f>SUMIFS(financeiro[valor],financeiro[IdAgente],B21,financeiro[idDet1],22,financeiro[idDet2],60,financeiro[idDet3],526,financeiro[id_grupo_tarifa],1,financeiro[id_detalhe_grupo_tarifa],7,financeiro[id_tipo_tarifa],9,financeiro[id_subgrupo],99,financeiro[valor],"&gt;0")+SUMIFS(financeiro[valor],financeiro[IdAgente],B21,financeiro[idDet1],22,financeiro[idDet2],60,financeiro[idDet3],526,financeiro[id_grupo_tarifa],2,financeiro[id_detalhe_grupo_tarifa],11,financeiro[id_tipo_tarifa],9,financeiro[valor],"&gt;0")+SUMIFS(financeiro[valor],financeiro[IdAgente],B21,financeiro[idDet1],22,financeiro[idDet2],60,financeiro[idDet3],526,financeiro[id_grupo_tarifa],2,financeiro[id_detalhe_grupo_tarifa],9,financeiro[id_tipo_tarifa],9,financeiro[valor],"&gt;0")+SUMIFS(financeiro[valor],financeiro[IdAgente],B21,financeiro[idDet1],22,financeiro[idDet2],60,financeiro[idDet3],526,financeiro[id_grupo_tarifa],2,financeiro[id_detalhe_grupo_tarifa],8,financeiro[id_tipo_tarifa],9,financeiro[valor],"&gt;0")+SUMIFS(financeiro[valor],financeiro[IdAgente],B21,financeiro[idDet1],22,financeiro[idDet2],60,financeiro[idDet3],526,financeiro[id_grupo_tarifa],2,financeiro[id_detalhe_grupo_tarifa],10,financeiro[id_tipo_tarifa],9,financeiro[valor],"&gt;0")+SUMIFS(financeiro[valor],financeiro[IdAgente],B21,financeiro[idDet1],22,financeiro[idDet2],60,financeiro[idDet3],526,financeiro[id_grupo_tarifa],2,financeiro[id_detalhe_grupo_tarifa],24,financeiro[id_tipo_tarifa],9,financeiro[valor],"&gt;0")</f>
        <v>0</v>
      </c>
      <c r="W21" s="267">
        <f>SUMIFS(financeiro[valor],financeiro[IdAgente],B21,financeiro[idDet1],20,financeiro[idDet2],60,financeiro[idDet3],999,financeiro[id_grupo_tarifa],3,financeiro[id_detalhe_grupo_tarifa],14,financeiro[id_tipo_tarifa],9)+SUMIFS(financeiro[valor],financeiro[IdAgente],B21,financeiro[idDet1],20,financeiro[idDet2],60,financeiro[idDet3],999,financeiro[id_grupo_tarifa],3,financeiro[id_detalhe_grupo_tarifa],15,financeiro[id_tipo_tarifa],9)+SUMIFS(financeiro[valor],financeiro[IdAgente],B21,financeiro[idDet1],20,financeiro[idDet2],60,financeiro[idDet3],999,financeiro[id_grupo_tarifa],3,financeiro[id_detalhe_grupo_tarifa],16,financeiro[id_tipo_tarifa],9)+SUMIFS(financeiro[valor],financeiro[IdAgente],B21,financeiro[idDet1],20,financeiro[idDet2],60,financeiro[idDet3],999,financeiro[id_grupo_tarifa],3,financeiro[id_detalhe_grupo_tarifa],17,financeiro[id_tipo_tarifa],9)+SUMIFS(financeiro[valor],financeiro[IdAgente],B21,financeiro[idDet1],20,financeiro[idDet2],60,financeiro[idDet3],999,financeiro[id_grupo_tarifa],3,financeiro[id_detalhe_grupo_tarifa],18,financeiro[id_tipo_tarifa],9)+SUMIFS(financeiro[valor],financeiro[IdAgente],B21,financeiro[idDet1],20,financeiro[idDet2],60,financeiro[idDet3],999,financeiro[id_grupo_tarifa],3,financeiro[id_detalhe_grupo_tarifa],19,financeiro[id_tipo_tarifa],9)</f>
        <v>0</v>
      </c>
      <c r="X21" s="267">
        <f>SUMIFS(financeiro[valor],financeiro[IdAgente],B21,financeiro[idDet1],20,financeiro[idDet2],60,financeiro[idDet3],999,financeiro[id_grupo_tarifa],3,financeiro[id_detalhe_grupo_tarifa],12,financeiro[id_tipo_tarifa],9)+SUMIFS(financeiro[valor],financeiro[IdAgente],B21,financeiro[idDet1],20,financeiro[idDet2],60,financeiro[idDet3],999,financeiro[id_grupo_tarifa],4,financeiro[id_detalhe_grupo_tarifa],999,financeiro[id_tipo_tarifa],9)</f>
        <v>0</v>
      </c>
      <c r="Y21" s="267">
        <f>SUMIFS(financeiro[valor],financeiro[IdAgente],B21,financeiro[idDet1],20,financeiro[idDet2],60,financeiro[idDet3],179,financeiro[id_grupo_tarifa],99,financeiro[id_detalhe_grupo_tarifa],999,financeiro[id_tipo_tarifa],9)</f>
        <v>0</v>
      </c>
      <c r="Z21" s="267">
        <f>SUMIFS(financeiro[valor],financeiro[IdAgente],B21,financeiro[idDet1],20,financeiro[idDet2],60,financeiro[idDet3],999,financeiro[id_grupo_tarifa],2,financeiro[id_detalhe_grupo_tarifa],11,financeiro[id_tipo_tarifa],9,financeiro[valor],"&gt;0")+SUMIFS(financeiro[valor],financeiro[IdAgente],B21,financeiro[idDet1],20,financeiro[idDet2],60,financeiro[idDet3],999,financeiro[id_grupo_tarifa],2,financeiro[id_detalhe_grupo_tarifa],9,financeiro[id_tipo_tarifa],9,financeiro[valor],"&gt;0")+SUMIFS(financeiro[valor],financeiro[IdAgente],B21,financeiro[idDet1],20,financeiro[idDet2],60,financeiro[idDet3],999,financeiro[id_grupo_tarifa],2,financeiro[id_detalhe_grupo_tarifa],8,financeiro[id_tipo_tarifa],9,financeiro[valor],"&gt;0")+SUMIFS(financeiro[valor],financeiro[IdAgente],B21,financeiro[idDet1],20,financeiro[idDet2],60,financeiro[idDet3],999,financeiro[id_grupo_tarifa],2,financeiro[id_detalhe_grupo_tarifa],10,financeiro[id_tipo_tarifa],9,financeiro[valor],"&gt;0")+SUMIFS(financeiro[valor],financeiro[IdAgente],B21,financeiro[idDet1],20,financeiro[idDet2],60,financeiro[idDet3],999,financeiro[id_grupo_tarifa],2,financeiro[id_detalhe_grupo_tarifa],24,financeiro[id_tipo_tarifa],9,financeiro[valor],"&gt;0")+SUMIFS(financeiro[valor],financeiro[IdAgente],B21,financeiro[idDet1],20,financeiro[idDet2],60,financeiro[idDet3],999,financeiro[id_grupo_tarifa],2,financeiro[id_detalhe_grupo_tarifa],17,financeiro[id_tipo_tarifa],9,financeiro[valor],"&gt;0")+SUMIFS(financeiro[valor],financeiro[IdAgente],B21,financeiro[idDet1],999,financeiro[idDet2],999999,financeiro[idDet3],999,financeiro[id_grupo_tarifa],99,financeiro[id_detalhe_grupo_tarifa],999,financeiro[id_tipo_tarifa],9,financeiro[valor],"&gt;0")</f>
        <v>0</v>
      </c>
      <c r="AA21" s="267">
        <f>SUMIFS(financeiro[valor],financeiro[IdAgente],B21,financeiro[idDet1],22,financeiro[idDet2],60,financeiro[idDet3],529,financeiro[id_grupo_tarifa],1,financeiro[id_detalhe_grupo_tarifa],1,financeiro[id_tipo_tarifa],9,financeiro[valor],"&gt;0")+SUMIFS(financeiro[valor],financeiro[IdAgente],B21,financeiro[idDet1],22,financeiro[idDet2],60,financeiro[idDet3],529,financeiro[id_grupo_tarifa],1,financeiro[id_detalhe_grupo_tarifa],2,financeiro[id_tipo_tarifa],9,financeiro[valor],"&gt;0")</f>
        <v>0</v>
      </c>
      <c r="AB21" s="269"/>
      <c r="AC21" s="267">
        <f>SUMIFS(financeiro[valor],financeiro[IdAgente],B21,financeiro[idDet1],22,financeiro[idDet2],60,financeiro[idDet3],999,financeiro[id_grupo_tarifa],2,financeiro[id_detalhe_grupo_tarifa],30,financeiro[id_tipo_tarifa],9,financeiro[valor],"&gt;0")</f>
        <v>0</v>
      </c>
      <c r="AD21" s="267">
        <f>SUMIFS(financeiro[valor],financeiro[IdAgente],B21,financeiro[idDet1],22,financeiro[idDet2],60,financeiro[idDet3],178,financeiro[id_grupo_tarifa],1,financeiro[id_detalhe_grupo_tarifa],7,financeiro[id_tipo_tarifa],9)</f>
        <v>0</v>
      </c>
      <c r="AE21" s="267">
        <f>SUMIFS(financeiro[valor],financeiro[IdAgente],B21,financeiro[idDet1],22,financeiro[idDet2],60,financeiro[idDet3],242,financeiro[id_grupo_tarifa],4,financeiro[id_detalhe_grupo_tarifa],999,financeiro[id_tipo_tarifa],9)</f>
        <v>0</v>
      </c>
      <c r="AF21" s="267">
        <f>SUMIFS(financeiro[valor],financeiro[IdAgente],B21,financeiro[idDet1],22,financeiro[idDet2],60,financeiro[idDet3],525,financeiro[id_grupo_tarifa],2,financeiro[id_tipo_tarifa],9)</f>
        <v>0</v>
      </c>
      <c r="AG21" s="267">
        <f>SUMIFS(financeiro[valor],financeiro[IdAgente],B21,financeiro[idDet1],22,financeiro[idDet2],60,financeiro[idDet3],524)</f>
        <v>0</v>
      </c>
      <c r="AH21" s="269"/>
      <c r="AI21" s="267">
        <f>SUMIFS(financeiro[valor],financeiro[IdAgente],B21,financeiro[idDet1],22,financeiro[idDet2],60,financeiro[idDet3],523,financeiro[id_grupo_tarifa],2,financeiro[id_detalhe_grupo_tarifa],30,financeiro[id_tipo_tarifa],9)</f>
        <v>0</v>
      </c>
      <c r="AJ21" s="267">
        <f>SUMIFS(financeiro[valor],financeiro[IdAgente],B21,financeiro[idDet1],22,financeiro[idDet2],60,financeiro[idDet3],503,financeiro[id_grupo_tarifa],99,financeiro[id_detalhe_grupo_tarifa],999,financeiro[id_tipo_tarifa],3)</f>
        <v>0</v>
      </c>
      <c r="AK21" s="269"/>
      <c r="AL21" s="269"/>
      <c r="AM21" s="269"/>
      <c r="AN21" s="269"/>
      <c r="AO21" s="269"/>
      <c r="AP21" s="269"/>
      <c r="AQ21" s="269"/>
      <c r="AR21" s="269"/>
      <c r="AS21" s="269"/>
      <c r="AT21" s="267">
        <f>SUMIFS(financeiro[valor],financeiro[IdAgente],B21,financeiro[idDet1],22,financeiro[idDet2],60,financeiro[idDet3],235,financeiro[id_grupo_tarifa],4,financeiro[id_detalhe_grupo_tarifa],999,financeiro[id_tipo_tarifa],9)</f>
        <v>0</v>
      </c>
      <c r="AU21" s="267">
        <f>SUMIFS(financeiro[valor],financeiro[IdAgente],B21,financeiro[idDet1],22,financeiro[idDet2],60,financeiro[idDet3],512,financeiro[id_grupo_tarifa],3,financeiro[id_detalhe_grupo_tarifa],28,financeiro[id_tipo_tarifa],9)</f>
        <v>0</v>
      </c>
      <c r="AV21" s="267">
        <f>SUMIFS(financeiro[valor],financeiro[IdAgente],B21,financeiro[idDet1],22,financeiro[idDet2],60,financeiro[idDet3],241,financeiro[id_grupo_tarifa],2,financeiro[id_detalhe_grupo_tarifa],11,financeiro[id_tipo_tarifa],9)+SUMIFS(financeiro[valor],financeiro[IdAgente],B21,financeiro[idDet1],22,financeiro[idDet2],60,financeiro[idDet3],241,financeiro[id_grupo_tarifa],2,financeiro[id_detalhe_grupo_tarifa],9,financeiro[id_tipo_tarifa],9)+SUMIFS(financeiro[valor],financeiro[IdAgente],B21,financeiro[idDet1],22,financeiro[idDet2],60,financeiro[idDet3],241,financeiro[id_grupo_tarifa],2,financeiro[id_detalhe_grupo_tarifa],8,financeiro[id_tipo_tarifa],9)+SUMIFS(financeiro[valor],financeiro[IdAgente],B21,financeiro[idDet1],22,financeiro[idDet2],60,financeiro[idDet3],241,financeiro[id_grupo_tarifa],2,financeiro[id_detalhe_grupo_tarifa],10,financeiro[id_tipo_tarifa],9)+SUMIFS(financeiro[valor],financeiro[IdAgente],B21,financeiro[idDet1],22,financeiro[idDet2],60,financeiro[idDet3],241,financeiro[id_grupo_tarifa],2,financeiro[id_detalhe_grupo_tarifa],24,financeiro[id_tipo_tarifa],9)</f>
        <v>0</v>
      </c>
      <c r="AW21" s="267">
        <f>SUMIFS(financeiro[valor],financeiro[IdAgente],B21,financeiro[idDet1],22,financeiro[idDet2],60,financeiro[idDet3],241,financeiro[id_grupo_tarifa],3,financeiro[id_detalhe_grupo_tarifa],17,financeiro[id_tipo_tarifa],9)</f>
        <v>0</v>
      </c>
      <c r="AX21" s="267">
        <f>SUMIFS(financeiro[valor],financeiro[IdAgente],B21,financeiro[idDet1],22,financeiro[idDet2],60,financeiro[idDet3],240,financeiro[id_grupo_tarifa],2,financeiro[id_detalhe_grupo_tarifa],11,financeiro[id_tipo_tarifa],9)+SUMIFS(financeiro[valor],financeiro[IdAgente],B21,financeiro[idDet1],22,financeiro[idDet2],60,financeiro[idDet3],240,financeiro[id_grupo_tarifa],2,financeiro[id_detalhe_grupo_tarifa],9,financeiro[id_tipo_tarifa],9)+SUMIFS(financeiro[valor],financeiro[IdAgente],B21,financeiro[idDet1],22,financeiro[idDet2],60,financeiro[idDet3],240,financeiro[id_grupo_tarifa],2,financeiro[id_detalhe_grupo_tarifa],8,financeiro[id_tipo_tarifa],9)+SUMIFS(financeiro[valor],financeiro[IdAgente],B21,financeiro[idDet1],22,financeiro[idDet2],60,financeiro[idDet3],240,financeiro[id_grupo_tarifa],2,financeiro[id_detalhe_grupo_tarifa],10,financeiro[id_tipo_tarifa],9)+SUMIFS(financeiro[valor],financeiro[IdAgente],B21,financeiro[idDet1],22,financeiro[idDet2],60,financeiro[idDet3],240,financeiro[id_grupo_tarifa],2,financeiro[id_detalhe_grupo_tarifa],24,financeiro[id_tipo_tarifa],9)</f>
        <v>0</v>
      </c>
      <c r="AY21" s="267">
        <f>SUMIFS(financeiro[valor],financeiro[IdAgente],B21,financeiro[idDet1],22,financeiro[idDet2],60,financeiro[idDet3],106,financeiro[id_grupo_tarifa],2,financeiro[id_detalhe_grupo_tarifa],11,financeiro[id_tipo_tarifa],9)+SUMIFS(financeiro[valor],financeiro[IdAgente],B21,financeiro[idDet1],22,financeiro[idDet2],60,financeiro[idDet3],106,financeiro[id_grupo_tarifa],2,financeiro[id_detalhe_grupo_tarifa],9,financeiro[id_tipo_tarifa],9)+SUMIFS(financeiro[valor],financeiro[IdAgente],B21,financeiro[idDet1],22,financeiro[idDet2],60,financeiro[idDet3],106,financeiro[id_grupo_tarifa],2,financeiro[id_detalhe_grupo_tarifa],8,financeiro[id_tipo_tarifa],9)+SUMIFS(financeiro[valor],financeiro[IdAgente],B21,financeiro[idDet1],22,financeiro[idDet2],60,financeiro[idDet3],106,financeiro[id_grupo_tarifa],2,financeiro[id_detalhe_grupo_tarifa],10,financeiro[id_tipo_tarifa],9)+SUMIFS(financeiro[valor],financeiro[IdAgente],B21,financeiro[idDet1],22,financeiro[idDet2],60,financeiro[idDet3],106,financeiro[id_grupo_tarifa],2,financeiro[id_detalhe_grupo_tarifa],24,financeiro[id_tipo_tarifa],9)</f>
        <v>0</v>
      </c>
      <c r="AZ21" s="267">
        <f>SUMIFS(financeiro[valor],financeiro[IdAgente],B21,financeiro[idDet1],22,financeiro[idDet2],62,financeiro[idDet3],220,financeiro[id_grupo_tarifa],2,financeiro[id_detalhe_grupo_tarifa],11,financeiro[id_tipo_tarifa],9)+SUMIFS(financeiro[valor],financeiro[IdAgente],B21,financeiro[idDet1],22,financeiro[idDet2],62,financeiro[idDet3],220,financeiro[id_grupo_tarifa],2,financeiro[id_detalhe_grupo_tarifa],9,financeiro[id_tipo_tarifa],9)+SUMIFS(financeiro[valor],financeiro[IdAgente],B21,financeiro[idDet1],22,financeiro[idDet2],62,financeiro[idDet3],220,financeiro[id_grupo_tarifa],2,financeiro[id_detalhe_grupo_tarifa],8,financeiro[id_tipo_tarifa],9)+SUMIFS(financeiro[valor],financeiro[IdAgente],B21,financeiro[idDet1],22,financeiro[idDet2],62,financeiro[idDet3],220,financeiro[id_grupo_tarifa],2,financeiro[id_detalhe_grupo_tarifa],10,financeiro[id_tipo_tarifa],9)+SUMIFS(financeiro[valor],financeiro[IdAgente],B21,financeiro[idDet1],22,financeiro[idDet2],62,financeiro[idDet3],220,financeiro[id_grupo_tarifa],2,financeiro[id_detalhe_grupo_tarifa],24,financeiro[id_tipo_tarifa],9)</f>
        <v>0</v>
      </c>
      <c r="BA21" s="267">
        <f>SUMIFS(financeiro[valor],financeiro[IdAgente],B21,financeiro[idDet1],22,financeiro[idDet2],60,financeiro[idDet3],220,financeiro[id_grupo_tarifa],2,financeiro[id_detalhe_grupo_tarifa],11,financeiro[id_tipo_tarifa],9)+SUMIFS(financeiro[valor],financeiro[IdAgente],B21,financeiro[idDet1],22,financeiro[idDet2],60,financeiro[idDet3],220,financeiro[id_grupo_tarifa],2,financeiro[id_detalhe_grupo_tarifa],9,financeiro[id_tipo_tarifa],9)+SUMIFS(financeiro[valor],financeiro[IdAgente],B21,financeiro[idDet1],22,financeiro[idDet2],60,financeiro[idDet3],220,financeiro[id_grupo_tarifa],2,financeiro[id_detalhe_grupo_tarifa],8,financeiro[id_tipo_tarifa],9)+SUMIFS(financeiro[valor],financeiro[IdAgente],B21,financeiro[idDet1],22,financeiro[idDet2],60,financeiro[idDet3],220,financeiro[id_grupo_tarifa],2,financeiro[id_detalhe_grupo_tarifa],10,financeiro[id_tipo_tarifa],9)+SUMIFS(financeiro[valor],financeiro[IdAgente],B21,financeiro[idDet1],22,financeiro[idDet2],60,financeiro[idDet3],220,financeiro[id_grupo_tarifa],2,financeiro[id_detalhe_grupo_tarifa],24,financeiro[id_tipo_tarifa],9)</f>
        <v>0</v>
      </c>
      <c r="BB21" s="267">
        <f>SUMIFS(financeiro[valor],financeiro[IdAgente],B21,financeiro[idDet1],22,financeiro[idDet2],60,financeiro[idDet3],102,financeiro[id_grupo_tarifa],2,financeiro[id_detalhe_grupo_tarifa],11,financeiro[id_tipo_tarifa],9)+SUMIFS(financeiro[valor],financeiro[IdAgente],B21,financeiro[idDet1],22,financeiro[idDet2],60,financeiro[idDet3],102,financeiro[id_grupo_tarifa],2,financeiro[id_detalhe_grupo_tarifa],9,financeiro[id_tipo_tarifa],9)+SUMIFS(financeiro[valor],financeiro[IdAgente],B21,financeiro[idDet1],22,financeiro[idDet2],60,financeiro[idDet3],102,financeiro[id_grupo_tarifa],2,financeiro[id_detalhe_grupo_tarifa],8,financeiro[id_tipo_tarifa],9)+SUMIFS(financeiro[valor],financeiro[IdAgente],B21,financeiro[idDet1],22,financeiro[idDet2],60,financeiro[idDet3],102,financeiro[id_grupo_tarifa],2,financeiro[id_detalhe_grupo_tarifa],10,financeiro[id_tipo_tarifa],9)+SUMIFS(financeiro[valor],financeiro[IdAgente],B21,financeiro[idDet1],22,financeiro[idDet2],60,financeiro[idDet3],102,financeiro[id_grupo_tarifa],2,financeiro[id_detalhe_grupo_tarifa],24,financeiro[id_tipo_tarifa],9)</f>
        <v>0</v>
      </c>
      <c r="BC21" s="267">
        <f>SUMIFS(financeiro[valor],financeiro[IdAgente],B21,financeiro[idDet1],22,financeiro[idDet2],60,financeiro[idDet3],522,financeiro[valor],"&lt;0")</f>
        <v>0</v>
      </c>
      <c r="BD21" s="267">
        <f>SUMIFS(financeiro[valor],financeiro[IdAgente],B21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21" s="267">
        <f>SUMIFS(financeiro[valor],financeiro[IdAgente],B21,financeiro[id_natureza_dado],2,financeiro[id_detalhe_natureza],2,financeiro[idDet1],20,financeiro[idDet2],60,financeiro[idDet3],82,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21" s="267">
        <f>SUMIFS(financeiro[valor],financeiro[IdAgente],B21,financeiro[id_natureza_dado],2,financeiro[id_detalhe_natureza],2,financeiro[idDet1],20,financeiro[idDet2],60,financeiro[idDet3],81,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21" s="267">
        <f>SUMIFS(financeiro[valor],financeiro[IdAgente],B21,financeiro[id_natureza_dado],2,financeiro[id_detalhe_natureza],2,financeiro[idDet1],20,financeiro[idDet2],60,financeiro[idDet3],503,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21" s="267">
        <f>SUMIFS(financeiro[valor],financeiro[IdAgente],B21,financeiro[idDet1],22,financeiro[idDet2],60,financeiro[idDet3],123)</f>
        <v>0</v>
      </c>
      <c r="BI21" s="267">
        <f>SUMIFS(financeiro[valor],financeiro[IdAgente],B21,financeiro[idDet1],20,financeiro[idDet2],60,financeiro[idDet3],73)</f>
        <v>0</v>
      </c>
      <c r="BJ21" s="267">
        <f>SUMIFS(financeiro[valor],financeiro[IdAgente],B21,financeiro[idDet1],22,financeiro[idDet2],60,financeiro[idDet3],527)</f>
        <v>0</v>
      </c>
      <c r="BK21" s="267">
        <f>SUMIFS(financeiro[valor],financeiro[IdAgente],B21,financeiro[idDet1],22,financeiro[idDet2],60,financeiro[idDet3],510)</f>
        <v>0</v>
      </c>
      <c r="BL21" s="267">
        <f>SUMIFS(financeiro[valor],financeiro[IdAgente],B21,financeiro[idDet1],22,financeiro[idDet2],60,financeiro[idDet3],526,
financeiro[id_grupo_tarifa],1,financeiro[id_detalhe_grupo_tarifa],3,financeiro[id_tipo_tarifa],9,financeiro[id_subgrupo],3)</f>
        <v>0</v>
      </c>
      <c r="BM21" s="267">
        <f>SUMIFS(financeiro[valor],financeiro[IdAgente],B21,financeiro[idDet1],22,financeiro[idDet2],60,financeiro[idDet3],999,
financeiro[id_grupo_tarifa],3,financeiro[id_detalhe_grupo_tarifa],17,financeiro[id_tipo_tarifa],9)</f>
        <v>0</v>
      </c>
      <c r="BN21" s="267">
        <f>SUMIFS(financeiro[valor],financeiro[IdAgente],B21,financeiro[idDet1],22,financeiro[idDet2],60,financeiro[idDet3],526,financeiro[id_grupo_tarifa],1,financeiro[id_detalhe_grupo_tarifa],7,financeiro[id_tipo_tarifa],9,financeiro[valor],"&lt;0")+SUMIFS(financeiro[valor],financeiro[IdAgente],B21,financeiro[idDet1],22,financeiro[idDet2],60,financeiro[idDet3],526,financeiro[id_grupo_tarifa],2,financeiro[id_detalhe_grupo_tarifa],11,financeiro[id_tipo_tarifa],9,financeiro[valor],"&lt;0")+SUMIFS(financeiro[valor],financeiro[IdAgente],B21,financeiro[idDet1],22,financeiro[idDet2],60,financeiro[idDet3],526,financeiro[id_grupo_tarifa],2,financeiro[id_detalhe_grupo_tarifa],8,financeiro[id_tipo_tarifa],9,financeiro[valor],"&lt;0")</f>
        <v>0</v>
      </c>
      <c r="BO21" s="267">
        <f>SUMIFS(financeiro[valor],financeiro[IdAgente],B21,financeiro[idDet1],22,financeiro[idDet2],60,financeiro[idDet3],999,financeiro[id_grupo_tarifa],4,financeiro[id_detalhe_grupo_tarifa],999,financeiro[id_tipo_tarifa],9,financeiro[valor],"&lt;0")</f>
        <v>0</v>
      </c>
      <c r="BP21" s="267">
        <f>SUMIFS(financeiro[valor],financeiro[IdAgente],B21,financeiro[idDet1],22,financeiro[idDet2],60,financeiro[idDet3],530,financeiro[valor],"&lt;0")</f>
        <v>0</v>
      </c>
      <c r="BQ21" s="267">
        <f>SUMIFS(financeiro[valor],financeiro[IdAgente],B21,financeiro[idDet1],22,financeiro[idDet2],60,financeiro[idDet3],531,financeiro[valor],"&lt;0")</f>
        <v>0</v>
      </c>
      <c r="BR21" s="267">
        <f>SUMIFS(financeiro[valor],financeiro[IdAgente],B21,financeiro[idDet1],22,financeiro[idDet2],62,financeiro[idDet3],532,financeiro[valor],"&lt;0")</f>
        <v>0</v>
      </c>
      <c r="BS21" s="267">
        <f>SUMIFS(financeiro[valor],financeiro[IdAgente],B21,financeiro[idDet1],22,financeiro[idDet2],62,financeiro[idDet3],533,financeiro[valor],"&lt;0")</f>
        <v>0</v>
      </c>
      <c r="BT21" s="267">
        <f>SUMIFS(financeiro[valor],financeiro[IdAgente],B21,financeiro[idDet1],22,financeiro[idDet2],62,financeiro[idDet3],534,financeiro[valor],"&lt;0")</f>
        <v>0</v>
      </c>
      <c r="BW21" s="210" t="s">
        <v>174</v>
      </c>
      <c r="BX21" t="str">
        <f>Efeito!B22</f>
        <v>NO SELECT</v>
      </c>
      <c r="BY21" s="267">
        <f>SUMIFS(Banco[valor],Banco[IdAgente],BX21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21" s="267">
        <f>SUMIFS(Banco[valor],Banco[IdAgente],BX21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21" s="267">
        <f>SUMIFS(Banco[valor],Banco[IdAgente],BX21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21" s="267">
        <f>SUMIFS(Banco[valor],Banco[IdAgente],BX21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21" s="267">
        <f>SUMIFS(Banco[valor],Banco[IdAgente],BX21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21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21" s="267">
        <f>SUMIFS(Banco[valor],Banco[IdAgente],BX21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21" s="267">
        <f>SUMIFS(Banco[valor],Banco[IdAgente],BX21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21" s="267">
        <f>SUMIFS(Banco[valor],Banco[IdAgente],BX21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21" s="267">
        <f>SUMIFS(Banco[valor],Banco[IdAgente],BX21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21" s="267">
        <f>SUMIFS(Banco[valor],Banco[IdAgente],BX21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21" s="267">
        <f>SUMIFS(Banco[valor],Banco[IdAgente],BX21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21" s="267">
        <f>SUMIFS(Banco[valor],Banco[IdAgente],BX21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21" s="267">
        <f>SUMIFS(Banco[valor],Banco[IdAgente],B21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21" s="267">
        <f>SUMIFS(Banco[valor],Banco[IdAgente],B21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21" s="267">
        <f>SUMIFS(Banco[valor],Banco[IdAgente],B21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22" spans="1:91">
      <c r="A22" t="s">
        <v>177</v>
      </c>
      <c r="B22" t="str">
        <f>Efeito!B23</f>
        <v>NO SELECT</v>
      </c>
      <c r="C22" s="267">
        <f>SUMIFS(Banco[valor],Banco[IdAgente],B22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22" s="267">
        <f>SUMIFS(Banco[valor],Banco[IdAgente],B22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22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22" s="267">
        <f>SUMIFS(Banco[valor],Banco[IdAgente],B22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22" s="267">
        <f>SUMIFS(Banco[valor],Banco[IdAgente],B22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22" s="267">
        <f>SUMIFS(Banco[valor],Banco[IdAgente],B22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22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22" s="267">
        <f>SUMIFS(Banco[valor],Banco[IdAgente],B22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22" s="267">
        <f>SUMIFS(Banco[valor],Banco[IdAgente],B22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22" s="267">
        <f>SUMIFS(Banco[valor],Banco[IdAgente],B22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22" s="267">
        <f>SUMIFS(Banco[valor],Banco[IdAgente],B22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22" s="267">
        <f>SUMIFS(Banco[valor],Banco[IdAgente],B22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22" s="267">
        <f>SUMIFS(Banco[valor],Banco[IdAgente],B22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22" s="267">
        <f>SUMIFS(Banco[valor],Banco[IdAgente],B22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22" s="267">
        <f>SUMIFS(Banco[valor],Banco[IdAgente],B22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22" s="267">
        <f t="shared" si="2"/>
        <v>0</v>
      </c>
      <c r="Q22" s="267">
        <f>SUMIFS(Banco[valor],Banco[IdAgente],B22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22" s="267">
        <f>SUMIFS(Banco[valor],Banco[IdAgente],B22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22" s="4"/>
      <c r="T22" s="4"/>
      <c r="U22" s="4"/>
      <c r="V22" s="267">
        <f>SUMIFS(financeiro[valor],financeiro[IdAgente],B22,financeiro[idDet1],22,financeiro[idDet2],60,financeiro[idDet3],526,financeiro[id_grupo_tarifa],1,financeiro[id_detalhe_grupo_tarifa],7,financeiro[id_tipo_tarifa],9,financeiro[id_subgrupo],99,financeiro[valor],"&gt;0")+SUMIFS(financeiro[valor],financeiro[IdAgente],B22,financeiro[idDet1],22,financeiro[idDet2],60,financeiro[idDet3],526,financeiro[id_grupo_tarifa],2,financeiro[id_detalhe_grupo_tarifa],11,financeiro[id_tipo_tarifa],9,financeiro[valor],"&gt;0")+SUMIFS(financeiro[valor],financeiro[IdAgente],B22,financeiro[idDet1],22,financeiro[idDet2],60,financeiro[idDet3],526,financeiro[id_grupo_tarifa],2,financeiro[id_detalhe_grupo_tarifa],9,financeiro[id_tipo_tarifa],9,financeiro[valor],"&gt;0")+SUMIFS(financeiro[valor],financeiro[IdAgente],B22,financeiro[idDet1],22,financeiro[idDet2],60,financeiro[idDet3],526,financeiro[id_grupo_tarifa],2,financeiro[id_detalhe_grupo_tarifa],8,financeiro[id_tipo_tarifa],9,financeiro[valor],"&gt;0")+SUMIFS(financeiro[valor],financeiro[IdAgente],B22,financeiro[idDet1],22,financeiro[idDet2],60,financeiro[idDet3],526,financeiro[id_grupo_tarifa],2,financeiro[id_detalhe_grupo_tarifa],10,financeiro[id_tipo_tarifa],9,financeiro[valor],"&gt;0")+SUMIFS(financeiro[valor],financeiro[IdAgente],B22,financeiro[idDet1],22,financeiro[idDet2],60,financeiro[idDet3],526,financeiro[id_grupo_tarifa],2,financeiro[id_detalhe_grupo_tarifa],24,financeiro[id_tipo_tarifa],9,financeiro[valor],"&gt;0")</f>
        <v>0</v>
      </c>
      <c r="W22" s="267">
        <f>SUMIFS(financeiro[valor],financeiro[IdAgente],B22,financeiro[idDet1],20,financeiro[idDet2],60,financeiro[idDet3],999,financeiro[id_grupo_tarifa],3,financeiro[id_detalhe_grupo_tarifa],14,financeiro[id_tipo_tarifa],9)+SUMIFS(financeiro[valor],financeiro[IdAgente],B22,financeiro[idDet1],20,financeiro[idDet2],60,financeiro[idDet3],999,financeiro[id_grupo_tarifa],3,financeiro[id_detalhe_grupo_tarifa],15,financeiro[id_tipo_tarifa],9)+SUMIFS(financeiro[valor],financeiro[IdAgente],B22,financeiro[idDet1],20,financeiro[idDet2],60,financeiro[idDet3],999,financeiro[id_grupo_tarifa],3,financeiro[id_detalhe_grupo_tarifa],16,financeiro[id_tipo_tarifa],9)+SUMIFS(financeiro[valor],financeiro[IdAgente],B22,financeiro[idDet1],20,financeiro[idDet2],60,financeiro[idDet3],999,financeiro[id_grupo_tarifa],3,financeiro[id_detalhe_grupo_tarifa],17,financeiro[id_tipo_tarifa],9)+SUMIFS(financeiro[valor],financeiro[IdAgente],B22,financeiro[idDet1],20,financeiro[idDet2],60,financeiro[idDet3],999,financeiro[id_grupo_tarifa],3,financeiro[id_detalhe_grupo_tarifa],18,financeiro[id_tipo_tarifa],9)+SUMIFS(financeiro[valor],financeiro[IdAgente],B22,financeiro[idDet1],20,financeiro[idDet2],60,financeiro[idDet3],999,financeiro[id_grupo_tarifa],3,financeiro[id_detalhe_grupo_tarifa],19,financeiro[id_tipo_tarifa],9)</f>
        <v>0</v>
      </c>
      <c r="X22" s="267">
        <f>SUMIFS(financeiro[valor],financeiro[IdAgente],B22,financeiro[idDet1],20,financeiro[idDet2],60,financeiro[idDet3],999,financeiro[id_grupo_tarifa],3,financeiro[id_detalhe_grupo_tarifa],12,financeiro[id_tipo_tarifa],9)+SUMIFS(financeiro[valor],financeiro[IdAgente],B22,financeiro[idDet1],20,financeiro[idDet2],60,financeiro[idDet3],999,financeiro[id_grupo_tarifa],4,financeiro[id_detalhe_grupo_tarifa],999,financeiro[id_tipo_tarifa],9)</f>
        <v>0</v>
      </c>
      <c r="Y22" s="267">
        <f>SUMIFS(financeiro[valor],financeiro[IdAgente],B22,financeiro[idDet1],20,financeiro[idDet2],60,financeiro[idDet3],179,financeiro[id_grupo_tarifa],99,financeiro[id_detalhe_grupo_tarifa],999,financeiro[id_tipo_tarifa],9)</f>
        <v>0</v>
      </c>
      <c r="Z22" s="267">
        <f>SUMIFS(financeiro[valor],financeiro[IdAgente],B22,financeiro[idDet1],20,financeiro[idDet2],60,financeiro[idDet3],999,financeiro[id_grupo_tarifa],2,financeiro[id_detalhe_grupo_tarifa],11,financeiro[id_tipo_tarifa],9,financeiro[valor],"&gt;0")+SUMIFS(financeiro[valor],financeiro[IdAgente],B22,financeiro[idDet1],20,financeiro[idDet2],60,financeiro[idDet3],999,financeiro[id_grupo_tarifa],2,financeiro[id_detalhe_grupo_tarifa],9,financeiro[id_tipo_tarifa],9,financeiro[valor],"&gt;0")+SUMIFS(financeiro[valor],financeiro[IdAgente],B22,financeiro[idDet1],20,financeiro[idDet2],60,financeiro[idDet3],999,financeiro[id_grupo_tarifa],2,financeiro[id_detalhe_grupo_tarifa],8,financeiro[id_tipo_tarifa],9,financeiro[valor],"&gt;0")+SUMIFS(financeiro[valor],financeiro[IdAgente],B22,financeiro[idDet1],20,financeiro[idDet2],60,financeiro[idDet3],999,financeiro[id_grupo_tarifa],2,financeiro[id_detalhe_grupo_tarifa],10,financeiro[id_tipo_tarifa],9,financeiro[valor],"&gt;0")+SUMIFS(financeiro[valor],financeiro[IdAgente],B22,financeiro[idDet1],20,financeiro[idDet2],60,financeiro[idDet3],999,financeiro[id_grupo_tarifa],2,financeiro[id_detalhe_grupo_tarifa],24,financeiro[id_tipo_tarifa],9,financeiro[valor],"&gt;0")+SUMIFS(financeiro[valor],financeiro[IdAgente],B22,financeiro[idDet1],20,financeiro[idDet2],60,financeiro[idDet3],999,financeiro[id_grupo_tarifa],2,financeiro[id_detalhe_grupo_tarifa],17,financeiro[id_tipo_tarifa],9,financeiro[valor],"&gt;0")+SUMIFS(financeiro[valor],financeiro[IdAgente],B22,financeiro[idDet1],999,financeiro[idDet2],999999,financeiro[idDet3],999,financeiro[id_grupo_tarifa],99,financeiro[id_detalhe_grupo_tarifa],999,financeiro[id_tipo_tarifa],9,financeiro[valor],"&gt;0")</f>
        <v>0</v>
      </c>
      <c r="AA22" s="267">
        <f>SUMIFS(financeiro[valor],financeiro[IdAgente],B22,financeiro[idDet1],22,financeiro[idDet2],60,financeiro[idDet3],529,financeiro[id_grupo_tarifa],1,financeiro[id_detalhe_grupo_tarifa],1,financeiro[id_tipo_tarifa],9,financeiro[valor],"&gt;0")+SUMIFS(financeiro[valor],financeiro[IdAgente],B22,financeiro[idDet1],22,financeiro[idDet2],60,financeiro[idDet3],529,financeiro[id_grupo_tarifa],1,financeiro[id_detalhe_grupo_tarifa],2,financeiro[id_tipo_tarifa],9,financeiro[valor],"&gt;0")</f>
        <v>0</v>
      </c>
      <c r="AB22" s="269"/>
      <c r="AC22" s="267">
        <f>SUMIFS(financeiro[valor],financeiro[IdAgente],B22,financeiro[idDet1],22,financeiro[idDet2],60,financeiro[idDet3],999,financeiro[id_grupo_tarifa],2,financeiro[id_detalhe_grupo_tarifa],30,financeiro[id_tipo_tarifa],9,financeiro[valor],"&gt;0")</f>
        <v>0</v>
      </c>
      <c r="AD22" s="267">
        <f>SUMIFS(financeiro[valor],financeiro[IdAgente],B22,financeiro[idDet1],22,financeiro[idDet2],60,financeiro[idDet3],178,financeiro[id_grupo_tarifa],1,financeiro[id_detalhe_grupo_tarifa],7,financeiro[id_tipo_tarifa],9)</f>
        <v>0</v>
      </c>
      <c r="AE22" s="267">
        <f>SUMIFS(financeiro[valor],financeiro[IdAgente],B22,financeiro[idDet1],22,financeiro[idDet2],60,financeiro[idDet3],242,financeiro[id_grupo_tarifa],4,financeiro[id_detalhe_grupo_tarifa],999,financeiro[id_tipo_tarifa],9)</f>
        <v>0</v>
      </c>
      <c r="AF22" s="267">
        <f>SUMIFS(financeiro[valor],financeiro[IdAgente],B22,financeiro[idDet1],22,financeiro[idDet2],60,financeiro[idDet3],525,financeiro[id_grupo_tarifa],2,financeiro[id_tipo_tarifa],9)</f>
        <v>0</v>
      </c>
      <c r="AG22" s="267">
        <f>SUMIFS(financeiro[valor],financeiro[IdAgente],B22,financeiro[idDet1],22,financeiro[idDet2],60,financeiro[idDet3],524)</f>
        <v>0</v>
      </c>
      <c r="AH22" s="269"/>
      <c r="AI22" s="267">
        <f>SUMIFS(financeiro[valor],financeiro[IdAgente],B22,financeiro[idDet1],22,financeiro[idDet2],60,financeiro[idDet3],523,financeiro[id_grupo_tarifa],2,financeiro[id_detalhe_grupo_tarifa],30,financeiro[id_tipo_tarifa],9)</f>
        <v>0</v>
      </c>
      <c r="AJ22" s="267">
        <f>SUMIFS(financeiro[valor],financeiro[IdAgente],B22,financeiro[idDet1],22,financeiro[idDet2],60,financeiro[idDet3],503,financeiro[id_grupo_tarifa],99,financeiro[id_detalhe_grupo_tarifa],999,financeiro[id_tipo_tarifa],3)</f>
        <v>0</v>
      </c>
      <c r="AK22" s="269"/>
      <c r="AL22" s="269"/>
      <c r="AM22" s="269"/>
      <c r="AN22" s="269"/>
      <c r="AO22" s="269"/>
      <c r="AP22" s="269"/>
      <c r="AQ22" s="269"/>
      <c r="AR22" s="269"/>
      <c r="AS22" s="269"/>
      <c r="AT22" s="267">
        <f>SUMIFS(financeiro[valor],financeiro[IdAgente],B22,financeiro[idDet1],22,financeiro[idDet2],60,financeiro[idDet3],235,financeiro[id_grupo_tarifa],4,financeiro[id_detalhe_grupo_tarifa],999,financeiro[id_tipo_tarifa],9)</f>
        <v>0</v>
      </c>
      <c r="AU22" s="267">
        <f>SUMIFS(financeiro[valor],financeiro[IdAgente],B22,financeiro[idDet1],22,financeiro[idDet2],60,financeiro[idDet3],512,financeiro[id_grupo_tarifa],3,financeiro[id_detalhe_grupo_tarifa],28,financeiro[id_tipo_tarifa],9)</f>
        <v>0</v>
      </c>
      <c r="AV22" s="267">
        <f>SUMIFS(financeiro[valor],financeiro[IdAgente],B22,financeiro[idDet1],22,financeiro[idDet2],60,financeiro[idDet3],241,financeiro[id_grupo_tarifa],2,financeiro[id_detalhe_grupo_tarifa],11,financeiro[id_tipo_tarifa],9)+SUMIFS(financeiro[valor],financeiro[IdAgente],B22,financeiro[idDet1],22,financeiro[idDet2],60,financeiro[idDet3],241,financeiro[id_grupo_tarifa],2,financeiro[id_detalhe_grupo_tarifa],9,financeiro[id_tipo_tarifa],9)+SUMIFS(financeiro[valor],financeiro[IdAgente],B22,financeiro[idDet1],22,financeiro[idDet2],60,financeiro[idDet3],241,financeiro[id_grupo_tarifa],2,financeiro[id_detalhe_grupo_tarifa],8,financeiro[id_tipo_tarifa],9)+SUMIFS(financeiro[valor],financeiro[IdAgente],B22,financeiro[idDet1],22,financeiro[idDet2],60,financeiro[idDet3],241,financeiro[id_grupo_tarifa],2,financeiro[id_detalhe_grupo_tarifa],10,financeiro[id_tipo_tarifa],9)+SUMIFS(financeiro[valor],financeiro[IdAgente],B22,financeiro[idDet1],22,financeiro[idDet2],60,financeiro[idDet3],241,financeiro[id_grupo_tarifa],2,financeiro[id_detalhe_grupo_tarifa],24,financeiro[id_tipo_tarifa],9)</f>
        <v>0</v>
      </c>
      <c r="AW22" s="267">
        <f>SUMIFS(financeiro[valor],financeiro[IdAgente],B22,financeiro[idDet1],22,financeiro[idDet2],60,financeiro[idDet3],241,financeiro[id_grupo_tarifa],3,financeiro[id_detalhe_grupo_tarifa],17,financeiro[id_tipo_tarifa],9)</f>
        <v>0</v>
      </c>
      <c r="AX22" s="267">
        <f>SUMIFS(financeiro[valor],financeiro[IdAgente],B22,financeiro[idDet1],22,financeiro[idDet2],60,financeiro[idDet3],240,financeiro[id_grupo_tarifa],2,financeiro[id_detalhe_grupo_tarifa],11,financeiro[id_tipo_tarifa],9)+SUMIFS(financeiro[valor],financeiro[IdAgente],B22,financeiro[idDet1],22,financeiro[idDet2],60,financeiro[idDet3],240,financeiro[id_grupo_tarifa],2,financeiro[id_detalhe_grupo_tarifa],9,financeiro[id_tipo_tarifa],9)+SUMIFS(financeiro[valor],financeiro[IdAgente],B22,financeiro[idDet1],22,financeiro[idDet2],60,financeiro[idDet3],240,financeiro[id_grupo_tarifa],2,financeiro[id_detalhe_grupo_tarifa],8,financeiro[id_tipo_tarifa],9)+SUMIFS(financeiro[valor],financeiro[IdAgente],B22,financeiro[idDet1],22,financeiro[idDet2],60,financeiro[idDet3],240,financeiro[id_grupo_tarifa],2,financeiro[id_detalhe_grupo_tarifa],10,financeiro[id_tipo_tarifa],9)+SUMIFS(financeiro[valor],financeiro[IdAgente],B22,financeiro[idDet1],22,financeiro[idDet2],60,financeiro[idDet3],240,financeiro[id_grupo_tarifa],2,financeiro[id_detalhe_grupo_tarifa],24,financeiro[id_tipo_tarifa],9)</f>
        <v>0</v>
      </c>
      <c r="AY22" s="267">
        <f>SUMIFS(financeiro[valor],financeiro[IdAgente],B22,financeiro[idDet1],22,financeiro[idDet2],60,financeiro[idDet3],106,financeiro[id_grupo_tarifa],2,financeiro[id_detalhe_grupo_tarifa],11,financeiro[id_tipo_tarifa],9)+SUMIFS(financeiro[valor],financeiro[IdAgente],B22,financeiro[idDet1],22,financeiro[idDet2],60,financeiro[idDet3],106,financeiro[id_grupo_tarifa],2,financeiro[id_detalhe_grupo_tarifa],9,financeiro[id_tipo_tarifa],9)+SUMIFS(financeiro[valor],financeiro[IdAgente],B22,financeiro[idDet1],22,financeiro[idDet2],60,financeiro[idDet3],106,financeiro[id_grupo_tarifa],2,financeiro[id_detalhe_grupo_tarifa],8,financeiro[id_tipo_tarifa],9)+SUMIFS(financeiro[valor],financeiro[IdAgente],B22,financeiro[idDet1],22,financeiro[idDet2],60,financeiro[idDet3],106,financeiro[id_grupo_tarifa],2,financeiro[id_detalhe_grupo_tarifa],10,financeiro[id_tipo_tarifa],9)+SUMIFS(financeiro[valor],financeiro[IdAgente],B22,financeiro[idDet1],22,financeiro[idDet2],60,financeiro[idDet3],106,financeiro[id_grupo_tarifa],2,financeiro[id_detalhe_grupo_tarifa],24,financeiro[id_tipo_tarifa],9)</f>
        <v>0</v>
      </c>
      <c r="AZ22" s="267">
        <f>SUMIFS(financeiro[valor],financeiro[IdAgente],B22,financeiro[idDet1],22,financeiro[idDet2],62,financeiro[idDet3],220,financeiro[id_grupo_tarifa],2,financeiro[id_detalhe_grupo_tarifa],11,financeiro[id_tipo_tarifa],9)+SUMIFS(financeiro[valor],financeiro[IdAgente],B22,financeiro[idDet1],22,financeiro[idDet2],62,financeiro[idDet3],220,financeiro[id_grupo_tarifa],2,financeiro[id_detalhe_grupo_tarifa],9,financeiro[id_tipo_tarifa],9)+SUMIFS(financeiro[valor],financeiro[IdAgente],B22,financeiro[idDet1],22,financeiro[idDet2],62,financeiro[idDet3],220,financeiro[id_grupo_tarifa],2,financeiro[id_detalhe_grupo_tarifa],8,financeiro[id_tipo_tarifa],9)+SUMIFS(financeiro[valor],financeiro[IdAgente],B22,financeiro[idDet1],22,financeiro[idDet2],62,financeiro[idDet3],220,financeiro[id_grupo_tarifa],2,financeiro[id_detalhe_grupo_tarifa],10,financeiro[id_tipo_tarifa],9)+SUMIFS(financeiro[valor],financeiro[IdAgente],B22,financeiro[idDet1],22,financeiro[idDet2],62,financeiro[idDet3],220,financeiro[id_grupo_tarifa],2,financeiro[id_detalhe_grupo_tarifa],24,financeiro[id_tipo_tarifa],9)</f>
        <v>0</v>
      </c>
      <c r="BA22" s="267">
        <f>SUMIFS(financeiro[valor],financeiro[IdAgente],B22,financeiro[idDet1],22,financeiro[idDet2],60,financeiro[idDet3],220,financeiro[id_grupo_tarifa],2,financeiro[id_detalhe_grupo_tarifa],11,financeiro[id_tipo_tarifa],9)+SUMIFS(financeiro[valor],financeiro[IdAgente],B22,financeiro[idDet1],22,financeiro[idDet2],60,financeiro[idDet3],220,financeiro[id_grupo_tarifa],2,financeiro[id_detalhe_grupo_tarifa],9,financeiro[id_tipo_tarifa],9)+SUMIFS(financeiro[valor],financeiro[IdAgente],B22,financeiro[idDet1],22,financeiro[idDet2],60,financeiro[idDet3],220,financeiro[id_grupo_tarifa],2,financeiro[id_detalhe_grupo_tarifa],8,financeiro[id_tipo_tarifa],9)+SUMIFS(financeiro[valor],financeiro[IdAgente],B22,financeiro[idDet1],22,financeiro[idDet2],60,financeiro[idDet3],220,financeiro[id_grupo_tarifa],2,financeiro[id_detalhe_grupo_tarifa],10,financeiro[id_tipo_tarifa],9)+SUMIFS(financeiro[valor],financeiro[IdAgente],B22,financeiro[idDet1],22,financeiro[idDet2],60,financeiro[idDet3],220,financeiro[id_grupo_tarifa],2,financeiro[id_detalhe_grupo_tarifa],24,financeiro[id_tipo_tarifa],9)</f>
        <v>0</v>
      </c>
      <c r="BB22" s="267">
        <f>SUMIFS(financeiro[valor],financeiro[IdAgente],B22,financeiro[idDet1],22,financeiro[idDet2],60,financeiro[idDet3],102,financeiro[id_grupo_tarifa],2,financeiro[id_detalhe_grupo_tarifa],11,financeiro[id_tipo_tarifa],9)+SUMIFS(financeiro[valor],financeiro[IdAgente],B22,financeiro[idDet1],22,financeiro[idDet2],60,financeiro[idDet3],102,financeiro[id_grupo_tarifa],2,financeiro[id_detalhe_grupo_tarifa],9,financeiro[id_tipo_tarifa],9)+SUMIFS(financeiro[valor],financeiro[IdAgente],B22,financeiro[idDet1],22,financeiro[idDet2],60,financeiro[idDet3],102,financeiro[id_grupo_tarifa],2,financeiro[id_detalhe_grupo_tarifa],8,financeiro[id_tipo_tarifa],9)+SUMIFS(financeiro[valor],financeiro[IdAgente],B22,financeiro[idDet1],22,financeiro[idDet2],60,financeiro[idDet3],102,financeiro[id_grupo_tarifa],2,financeiro[id_detalhe_grupo_tarifa],10,financeiro[id_tipo_tarifa],9)+SUMIFS(financeiro[valor],financeiro[IdAgente],B22,financeiro[idDet1],22,financeiro[idDet2],60,financeiro[idDet3],102,financeiro[id_grupo_tarifa],2,financeiro[id_detalhe_grupo_tarifa],24,financeiro[id_tipo_tarifa],9)</f>
        <v>0</v>
      </c>
      <c r="BC22" s="267">
        <f>SUMIFS(financeiro[valor],financeiro[IdAgente],B22,financeiro[idDet1],22,financeiro[idDet2],60,financeiro[idDet3],522,financeiro[valor],"&lt;0")</f>
        <v>0</v>
      </c>
      <c r="BD22" s="267">
        <f>SUMIFS(financeiro[valor],financeiro[IdAgente],B22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22" s="267">
        <f>SUMIFS(financeiro[valor],financeiro[IdAgente],B22,financeiro[id_natureza_dado],2,financeiro[id_detalhe_natureza],2,financeiro[idDet1],20,financeiro[idDet2],60,financeiro[idDet3],82,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22" s="267">
        <f>SUMIFS(financeiro[valor],financeiro[IdAgente],B22,financeiro[id_natureza_dado],2,financeiro[id_detalhe_natureza],2,financeiro[idDet1],20,financeiro[idDet2],60,financeiro[idDet3],81,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22" s="267">
        <f>SUMIFS(financeiro[valor],financeiro[IdAgente],B22,financeiro[id_natureza_dado],2,financeiro[id_detalhe_natureza],2,financeiro[idDet1],20,financeiro[idDet2],60,financeiro[idDet3],503,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22" s="267">
        <f>SUMIFS(financeiro[valor],financeiro[IdAgente],B22,financeiro[idDet1],22,financeiro[idDet2],60,financeiro[idDet3],123)</f>
        <v>0</v>
      </c>
      <c r="BI22" s="267">
        <f>SUMIFS(financeiro[valor],financeiro[IdAgente],B22,financeiro[idDet1],20,financeiro[idDet2],60,financeiro[idDet3],73)</f>
        <v>0</v>
      </c>
      <c r="BJ22" s="267">
        <f>SUMIFS(financeiro[valor],financeiro[IdAgente],B22,financeiro[idDet1],22,financeiro[idDet2],60,financeiro[idDet3],527)</f>
        <v>0</v>
      </c>
      <c r="BK22" s="267">
        <f>SUMIFS(financeiro[valor],financeiro[IdAgente],B22,financeiro[idDet1],22,financeiro[idDet2],60,financeiro[idDet3],510)</f>
        <v>0</v>
      </c>
      <c r="BL22" s="267">
        <f>SUMIFS(financeiro[valor],financeiro[IdAgente],B22,financeiro[idDet1],22,financeiro[idDet2],60,financeiro[idDet3],526,
financeiro[id_grupo_tarifa],1,financeiro[id_detalhe_grupo_tarifa],3,financeiro[id_tipo_tarifa],9,financeiro[id_subgrupo],3)</f>
        <v>0</v>
      </c>
      <c r="BM22" s="267">
        <f>SUMIFS(financeiro[valor],financeiro[IdAgente],B22,financeiro[idDet1],22,financeiro[idDet2],60,financeiro[idDet3],999,
financeiro[id_grupo_tarifa],3,financeiro[id_detalhe_grupo_tarifa],17,financeiro[id_tipo_tarifa],9)</f>
        <v>0</v>
      </c>
      <c r="BN22" s="267">
        <f>SUMIFS(financeiro[valor],financeiro[IdAgente],B22,financeiro[idDet1],22,financeiro[idDet2],60,financeiro[idDet3],526,financeiro[id_grupo_tarifa],1,financeiro[id_detalhe_grupo_tarifa],7,financeiro[id_tipo_tarifa],9,financeiro[valor],"&lt;0")+SUMIFS(financeiro[valor],financeiro[IdAgente],B22,financeiro[idDet1],22,financeiro[idDet2],60,financeiro[idDet3],526,financeiro[id_grupo_tarifa],2,financeiro[id_detalhe_grupo_tarifa],11,financeiro[id_tipo_tarifa],9,financeiro[valor],"&lt;0")+SUMIFS(financeiro[valor],financeiro[IdAgente],B22,financeiro[idDet1],22,financeiro[idDet2],60,financeiro[idDet3],526,financeiro[id_grupo_tarifa],2,financeiro[id_detalhe_grupo_tarifa],8,financeiro[id_tipo_tarifa],9,financeiro[valor],"&lt;0")</f>
        <v>0</v>
      </c>
      <c r="BO22" s="267">
        <f>SUMIFS(financeiro[valor],financeiro[IdAgente],B22,financeiro[idDet1],22,financeiro[idDet2],60,financeiro[idDet3],999,financeiro[id_grupo_tarifa],4,financeiro[id_detalhe_grupo_tarifa],999,financeiro[id_tipo_tarifa],9,financeiro[valor],"&lt;0")</f>
        <v>0</v>
      </c>
      <c r="BP22" s="267">
        <f>SUMIFS(financeiro[valor],financeiro[IdAgente],B22,financeiro[idDet1],22,financeiro[idDet2],60,financeiro[idDet3],530,financeiro[valor],"&lt;0")</f>
        <v>0</v>
      </c>
      <c r="BQ22" s="267">
        <f>SUMIFS(financeiro[valor],financeiro[IdAgente],B22,financeiro[idDet1],22,financeiro[idDet2],60,financeiro[idDet3],531,financeiro[valor],"&lt;0")</f>
        <v>0</v>
      </c>
      <c r="BR22" s="267">
        <f>SUMIFS(financeiro[valor],financeiro[IdAgente],B22,financeiro[idDet1],22,financeiro[idDet2],62,financeiro[idDet3],532,financeiro[valor],"&lt;0")</f>
        <v>0</v>
      </c>
      <c r="BS22" s="267">
        <f>SUMIFS(financeiro[valor],financeiro[IdAgente],B22,financeiro[idDet1],22,financeiro[idDet2],62,financeiro[idDet3],533,financeiro[valor],"&lt;0")</f>
        <v>0</v>
      </c>
      <c r="BT22" s="267">
        <f>SUMIFS(financeiro[valor],financeiro[IdAgente],B22,financeiro[idDet1],22,financeiro[idDet2],62,financeiro[idDet3],534,financeiro[valor],"&lt;0")</f>
        <v>0</v>
      </c>
      <c r="BW22" s="210" t="s">
        <v>177</v>
      </c>
      <c r="BX22" t="str">
        <f>Efeito!B23</f>
        <v>NO SELECT</v>
      </c>
      <c r="BY22" s="267">
        <f>SUMIFS(Banco[valor],Banco[IdAgente],BX22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22" s="267">
        <f>SUMIFS(Banco[valor],Banco[IdAgente],BX22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22" s="267">
        <f>SUMIFS(Banco[valor],Banco[IdAgente],BX22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22" s="267">
        <f>SUMIFS(Banco[valor],Banco[IdAgente],BX22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22" s="267">
        <f>SUMIFS(Banco[valor],Banco[IdAgente],BX22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22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22" s="267">
        <f>SUMIFS(Banco[valor],Banco[IdAgente],BX22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22" s="267">
        <f>SUMIFS(Banco[valor],Banco[IdAgente],BX22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22" s="267">
        <f>SUMIFS(Banco[valor],Banco[IdAgente],BX22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22" s="267">
        <f>SUMIFS(Banco[valor],Banco[IdAgente],BX22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22" s="267">
        <f>SUMIFS(Banco[valor],Banco[IdAgente],BX22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22" s="267">
        <f>SUMIFS(Banco[valor],Banco[IdAgente],BX22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22" s="267">
        <f>SUMIFS(Banco[valor],Banco[IdAgente],BX22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22" s="267">
        <f>SUMIFS(Banco[valor],Banco[IdAgente],B22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22" s="267">
        <f>SUMIFS(Banco[valor],Banco[IdAgente],B22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22" s="267">
        <f>SUMIFS(Banco[valor],Banco[IdAgente],B22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23" spans="1:91">
      <c r="A23" t="s">
        <v>180</v>
      </c>
      <c r="B23" t="str">
        <f>Efeito!B24</f>
        <v>NO SELECT</v>
      </c>
      <c r="C23" s="267">
        <f>SUMIFS(Banco[valor],Banco[IdAgente],B23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23" s="267">
        <f>SUMIFS(Banco[valor],Banco[IdAgente],B23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23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23" s="267">
        <f>SUMIFS(Banco[valor],Banco[IdAgente],B23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23" s="267">
        <f>SUMIFS(Banco[valor],Banco[IdAgente],B23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23" s="267">
        <f>SUMIFS(Banco[valor],Banco[IdAgente],B23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23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23" s="267">
        <f>SUMIFS(Banco[valor],Banco[IdAgente],B23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23" s="267">
        <f>SUMIFS(Banco[valor],Banco[IdAgente],B23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23" s="267">
        <f>SUMIFS(Banco[valor],Banco[IdAgente],B23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23" s="267">
        <f>SUMIFS(Banco[valor],Banco[IdAgente],B23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23" s="267">
        <f>SUMIFS(Banco[valor],Banco[IdAgente],B23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23" s="267">
        <f>SUMIFS(Banco[valor],Banco[IdAgente],B23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23" s="267">
        <f>SUMIFS(Banco[valor],Banco[IdAgente],B23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23" s="267">
        <f>SUMIFS(Banco[valor],Banco[IdAgente],B23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23" s="267">
        <f t="shared" si="2"/>
        <v>0</v>
      </c>
      <c r="Q23" s="267">
        <f>SUMIFS(Banco[valor],Banco[IdAgente],B23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23" s="267">
        <f>SUMIFS(Banco[valor],Banco[IdAgente],B23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23" s="4"/>
      <c r="T23" s="4"/>
      <c r="U23" s="4"/>
      <c r="V23" s="267">
        <f>SUMIFS(financeiro[valor],financeiro[IdAgente],B23,financeiro[idDet1],22,financeiro[idDet2],60,financeiro[idDet3],526,financeiro[id_grupo_tarifa],1,financeiro[id_detalhe_grupo_tarifa],7,financeiro[id_tipo_tarifa],9,financeiro[id_subgrupo],99,financeiro[valor],"&gt;0")+SUMIFS(financeiro[valor],financeiro[IdAgente],B23,financeiro[idDet1],22,financeiro[idDet2],60,financeiro[idDet3],526,financeiro[id_grupo_tarifa],2,financeiro[id_detalhe_grupo_tarifa],11,financeiro[id_tipo_tarifa],9,financeiro[valor],"&gt;0")+SUMIFS(financeiro[valor],financeiro[IdAgente],B23,financeiro[idDet1],22,financeiro[idDet2],60,financeiro[idDet3],526,financeiro[id_grupo_tarifa],2,financeiro[id_detalhe_grupo_tarifa],9,financeiro[id_tipo_tarifa],9,financeiro[valor],"&gt;0")+SUMIFS(financeiro[valor],financeiro[IdAgente],B23,financeiro[idDet1],22,financeiro[idDet2],60,financeiro[idDet3],526,financeiro[id_grupo_tarifa],2,financeiro[id_detalhe_grupo_tarifa],8,financeiro[id_tipo_tarifa],9,financeiro[valor],"&gt;0")+SUMIFS(financeiro[valor],financeiro[IdAgente],B23,financeiro[idDet1],22,financeiro[idDet2],60,financeiro[idDet3],526,financeiro[id_grupo_tarifa],2,financeiro[id_detalhe_grupo_tarifa],10,financeiro[id_tipo_tarifa],9,financeiro[valor],"&gt;0")+SUMIFS(financeiro[valor],financeiro[IdAgente],B23,financeiro[idDet1],22,financeiro[idDet2],60,financeiro[idDet3],526,financeiro[id_grupo_tarifa],2,financeiro[id_detalhe_grupo_tarifa],24,financeiro[id_tipo_tarifa],9,financeiro[valor],"&gt;0")</f>
        <v>0</v>
      </c>
      <c r="W23" s="267">
        <f>SUMIFS(financeiro[valor],financeiro[IdAgente],B23,financeiro[idDet1],20,financeiro[idDet2],60,financeiro[idDet3],999,financeiro[id_grupo_tarifa],3,financeiro[id_detalhe_grupo_tarifa],14,financeiro[id_tipo_tarifa],9)+SUMIFS(financeiro[valor],financeiro[IdAgente],B23,financeiro[idDet1],20,financeiro[idDet2],60,financeiro[idDet3],999,financeiro[id_grupo_tarifa],3,financeiro[id_detalhe_grupo_tarifa],15,financeiro[id_tipo_tarifa],9)+SUMIFS(financeiro[valor],financeiro[IdAgente],B23,financeiro[idDet1],20,financeiro[idDet2],60,financeiro[idDet3],999,financeiro[id_grupo_tarifa],3,financeiro[id_detalhe_grupo_tarifa],16,financeiro[id_tipo_tarifa],9)+SUMIFS(financeiro[valor],financeiro[IdAgente],B23,financeiro[idDet1],20,financeiro[idDet2],60,financeiro[idDet3],999,financeiro[id_grupo_tarifa],3,financeiro[id_detalhe_grupo_tarifa],17,financeiro[id_tipo_tarifa],9)+SUMIFS(financeiro[valor],financeiro[IdAgente],B23,financeiro[idDet1],20,financeiro[idDet2],60,financeiro[idDet3],999,financeiro[id_grupo_tarifa],3,financeiro[id_detalhe_grupo_tarifa],18,financeiro[id_tipo_tarifa],9)+SUMIFS(financeiro[valor],financeiro[IdAgente],B23,financeiro[idDet1],20,financeiro[idDet2],60,financeiro[idDet3],999,financeiro[id_grupo_tarifa],3,financeiro[id_detalhe_grupo_tarifa],19,financeiro[id_tipo_tarifa],9)</f>
        <v>0</v>
      </c>
      <c r="X23" s="267">
        <f>SUMIFS(financeiro[valor],financeiro[IdAgente],B23,financeiro[idDet1],20,financeiro[idDet2],60,financeiro[idDet3],999,financeiro[id_grupo_tarifa],3,financeiro[id_detalhe_grupo_tarifa],12,financeiro[id_tipo_tarifa],9)+SUMIFS(financeiro[valor],financeiro[IdAgente],B23,financeiro[idDet1],20,financeiro[idDet2],60,financeiro[idDet3],999,financeiro[id_grupo_tarifa],4,financeiro[id_detalhe_grupo_tarifa],999,financeiro[id_tipo_tarifa],9)</f>
        <v>0</v>
      </c>
      <c r="Y23" s="267">
        <f>SUMIFS(financeiro[valor],financeiro[IdAgente],B23,financeiro[idDet1],20,financeiro[idDet2],60,financeiro[idDet3],179,financeiro[id_grupo_tarifa],99,financeiro[id_detalhe_grupo_tarifa],999,financeiro[id_tipo_tarifa],9)</f>
        <v>0</v>
      </c>
      <c r="Z23" s="267">
        <f>SUMIFS(financeiro[valor],financeiro[IdAgente],B23,financeiro[idDet1],20,financeiro[idDet2],60,financeiro[idDet3],999,financeiro[id_grupo_tarifa],2,financeiro[id_detalhe_grupo_tarifa],11,financeiro[id_tipo_tarifa],9,financeiro[valor],"&gt;0")+SUMIFS(financeiro[valor],financeiro[IdAgente],B23,financeiro[idDet1],20,financeiro[idDet2],60,financeiro[idDet3],999,financeiro[id_grupo_tarifa],2,financeiro[id_detalhe_grupo_tarifa],9,financeiro[id_tipo_tarifa],9,financeiro[valor],"&gt;0")+SUMIFS(financeiro[valor],financeiro[IdAgente],B23,financeiro[idDet1],20,financeiro[idDet2],60,financeiro[idDet3],999,financeiro[id_grupo_tarifa],2,financeiro[id_detalhe_grupo_tarifa],8,financeiro[id_tipo_tarifa],9,financeiro[valor],"&gt;0")+SUMIFS(financeiro[valor],financeiro[IdAgente],B23,financeiro[idDet1],20,financeiro[idDet2],60,financeiro[idDet3],999,financeiro[id_grupo_tarifa],2,financeiro[id_detalhe_grupo_tarifa],10,financeiro[id_tipo_tarifa],9,financeiro[valor],"&gt;0")+SUMIFS(financeiro[valor],financeiro[IdAgente],B23,financeiro[idDet1],20,financeiro[idDet2],60,financeiro[idDet3],999,financeiro[id_grupo_tarifa],2,financeiro[id_detalhe_grupo_tarifa],24,financeiro[id_tipo_tarifa],9,financeiro[valor],"&gt;0")+SUMIFS(financeiro[valor],financeiro[IdAgente],B23,financeiro[idDet1],20,financeiro[idDet2],60,financeiro[idDet3],999,financeiro[id_grupo_tarifa],2,financeiro[id_detalhe_grupo_tarifa],17,financeiro[id_tipo_tarifa],9,financeiro[valor],"&gt;0")+SUMIFS(financeiro[valor],financeiro[IdAgente],B23,financeiro[idDet1],999,financeiro[idDet2],999999,financeiro[idDet3],999,financeiro[id_grupo_tarifa],99,financeiro[id_detalhe_grupo_tarifa],999,financeiro[id_tipo_tarifa],9,financeiro[valor],"&gt;0")</f>
        <v>0</v>
      </c>
      <c r="AA23" s="267">
        <f>SUMIFS(financeiro[valor],financeiro[IdAgente],B23,financeiro[idDet1],22,financeiro[idDet2],60,financeiro[idDet3],529,financeiro[id_grupo_tarifa],1,financeiro[id_detalhe_grupo_tarifa],1,financeiro[id_tipo_tarifa],9,financeiro[valor],"&gt;0")+SUMIFS(financeiro[valor],financeiro[IdAgente],B23,financeiro[idDet1],22,financeiro[idDet2],60,financeiro[idDet3],529,financeiro[id_grupo_tarifa],1,financeiro[id_detalhe_grupo_tarifa],2,financeiro[id_tipo_tarifa],9,financeiro[valor],"&gt;0")</f>
        <v>0</v>
      </c>
      <c r="AB23" s="269"/>
      <c r="AC23" s="267">
        <f>SUMIFS(financeiro[valor],financeiro[IdAgente],B23,financeiro[idDet1],22,financeiro[idDet2],60,financeiro[idDet3],999,financeiro[id_grupo_tarifa],2,financeiro[id_detalhe_grupo_tarifa],30,financeiro[id_tipo_tarifa],9,financeiro[valor],"&gt;0")</f>
        <v>0</v>
      </c>
      <c r="AD23" s="267">
        <f>SUMIFS(financeiro[valor],financeiro[IdAgente],B23,financeiro[idDet1],22,financeiro[idDet2],60,financeiro[idDet3],178,financeiro[id_grupo_tarifa],1,financeiro[id_detalhe_grupo_tarifa],7,financeiro[id_tipo_tarifa],9)</f>
        <v>0</v>
      </c>
      <c r="AE23" s="267">
        <f>SUMIFS(financeiro[valor],financeiro[IdAgente],B23,financeiro[idDet1],22,financeiro[idDet2],60,financeiro[idDet3],242,financeiro[id_grupo_tarifa],4,financeiro[id_detalhe_grupo_tarifa],999,financeiro[id_tipo_tarifa],9)</f>
        <v>0</v>
      </c>
      <c r="AF23" s="267">
        <f>SUMIFS(financeiro[valor],financeiro[IdAgente],B23,financeiro[idDet1],22,financeiro[idDet2],60,financeiro[idDet3],525,financeiro[id_grupo_tarifa],2,financeiro[id_tipo_tarifa],9)</f>
        <v>0</v>
      </c>
      <c r="AG23" s="267">
        <f>SUMIFS(financeiro[valor],financeiro[IdAgente],B23,financeiro[idDet1],22,financeiro[idDet2],60,financeiro[idDet3],524)</f>
        <v>0</v>
      </c>
      <c r="AH23" s="269"/>
      <c r="AI23" s="267">
        <f>SUMIFS(financeiro[valor],financeiro[IdAgente],B23,financeiro[idDet1],22,financeiro[idDet2],60,financeiro[idDet3],523,financeiro[id_grupo_tarifa],2,financeiro[id_detalhe_grupo_tarifa],30,financeiro[id_tipo_tarifa],9)</f>
        <v>0</v>
      </c>
      <c r="AJ23" s="267">
        <f>SUMIFS(financeiro[valor],financeiro[IdAgente],B23,financeiro[idDet1],22,financeiro[idDet2],60,financeiro[idDet3],503,financeiro[id_grupo_tarifa],99,financeiro[id_detalhe_grupo_tarifa],999,financeiro[id_tipo_tarifa],3)</f>
        <v>0</v>
      </c>
      <c r="AK23" s="269"/>
      <c r="AL23" s="269"/>
      <c r="AM23" s="269"/>
      <c r="AN23" s="269"/>
      <c r="AO23" s="269"/>
      <c r="AP23" s="269"/>
      <c r="AQ23" s="269"/>
      <c r="AR23" s="269"/>
      <c r="AS23" s="269"/>
      <c r="AT23" s="267">
        <f>SUMIFS(financeiro[valor],financeiro[IdAgente],B23,financeiro[idDet1],22,financeiro[idDet2],60,financeiro[idDet3],235,financeiro[id_grupo_tarifa],4,financeiro[id_detalhe_grupo_tarifa],999,financeiro[id_tipo_tarifa],9)</f>
        <v>0</v>
      </c>
      <c r="AU23" s="267">
        <f>SUMIFS(financeiro[valor],financeiro[IdAgente],B23,financeiro[idDet1],22,financeiro[idDet2],60,financeiro[idDet3],512,financeiro[id_grupo_tarifa],3,financeiro[id_detalhe_grupo_tarifa],28,financeiro[id_tipo_tarifa],9)</f>
        <v>0</v>
      </c>
      <c r="AV23" s="267">
        <f>SUMIFS(financeiro[valor],financeiro[IdAgente],B23,financeiro[idDet1],22,financeiro[idDet2],60,financeiro[idDet3],241,financeiro[id_grupo_tarifa],2,financeiro[id_detalhe_grupo_tarifa],11,financeiro[id_tipo_tarifa],9)+SUMIFS(financeiro[valor],financeiro[IdAgente],B23,financeiro[idDet1],22,financeiro[idDet2],60,financeiro[idDet3],241,financeiro[id_grupo_tarifa],2,financeiro[id_detalhe_grupo_tarifa],9,financeiro[id_tipo_tarifa],9)+SUMIFS(financeiro[valor],financeiro[IdAgente],B23,financeiro[idDet1],22,financeiro[idDet2],60,financeiro[idDet3],241,financeiro[id_grupo_tarifa],2,financeiro[id_detalhe_grupo_tarifa],8,financeiro[id_tipo_tarifa],9)+SUMIFS(financeiro[valor],financeiro[IdAgente],B23,financeiro[idDet1],22,financeiro[idDet2],60,financeiro[idDet3],241,financeiro[id_grupo_tarifa],2,financeiro[id_detalhe_grupo_tarifa],10,financeiro[id_tipo_tarifa],9)+SUMIFS(financeiro[valor],financeiro[IdAgente],B23,financeiro[idDet1],22,financeiro[idDet2],60,financeiro[idDet3],241,financeiro[id_grupo_tarifa],2,financeiro[id_detalhe_grupo_tarifa],24,financeiro[id_tipo_tarifa],9)</f>
        <v>0</v>
      </c>
      <c r="AW23" s="267">
        <f>SUMIFS(financeiro[valor],financeiro[IdAgente],B23,financeiro[idDet1],22,financeiro[idDet2],60,financeiro[idDet3],241,financeiro[id_grupo_tarifa],3,financeiro[id_detalhe_grupo_tarifa],17,financeiro[id_tipo_tarifa],9)</f>
        <v>0</v>
      </c>
      <c r="AX23" s="267">
        <f>SUMIFS(financeiro[valor],financeiro[IdAgente],B23,financeiro[idDet1],22,financeiro[idDet2],60,financeiro[idDet3],240,financeiro[id_grupo_tarifa],2,financeiro[id_detalhe_grupo_tarifa],11,financeiro[id_tipo_tarifa],9)+SUMIFS(financeiro[valor],financeiro[IdAgente],B23,financeiro[idDet1],22,financeiro[idDet2],60,financeiro[idDet3],240,financeiro[id_grupo_tarifa],2,financeiro[id_detalhe_grupo_tarifa],9,financeiro[id_tipo_tarifa],9)+SUMIFS(financeiro[valor],financeiro[IdAgente],B23,financeiro[idDet1],22,financeiro[idDet2],60,financeiro[idDet3],240,financeiro[id_grupo_tarifa],2,financeiro[id_detalhe_grupo_tarifa],8,financeiro[id_tipo_tarifa],9)+SUMIFS(financeiro[valor],financeiro[IdAgente],B23,financeiro[idDet1],22,financeiro[idDet2],60,financeiro[idDet3],240,financeiro[id_grupo_tarifa],2,financeiro[id_detalhe_grupo_tarifa],10,financeiro[id_tipo_tarifa],9)+SUMIFS(financeiro[valor],financeiro[IdAgente],B23,financeiro[idDet1],22,financeiro[idDet2],60,financeiro[idDet3],240,financeiro[id_grupo_tarifa],2,financeiro[id_detalhe_grupo_tarifa],24,financeiro[id_tipo_tarifa],9)</f>
        <v>0</v>
      </c>
      <c r="AY23" s="267">
        <f>SUMIFS(financeiro[valor],financeiro[IdAgente],B23,financeiro[idDet1],22,financeiro[idDet2],60,financeiro[idDet3],106,financeiro[id_grupo_tarifa],2,financeiro[id_detalhe_grupo_tarifa],11,financeiro[id_tipo_tarifa],9)+SUMIFS(financeiro[valor],financeiro[IdAgente],B23,financeiro[idDet1],22,financeiro[idDet2],60,financeiro[idDet3],106,financeiro[id_grupo_tarifa],2,financeiro[id_detalhe_grupo_tarifa],9,financeiro[id_tipo_tarifa],9)+SUMIFS(financeiro[valor],financeiro[IdAgente],B23,financeiro[idDet1],22,financeiro[idDet2],60,financeiro[idDet3],106,financeiro[id_grupo_tarifa],2,financeiro[id_detalhe_grupo_tarifa],8,financeiro[id_tipo_tarifa],9)+SUMIFS(financeiro[valor],financeiro[IdAgente],B23,financeiro[idDet1],22,financeiro[idDet2],60,financeiro[idDet3],106,financeiro[id_grupo_tarifa],2,financeiro[id_detalhe_grupo_tarifa],10,financeiro[id_tipo_tarifa],9)+SUMIFS(financeiro[valor],financeiro[IdAgente],B23,financeiro[idDet1],22,financeiro[idDet2],60,financeiro[idDet3],106,financeiro[id_grupo_tarifa],2,financeiro[id_detalhe_grupo_tarifa],24,financeiro[id_tipo_tarifa],9)</f>
        <v>0</v>
      </c>
      <c r="AZ23" s="267">
        <f>SUMIFS(financeiro[valor],financeiro[IdAgente],B23,financeiro[idDet1],22,financeiro[idDet2],62,financeiro[idDet3],220,financeiro[id_grupo_tarifa],2,financeiro[id_detalhe_grupo_tarifa],11,financeiro[id_tipo_tarifa],9)+SUMIFS(financeiro[valor],financeiro[IdAgente],B23,financeiro[idDet1],22,financeiro[idDet2],62,financeiro[idDet3],220,financeiro[id_grupo_tarifa],2,financeiro[id_detalhe_grupo_tarifa],9,financeiro[id_tipo_tarifa],9)+SUMIFS(financeiro[valor],financeiro[IdAgente],B23,financeiro[idDet1],22,financeiro[idDet2],62,financeiro[idDet3],220,financeiro[id_grupo_tarifa],2,financeiro[id_detalhe_grupo_tarifa],8,financeiro[id_tipo_tarifa],9)+SUMIFS(financeiro[valor],financeiro[IdAgente],B23,financeiro[idDet1],22,financeiro[idDet2],62,financeiro[idDet3],220,financeiro[id_grupo_tarifa],2,financeiro[id_detalhe_grupo_tarifa],10,financeiro[id_tipo_tarifa],9)+SUMIFS(financeiro[valor],financeiro[IdAgente],B23,financeiro[idDet1],22,financeiro[idDet2],62,financeiro[idDet3],220,financeiro[id_grupo_tarifa],2,financeiro[id_detalhe_grupo_tarifa],24,financeiro[id_tipo_tarifa],9)</f>
        <v>0</v>
      </c>
      <c r="BA23" s="267">
        <f>SUMIFS(financeiro[valor],financeiro[IdAgente],B23,financeiro[idDet1],22,financeiro[idDet2],60,financeiro[idDet3],220,financeiro[id_grupo_tarifa],2,financeiro[id_detalhe_grupo_tarifa],11,financeiro[id_tipo_tarifa],9)+SUMIFS(financeiro[valor],financeiro[IdAgente],B23,financeiro[idDet1],22,financeiro[idDet2],60,financeiro[idDet3],220,financeiro[id_grupo_tarifa],2,financeiro[id_detalhe_grupo_tarifa],9,financeiro[id_tipo_tarifa],9)+SUMIFS(financeiro[valor],financeiro[IdAgente],B23,financeiro[idDet1],22,financeiro[idDet2],60,financeiro[idDet3],220,financeiro[id_grupo_tarifa],2,financeiro[id_detalhe_grupo_tarifa],8,financeiro[id_tipo_tarifa],9)+SUMIFS(financeiro[valor],financeiro[IdAgente],B23,financeiro[idDet1],22,financeiro[idDet2],60,financeiro[idDet3],220,financeiro[id_grupo_tarifa],2,financeiro[id_detalhe_grupo_tarifa],10,financeiro[id_tipo_tarifa],9)+SUMIFS(financeiro[valor],financeiro[IdAgente],B23,financeiro[idDet1],22,financeiro[idDet2],60,financeiro[idDet3],220,financeiro[id_grupo_tarifa],2,financeiro[id_detalhe_grupo_tarifa],24,financeiro[id_tipo_tarifa],9)</f>
        <v>0</v>
      </c>
      <c r="BB23" s="267">
        <f>SUMIFS(financeiro[valor],financeiro[IdAgente],B23,financeiro[idDet1],22,financeiro[idDet2],60,financeiro[idDet3],102,financeiro[id_grupo_tarifa],2,financeiro[id_detalhe_grupo_tarifa],11,financeiro[id_tipo_tarifa],9)+SUMIFS(financeiro[valor],financeiro[IdAgente],B23,financeiro[idDet1],22,financeiro[idDet2],60,financeiro[idDet3],102,financeiro[id_grupo_tarifa],2,financeiro[id_detalhe_grupo_tarifa],9,financeiro[id_tipo_tarifa],9)+SUMIFS(financeiro[valor],financeiro[IdAgente],B23,financeiro[idDet1],22,financeiro[idDet2],60,financeiro[idDet3],102,financeiro[id_grupo_tarifa],2,financeiro[id_detalhe_grupo_tarifa],8,financeiro[id_tipo_tarifa],9)+SUMIFS(financeiro[valor],financeiro[IdAgente],B23,financeiro[idDet1],22,financeiro[idDet2],60,financeiro[idDet3],102,financeiro[id_grupo_tarifa],2,financeiro[id_detalhe_grupo_tarifa],10,financeiro[id_tipo_tarifa],9)+SUMIFS(financeiro[valor],financeiro[IdAgente],B23,financeiro[idDet1],22,financeiro[idDet2],60,financeiro[idDet3],102,financeiro[id_grupo_tarifa],2,financeiro[id_detalhe_grupo_tarifa],24,financeiro[id_tipo_tarifa],9)</f>
        <v>0</v>
      </c>
      <c r="BC23" s="267">
        <f>SUMIFS(financeiro[valor],financeiro[IdAgente],B23,financeiro[idDet1],22,financeiro[idDet2],60,financeiro[idDet3],522,financeiro[valor],"&lt;0")</f>
        <v>0</v>
      </c>
      <c r="BD23" s="267">
        <f>SUMIFS(financeiro[valor],financeiro[IdAgente],B23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23" s="267">
        <f>SUMIFS(financeiro[valor],financeiro[IdAgente],B23,financeiro[id_natureza_dado],2,financeiro[id_detalhe_natureza],2,financeiro[idDet1],20,financeiro[idDet2],60,financeiro[idDet3],82,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23" s="267">
        <f>SUMIFS(financeiro[valor],financeiro[IdAgente],B23,financeiro[id_natureza_dado],2,financeiro[id_detalhe_natureza],2,financeiro[idDet1],20,financeiro[idDet2],60,financeiro[idDet3],81,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23" s="267">
        <f>SUMIFS(financeiro[valor],financeiro[IdAgente],B23,financeiro[id_natureza_dado],2,financeiro[id_detalhe_natureza],2,financeiro[idDet1],20,financeiro[idDet2],60,financeiro[idDet3],503,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23" s="267">
        <f>SUMIFS(financeiro[valor],financeiro[IdAgente],B23,financeiro[idDet1],22,financeiro[idDet2],60,financeiro[idDet3],123)</f>
        <v>0</v>
      </c>
      <c r="BI23" s="267">
        <f>SUMIFS(financeiro[valor],financeiro[IdAgente],B23,financeiro[idDet1],20,financeiro[idDet2],60,financeiro[idDet3],73)</f>
        <v>0</v>
      </c>
      <c r="BJ23" s="267">
        <f>SUMIFS(financeiro[valor],financeiro[IdAgente],B23,financeiro[idDet1],22,financeiro[idDet2],60,financeiro[idDet3],527)</f>
        <v>0</v>
      </c>
      <c r="BK23" s="267">
        <f>SUMIFS(financeiro[valor],financeiro[IdAgente],B23,financeiro[idDet1],22,financeiro[idDet2],60,financeiro[idDet3],510)</f>
        <v>0</v>
      </c>
      <c r="BL23" s="267">
        <f>SUMIFS(financeiro[valor],financeiro[IdAgente],B23,financeiro[idDet1],22,financeiro[idDet2],60,financeiro[idDet3],526,
financeiro[id_grupo_tarifa],1,financeiro[id_detalhe_grupo_tarifa],3,financeiro[id_tipo_tarifa],9,financeiro[id_subgrupo],3)</f>
        <v>0</v>
      </c>
      <c r="BM23" s="267">
        <f>SUMIFS(financeiro[valor],financeiro[IdAgente],B23,financeiro[idDet1],22,financeiro[idDet2],60,financeiro[idDet3],999,
financeiro[id_grupo_tarifa],3,financeiro[id_detalhe_grupo_tarifa],17,financeiro[id_tipo_tarifa],9)</f>
        <v>0</v>
      </c>
      <c r="BN23" s="267">
        <f>SUMIFS(financeiro[valor],financeiro[IdAgente],B23,financeiro[idDet1],22,financeiro[idDet2],60,financeiro[idDet3],526,financeiro[id_grupo_tarifa],1,financeiro[id_detalhe_grupo_tarifa],7,financeiro[id_tipo_tarifa],9,financeiro[valor],"&lt;0")+SUMIFS(financeiro[valor],financeiro[IdAgente],B23,financeiro[idDet1],22,financeiro[idDet2],60,financeiro[idDet3],526,financeiro[id_grupo_tarifa],2,financeiro[id_detalhe_grupo_tarifa],11,financeiro[id_tipo_tarifa],9,financeiro[valor],"&lt;0")+SUMIFS(financeiro[valor],financeiro[IdAgente],B23,financeiro[idDet1],22,financeiro[idDet2],60,financeiro[idDet3],526,financeiro[id_grupo_tarifa],2,financeiro[id_detalhe_grupo_tarifa],8,financeiro[id_tipo_tarifa],9,financeiro[valor],"&lt;0")</f>
        <v>0</v>
      </c>
      <c r="BO23" s="267">
        <f>SUMIFS(financeiro[valor],financeiro[IdAgente],B23,financeiro[idDet1],22,financeiro[idDet2],60,financeiro[idDet3],999,financeiro[id_grupo_tarifa],4,financeiro[id_detalhe_grupo_tarifa],999,financeiro[id_tipo_tarifa],9,financeiro[valor],"&lt;0")</f>
        <v>0</v>
      </c>
      <c r="BP23" s="267">
        <f>SUMIFS(financeiro[valor],financeiro[IdAgente],B23,financeiro[idDet1],22,financeiro[idDet2],60,financeiro[idDet3],530,financeiro[valor],"&lt;0")</f>
        <v>0</v>
      </c>
      <c r="BQ23" s="267">
        <f>SUMIFS(financeiro[valor],financeiro[IdAgente],B23,financeiro[idDet1],22,financeiro[idDet2],60,financeiro[idDet3],531,financeiro[valor],"&lt;0")</f>
        <v>0</v>
      </c>
      <c r="BR23" s="267">
        <f>SUMIFS(financeiro[valor],financeiro[IdAgente],B23,financeiro[idDet1],22,financeiro[idDet2],62,financeiro[idDet3],532,financeiro[valor],"&lt;0")</f>
        <v>0</v>
      </c>
      <c r="BS23" s="267">
        <f>SUMIFS(financeiro[valor],financeiro[IdAgente],B23,financeiro[idDet1],22,financeiro[idDet2],62,financeiro[idDet3],533,financeiro[valor],"&lt;0")</f>
        <v>0</v>
      </c>
      <c r="BT23" s="267">
        <f>SUMIFS(financeiro[valor],financeiro[IdAgente],B23,financeiro[idDet1],22,financeiro[idDet2],62,financeiro[idDet3],534,financeiro[valor],"&lt;0")</f>
        <v>0</v>
      </c>
      <c r="BW23" s="210" t="s">
        <v>180</v>
      </c>
      <c r="BX23" t="str">
        <f>Efeito!B24</f>
        <v>NO SELECT</v>
      </c>
      <c r="BY23" s="267">
        <f>SUMIFS(Banco[valor],Banco[IdAgente],BX23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23" s="267">
        <f>SUMIFS(Banco[valor],Banco[IdAgente],BX23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23" s="267">
        <f>SUMIFS(Banco[valor],Banco[IdAgente],BX23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23" s="267">
        <f>SUMIFS(Banco[valor],Banco[IdAgente],BX23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23" s="267">
        <f>SUMIFS(Banco[valor],Banco[IdAgente],BX23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23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23" s="267">
        <f>SUMIFS(Banco[valor],Banco[IdAgente],BX23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23" s="267">
        <f>SUMIFS(Banco[valor],Banco[IdAgente],BX23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23" s="267">
        <f>SUMIFS(Banco[valor],Banco[IdAgente],BX23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23" s="267">
        <f>SUMIFS(Banco[valor],Banco[IdAgente],BX23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23" s="267">
        <f>SUMIFS(Banco[valor],Banco[IdAgente],BX23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23" s="267">
        <f>SUMIFS(Banco[valor],Banco[IdAgente],BX23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23" s="267">
        <f>SUMIFS(Banco[valor],Banco[IdAgente],BX23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23" s="267">
        <f>SUMIFS(Banco[valor],Banco[IdAgente],B23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23" s="267">
        <f>SUMIFS(Banco[valor],Banco[IdAgente],B23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23" s="267">
        <f>SUMIFS(Banco[valor],Banco[IdAgente],B23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24" spans="1:91">
      <c r="A24" t="s">
        <v>52</v>
      </c>
      <c r="B24" t="str">
        <f>Efeito!B25</f>
        <v>NO SELECT</v>
      </c>
      <c r="C24" s="267">
        <f>SUMIFS(Banco[valor],Banco[IdAgente],B24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24" s="267">
        <f>SUMIFS(Banco[valor],Banco[IdAgente],B24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24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24" s="267">
        <f>SUMIFS(Banco[valor],Banco[IdAgente],B24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24" s="267">
        <f>SUMIFS(Banco[valor],Banco[IdAgente],B24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24" s="267">
        <f>SUMIFS(Banco[valor],Banco[IdAgente],B24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24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24" s="267">
        <f>SUMIFS(Banco[valor],Banco[IdAgente],B24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24" s="267">
        <f>SUMIFS(Banco[valor],Banco[IdAgente],B24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24" s="267">
        <f>SUMIFS(Banco[valor],Banco[IdAgente],B24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24" s="267">
        <f>SUMIFS(Banco[valor],Banco[IdAgente],B24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24" s="267">
        <f>SUMIFS(Banco[valor],Banco[IdAgente],B24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24" s="267">
        <f>SUMIFS(Banco[valor],Banco[IdAgente],B24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24" s="267">
        <f>SUMIFS(Banco[valor],Banco[IdAgente],B24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24" s="267">
        <f>SUMIFS(Banco[valor],Banco[IdAgente],B24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24" s="267">
        <f t="shared" si="2"/>
        <v>0</v>
      </c>
      <c r="Q24" s="267">
        <f>SUMIFS(Banco[valor],Banco[IdAgente],B24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24" s="267">
        <f>SUMIFS(Banco[valor],Banco[IdAgente],B24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24" s="4"/>
      <c r="T24" s="4"/>
      <c r="U24" s="4"/>
      <c r="V24" s="267">
        <f>SUMIFS(financeiro[valor],financeiro[IdAgente],B24,financeiro[idDet1],22,financeiro[idDet2],60,financeiro[idDet3],526,financeiro[id_grupo_tarifa],1,financeiro[id_detalhe_grupo_tarifa],7,financeiro[id_tipo_tarifa],9,financeiro[id_subgrupo],99,financeiro[valor],"&gt;0")+SUMIFS(financeiro[valor],financeiro[IdAgente],B24,financeiro[idDet1],22,financeiro[idDet2],60,financeiro[idDet3],526,financeiro[id_grupo_tarifa],2,financeiro[id_detalhe_grupo_tarifa],11,financeiro[id_tipo_tarifa],9,financeiro[valor],"&gt;0")+SUMIFS(financeiro[valor],financeiro[IdAgente],B24,financeiro[idDet1],22,financeiro[idDet2],60,financeiro[idDet3],526,financeiro[id_grupo_tarifa],2,financeiro[id_detalhe_grupo_tarifa],9,financeiro[id_tipo_tarifa],9,financeiro[valor],"&gt;0")+SUMIFS(financeiro[valor],financeiro[IdAgente],B24,financeiro[idDet1],22,financeiro[idDet2],60,financeiro[idDet3],526,financeiro[id_grupo_tarifa],2,financeiro[id_detalhe_grupo_tarifa],8,financeiro[id_tipo_tarifa],9,financeiro[valor],"&gt;0")+SUMIFS(financeiro[valor],financeiro[IdAgente],B24,financeiro[idDet1],22,financeiro[idDet2],60,financeiro[idDet3],526,financeiro[id_grupo_tarifa],2,financeiro[id_detalhe_grupo_tarifa],10,financeiro[id_tipo_tarifa],9,financeiro[valor],"&gt;0")+SUMIFS(financeiro[valor],financeiro[IdAgente],B24,financeiro[idDet1],22,financeiro[idDet2],60,financeiro[idDet3],526,financeiro[id_grupo_tarifa],2,financeiro[id_detalhe_grupo_tarifa],24,financeiro[id_tipo_tarifa],9,financeiro[valor],"&gt;0")</f>
        <v>0</v>
      </c>
      <c r="W24" s="267">
        <f>SUMIFS(financeiro[valor],financeiro[IdAgente],B24,financeiro[idDet1],20,financeiro[idDet2],60,financeiro[idDet3],999,financeiro[id_grupo_tarifa],3,financeiro[id_detalhe_grupo_tarifa],14,financeiro[id_tipo_tarifa],9)+SUMIFS(financeiro[valor],financeiro[IdAgente],B24,financeiro[idDet1],20,financeiro[idDet2],60,financeiro[idDet3],999,financeiro[id_grupo_tarifa],3,financeiro[id_detalhe_grupo_tarifa],15,financeiro[id_tipo_tarifa],9)+SUMIFS(financeiro[valor],financeiro[IdAgente],B24,financeiro[idDet1],20,financeiro[idDet2],60,financeiro[idDet3],999,financeiro[id_grupo_tarifa],3,financeiro[id_detalhe_grupo_tarifa],16,financeiro[id_tipo_tarifa],9)+SUMIFS(financeiro[valor],financeiro[IdAgente],B24,financeiro[idDet1],20,financeiro[idDet2],60,financeiro[idDet3],999,financeiro[id_grupo_tarifa],3,financeiro[id_detalhe_grupo_tarifa],17,financeiro[id_tipo_tarifa],9)+SUMIFS(financeiro[valor],financeiro[IdAgente],B24,financeiro[idDet1],20,financeiro[idDet2],60,financeiro[idDet3],999,financeiro[id_grupo_tarifa],3,financeiro[id_detalhe_grupo_tarifa],18,financeiro[id_tipo_tarifa],9)+SUMIFS(financeiro[valor],financeiro[IdAgente],B24,financeiro[idDet1],20,financeiro[idDet2],60,financeiro[idDet3],999,financeiro[id_grupo_tarifa],3,financeiro[id_detalhe_grupo_tarifa],19,financeiro[id_tipo_tarifa],9)</f>
        <v>0</v>
      </c>
      <c r="X24" s="267">
        <f>SUMIFS(financeiro[valor],financeiro[IdAgente],B24,financeiro[idDet1],20,financeiro[idDet2],60,financeiro[idDet3],999,financeiro[id_grupo_tarifa],3,financeiro[id_detalhe_grupo_tarifa],12,financeiro[id_tipo_tarifa],9)+SUMIFS(financeiro[valor],financeiro[IdAgente],B24,financeiro[idDet1],20,financeiro[idDet2],60,financeiro[idDet3],999,financeiro[id_grupo_tarifa],4,financeiro[id_detalhe_grupo_tarifa],999,financeiro[id_tipo_tarifa],9)</f>
        <v>0</v>
      </c>
      <c r="Y24" s="267">
        <f>SUMIFS(financeiro[valor],financeiro[IdAgente],B24,financeiro[idDet1],20,financeiro[idDet2],60,financeiro[idDet3],179,financeiro[id_grupo_tarifa],99,financeiro[id_detalhe_grupo_tarifa],999,financeiro[id_tipo_tarifa],9)</f>
        <v>0</v>
      </c>
      <c r="Z24" s="267">
        <f>SUMIFS(financeiro[valor],financeiro[IdAgente],B24,financeiro[idDet1],20,financeiro[idDet2],60,financeiro[idDet3],999,financeiro[id_grupo_tarifa],2,financeiro[id_detalhe_grupo_tarifa],11,financeiro[id_tipo_tarifa],9,financeiro[valor],"&gt;0")+SUMIFS(financeiro[valor],financeiro[IdAgente],B24,financeiro[idDet1],20,financeiro[idDet2],60,financeiro[idDet3],999,financeiro[id_grupo_tarifa],2,financeiro[id_detalhe_grupo_tarifa],9,financeiro[id_tipo_tarifa],9,financeiro[valor],"&gt;0")+SUMIFS(financeiro[valor],financeiro[IdAgente],B24,financeiro[idDet1],20,financeiro[idDet2],60,financeiro[idDet3],999,financeiro[id_grupo_tarifa],2,financeiro[id_detalhe_grupo_tarifa],8,financeiro[id_tipo_tarifa],9,financeiro[valor],"&gt;0")+SUMIFS(financeiro[valor],financeiro[IdAgente],B24,financeiro[idDet1],20,financeiro[idDet2],60,financeiro[idDet3],999,financeiro[id_grupo_tarifa],2,financeiro[id_detalhe_grupo_tarifa],10,financeiro[id_tipo_tarifa],9,financeiro[valor],"&gt;0")+SUMIFS(financeiro[valor],financeiro[IdAgente],B24,financeiro[idDet1],20,financeiro[idDet2],60,financeiro[idDet3],999,financeiro[id_grupo_tarifa],2,financeiro[id_detalhe_grupo_tarifa],24,financeiro[id_tipo_tarifa],9,financeiro[valor],"&gt;0")+SUMIFS(financeiro[valor],financeiro[IdAgente],B24,financeiro[idDet1],20,financeiro[idDet2],60,financeiro[idDet3],999,financeiro[id_grupo_tarifa],2,financeiro[id_detalhe_grupo_tarifa],17,financeiro[id_tipo_tarifa],9,financeiro[valor],"&gt;0")+SUMIFS(financeiro[valor],financeiro[IdAgente],B24,financeiro[idDet1],999,financeiro[idDet2],999999,financeiro[idDet3],999,financeiro[id_grupo_tarifa],99,financeiro[id_detalhe_grupo_tarifa],999,financeiro[id_tipo_tarifa],9,financeiro[valor],"&gt;0")</f>
        <v>0</v>
      </c>
      <c r="AA24" s="267">
        <f>SUMIFS(financeiro[valor],financeiro[IdAgente],B24,financeiro[idDet1],22,financeiro[idDet2],60,financeiro[idDet3],529,financeiro[id_grupo_tarifa],1,financeiro[id_detalhe_grupo_tarifa],1,financeiro[id_tipo_tarifa],9,financeiro[valor],"&gt;0")+SUMIFS(financeiro[valor],financeiro[IdAgente],B24,financeiro[idDet1],22,financeiro[idDet2],60,financeiro[idDet3],529,financeiro[id_grupo_tarifa],1,financeiro[id_detalhe_grupo_tarifa],2,financeiro[id_tipo_tarifa],9,financeiro[valor],"&gt;0")</f>
        <v>0</v>
      </c>
      <c r="AB24" s="269"/>
      <c r="AC24" s="267">
        <f>SUMIFS(financeiro[valor],financeiro[IdAgente],B24,financeiro[idDet1],22,financeiro[idDet2],60,financeiro[idDet3],999,financeiro[id_grupo_tarifa],2,financeiro[id_detalhe_grupo_tarifa],30,financeiro[id_tipo_tarifa],9,financeiro[valor],"&gt;0")</f>
        <v>0</v>
      </c>
      <c r="AD24" s="267">
        <f>SUMIFS(financeiro[valor],financeiro[IdAgente],B24,financeiro[idDet1],22,financeiro[idDet2],60,financeiro[idDet3],178,financeiro[id_grupo_tarifa],1,financeiro[id_detalhe_grupo_tarifa],7,financeiro[id_tipo_tarifa],9)</f>
        <v>0</v>
      </c>
      <c r="AE24" s="267">
        <f>SUMIFS(financeiro[valor],financeiro[IdAgente],B24,financeiro[idDet1],22,financeiro[idDet2],60,financeiro[idDet3],242,financeiro[id_grupo_tarifa],4,financeiro[id_detalhe_grupo_tarifa],999,financeiro[id_tipo_tarifa],9)</f>
        <v>0</v>
      </c>
      <c r="AF24" s="267">
        <f>SUMIFS(financeiro[valor],financeiro[IdAgente],B24,financeiro[idDet1],22,financeiro[idDet2],60,financeiro[idDet3],525,financeiro[id_grupo_tarifa],2,financeiro[id_tipo_tarifa],9)</f>
        <v>0</v>
      </c>
      <c r="AG24" s="267">
        <f>SUMIFS(financeiro[valor],financeiro[IdAgente],B24,financeiro[idDet1],22,financeiro[idDet2],60,financeiro[idDet3],524)</f>
        <v>0</v>
      </c>
      <c r="AH24" s="269"/>
      <c r="AI24" s="267">
        <f>SUMIFS(financeiro[valor],financeiro[IdAgente],B24,financeiro[idDet1],22,financeiro[idDet2],60,financeiro[idDet3],523,financeiro[id_grupo_tarifa],2,financeiro[id_detalhe_grupo_tarifa],30,financeiro[id_tipo_tarifa],9)</f>
        <v>0</v>
      </c>
      <c r="AJ24" s="267">
        <f>SUMIFS(financeiro[valor],financeiro[IdAgente],B24,financeiro[idDet1],22,financeiro[idDet2],60,financeiro[idDet3],503,financeiro[id_grupo_tarifa],99,financeiro[id_detalhe_grupo_tarifa],999,financeiro[id_tipo_tarifa],3)</f>
        <v>0</v>
      </c>
      <c r="AK24" s="269"/>
      <c r="AL24" s="269"/>
      <c r="AM24" s="269"/>
      <c r="AN24" s="269"/>
      <c r="AO24" s="269"/>
      <c r="AP24" s="269"/>
      <c r="AQ24" s="269"/>
      <c r="AR24" s="269"/>
      <c r="AS24" s="269"/>
      <c r="AT24" s="267">
        <f>SUMIFS(financeiro[valor],financeiro[IdAgente],B24,financeiro[idDet1],22,financeiro[idDet2],60,financeiro[idDet3],235,financeiro[id_grupo_tarifa],4,financeiro[id_detalhe_grupo_tarifa],999,financeiro[id_tipo_tarifa],9)</f>
        <v>0</v>
      </c>
      <c r="AU24" s="267">
        <f>SUMIFS(financeiro[valor],financeiro[IdAgente],B24,financeiro[idDet1],22,financeiro[idDet2],60,financeiro[idDet3],512,financeiro[id_grupo_tarifa],3,financeiro[id_detalhe_grupo_tarifa],28,financeiro[id_tipo_tarifa],9)</f>
        <v>0</v>
      </c>
      <c r="AV24" s="267">
        <f>SUMIFS(financeiro[valor],financeiro[IdAgente],B24,financeiro[idDet1],22,financeiro[idDet2],60,financeiro[idDet3],241,financeiro[id_grupo_tarifa],2,financeiro[id_detalhe_grupo_tarifa],11,financeiro[id_tipo_tarifa],9)+SUMIFS(financeiro[valor],financeiro[IdAgente],B24,financeiro[idDet1],22,financeiro[idDet2],60,financeiro[idDet3],241,financeiro[id_grupo_tarifa],2,financeiro[id_detalhe_grupo_tarifa],9,financeiro[id_tipo_tarifa],9)+SUMIFS(financeiro[valor],financeiro[IdAgente],B24,financeiro[idDet1],22,financeiro[idDet2],60,financeiro[idDet3],241,financeiro[id_grupo_tarifa],2,financeiro[id_detalhe_grupo_tarifa],8,financeiro[id_tipo_tarifa],9)+SUMIFS(financeiro[valor],financeiro[IdAgente],B24,financeiro[idDet1],22,financeiro[idDet2],60,financeiro[idDet3],241,financeiro[id_grupo_tarifa],2,financeiro[id_detalhe_grupo_tarifa],10,financeiro[id_tipo_tarifa],9)+SUMIFS(financeiro[valor],financeiro[IdAgente],B24,financeiro[idDet1],22,financeiro[idDet2],60,financeiro[idDet3],241,financeiro[id_grupo_tarifa],2,financeiro[id_detalhe_grupo_tarifa],24,financeiro[id_tipo_tarifa],9)</f>
        <v>0</v>
      </c>
      <c r="AW24" s="267">
        <f>SUMIFS(financeiro[valor],financeiro[IdAgente],B24,financeiro[idDet1],22,financeiro[idDet2],60,financeiro[idDet3],241,financeiro[id_grupo_tarifa],3,financeiro[id_detalhe_grupo_tarifa],17,financeiro[id_tipo_tarifa],9)</f>
        <v>0</v>
      </c>
      <c r="AX24" s="267">
        <f>SUMIFS(financeiro[valor],financeiro[IdAgente],B24,financeiro[idDet1],22,financeiro[idDet2],60,financeiro[idDet3],240,financeiro[id_grupo_tarifa],2,financeiro[id_detalhe_grupo_tarifa],11,financeiro[id_tipo_tarifa],9)+SUMIFS(financeiro[valor],financeiro[IdAgente],B24,financeiro[idDet1],22,financeiro[idDet2],60,financeiro[idDet3],240,financeiro[id_grupo_tarifa],2,financeiro[id_detalhe_grupo_tarifa],9,financeiro[id_tipo_tarifa],9)+SUMIFS(financeiro[valor],financeiro[IdAgente],B24,financeiro[idDet1],22,financeiro[idDet2],60,financeiro[idDet3],240,financeiro[id_grupo_tarifa],2,financeiro[id_detalhe_grupo_tarifa],8,financeiro[id_tipo_tarifa],9)+SUMIFS(financeiro[valor],financeiro[IdAgente],B24,financeiro[idDet1],22,financeiro[idDet2],60,financeiro[idDet3],240,financeiro[id_grupo_tarifa],2,financeiro[id_detalhe_grupo_tarifa],10,financeiro[id_tipo_tarifa],9)+SUMIFS(financeiro[valor],financeiro[IdAgente],B24,financeiro[idDet1],22,financeiro[idDet2],60,financeiro[idDet3],240,financeiro[id_grupo_tarifa],2,financeiro[id_detalhe_grupo_tarifa],24,financeiro[id_tipo_tarifa],9)</f>
        <v>0</v>
      </c>
      <c r="AY24" s="267">
        <f>SUMIFS(financeiro[valor],financeiro[IdAgente],B24,financeiro[idDet1],22,financeiro[idDet2],60,financeiro[idDet3],106,financeiro[id_grupo_tarifa],2,financeiro[id_detalhe_grupo_tarifa],11,financeiro[id_tipo_tarifa],9)+SUMIFS(financeiro[valor],financeiro[IdAgente],B24,financeiro[idDet1],22,financeiro[idDet2],60,financeiro[idDet3],106,financeiro[id_grupo_tarifa],2,financeiro[id_detalhe_grupo_tarifa],9,financeiro[id_tipo_tarifa],9)+SUMIFS(financeiro[valor],financeiro[IdAgente],B24,financeiro[idDet1],22,financeiro[idDet2],60,financeiro[idDet3],106,financeiro[id_grupo_tarifa],2,financeiro[id_detalhe_grupo_tarifa],8,financeiro[id_tipo_tarifa],9)+SUMIFS(financeiro[valor],financeiro[IdAgente],B24,financeiro[idDet1],22,financeiro[idDet2],60,financeiro[idDet3],106,financeiro[id_grupo_tarifa],2,financeiro[id_detalhe_grupo_tarifa],10,financeiro[id_tipo_tarifa],9)+SUMIFS(financeiro[valor],financeiro[IdAgente],B24,financeiro[idDet1],22,financeiro[idDet2],60,financeiro[idDet3],106,financeiro[id_grupo_tarifa],2,financeiro[id_detalhe_grupo_tarifa],24,financeiro[id_tipo_tarifa],9)</f>
        <v>0</v>
      </c>
      <c r="AZ24" s="267">
        <f>SUMIFS(financeiro[valor],financeiro[IdAgente],B24,financeiro[idDet1],22,financeiro[idDet2],62,financeiro[idDet3],220,financeiro[id_grupo_tarifa],2,financeiro[id_detalhe_grupo_tarifa],11,financeiro[id_tipo_tarifa],9)+SUMIFS(financeiro[valor],financeiro[IdAgente],B24,financeiro[idDet1],22,financeiro[idDet2],62,financeiro[idDet3],220,financeiro[id_grupo_tarifa],2,financeiro[id_detalhe_grupo_tarifa],9,financeiro[id_tipo_tarifa],9)+SUMIFS(financeiro[valor],financeiro[IdAgente],B24,financeiro[idDet1],22,financeiro[idDet2],62,financeiro[idDet3],220,financeiro[id_grupo_tarifa],2,financeiro[id_detalhe_grupo_tarifa],8,financeiro[id_tipo_tarifa],9)+SUMIFS(financeiro[valor],financeiro[IdAgente],B24,financeiro[idDet1],22,financeiro[idDet2],62,financeiro[idDet3],220,financeiro[id_grupo_tarifa],2,financeiro[id_detalhe_grupo_tarifa],10,financeiro[id_tipo_tarifa],9)+SUMIFS(financeiro[valor],financeiro[IdAgente],B24,financeiro[idDet1],22,financeiro[idDet2],62,financeiro[idDet3],220,financeiro[id_grupo_tarifa],2,financeiro[id_detalhe_grupo_tarifa],24,financeiro[id_tipo_tarifa],9)</f>
        <v>0</v>
      </c>
      <c r="BA24" s="267">
        <f>SUMIFS(financeiro[valor],financeiro[IdAgente],B24,financeiro[idDet1],22,financeiro[idDet2],60,financeiro[idDet3],220,financeiro[id_grupo_tarifa],2,financeiro[id_detalhe_grupo_tarifa],11,financeiro[id_tipo_tarifa],9)+SUMIFS(financeiro[valor],financeiro[IdAgente],B24,financeiro[idDet1],22,financeiro[idDet2],60,financeiro[idDet3],220,financeiro[id_grupo_tarifa],2,financeiro[id_detalhe_grupo_tarifa],9,financeiro[id_tipo_tarifa],9)+SUMIFS(financeiro[valor],financeiro[IdAgente],B24,financeiro[idDet1],22,financeiro[idDet2],60,financeiro[idDet3],220,financeiro[id_grupo_tarifa],2,financeiro[id_detalhe_grupo_tarifa],8,financeiro[id_tipo_tarifa],9)+SUMIFS(financeiro[valor],financeiro[IdAgente],B24,financeiro[idDet1],22,financeiro[idDet2],60,financeiro[idDet3],220,financeiro[id_grupo_tarifa],2,financeiro[id_detalhe_grupo_tarifa],10,financeiro[id_tipo_tarifa],9)+SUMIFS(financeiro[valor],financeiro[IdAgente],B24,financeiro[idDet1],22,financeiro[idDet2],60,financeiro[idDet3],220,financeiro[id_grupo_tarifa],2,financeiro[id_detalhe_grupo_tarifa],24,financeiro[id_tipo_tarifa],9)</f>
        <v>0</v>
      </c>
      <c r="BB24" s="267">
        <f>SUMIFS(financeiro[valor],financeiro[IdAgente],B24,financeiro[idDet1],22,financeiro[idDet2],60,financeiro[idDet3],102,financeiro[id_grupo_tarifa],2,financeiro[id_detalhe_grupo_tarifa],11,financeiro[id_tipo_tarifa],9)+SUMIFS(financeiro[valor],financeiro[IdAgente],B24,financeiro[idDet1],22,financeiro[idDet2],60,financeiro[idDet3],102,financeiro[id_grupo_tarifa],2,financeiro[id_detalhe_grupo_tarifa],9,financeiro[id_tipo_tarifa],9)+SUMIFS(financeiro[valor],financeiro[IdAgente],B24,financeiro[idDet1],22,financeiro[idDet2],60,financeiro[idDet3],102,financeiro[id_grupo_tarifa],2,financeiro[id_detalhe_grupo_tarifa],8,financeiro[id_tipo_tarifa],9)+SUMIFS(financeiro[valor],financeiro[IdAgente],B24,financeiro[idDet1],22,financeiro[idDet2],60,financeiro[idDet3],102,financeiro[id_grupo_tarifa],2,financeiro[id_detalhe_grupo_tarifa],10,financeiro[id_tipo_tarifa],9)+SUMIFS(financeiro[valor],financeiro[IdAgente],B24,financeiro[idDet1],22,financeiro[idDet2],60,financeiro[idDet3],102,financeiro[id_grupo_tarifa],2,financeiro[id_detalhe_grupo_tarifa],24,financeiro[id_tipo_tarifa],9)</f>
        <v>0</v>
      </c>
      <c r="BC24" s="267">
        <f>SUMIFS(financeiro[valor],financeiro[IdAgente],B24,financeiro[idDet1],22,financeiro[idDet2],60,financeiro[idDet3],522,financeiro[valor],"&lt;0")</f>
        <v>0</v>
      </c>
      <c r="BD24" s="267">
        <f>SUMIFS(financeiro[valor],financeiro[IdAgente],B24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24" s="267">
        <f>SUMIFS(financeiro[valor],financeiro[IdAgente],B24,financeiro[id_natureza_dado],2,financeiro[id_detalhe_natureza],2,financeiro[idDet1],20,financeiro[idDet2],60,financeiro[idDet3],82,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24" s="267">
        <f>SUMIFS(financeiro[valor],financeiro[IdAgente],B24,financeiro[id_natureza_dado],2,financeiro[id_detalhe_natureza],2,financeiro[idDet1],20,financeiro[idDet2],60,financeiro[idDet3],81,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24" s="267">
        <f>SUMIFS(financeiro[valor],financeiro[IdAgente],B24,financeiro[id_natureza_dado],2,financeiro[id_detalhe_natureza],2,financeiro[idDet1],20,financeiro[idDet2],60,financeiro[idDet3],503,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24" s="267">
        <f>SUMIFS(financeiro[valor],financeiro[IdAgente],B24,financeiro[idDet1],22,financeiro[idDet2],60,financeiro[idDet3],123)</f>
        <v>0</v>
      </c>
      <c r="BI24" s="267">
        <f>SUMIFS(financeiro[valor],financeiro[IdAgente],B24,financeiro[idDet1],20,financeiro[idDet2],60,financeiro[idDet3],73)</f>
        <v>0</v>
      </c>
      <c r="BJ24" s="267">
        <f>SUMIFS(financeiro[valor],financeiro[IdAgente],B24,financeiro[idDet1],22,financeiro[idDet2],60,financeiro[idDet3],527)</f>
        <v>0</v>
      </c>
      <c r="BK24" s="267">
        <f>SUMIFS(financeiro[valor],financeiro[IdAgente],B24,financeiro[idDet1],22,financeiro[idDet2],60,financeiro[idDet3],510)</f>
        <v>0</v>
      </c>
      <c r="BL24" s="267">
        <f>SUMIFS(financeiro[valor],financeiro[IdAgente],B24,financeiro[idDet1],22,financeiro[idDet2],60,financeiro[idDet3],526,
financeiro[id_grupo_tarifa],1,financeiro[id_detalhe_grupo_tarifa],3,financeiro[id_tipo_tarifa],9,financeiro[id_subgrupo],3)</f>
        <v>0</v>
      </c>
      <c r="BM24" s="267">
        <f>SUMIFS(financeiro[valor],financeiro[IdAgente],B24,financeiro[idDet1],22,financeiro[idDet2],60,financeiro[idDet3],999,
financeiro[id_grupo_tarifa],3,financeiro[id_detalhe_grupo_tarifa],17,financeiro[id_tipo_tarifa],9)</f>
        <v>0</v>
      </c>
      <c r="BN24" s="267">
        <f>SUMIFS(financeiro[valor],financeiro[IdAgente],B24,financeiro[idDet1],22,financeiro[idDet2],60,financeiro[idDet3],526,financeiro[id_grupo_tarifa],1,financeiro[id_detalhe_grupo_tarifa],7,financeiro[id_tipo_tarifa],9,financeiro[valor],"&lt;0")+SUMIFS(financeiro[valor],financeiro[IdAgente],B24,financeiro[idDet1],22,financeiro[idDet2],60,financeiro[idDet3],526,financeiro[id_grupo_tarifa],2,financeiro[id_detalhe_grupo_tarifa],11,financeiro[id_tipo_tarifa],9,financeiro[valor],"&lt;0")+SUMIFS(financeiro[valor],financeiro[IdAgente],B24,financeiro[idDet1],22,financeiro[idDet2],60,financeiro[idDet3],526,financeiro[id_grupo_tarifa],2,financeiro[id_detalhe_grupo_tarifa],8,financeiro[id_tipo_tarifa],9,financeiro[valor],"&lt;0")</f>
        <v>0</v>
      </c>
      <c r="BO24" s="267">
        <f>SUMIFS(financeiro[valor],financeiro[IdAgente],B24,financeiro[idDet1],22,financeiro[idDet2],60,financeiro[idDet3],999,financeiro[id_grupo_tarifa],4,financeiro[id_detalhe_grupo_tarifa],999,financeiro[id_tipo_tarifa],9,financeiro[valor],"&lt;0")</f>
        <v>0</v>
      </c>
      <c r="BP24" s="267">
        <f>SUMIFS(financeiro[valor],financeiro[IdAgente],B24,financeiro[idDet1],22,financeiro[idDet2],60,financeiro[idDet3],530,financeiro[valor],"&lt;0")</f>
        <v>0</v>
      </c>
      <c r="BQ24" s="267">
        <f>SUMIFS(financeiro[valor],financeiro[IdAgente],B24,financeiro[idDet1],22,financeiro[idDet2],60,financeiro[idDet3],531,financeiro[valor],"&lt;0")</f>
        <v>0</v>
      </c>
      <c r="BR24" s="267">
        <f>SUMIFS(financeiro[valor],financeiro[IdAgente],B24,financeiro[idDet1],22,financeiro[idDet2],62,financeiro[idDet3],532,financeiro[valor],"&lt;0")</f>
        <v>0</v>
      </c>
      <c r="BS24" s="267">
        <f>SUMIFS(financeiro[valor],financeiro[IdAgente],B24,financeiro[idDet1],22,financeiro[idDet2],62,financeiro[idDet3],533,financeiro[valor],"&lt;0")</f>
        <v>0</v>
      </c>
      <c r="BT24" s="267">
        <f>SUMIFS(financeiro[valor],financeiro[IdAgente],B24,financeiro[idDet1],22,financeiro[idDet2],62,financeiro[idDet3],534,financeiro[valor],"&lt;0")</f>
        <v>0</v>
      </c>
      <c r="BW24" s="210" t="s">
        <v>52</v>
      </c>
      <c r="BX24" t="str">
        <f>Efeito!B25</f>
        <v>NO SELECT</v>
      </c>
      <c r="BY24" s="267">
        <f>SUMIFS(Banco[valor],Banco[IdAgente],BX24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24" s="267">
        <f>SUMIFS(Banco[valor],Banco[IdAgente],BX24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24" s="267">
        <f>SUMIFS(Banco[valor],Banco[IdAgente],BX24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24" s="267">
        <f>SUMIFS(Banco[valor],Banco[IdAgente],BX24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24" s="267">
        <f>SUMIFS(Banco[valor],Banco[IdAgente],BX24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24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24" s="267">
        <f>SUMIFS(Banco[valor],Banco[IdAgente],BX24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24" s="267">
        <f>SUMIFS(Banco[valor],Banco[IdAgente],BX24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24" s="267">
        <f>SUMIFS(Banco[valor],Banco[IdAgente],BX24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24" s="267">
        <f>SUMIFS(Banco[valor],Banco[IdAgente],BX24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24" s="267">
        <f>SUMIFS(Banco[valor],Banco[IdAgente],BX24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24" s="267">
        <f>SUMIFS(Banco[valor],Banco[IdAgente],BX24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24" s="267">
        <f>SUMIFS(Banco[valor],Banco[IdAgente],BX24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24" s="267">
        <f>SUMIFS(Banco[valor],Banco[IdAgente],B24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24" s="267">
        <f>SUMIFS(Banco[valor],Banco[IdAgente],B24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24" s="267">
        <f>SUMIFS(Banco[valor],Banco[IdAgente],B24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25" spans="1:91">
      <c r="A25" t="s">
        <v>183</v>
      </c>
      <c r="B25" t="str">
        <f>Efeito!B26</f>
        <v>NO SELECT</v>
      </c>
      <c r="C25" s="267">
        <f>SUMIFS(Banco[valor],Banco[IdAgente],B25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25" s="267">
        <f>SUMIFS(Banco[valor],Banco[IdAgente],B25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25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25" s="267">
        <f>SUMIFS(Banco[valor],Banco[IdAgente],B25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25" s="267">
        <f>SUMIFS(Banco[valor],Banco[IdAgente],B25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25" s="267">
        <f>SUMIFS(Banco[valor],Banco[IdAgente],B25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25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25" s="267">
        <f>SUMIFS(Banco[valor],Banco[IdAgente],B25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25" s="267">
        <f>SUMIFS(Banco[valor],Banco[IdAgente],B25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25" s="267">
        <f>SUMIFS(Banco[valor],Banco[IdAgente],B25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25" s="267">
        <f>SUMIFS(Banco[valor],Banco[IdAgente],B25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25" s="267">
        <f>SUMIFS(Banco[valor],Banco[IdAgente],B25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25" s="267">
        <f>SUMIFS(Banco[valor],Banco[IdAgente],B25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25" s="267">
        <f>SUMIFS(Banco[valor],Banco[IdAgente],B25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25" s="267">
        <f>SUMIFS(Banco[valor],Banco[IdAgente],B25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25" s="267">
        <f t="shared" si="2"/>
        <v>0</v>
      </c>
      <c r="Q25" s="267">
        <f>SUMIFS(Banco[valor],Banco[IdAgente],B25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25" s="267">
        <f>SUMIFS(Banco[valor],Banco[IdAgente],B25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25" s="4"/>
      <c r="T25" s="4"/>
      <c r="U25" s="4"/>
      <c r="V25" s="267">
        <f>SUMIFS(financeiro[valor],financeiro[IdAgente],B25,financeiro[idDet1],22,financeiro[idDet2],60,financeiro[idDet3],526,financeiro[id_grupo_tarifa],1,financeiro[id_detalhe_grupo_tarifa],7,financeiro[id_tipo_tarifa],9,financeiro[id_subgrupo],99,financeiro[valor],"&gt;0")+SUMIFS(financeiro[valor],financeiro[IdAgente],B25,financeiro[idDet1],22,financeiro[idDet2],60,financeiro[idDet3],526,financeiro[id_grupo_tarifa],2,financeiro[id_detalhe_grupo_tarifa],11,financeiro[id_tipo_tarifa],9,financeiro[valor],"&gt;0")+SUMIFS(financeiro[valor],financeiro[IdAgente],B25,financeiro[idDet1],22,financeiro[idDet2],60,financeiro[idDet3],526,financeiro[id_grupo_tarifa],2,financeiro[id_detalhe_grupo_tarifa],9,financeiro[id_tipo_tarifa],9,financeiro[valor],"&gt;0")+SUMIFS(financeiro[valor],financeiro[IdAgente],B25,financeiro[idDet1],22,financeiro[idDet2],60,financeiro[idDet3],526,financeiro[id_grupo_tarifa],2,financeiro[id_detalhe_grupo_tarifa],8,financeiro[id_tipo_tarifa],9,financeiro[valor],"&gt;0")+SUMIFS(financeiro[valor],financeiro[IdAgente],B25,financeiro[idDet1],22,financeiro[idDet2],60,financeiro[idDet3],526,financeiro[id_grupo_tarifa],2,financeiro[id_detalhe_grupo_tarifa],10,financeiro[id_tipo_tarifa],9,financeiro[valor],"&gt;0")+SUMIFS(financeiro[valor],financeiro[IdAgente],B25,financeiro[idDet1],22,financeiro[idDet2],60,financeiro[idDet3],526,financeiro[id_grupo_tarifa],2,financeiro[id_detalhe_grupo_tarifa],24,financeiro[id_tipo_tarifa],9,financeiro[valor],"&gt;0")</f>
        <v>0</v>
      </c>
      <c r="W25" s="267">
        <f>SUMIFS(financeiro[valor],financeiro[IdAgente],B25,financeiro[idDet1],20,financeiro[idDet2],60,financeiro[idDet3],999,financeiro[id_grupo_tarifa],3,financeiro[id_detalhe_grupo_tarifa],14,financeiro[id_tipo_tarifa],9)+SUMIFS(financeiro[valor],financeiro[IdAgente],B25,financeiro[idDet1],20,financeiro[idDet2],60,financeiro[idDet3],999,financeiro[id_grupo_tarifa],3,financeiro[id_detalhe_grupo_tarifa],15,financeiro[id_tipo_tarifa],9)+SUMIFS(financeiro[valor],financeiro[IdAgente],B25,financeiro[idDet1],20,financeiro[idDet2],60,financeiro[idDet3],999,financeiro[id_grupo_tarifa],3,financeiro[id_detalhe_grupo_tarifa],16,financeiro[id_tipo_tarifa],9)+SUMIFS(financeiro[valor],financeiro[IdAgente],B25,financeiro[idDet1],20,financeiro[idDet2],60,financeiro[idDet3],999,financeiro[id_grupo_tarifa],3,financeiro[id_detalhe_grupo_tarifa],17,financeiro[id_tipo_tarifa],9)+SUMIFS(financeiro[valor],financeiro[IdAgente],B25,financeiro[idDet1],20,financeiro[idDet2],60,financeiro[idDet3],999,financeiro[id_grupo_tarifa],3,financeiro[id_detalhe_grupo_tarifa],18,financeiro[id_tipo_tarifa],9)+SUMIFS(financeiro[valor],financeiro[IdAgente],B25,financeiro[idDet1],20,financeiro[idDet2],60,financeiro[idDet3],999,financeiro[id_grupo_tarifa],3,financeiro[id_detalhe_grupo_tarifa],19,financeiro[id_tipo_tarifa],9)</f>
        <v>0</v>
      </c>
      <c r="X25" s="267">
        <f>SUMIFS(financeiro[valor],financeiro[IdAgente],B25,financeiro[idDet1],20,financeiro[idDet2],60,financeiro[idDet3],999,financeiro[id_grupo_tarifa],3,financeiro[id_detalhe_grupo_tarifa],12,financeiro[id_tipo_tarifa],9)+SUMIFS(financeiro[valor],financeiro[IdAgente],B25,financeiro[idDet1],20,financeiro[idDet2],60,financeiro[idDet3],999,financeiro[id_grupo_tarifa],4,financeiro[id_detalhe_grupo_tarifa],999,financeiro[id_tipo_tarifa],9)</f>
        <v>0</v>
      </c>
      <c r="Y25" s="267">
        <f>SUMIFS(financeiro[valor],financeiro[IdAgente],B25,financeiro[idDet1],20,financeiro[idDet2],60,financeiro[idDet3],179,financeiro[id_grupo_tarifa],99,financeiro[id_detalhe_grupo_tarifa],999,financeiro[id_tipo_tarifa],9)</f>
        <v>0</v>
      </c>
      <c r="Z25" s="267">
        <f>SUMIFS(financeiro[valor],financeiro[IdAgente],B25,financeiro[idDet1],20,financeiro[idDet2],60,financeiro[idDet3],999,financeiro[id_grupo_tarifa],2,financeiro[id_detalhe_grupo_tarifa],11,financeiro[id_tipo_tarifa],9,financeiro[valor],"&gt;0")+SUMIFS(financeiro[valor],financeiro[IdAgente],B25,financeiro[idDet1],20,financeiro[idDet2],60,financeiro[idDet3],999,financeiro[id_grupo_tarifa],2,financeiro[id_detalhe_grupo_tarifa],9,financeiro[id_tipo_tarifa],9,financeiro[valor],"&gt;0")+SUMIFS(financeiro[valor],financeiro[IdAgente],B25,financeiro[idDet1],20,financeiro[idDet2],60,financeiro[idDet3],999,financeiro[id_grupo_tarifa],2,financeiro[id_detalhe_grupo_tarifa],8,financeiro[id_tipo_tarifa],9,financeiro[valor],"&gt;0")+SUMIFS(financeiro[valor],financeiro[IdAgente],B25,financeiro[idDet1],20,financeiro[idDet2],60,financeiro[idDet3],999,financeiro[id_grupo_tarifa],2,financeiro[id_detalhe_grupo_tarifa],10,financeiro[id_tipo_tarifa],9,financeiro[valor],"&gt;0")+SUMIFS(financeiro[valor],financeiro[IdAgente],B25,financeiro[idDet1],20,financeiro[idDet2],60,financeiro[idDet3],999,financeiro[id_grupo_tarifa],2,financeiro[id_detalhe_grupo_tarifa],24,financeiro[id_tipo_tarifa],9,financeiro[valor],"&gt;0")+SUMIFS(financeiro[valor],financeiro[IdAgente],B25,financeiro[idDet1],20,financeiro[idDet2],60,financeiro[idDet3],999,financeiro[id_grupo_tarifa],2,financeiro[id_detalhe_grupo_tarifa],17,financeiro[id_tipo_tarifa],9,financeiro[valor],"&gt;0")+SUMIFS(financeiro[valor],financeiro[IdAgente],B25,financeiro[idDet1],999,financeiro[idDet2],999999,financeiro[idDet3],999,financeiro[id_grupo_tarifa],99,financeiro[id_detalhe_grupo_tarifa],999,financeiro[id_tipo_tarifa],9,financeiro[valor],"&gt;0")</f>
        <v>0</v>
      </c>
      <c r="AA25" s="267">
        <f>SUMIFS(financeiro[valor],financeiro[IdAgente],B25,financeiro[idDet1],22,financeiro[idDet2],60,financeiro[idDet3],529,financeiro[id_grupo_tarifa],1,financeiro[id_detalhe_grupo_tarifa],1,financeiro[id_tipo_tarifa],9,financeiro[valor],"&gt;0")+SUMIFS(financeiro[valor],financeiro[IdAgente],B25,financeiro[idDet1],22,financeiro[idDet2],60,financeiro[idDet3],529,financeiro[id_grupo_tarifa],1,financeiro[id_detalhe_grupo_tarifa],2,financeiro[id_tipo_tarifa],9,financeiro[valor],"&gt;0")</f>
        <v>0</v>
      </c>
      <c r="AB25" s="269"/>
      <c r="AC25" s="267">
        <f>SUMIFS(financeiro[valor],financeiro[IdAgente],B25,financeiro[idDet1],22,financeiro[idDet2],60,financeiro[idDet3],999,financeiro[id_grupo_tarifa],2,financeiro[id_detalhe_grupo_tarifa],30,financeiro[id_tipo_tarifa],9,financeiro[valor],"&gt;0")</f>
        <v>0</v>
      </c>
      <c r="AD25" s="267">
        <f>SUMIFS(financeiro[valor],financeiro[IdAgente],B25,financeiro[idDet1],22,financeiro[idDet2],60,financeiro[idDet3],178,financeiro[id_grupo_tarifa],1,financeiro[id_detalhe_grupo_tarifa],7,financeiro[id_tipo_tarifa],9)</f>
        <v>0</v>
      </c>
      <c r="AE25" s="267">
        <f>SUMIFS(financeiro[valor],financeiro[IdAgente],B25,financeiro[idDet1],22,financeiro[idDet2],60,financeiro[idDet3],242,financeiro[id_grupo_tarifa],4,financeiro[id_detalhe_grupo_tarifa],999,financeiro[id_tipo_tarifa],9)</f>
        <v>0</v>
      </c>
      <c r="AF25" s="267">
        <f>SUMIFS(financeiro[valor],financeiro[IdAgente],B25,financeiro[idDet1],22,financeiro[idDet2],60,financeiro[idDet3],525,financeiro[id_grupo_tarifa],2,financeiro[id_tipo_tarifa],9)</f>
        <v>0</v>
      </c>
      <c r="AG25" s="267">
        <f>SUMIFS(financeiro[valor],financeiro[IdAgente],B25,financeiro[idDet1],22,financeiro[idDet2],60,financeiro[idDet3],524)</f>
        <v>0</v>
      </c>
      <c r="AH25" s="269"/>
      <c r="AI25" s="267">
        <f>SUMIFS(financeiro[valor],financeiro[IdAgente],B25,financeiro[idDet1],22,financeiro[idDet2],60,financeiro[idDet3],523,financeiro[id_grupo_tarifa],2,financeiro[id_detalhe_grupo_tarifa],30,financeiro[id_tipo_tarifa],9)</f>
        <v>0</v>
      </c>
      <c r="AJ25" s="267">
        <f>SUMIFS(financeiro[valor],financeiro[IdAgente],B25,financeiro[idDet1],22,financeiro[idDet2],60,financeiro[idDet3],503,financeiro[id_grupo_tarifa],99,financeiro[id_detalhe_grupo_tarifa],999,financeiro[id_tipo_tarifa],3)</f>
        <v>0</v>
      </c>
      <c r="AK25" s="269"/>
      <c r="AL25" s="269"/>
      <c r="AM25" s="269"/>
      <c r="AN25" s="269"/>
      <c r="AO25" s="269"/>
      <c r="AP25" s="269"/>
      <c r="AQ25" s="269"/>
      <c r="AR25" s="269"/>
      <c r="AS25" s="269"/>
      <c r="AT25" s="267">
        <f>SUMIFS(financeiro[valor],financeiro[IdAgente],B25,financeiro[idDet1],22,financeiro[idDet2],60,financeiro[idDet3],235,financeiro[id_grupo_tarifa],4,financeiro[id_detalhe_grupo_tarifa],999,financeiro[id_tipo_tarifa],9)</f>
        <v>0</v>
      </c>
      <c r="AU25" s="267">
        <f>SUMIFS(financeiro[valor],financeiro[IdAgente],B25,financeiro[idDet1],22,financeiro[idDet2],60,financeiro[idDet3],512,financeiro[id_grupo_tarifa],3,financeiro[id_detalhe_grupo_tarifa],28,financeiro[id_tipo_tarifa],9)</f>
        <v>0</v>
      </c>
      <c r="AV25" s="267">
        <f>SUMIFS(financeiro[valor],financeiro[IdAgente],B25,financeiro[idDet1],22,financeiro[idDet2],60,financeiro[idDet3],241,financeiro[id_grupo_tarifa],2,financeiro[id_detalhe_grupo_tarifa],11,financeiro[id_tipo_tarifa],9)+SUMIFS(financeiro[valor],financeiro[IdAgente],B25,financeiro[idDet1],22,financeiro[idDet2],60,financeiro[idDet3],241,financeiro[id_grupo_tarifa],2,financeiro[id_detalhe_grupo_tarifa],9,financeiro[id_tipo_tarifa],9)+SUMIFS(financeiro[valor],financeiro[IdAgente],B25,financeiro[idDet1],22,financeiro[idDet2],60,financeiro[idDet3],241,financeiro[id_grupo_tarifa],2,financeiro[id_detalhe_grupo_tarifa],8,financeiro[id_tipo_tarifa],9)+SUMIFS(financeiro[valor],financeiro[IdAgente],B25,financeiro[idDet1],22,financeiro[idDet2],60,financeiro[idDet3],241,financeiro[id_grupo_tarifa],2,financeiro[id_detalhe_grupo_tarifa],10,financeiro[id_tipo_tarifa],9)+SUMIFS(financeiro[valor],financeiro[IdAgente],B25,financeiro[idDet1],22,financeiro[idDet2],60,financeiro[idDet3],241,financeiro[id_grupo_tarifa],2,financeiro[id_detalhe_grupo_tarifa],24,financeiro[id_tipo_tarifa],9)</f>
        <v>0</v>
      </c>
      <c r="AW25" s="267">
        <f>SUMIFS(financeiro[valor],financeiro[IdAgente],B25,financeiro[idDet1],22,financeiro[idDet2],60,financeiro[idDet3],241,financeiro[id_grupo_tarifa],3,financeiro[id_detalhe_grupo_tarifa],17,financeiro[id_tipo_tarifa],9)</f>
        <v>0</v>
      </c>
      <c r="AX25" s="267">
        <f>SUMIFS(financeiro[valor],financeiro[IdAgente],B25,financeiro[idDet1],22,financeiro[idDet2],60,financeiro[idDet3],240,financeiro[id_grupo_tarifa],2,financeiro[id_detalhe_grupo_tarifa],11,financeiro[id_tipo_tarifa],9)+SUMIFS(financeiro[valor],financeiro[IdAgente],B25,financeiro[idDet1],22,financeiro[idDet2],60,financeiro[idDet3],240,financeiro[id_grupo_tarifa],2,financeiro[id_detalhe_grupo_tarifa],9,financeiro[id_tipo_tarifa],9)+SUMIFS(financeiro[valor],financeiro[IdAgente],B25,financeiro[idDet1],22,financeiro[idDet2],60,financeiro[idDet3],240,financeiro[id_grupo_tarifa],2,financeiro[id_detalhe_grupo_tarifa],8,financeiro[id_tipo_tarifa],9)+SUMIFS(financeiro[valor],financeiro[IdAgente],B25,financeiro[idDet1],22,financeiro[idDet2],60,financeiro[idDet3],240,financeiro[id_grupo_tarifa],2,financeiro[id_detalhe_grupo_tarifa],10,financeiro[id_tipo_tarifa],9)+SUMIFS(financeiro[valor],financeiro[IdAgente],B25,financeiro[idDet1],22,financeiro[idDet2],60,financeiro[idDet3],240,financeiro[id_grupo_tarifa],2,financeiro[id_detalhe_grupo_tarifa],24,financeiro[id_tipo_tarifa],9)</f>
        <v>0</v>
      </c>
      <c r="AY25" s="267">
        <f>SUMIFS(financeiro[valor],financeiro[IdAgente],B25,financeiro[idDet1],22,financeiro[idDet2],60,financeiro[idDet3],106,financeiro[id_grupo_tarifa],2,financeiro[id_detalhe_grupo_tarifa],11,financeiro[id_tipo_tarifa],9)+SUMIFS(financeiro[valor],financeiro[IdAgente],B25,financeiro[idDet1],22,financeiro[idDet2],60,financeiro[idDet3],106,financeiro[id_grupo_tarifa],2,financeiro[id_detalhe_grupo_tarifa],9,financeiro[id_tipo_tarifa],9)+SUMIFS(financeiro[valor],financeiro[IdAgente],B25,financeiro[idDet1],22,financeiro[idDet2],60,financeiro[idDet3],106,financeiro[id_grupo_tarifa],2,financeiro[id_detalhe_grupo_tarifa],8,financeiro[id_tipo_tarifa],9)+SUMIFS(financeiro[valor],financeiro[IdAgente],B25,financeiro[idDet1],22,financeiro[idDet2],60,financeiro[idDet3],106,financeiro[id_grupo_tarifa],2,financeiro[id_detalhe_grupo_tarifa],10,financeiro[id_tipo_tarifa],9)+SUMIFS(financeiro[valor],financeiro[IdAgente],B25,financeiro[idDet1],22,financeiro[idDet2],60,financeiro[idDet3],106,financeiro[id_grupo_tarifa],2,financeiro[id_detalhe_grupo_tarifa],24,financeiro[id_tipo_tarifa],9)</f>
        <v>0</v>
      </c>
      <c r="AZ25" s="267">
        <f>SUMIFS(financeiro[valor],financeiro[IdAgente],B25,financeiro[idDet1],22,financeiro[idDet2],62,financeiro[idDet3],220,financeiro[id_grupo_tarifa],2,financeiro[id_detalhe_grupo_tarifa],11,financeiro[id_tipo_tarifa],9)+SUMIFS(financeiro[valor],financeiro[IdAgente],B25,financeiro[idDet1],22,financeiro[idDet2],62,financeiro[idDet3],220,financeiro[id_grupo_tarifa],2,financeiro[id_detalhe_grupo_tarifa],9,financeiro[id_tipo_tarifa],9)+SUMIFS(financeiro[valor],financeiro[IdAgente],B25,financeiro[idDet1],22,financeiro[idDet2],62,financeiro[idDet3],220,financeiro[id_grupo_tarifa],2,financeiro[id_detalhe_grupo_tarifa],8,financeiro[id_tipo_tarifa],9)+SUMIFS(financeiro[valor],financeiro[IdAgente],B25,financeiro[idDet1],22,financeiro[idDet2],62,financeiro[idDet3],220,financeiro[id_grupo_tarifa],2,financeiro[id_detalhe_grupo_tarifa],10,financeiro[id_tipo_tarifa],9)+SUMIFS(financeiro[valor],financeiro[IdAgente],B25,financeiro[idDet1],22,financeiro[idDet2],62,financeiro[idDet3],220,financeiro[id_grupo_tarifa],2,financeiro[id_detalhe_grupo_tarifa],24,financeiro[id_tipo_tarifa],9)</f>
        <v>0</v>
      </c>
      <c r="BA25" s="267">
        <f>SUMIFS(financeiro[valor],financeiro[IdAgente],B25,financeiro[idDet1],22,financeiro[idDet2],60,financeiro[idDet3],220,financeiro[id_grupo_tarifa],2,financeiro[id_detalhe_grupo_tarifa],11,financeiro[id_tipo_tarifa],9)+SUMIFS(financeiro[valor],financeiro[IdAgente],B25,financeiro[idDet1],22,financeiro[idDet2],60,financeiro[idDet3],220,financeiro[id_grupo_tarifa],2,financeiro[id_detalhe_grupo_tarifa],9,financeiro[id_tipo_tarifa],9)+SUMIFS(financeiro[valor],financeiro[IdAgente],B25,financeiro[idDet1],22,financeiro[idDet2],60,financeiro[idDet3],220,financeiro[id_grupo_tarifa],2,financeiro[id_detalhe_grupo_tarifa],8,financeiro[id_tipo_tarifa],9)+SUMIFS(financeiro[valor],financeiro[IdAgente],B25,financeiro[idDet1],22,financeiro[idDet2],60,financeiro[idDet3],220,financeiro[id_grupo_tarifa],2,financeiro[id_detalhe_grupo_tarifa],10,financeiro[id_tipo_tarifa],9)+SUMIFS(financeiro[valor],financeiro[IdAgente],B25,financeiro[idDet1],22,financeiro[idDet2],60,financeiro[idDet3],220,financeiro[id_grupo_tarifa],2,financeiro[id_detalhe_grupo_tarifa],24,financeiro[id_tipo_tarifa],9)</f>
        <v>0</v>
      </c>
      <c r="BB25" s="267">
        <f>SUMIFS(financeiro[valor],financeiro[IdAgente],B25,financeiro[idDet1],22,financeiro[idDet2],60,financeiro[idDet3],102,financeiro[id_grupo_tarifa],2,financeiro[id_detalhe_grupo_tarifa],11,financeiro[id_tipo_tarifa],9)+SUMIFS(financeiro[valor],financeiro[IdAgente],B25,financeiro[idDet1],22,financeiro[idDet2],60,financeiro[idDet3],102,financeiro[id_grupo_tarifa],2,financeiro[id_detalhe_grupo_tarifa],9,financeiro[id_tipo_tarifa],9)+SUMIFS(financeiro[valor],financeiro[IdAgente],B25,financeiro[idDet1],22,financeiro[idDet2],60,financeiro[idDet3],102,financeiro[id_grupo_tarifa],2,financeiro[id_detalhe_grupo_tarifa],8,financeiro[id_tipo_tarifa],9)+SUMIFS(financeiro[valor],financeiro[IdAgente],B25,financeiro[idDet1],22,financeiro[idDet2],60,financeiro[idDet3],102,financeiro[id_grupo_tarifa],2,financeiro[id_detalhe_grupo_tarifa],10,financeiro[id_tipo_tarifa],9)+SUMIFS(financeiro[valor],financeiro[IdAgente],B25,financeiro[idDet1],22,financeiro[idDet2],60,financeiro[idDet3],102,financeiro[id_grupo_tarifa],2,financeiro[id_detalhe_grupo_tarifa],24,financeiro[id_tipo_tarifa],9)</f>
        <v>0</v>
      </c>
      <c r="BC25" s="267">
        <f>SUMIFS(financeiro[valor],financeiro[IdAgente],B25,financeiro[idDet1],22,financeiro[idDet2],60,financeiro[idDet3],522,financeiro[valor],"&lt;0")</f>
        <v>0</v>
      </c>
      <c r="BD25" s="267">
        <f>SUMIFS(financeiro[valor],financeiro[IdAgente],B25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25" s="267">
        <f>SUMIFS(financeiro[valor],financeiro[IdAgente],B25,financeiro[id_natureza_dado],2,financeiro[id_detalhe_natureza],2,financeiro[idDet1],20,financeiro[idDet2],60,financeiro[idDet3],82,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25" s="267">
        <f>SUMIFS(financeiro[valor],financeiro[IdAgente],B25,financeiro[id_natureza_dado],2,financeiro[id_detalhe_natureza],2,financeiro[idDet1],20,financeiro[idDet2],60,financeiro[idDet3],81,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25" s="267">
        <f>SUMIFS(financeiro[valor],financeiro[IdAgente],B25,financeiro[id_natureza_dado],2,financeiro[id_detalhe_natureza],2,financeiro[idDet1],20,financeiro[idDet2],60,financeiro[idDet3],503,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25" s="267">
        <f>SUMIFS(financeiro[valor],financeiro[IdAgente],B25,financeiro[idDet1],22,financeiro[idDet2],60,financeiro[idDet3],123)</f>
        <v>0</v>
      </c>
      <c r="BI25" s="267">
        <f>SUMIFS(financeiro[valor],financeiro[IdAgente],B25,financeiro[idDet1],20,financeiro[idDet2],60,financeiro[idDet3],73)</f>
        <v>0</v>
      </c>
      <c r="BJ25" s="267">
        <f>SUMIFS(financeiro[valor],financeiro[IdAgente],B25,financeiro[idDet1],22,financeiro[idDet2],60,financeiro[idDet3],527)</f>
        <v>0</v>
      </c>
      <c r="BK25" s="267">
        <f>SUMIFS(financeiro[valor],financeiro[IdAgente],B25,financeiro[idDet1],22,financeiro[idDet2],60,financeiro[idDet3],510)</f>
        <v>0</v>
      </c>
      <c r="BL25" s="267">
        <f>SUMIFS(financeiro[valor],financeiro[IdAgente],B25,financeiro[idDet1],22,financeiro[idDet2],60,financeiro[idDet3],526,
financeiro[id_grupo_tarifa],1,financeiro[id_detalhe_grupo_tarifa],3,financeiro[id_tipo_tarifa],9,financeiro[id_subgrupo],3)</f>
        <v>0</v>
      </c>
      <c r="BM25" s="267">
        <f>SUMIFS(financeiro[valor],financeiro[IdAgente],B25,financeiro[idDet1],22,financeiro[idDet2],60,financeiro[idDet3],999,
financeiro[id_grupo_tarifa],3,financeiro[id_detalhe_grupo_tarifa],17,financeiro[id_tipo_tarifa],9)</f>
        <v>0</v>
      </c>
      <c r="BN25" s="267">
        <f>SUMIFS(financeiro[valor],financeiro[IdAgente],B25,financeiro[idDet1],22,financeiro[idDet2],60,financeiro[idDet3],526,financeiro[id_grupo_tarifa],1,financeiro[id_detalhe_grupo_tarifa],7,financeiro[id_tipo_tarifa],9,financeiro[valor],"&lt;0")+SUMIFS(financeiro[valor],financeiro[IdAgente],B25,financeiro[idDet1],22,financeiro[idDet2],60,financeiro[idDet3],526,financeiro[id_grupo_tarifa],2,financeiro[id_detalhe_grupo_tarifa],11,financeiro[id_tipo_tarifa],9,financeiro[valor],"&lt;0")+SUMIFS(financeiro[valor],financeiro[IdAgente],B25,financeiro[idDet1],22,financeiro[idDet2],60,financeiro[idDet3],526,financeiro[id_grupo_tarifa],2,financeiro[id_detalhe_grupo_tarifa],8,financeiro[id_tipo_tarifa],9,financeiro[valor],"&lt;0")</f>
        <v>0</v>
      </c>
      <c r="BO25" s="267">
        <f>SUMIFS(financeiro[valor],financeiro[IdAgente],B25,financeiro[idDet1],22,financeiro[idDet2],60,financeiro[idDet3],999,financeiro[id_grupo_tarifa],4,financeiro[id_detalhe_grupo_tarifa],999,financeiro[id_tipo_tarifa],9,financeiro[valor],"&lt;0")</f>
        <v>0</v>
      </c>
      <c r="BP25" s="267">
        <f>SUMIFS(financeiro[valor],financeiro[IdAgente],B25,financeiro[idDet1],22,financeiro[idDet2],60,financeiro[idDet3],530,financeiro[valor],"&lt;0")</f>
        <v>0</v>
      </c>
      <c r="BQ25" s="267">
        <f>SUMIFS(financeiro[valor],financeiro[IdAgente],B25,financeiro[idDet1],22,financeiro[idDet2],60,financeiro[idDet3],531,financeiro[valor],"&lt;0")</f>
        <v>0</v>
      </c>
      <c r="BR25" s="267">
        <f>SUMIFS(financeiro[valor],financeiro[IdAgente],B25,financeiro[idDet1],22,financeiro[idDet2],62,financeiro[idDet3],532,financeiro[valor],"&lt;0")</f>
        <v>0</v>
      </c>
      <c r="BS25" s="267">
        <f>SUMIFS(financeiro[valor],financeiro[IdAgente],B25,financeiro[idDet1],22,financeiro[idDet2],62,financeiro[idDet3],533,financeiro[valor],"&lt;0")</f>
        <v>0</v>
      </c>
      <c r="BT25" s="267">
        <f>SUMIFS(financeiro[valor],financeiro[IdAgente],B25,financeiro[idDet1],22,financeiro[idDet2],62,financeiro[idDet3],534,financeiro[valor],"&lt;0")</f>
        <v>0</v>
      </c>
      <c r="BW25" s="210" t="s">
        <v>183</v>
      </c>
      <c r="BX25" t="str">
        <f>Efeito!B26</f>
        <v>NO SELECT</v>
      </c>
      <c r="BY25" s="267">
        <f>SUMIFS(Banco[valor],Banco[IdAgente],BX25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25" s="267">
        <f>SUMIFS(Banco[valor],Banco[IdAgente],BX25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25" s="267">
        <f>SUMIFS(Banco[valor],Banco[IdAgente],BX25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25" s="267">
        <f>SUMIFS(Banco[valor],Banco[IdAgente],BX25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25" s="267">
        <f>SUMIFS(Banco[valor],Banco[IdAgente],BX25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25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25" s="267">
        <f>SUMIFS(Banco[valor],Banco[IdAgente],BX25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25" s="267">
        <f>SUMIFS(Banco[valor],Banco[IdAgente],BX25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25" s="267">
        <f>SUMIFS(Banco[valor],Banco[IdAgente],BX25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25" s="267">
        <f>SUMIFS(Banco[valor],Banco[IdAgente],BX25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25" s="267">
        <f>SUMIFS(Banco[valor],Banco[IdAgente],BX25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25" s="267">
        <f>SUMIFS(Banco[valor],Banco[IdAgente],BX25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25" s="267">
        <f>SUMIFS(Banco[valor],Banco[IdAgente],BX25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25" s="267">
        <f>SUMIFS(Banco[valor],Banco[IdAgente],B25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25" s="267">
        <f>SUMIFS(Banco[valor],Banco[IdAgente],B25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25" s="267">
        <f>SUMIFS(Banco[valor],Banco[IdAgente],B25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26" spans="1:91">
      <c r="A26" t="s">
        <v>59</v>
      </c>
      <c r="B26" t="str">
        <f>Efeito!B27</f>
        <v>NO SELECT</v>
      </c>
      <c r="C26" s="267">
        <f>SUMIFS(Banco[valor],Banco[IdAgente],B26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26" s="267">
        <f>SUMIFS(Banco[valor],Banco[IdAgente],B26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26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26" s="267">
        <f>SUMIFS(Banco[valor],Banco[IdAgente],B26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26" s="267">
        <f>SUMIFS(Banco[valor],Banco[IdAgente],B26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26" s="267">
        <f>SUMIFS(Banco[valor],Banco[IdAgente],B26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26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26" s="267">
        <f>SUMIFS(Banco[valor],Banco[IdAgente],B26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26" s="267">
        <f>SUMIFS(Banco[valor],Banco[IdAgente],B26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26" s="267">
        <f>SUMIFS(Banco[valor],Banco[IdAgente],B26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26" s="267">
        <f>SUMIFS(Banco[valor],Banco[IdAgente],B26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26" s="267">
        <f>SUMIFS(Banco[valor],Banco[IdAgente],B26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26" s="267">
        <f>SUMIFS(Banco[valor],Banco[IdAgente],B26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26" s="267">
        <f>SUMIFS(Banco[valor],Banco[IdAgente],B26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26" s="267">
        <f>SUMIFS(Banco[valor],Banco[IdAgente],B26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26" s="267">
        <f t="shared" si="2"/>
        <v>0</v>
      </c>
      <c r="Q26" s="267">
        <f>SUMIFS(Banco[valor],Banco[IdAgente],B26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26" s="267">
        <f>SUMIFS(Banco[valor],Banco[IdAgente],B26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26" s="4"/>
      <c r="T26" s="4"/>
      <c r="U26" s="4"/>
      <c r="V26" s="267">
        <f>SUMIFS(financeiro[valor],financeiro[IdAgente],B26,financeiro[idDet1],22,financeiro[idDet2],60,financeiro[idDet3],526,financeiro[id_grupo_tarifa],1,financeiro[id_detalhe_grupo_tarifa],7,financeiro[id_tipo_tarifa],9,financeiro[id_subgrupo],99,financeiro[valor],"&gt;0")+SUMIFS(financeiro[valor],financeiro[IdAgente],B26,financeiro[idDet1],22,financeiro[idDet2],60,financeiro[idDet3],526,financeiro[id_grupo_tarifa],2,financeiro[id_detalhe_grupo_tarifa],11,financeiro[id_tipo_tarifa],9,financeiro[valor],"&gt;0")+SUMIFS(financeiro[valor],financeiro[IdAgente],B26,financeiro[idDet1],22,financeiro[idDet2],60,financeiro[idDet3],526,financeiro[id_grupo_tarifa],2,financeiro[id_detalhe_grupo_tarifa],9,financeiro[id_tipo_tarifa],9,financeiro[valor],"&gt;0")+SUMIFS(financeiro[valor],financeiro[IdAgente],B26,financeiro[idDet1],22,financeiro[idDet2],60,financeiro[idDet3],526,financeiro[id_grupo_tarifa],2,financeiro[id_detalhe_grupo_tarifa],8,financeiro[id_tipo_tarifa],9,financeiro[valor],"&gt;0")+SUMIFS(financeiro[valor],financeiro[IdAgente],B26,financeiro[idDet1],22,financeiro[idDet2],60,financeiro[idDet3],526,financeiro[id_grupo_tarifa],2,financeiro[id_detalhe_grupo_tarifa],10,financeiro[id_tipo_tarifa],9,financeiro[valor],"&gt;0")+SUMIFS(financeiro[valor],financeiro[IdAgente],B26,financeiro[idDet1],22,financeiro[idDet2],60,financeiro[idDet3],526,financeiro[id_grupo_tarifa],2,financeiro[id_detalhe_grupo_tarifa],24,financeiro[id_tipo_tarifa],9,financeiro[valor],"&gt;0")</f>
        <v>0</v>
      </c>
      <c r="W26" s="267">
        <f>SUMIFS(financeiro[valor],financeiro[IdAgente],B26,financeiro[idDet1],20,financeiro[idDet2],60,financeiro[idDet3],999,financeiro[id_grupo_tarifa],3,financeiro[id_detalhe_grupo_tarifa],14,financeiro[id_tipo_tarifa],9)+SUMIFS(financeiro[valor],financeiro[IdAgente],B26,financeiro[idDet1],20,financeiro[idDet2],60,financeiro[idDet3],999,financeiro[id_grupo_tarifa],3,financeiro[id_detalhe_grupo_tarifa],15,financeiro[id_tipo_tarifa],9)+SUMIFS(financeiro[valor],financeiro[IdAgente],B26,financeiro[idDet1],20,financeiro[idDet2],60,financeiro[idDet3],999,financeiro[id_grupo_tarifa],3,financeiro[id_detalhe_grupo_tarifa],16,financeiro[id_tipo_tarifa],9)+SUMIFS(financeiro[valor],financeiro[IdAgente],B26,financeiro[idDet1],20,financeiro[idDet2],60,financeiro[idDet3],999,financeiro[id_grupo_tarifa],3,financeiro[id_detalhe_grupo_tarifa],17,financeiro[id_tipo_tarifa],9)+SUMIFS(financeiro[valor],financeiro[IdAgente],B26,financeiro[idDet1],20,financeiro[idDet2],60,financeiro[idDet3],999,financeiro[id_grupo_tarifa],3,financeiro[id_detalhe_grupo_tarifa],18,financeiro[id_tipo_tarifa],9)+SUMIFS(financeiro[valor],financeiro[IdAgente],B26,financeiro[idDet1],20,financeiro[idDet2],60,financeiro[idDet3],999,financeiro[id_grupo_tarifa],3,financeiro[id_detalhe_grupo_tarifa],19,financeiro[id_tipo_tarifa],9)</f>
        <v>0</v>
      </c>
      <c r="X26" s="267">
        <f>SUMIFS(financeiro[valor],financeiro[IdAgente],B26,financeiro[idDet1],20,financeiro[idDet2],60,financeiro[idDet3],999,financeiro[id_grupo_tarifa],3,financeiro[id_detalhe_grupo_tarifa],12,financeiro[id_tipo_tarifa],9)+SUMIFS(financeiro[valor],financeiro[IdAgente],B26,financeiro[idDet1],20,financeiro[idDet2],60,financeiro[idDet3],999,financeiro[id_grupo_tarifa],4,financeiro[id_detalhe_grupo_tarifa],999,financeiro[id_tipo_tarifa],9)</f>
        <v>0</v>
      </c>
      <c r="Y26" s="267">
        <f>SUMIFS(financeiro[valor],financeiro[IdAgente],B26,financeiro[idDet1],20,financeiro[idDet2],60,financeiro[idDet3],179,financeiro[id_grupo_tarifa],99,financeiro[id_detalhe_grupo_tarifa],999,financeiro[id_tipo_tarifa],9)</f>
        <v>0</v>
      </c>
      <c r="Z26" s="267">
        <f>SUMIFS(financeiro[valor],financeiro[IdAgente],B26,financeiro[idDet1],20,financeiro[idDet2],60,financeiro[idDet3],999,financeiro[id_grupo_tarifa],2,financeiro[id_detalhe_grupo_tarifa],11,financeiro[id_tipo_tarifa],9,financeiro[valor],"&gt;0")+SUMIFS(financeiro[valor],financeiro[IdAgente],B26,financeiro[idDet1],20,financeiro[idDet2],60,financeiro[idDet3],999,financeiro[id_grupo_tarifa],2,financeiro[id_detalhe_grupo_tarifa],9,financeiro[id_tipo_tarifa],9,financeiro[valor],"&gt;0")+SUMIFS(financeiro[valor],financeiro[IdAgente],B26,financeiro[idDet1],20,financeiro[idDet2],60,financeiro[idDet3],999,financeiro[id_grupo_tarifa],2,financeiro[id_detalhe_grupo_tarifa],8,financeiro[id_tipo_tarifa],9,financeiro[valor],"&gt;0")+SUMIFS(financeiro[valor],financeiro[IdAgente],B26,financeiro[idDet1],20,financeiro[idDet2],60,financeiro[idDet3],999,financeiro[id_grupo_tarifa],2,financeiro[id_detalhe_grupo_tarifa],10,financeiro[id_tipo_tarifa],9,financeiro[valor],"&gt;0")+SUMIFS(financeiro[valor],financeiro[IdAgente],B26,financeiro[idDet1],20,financeiro[idDet2],60,financeiro[idDet3],999,financeiro[id_grupo_tarifa],2,financeiro[id_detalhe_grupo_tarifa],24,financeiro[id_tipo_tarifa],9,financeiro[valor],"&gt;0")+SUMIFS(financeiro[valor],financeiro[IdAgente],B26,financeiro[idDet1],20,financeiro[idDet2],60,financeiro[idDet3],999,financeiro[id_grupo_tarifa],2,financeiro[id_detalhe_grupo_tarifa],17,financeiro[id_tipo_tarifa],9,financeiro[valor],"&gt;0")+SUMIFS(financeiro[valor],financeiro[IdAgente],B26,financeiro[idDet1],999,financeiro[idDet2],999999,financeiro[idDet3],999,financeiro[id_grupo_tarifa],99,financeiro[id_detalhe_grupo_tarifa],999,financeiro[id_tipo_tarifa],9,financeiro[valor],"&gt;0")</f>
        <v>0</v>
      </c>
      <c r="AA26" s="267">
        <f>SUMIFS(financeiro[valor],financeiro[IdAgente],B26,financeiro[idDet1],22,financeiro[idDet2],60,financeiro[idDet3],529,financeiro[id_grupo_tarifa],1,financeiro[id_detalhe_grupo_tarifa],1,financeiro[id_tipo_tarifa],9,financeiro[valor],"&gt;0")+SUMIFS(financeiro[valor],financeiro[IdAgente],B26,financeiro[idDet1],22,financeiro[idDet2],60,financeiro[idDet3],529,financeiro[id_grupo_tarifa],1,financeiro[id_detalhe_grupo_tarifa],2,financeiro[id_tipo_tarifa],9,financeiro[valor],"&gt;0")</f>
        <v>0</v>
      </c>
      <c r="AB26" s="269"/>
      <c r="AC26" s="267">
        <f>SUMIFS(financeiro[valor],financeiro[IdAgente],B26,financeiro[idDet1],22,financeiro[idDet2],60,financeiro[idDet3],999,financeiro[id_grupo_tarifa],2,financeiro[id_detalhe_grupo_tarifa],30,financeiro[id_tipo_tarifa],9,financeiro[valor],"&gt;0")</f>
        <v>0</v>
      </c>
      <c r="AD26" s="267">
        <f>SUMIFS(financeiro[valor],financeiro[IdAgente],B26,financeiro[idDet1],22,financeiro[idDet2],60,financeiro[idDet3],178,financeiro[id_grupo_tarifa],1,financeiro[id_detalhe_grupo_tarifa],7,financeiro[id_tipo_tarifa],9)</f>
        <v>0</v>
      </c>
      <c r="AE26" s="267">
        <f>SUMIFS(financeiro[valor],financeiro[IdAgente],B26,financeiro[idDet1],22,financeiro[idDet2],60,financeiro[idDet3],242,financeiro[id_grupo_tarifa],4,financeiro[id_detalhe_grupo_tarifa],999,financeiro[id_tipo_tarifa],9)</f>
        <v>0</v>
      </c>
      <c r="AF26" s="267">
        <f>SUMIFS(financeiro[valor],financeiro[IdAgente],B26,financeiro[idDet1],22,financeiro[idDet2],60,financeiro[idDet3],525,financeiro[id_grupo_tarifa],2,financeiro[id_tipo_tarifa],9)</f>
        <v>0</v>
      </c>
      <c r="AG26" s="267">
        <f>SUMIFS(financeiro[valor],financeiro[IdAgente],B26,financeiro[idDet1],22,financeiro[idDet2],60,financeiro[idDet3],524)</f>
        <v>0</v>
      </c>
      <c r="AH26" s="269"/>
      <c r="AI26" s="267">
        <f>SUMIFS(financeiro[valor],financeiro[IdAgente],B26,financeiro[idDet1],22,financeiro[idDet2],60,financeiro[idDet3],523,financeiro[id_grupo_tarifa],2,financeiro[id_detalhe_grupo_tarifa],30,financeiro[id_tipo_tarifa],9)</f>
        <v>0</v>
      </c>
      <c r="AJ26" s="267">
        <f>SUMIFS(financeiro[valor],financeiro[IdAgente],B26,financeiro[idDet1],22,financeiro[idDet2],60,financeiro[idDet3],503,financeiro[id_grupo_tarifa],99,financeiro[id_detalhe_grupo_tarifa],999,financeiro[id_tipo_tarifa],3)</f>
        <v>0</v>
      </c>
      <c r="AK26" s="269"/>
      <c r="AL26" s="269"/>
      <c r="AM26" s="269"/>
      <c r="AN26" s="269"/>
      <c r="AO26" s="269"/>
      <c r="AP26" s="269"/>
      <c r="AQ26" s="269"/>
      <c r="AR26" s="269"/>
      <c r="AS26" s="269"/>
      <c r="AT26" s="267">
        <f>SUMIFS(financeiro[valor],financeiro[IdAgente],B26,financeiro[idDet1],22,financeiro[idDet2],60,financeiro[idDet3],235,financeiro[id_grupo_tarifa],4,financeiro[id_detalhe_grupo_tarifa],999,financeiro[id_tipo_tarifa],9)</f>
        <v>0</v>
      </c>
      <c r="AU26" s="267">
        <f>SUMIFS(financeiro[valor],financeiro[IdAgente],B26,financeiro[idDet1],22,financeiro[idDet2],60,financeiro[idDet3],512,financeiro[id_grupo_tarifa],3,financeiro[id_detalhe_grupo_tarifa],28,financeiro[id_tipo_tarifa],9)</f>
        <v>0</v>
      </c>
      <c r="AV26" s="267">
        <f>SUMIFS(financeiro[valor],financeiro[IdAgente],B26,financeiro[idDet1],22,financeiro[idDet2],60,financeiro[idDet3],241,financeiro[id_grupo_tarifa],2,financeiro[id_detalhe_grupo_tarifa],11,financeiro[id_tipo_tarifa],9)+SUMIFS(financeiro[valor],financeiro[IdAgente],B26,financeiro[idDet1],22,financeiro[idDet2],60,financeiro[idDet3],241,financeiro[id_grupo_tarifa],2,financeiro[id_detalhe_grupo_tarifa],9,financeiro[id_tipo_tarifa],9)+SUMIFS(financeiro[valor],financeiro[IdAgente],B26,financeiro[idDet1],22,financeiro[idDet2],60,financeiro[idDet3],241,financeiro[id_grupo_tarifa],2,financeiro[id_detalhe_grupo_tarifa],8,financeiro[id_tipo_tarifa],9)+SUMIFS(financeiro[valor],financeiro[IdAgente],B26,financeiro[idDet1],22,financeiro[idDet2],60,financeiro[idDet3],241,financeiro[id_grupo_tarifa],2,financeiro[id_detalhe_grupo_tarifa],10,financeiro[id_tipo_tarifa],9)+SUMIFS(financeiro[valor],financeiro[IdAgente],B26,financeiro[idDet1],22,financeiro[idDet2],60,financeiro[idDet3],241,financeiro[id_grupo_tarifa],2,financeiro[id_detalhe_grupo_tarifa],24,financeiro[id_tipo_tarifa],9)</f>
        <v>0</v>
      </c>
      <c r="AW26" s="267">
        <f>SUMIFS(financeiro[valor],financeiro[IdAgente],B26,financeiro[idDet1],22,financeiro[idDet2],60,financeiro[idDet3],241,financeiro[id_grupo_tarifa],3,financeiro[id_detalhe_grupo_tarifa],17,financeiro[id_tipo_tarifa],9)</f>
        <v>0</v>
      </c>
      <c r="AX26" s="267">
        <f>SUMIFS(financeiro[valor],financeiro[IdAgente],B26,financeiro[idDet1],22,financeiro[idDet2],60,financeiro[idDet3],240,financeiro[id_grupo_tarifa],2,financeiro[id_detalhe_grupo_tarifa],11,financeiro[id_tipo_tarifa],9)+SUMIFS(financeiro[valor],financeiro[IdAgente],B26,financeiro[idDet1],22,financeiro[idDet2],60,financeiro[idDet3],240,financeiro[id_grupo_tarifa],2,financeiro[id_detalhe_grupo_tarifa],9,financeiro[id_tipo_tarifa],9)+SUMIFS(financeiro[valor],financeiro[IdAgente],B26,financeiro[idDet1],22,financeiro[idDet2],60,financeiro[idDet3],240,financeiro[id_grupo_tarifa],2,financeiro[id_detalhe_grupo_tarifa],8,financeiro[id_tipo_tarifa],9)+SUMIFS(financeiro[valor],financeiro[IdAgente],B26,financeiro[idDet1],22,financeiro[idDet2],60,financeiro[idDet3],240,financeiro[id_grupo_tarifa],2,financeiro[id_detalhe_grupo_tarifa],10,financeiro[id_tipo_tarifa],9)+SUMIFS(financeiro[valor],financeiro[IdAgente],B26,financeiro[idDet1],22,financeiro[idDet2],60,financeiro[idDet3],240,financeiro[id_grupo_tarifa],2,financeiro[id_detalhe_grupo_tarifa],24,financeiro[id_tipo_tarifa],9)</f>
        <v>0</v>
      </c>
      <c r="AY26" s="267">
        <f>SUMIFS(financeiro[valor],financeiro[IdAgente],B26,financeiro[idDet1],22,financeiro[idDet2],60,financeiro[idDet3],106,financeiro[id_grupo_tarifa],2,financeiro[id_detalhe_grupo_tarifa],11,financeiro[id_tipo_tarifa],9)+SUMIFS(financeiro[valor],financeiro[IdAgente],B26,financeiro[idDet1],22,financeiro[idDet2],60,financeiro[idDet3],106,financeiro[id_grupo_tarifa],2,financeiro[id_detalhe_grupo_tarifa],9,financeiro[id_tipo_tarifa],9)+SUMIFS(financeiro[valor],financeiro[IdAgente],B26,financeiro[idDet1],22,financeiro[idDet2],60,financeiro[idDet3],106,financeiro[id_grupo_tarifa],2,financeiro[id_detalhe_grupo_tarifa],8,financeiro[id_tipo_tarifa],9)+SUMIFS(financeiro[valor],financeiro[IdAgente],B26,financeiro[idDet1],22,financeiro[idDet2],60,financeiro[idDet3],106,financeiro[id_grupo_tarifa],2,financeiro[id_detalhe_grupo_tarifa],10,financeiro[id_tipo_tarifa],9)+SUMIFS(financeiro[valor],financeiro[IdAgente],B26,financeiro[idDet1],22,financeiro[idDet2],60,financeiro[idDet3],106,financeiro[id_grupo_tarifa],2,financeiro[id_detalhe_grupo_tarifa],24,financeiro[id_tipo_tarifa],9)</f>
        <v>0</v>
      </c>
      <c r="AZ26" s="267">
        <f>SUMIFS(financeiro[valor],financeiro[IdAgente],B26,financeiro[idDet1],22,financeiro[idDet2],62,financeiro[idDet3],220,financeiro[id_grupo_tarifa],2,financeiro[id_detalhe_grupo_tarifa],11,financeiro[id_tipo_tarifa],9)+SUMIFS(financeiro[valor],financeiro[IdAgente],B26,financeiro[idDet1],22,financeiro[idDet2],62,financeiro[idDet3],220,financeiro[id_grupo_tarifa],2,financeiro[id_detalhe_grupo_tarifa],9,financeiro[id_tipo_tarifa],9)+SUMIFS(financeiro[valor],financeiro[IdAgente],B26,financeiro[idDet1],22,financeiro[idDet2],62,financeiro[idDet3],220,financeiro[id_grupo_tarifa],2,financeiro[id_detalhe_grupo_tarifa],8,financeiro[id_tipo_tarifa],9)+SUMIFS(financeiro[valor],financeiro[IdAgente],B26,financeiro[idDet1],22,financeiro[idDet2],62,financeiro[idDet3],220,financeiro[id_grupo_tarifa],2,financeiro[id_detalhe_grupo_tarifa],10,financeiro[id_tipo_tarifa],9)+SUMIFS(financeiro[valor],financeiro[IdAgente],B26,financeiro[idDet1],22,financeiro[idDet2],62,financeiro[idDet3],220,financeiro[id_grupo_tarifa],2,financeiro[id_detalhe_grupo_tarifa],24,financeiro[id_tipo_tarifa],9)</f>
        <v>0</v>
      </c>
      <c r="BA26" s="267">
        <f>SUMIFS(financeiro[valor],financeiro[IdAgente],B26,financeiro[idDet1],22,financeiro[idDet2],60,financeiro[idDet3],220,financeiro[id_grupo_tarifa],2,financeiro[id_detalhe_grupo_tarifa],11,financeiro[id_tipo_tarifa],9)+SUMIFS(financeiro[valor],financeiro[IdAgente],B26,financeiro[idDet1],22,financeiro[idDet2],60,financeiro[idDet3],220,financeiro[id_grupo_tarifa],2,financeiro[id_detalhe_grupo_tarifa],9,financeiro[id_tipo_tarifa],9)+SUMIFS(financeiro[valor],financeiro[IdAgente],B26,financeiro[idDet1],22,financeiro[idDet2],60,financeiro[idDet3],220,financeiro[id_grupo_tarifa],2,financeiro[id_detalhe_grupo_tarifa],8,financeiro[id_tipo_tarifa],9)+SUMIFS(financeiro[valor],financeiro[IdAgente],B26,financeiro[idDet1],22,financeiro[idDet2],60,financeiro[idDet3],220,financeiro[id_grupo_tarifa],2,financeiro[id_detalhe_grupo_tarifa],10,financeiro[id_tipo_tarifa],9)+SUMIFS(financeiro[valor],financeiro[IdAgente],B26,financeiro[idDet1],22,financeiro[idDet2],60,financeiro[idDet3],220,financeiro[id_grupo_tarifa],2,financeiro[id_detalhe_grupo_tarifa],24,financeiro[id_tipo_tarifa],9)</f>
        <v>0</v>
      </c>
      <c r="BB26" s="267">
        <f>SUMIFS(financeiro[valor],financeiro[IdAgente],B26,financeiro[idDet1],22,financeiro[idDet2],60,financeiro[idDet3],102,financeiro[id_grupo_tarifa],2,financeiro[id_detalhe_grupo_tarifa],11,financeiro[id_tipo_tarifa],9)+SUMIFS(financeiro[valor],financeiro[IdAgente],B26,financeiro[idDet1],22,financeiro[idDet2],60,financeiro[idDet3],102,financeiro[id_grupo_tarifa],2,financeiro[id_detalhe_grupo_tarifa],9,financeiro[id_tipo_tarifa],9)+SUMIFS(financeiro[valor],financeiro[IdAgente],B26,financeiro[idDet1],22,financeiro[idDet2],60,financeiro[idDet3],102,financeiro[id_grupo_tarifa],2,financeiro[id_detalhe_grupo_tarifa],8,financeiro[id_tipo_tarifa],9)+SUMIFS(financeiro[valor],financeiro[IdAgente],B26,financeiro[idDet1],22,financeiro[idDet2],60,financeiro[idDet3],102,financeiro[id_grupo_tarifa],2,financeiro[id_detalhe_grupo_tarifa],10,financeiro[id_tipo_tarifa],9)+SUMIFS(financeiro[valor],financeiro[IdAgente],B26,financeiro[idDet1],22,financeiro[idDet2],60,financeiro[idDet3],102,financeiro[id_grupo_tarifa],2,financeiro[id_detalhe_grupo_tarifa],24,financeiro[id_tipo_tarifa],9)</f>
        <v>0</v>
      </c>
      <c r="BC26" s="267">
        <f>SUMIFS(financeiro[valor],financeiro[IdAgente],B26,financeiro[idDet1],22,financeiro[idDet2],60,financeiro[idDet3],522,financeiro[valor],"&lt;0")</f>
        <v>0</v>
      </c>
      <c r="BD26" s="267">
        <f>SUMIFS(financeiro[valor],financeiro[IdAgente],B26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26" s="267">
        <f>SUMIFS(financeiro[valor],financeiro[IdAgente],B26,financeiro[id_natureza_dado],2,financeiro[id_detalhe_natureza],2,financeiro[idDet1],20,financeiro[idDet2],60,financeiro[idDet3],82,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26" s="267">
        <f>SUMIFS(financeiro[valor],financeiro[IdAgente],B26,financeiro[id_natureza_dado],2,financeiro[id_detalhe_natureza],2,financeiro[idDet1],20,financeiro[idDet2],60,financeiro[idDet3],81,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26" s="267">
        <f>SUMIFS(financeiro[valor],financeiro[IdAgente],B26,financeiro[id_natureza_dado],2,financeiro[id_detalhe_natureza],2,financeiro[idDet1],20,financeiro[idDet2],60,financeiro[idDet3],503,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26" s="267">
        <f>SUMIFS(financeiro[valor],financeiro[IdAgente],B26,financeiro[idDet1],22,financeiro[idDet2],60,financeiro[idDet3],123)</f>
        <v>0</v>
      </c>
      <c r="BI26" s="267">
        <f>SUMIFS(financeiro[valor],financeiro[IdAgente],B26,financeiro[idDet1],20,financeiro[idDet2],60,financeiro[idDet3],73)</f>
        <v>0</v>
      </c>
      <c r="BJ26" s="267">
        <f>SUMIFS(financeiro[valor],financeiro[IdAgente],B26,financeiro[idDet1],22,financeiro[idDet2],60,financeiro[idDet3],527)</f>
        <v>0</v>
      </c>
      <c r="BK26" s="267">
        <f>SUMIFS(financeiro[valor],financeiro[IdAgente],B26,financeiro[idDet1],22,financeiro[idDet2],60,financeiro[idDet3],510)</f>
        <v>0</v>
      </c>
      <c r="BL26" s="267">
        <f>SUMIFS(financeiro[valor],financeiro[IdAgente],B26,financeiro[idDet1],22,financeiro[idDet2],60,financeiro[idDet3],526,
financeiro[id_grupo_tarifa],1,financeiro[id_detalhe_grupo_tarifa],3,financeiro[id_tipo_tarifa],9,financeiro[id_subgrupo],3)</f>
        <v>0</v>
      </c>
      <c r="BM26" s="267">
        <f>SUMIFS(financeiro[valor],financeiro[IdAgente],B26,financeiro[idDet1],22,financeiro[idDet2],60,financeiro[idDet3],999,
financeiro[id_grupo_tarifa],3,financeiro[id_detalhe_grupo_tarifa],17,financeiro[id_tipo_tarifa],9)</f>
        <v>0</v>
      </c>
      <c r="BN26" s="267">
        <f>SUMIFS(financeiro[valor],financeiro[IdAgente],B26,financeiro[idDet1],22,financeiro[idDet2],60,financeiro[idDet3],526,financeiro[id_grupo_tarifa],1,financeiro[id_detalhe_grupo_tarifa],7,financeiro[id_tipo_tarifa],9,financeiro[valor],"&lt;0")+SUMIFS(financeiro[valor],financeiro[IdAgente],B26,financeiro[idDet1],22,financeiro[idDet2],60,financeiro[idDet3],526,financeiro[id_grupo_tarifa],2,financeiro[id_detalhe_grupo_tarifa],11,financeiro[id_tipo_tarifa],9,financeiro[valor],"&lt;0")+SUMIFS(financeiro[valor],financeiro[IdAgente],B26,financeiro[idDet1],22,financeiro[idDet2],60,financeiro[idDet3],526,financeiro[id_grupo_tarifa],2,financeiro[id_detalhe_grupo_tarifa],8,financeiro[id_tipo_tarifa],9,financeiro[valor],"&lt;0")</f>
        <v>0</v>
      </c>
      <c r="BO26" s="267">
        <f>SUMIFS(financeiro[valor],financeiro[IdAgente],B26,financeiro[idDet1],22,financeiro[idDet2],60,financeiro[idDet3],999,financeiro[id_grupo_tarifa],4,financeiro[id_detalhe_grupo_tarifa],999,financeiro[id_tipo_tarifa],9,financeiro[valor],"&lt;0")</f>
        <v>0</v>
      </c>
      <c r="BP26" s="267">
        <f>SUMIFS(financeiro[valor],financeiro[IdAgente],B26,financeiro[idDet1],22,financeiro[idDet2],60,financeiro[idDet3],530,financeiro[valor],"&lt;0")</f>
        <v>0</v>
      </c>
      <c r="BQ26" s="267">
        <f>SUMIFS(financeiro[valor],financeiro[IdAgente],B26,financeiro[idDet1],22,financeiro[idDet2],60,financeiro[idDet3],531,financeiro[valor],"&lt;0")</f>
        <v>0</v>
      </c>
      <c r="BR26" s="267">
        <f>SUMIFS(financeiro[valor],financeiro[IdAgente],B26,financeiro[idDet1],22,financeiro[idDet2],62,financeiro[idDet3],532,financeiro[valor],"&lt;0")</f>
        <v>0</v>
      </c>
      <c r="BS26" s="267">
        <f>SUMIFS(financeiro[valor],financeiro[IdAgente],B26,financeiro[idDet1],22,financeiro[idDet2],62,financeiro[idDet3],533,financeiro[valor],"&lt;0")</f>
        <v>0</v>
      </c>
      <c r="BT26" s="267">
        <f>SUMIFS(financeiro[valor],financeiro[IdAgente],B26,financeiro[idDet1],22,financeiro[idDet2],62,financeiro[idDet3],534,financeiro[valor],"&lt;0")</f>
        <v>0</v>
      </c>
      <c r="BW26" s="210" t="s">
        <v>59</v>
      </c>
      <c r="BX26" t="str">
        <f>Efeito!B27</f>
        <v>NO SELECT</v>
      </c>
      <c r="BY26" s="267">
        <f>SUMIFS(Banco[valor],Banco[IdAgente],BX26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26" s="267">
        <f>SUMIFS(Banco[valor],Banco[IdAgente],BX26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26" s="267">
        <f>SUMIFS(Banco[valor],Banco[IdAgente],BX26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26" s="267">
        <f>SUMIFS(Banco[valor],Banco[IdAgente],BX26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26" s="267">
        <f>SUMIFS(Banco[valor],Banco[IdAgente],BX26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26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26" s="267">
        <f>SUMIFS(Banco[valor],Banco[IdAgente],BX26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26" s="267">
        <f>SUMIFS(Banco[valor],Banco[IdAgente],BX26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26" s="267">
        <f>SUMIFS(Banco[valor],Banco[IdAgente],BX26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26" s="267">
        <f>SUMIFS(Banco[valor],Banco[IdAgente],BX26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26" s="267">
        <f>SUMIFS(Banco[valor],Banco[IdAgente],BX26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26" s="267">
        <f>SUMIFS(Banco[valor],Banco[IdAgente],BX26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26" s="267">
        <f>SUMIFS(Banco[valor],Banco[IdAgente],BX26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26" s="267">
        <f>SUMIFS(Banco[valor],Banco[IdAgente],B26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26" s="267">
        <f>SUMIFS(Banco[valor],Banco[IdAgente],B26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26" s="267">
        <f>SUMIFS(Banco[valor],Banco[IdAgente],B26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27" spans="1:91">
      <c r="A27" t="s">
        <v>186</v>
      </c>
      <c r="B27" t="str">
        <f>Efeito!B28</f>
        <v>NO SELECT</v>
      </c>
      <c r="C27" s="267">
        <f>SUMIFS(Banco[valor],Banco[IdAgente],B27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27" s="267">
        <f>SUMIFS(Banco[valor],Banco[IdAgente],B27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27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27" s="267">
        <f>SUMIFS(Banco[valor],Banco[IdAgente],B27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27" s="267">
        <f>SUMIFS(Banco[valor],Banco[IdAgente],B27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27" s="267">
        <f>SUMIFS(Banco[valor],Banco[IdAgente],B27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27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27" s="267">
        <f>SUMIFS(Banco[valor],Banco[IdAgente],B27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27" s="267">
        <f>SUMIFS(Banco[valor],Banco[IdAgente],B27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27" s="267">
        <f>SUMIFS(Banco[valor],Banco[IdAgente],B27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27" s="267">
        <f>SUMIFS(Banco[valor],Banco[IdAgente],B27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27" s="267">
        <f>SUMIFS(Banco[valor],Banco[IdAgente],B27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27" s="267">
        <f>SUMIFS(Banco[valor],Banco[IdAgente],B27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27" s="267">
        <f>SUMIFS(Banco[valor],Banco[IdAgente],B27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27" s="267">
        <f>SUMIFS(Banco[valor],Banco[IdAgente],B27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27" s="267">
        <f t="shared" si="2"/>
        <v>0</v>
      </c>
      <c r="Q27" s="267">
        <f>SUMIFS(Banco[valor],Banco[IdAgente],B27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27" s="267">
        <f>SUMIFS(Banco[valor],Banco[IdAgente],B27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27" s="4"/>
      <c r="T27" s="4"/>
      <c r="U27" s="4"/>
      <c r="V27" s="267">
        <f>SUMIFS(financeiro[valor],financeiro[IdAgente],B27,financeiro[idDet1],22,financeiro[idDet2],60,financeiro[idDet3],526,financeiro[id_grupo_tarifa],1,financeiro[id_detalhe_grupo_tarifa],7,financeiro[id_tipo_tarifa],9,financeiro[id_subgrupo],99,financeiro[valor],"&gt;0")+SUMIFS(financeiro[valor],financeiro[IdAgente],B27,financeiro[idDet1],22,financeiro[idDet2],60,financeiro[idDet3],526,financeiro[id_grupo_tarifa],2,financeiro[id_detalhe_grupo_tarifa],11,financeiro[id_tipo_tarifa],9,financeiro[valor],"&gt;0")+SUMIFS(financeiro[valor],financeiro[IdAgente],B27,financeiro[idDet1],22,financeiro[idDet2],60,financeiro[idDet3],526,financeiro[id_grupo_tarifa],2,financeiro[id_detalhe_grupo_tarifa],9,financeiro[id_tipo_tarifa],9,financeiro[valor],"&gt;0")+SUMIFS(financeiro[valor],financeiro[IdAgente],B27,financeiro[idDet1],22,financeiro[idDet2],60,financeiro[idDet3],526,financeiro[id_grupo_tarifa],2,financeiro[id_detalhe_grupo_tarifa],8,financeiro[id_tipo_tarifa],9,financeiro[valor],"&gt;0")+SUMIFS(financeiro[valor],financeiro[IdAgente],B27,financeiro[idDet1],22,financeiro[idDet2],60,financeiro[idDet3],526,financeiro[id_grupo_tarifa],2,financeiro[id_detalhe_grupo_tarifa],10,financeiro[id_tipo_tarifa],9,financeiro[valor],"&gt;0")+SUMIFS(financeiro[valor],financeiro[IdAgente],B27,financeiro[idDet1],22,financeiro[idDet2],60,financeiro[idDet3],526,financeiro[id_grupo_tarifa],2,financeiro[id_detalhe_grupo_tarifa],24,financeiro[id_tipo_tarifa],9,financeiro[valor],"&gt;0")</f>
        <v>0</v>
      </c>
      <c r="W27" s="267">
        <f>SUMIFS(financeiro[valor],financeiro[IdAgente],B27,financeiro[idDet1],20,financeiro[idDet2],60,financeiro[idDet3],999,financeiro[id_grupo_tarifa],3,financeiro[id_detalhe_grupo_tarifa],14,financeiro[id_tipo_tarifa],9)+SUMIFS(financeiro[valor],financeiro[IdAgente],B27,financeiro[idDet1],20,financeiro[idDet2],60,financeiro[idDet3],999,financeiro[id_grupo_tarifa],3,financeiro[id_detalhe_grupo_tarifa],15,financeiro[id_tipo_tarifa],9)+SUMIFS(financeiro[valor],financeiro[IdAgente],B27,financeiro[idDet1],20,financeiro[idDet2],60,financeiro[idDet3],999,financeiro[id_grupo_tarifa],3,financeiro[id_detalhe_grupo_tarifa],16,financeiro[id_tipo_tarifa],9)+SUMIFS(financeiro[valor],financeiro[IdAgente],B27,financeiro[idDet1],20,financeiro[idDet2],60,financeiro[idDet3],999,financeiro[id_grupo_tarifa],3,financeiro[id_detalhe_grupo_tarifa],17,financeiro[id_tipo_tarifa],9)+SUMIFS(financeiro[valor],financeiro[IdAgente],B27,financeiro[idDet1],20,financeiro[idDet2],60,financeiro[idDet3],999,financeiro[id_grupo_tarifa],3,financeiro[id_detalhe_grupo_tarifa],18,financeiro[id_tipo_tarifa],9)+SUMIFS(financeiro[valor],financeiro[IdAgente],B27,financeiro[idDet1],20,financeiro[idDet2],60,financeiro[idDet3],999,financeiro[id_grupo_tarifa],3,financeiro[id_detalhe_grupo_tarifa],19,financeiro[id_tipo_tarifa],9)</f>
        <v>0</v>
      </c>
      <c r="X27" s="267">
        <f>SUMIFS(financeiro[valor],financeiro[IdAgente],B27,financeiro[idDet1],20,financeiro[idDet2],60,financeiro[idDet3],999,financeiro[id_grupo_tarifa],3,financeiro[id_detalhe_grupo_tarifa],12,financeiro[id_tipo_tarifa],9)+SUMIFS(financeiro[valor],financeiro[IdAgente],B27,financeiro[idDet1],20,financeiro[idDet2],60,financeiro[idDet3],999,financeiro[id_grupo_tarifa],4,financeiro[id_detalhe_grupo_tarifa],999,financeiro[id_tipo_tarifa],9)</f>
        <v>0</v>
      </c>
      <c r="Y27" s="267">
        <f>SUMIFS(financeiro[valor],financeiro[IdAgente],B27,financeiro[idDet1],20,financeiro[idDet2],60,financeiro[idDet3],179,financeiro[id_grupo_tarifa],99,financeiro[id_detalhe_grupo_tarifa],999,financeiro[id_tipo_tarifa],9)</f>
        <v>0</v>
      </c>
      <c r="Z27" s="267">
        <f>SUMIFS(financeiro[valor],financeiro[IdAgente],B27,financeiro[idDet1],20,financeiro[idDet2],60,financeiro[idDet3],999,financeiro[id_grupo_tarifa],2,financeiro[id_detalhe_grupo_tarifa],11,financeiro[id_tipo_tarifa],9,financeiro[valor],"&gt;0")+SUMIFS(financeiro[valor],financeiro[IdAgente],B27,financeiro[idDet1],20,financeiro[idDet2],60,financeiro[idDet3],999,financeiro[id_grupo_tarifa],2,financeiro[id_detalhe_grupo_tarifa],9,financeiro[id_tipo_tarifa],9,financeiro[valor],"&gt;0")+SUMIFS(financeiro[valor],financeiro[IdAgente],B27,financeiro[idDet1],20,financeiro[idDet2],60,financeiro[idDet3],999,financeiro[id_grupo_tarifa],2,financeiro[id_detalhe_grupo_tarifa],8,financeiro[id_tipo_tarifa],9,financeiro[valor],"&gt;0")+SUMIFS(financeiro[valor],financeiro[IdAgente],B27,financeiro[idDet1],20,financeiro[idDet2],60,financeiro[idDet3],999,financeiro[id_grupo_tarifa],2,financeiro[id_detalhe_grupo_tarifa],10,financeiro[id_tipo_tarifa],9,financeiro[valor],"&gt;0")+SUMIFS(financeiro[valor],financeiro[IdAgente],B27,financeiro[idDet1],20,financeiro[idDet2],60,financeiro[idDet3],999,financeiro[id_grupo_tarifa],2,financeiro[id_detalhe_grupo_tarifa],24,financeiro[id_tipo_tarifa],9,financeiro[valor],"&gt;0")+SUMIFS(financeiro[valor],financeiro[IdAgente],B27,financeiro[idDet1],20,financeiro[idDet2],60,financeiro[idDet3],999,financeiro[id_grupo_tarifa],2,financeiro[id_detalhe_grupo_tarifa],17,financeiro[id_tipo_tarifa],9,financeiro[valor],"&gt;0")+SUMIFS(financeiro[valor],financeiro[IdAgente],B27,financeiro[idDet1],999,financeiro[idDet2],999999,financeiro[idDet3],999,financeiro[id_grupo_tarifa],99,financeiro[id_detalhe_grupo_tarifa],999,financeiro[id_tipo_tarifa],9,financeiro[valor],"&gt;0")</f>
        <v>0</v>
      </c>
      <c r="AA27" s="267">
        <f>SUMIFS(financeiro[valor],financeiro[IdAgente],B27,financeiro[idDet1],22,financeiro[idDet2],60,financeiro[idDet3],529,financeiro[id_grupo_tarifa],1,financeiro[id_detalhe_grupo_tarifa],1,financeiro[id_tipo_tarifa],9,financeiro[valor],"&gt;0")+SUMIFS(financeiro[valor],financeiro[IdAgente],B27,financeiro[idDet1],22,financeiro[idDet2],60,financeiro[idDet3],529,financeiro[id_grupo_tarifa],1,financeiro[id_detalhe_grupo_tarifa],2,financeiro[id_tipo_tarifa],9,financeiro[valor],"&gt;0")</f>
        <v>0</v>
      </c>
      <c r="AB27" s="269"/>
      <c r="AC27" s="267">
        <f>SUMIFS(financeiro[valor],financeiro[IdAgente],B27,financeiro[idDet1],22,financeiro[idDet2],60,financeiro[idDet3],999,financeiro[id_grupo_tarifa],2,financeiro[id_detalhe_grupo_tarifa],30,financeiro[id_tipo_tarifa],9,financeiro[valor],"&gt;0")</f>
        <v>0</v>
      </c>
      <c r="AD27" s="267">
        <f>SUMIFS(financeiro[valor],financeiro[IdAgente],B27,financeiro[idDet1],22,financeiro[idDet2],60,financeiro[idDet3],178,financeiro[id_grupo_tarifa],1,financeiro[id_detalhe_grupo_tarifa],7,financeiro[id_tipo_tarifa],9)</f>
        <v>0</v>
      </c>
      <c r="AE27" s="267">
        <f>SUMIFS(financeiro[valor],financeiro[IdAgente],B27,financeiro[idDet1],22,financeiro[idDet2],60,financeiro[idDet3],242,financeiro[id_grupo_tarifa],4,financeiro[id_detalhe_grupo_tarifa],999,financeiro[id_tipo_tarifa],9)</f>
        <v>0</v>
      </c>
      <c r="AF27" s="267">
        <f>SUMIFS(financeiro[valor],financeiro[IdAgente],B27,financeiro[idDet1],22,financeiro[idDet2],60,financeiro[idDet3],525,financeiro[id_grupo_tarifa],2,financeiro[id_tipo_tarifa],9)</f>
        <v>0</v>
      </c>
      <c r="AG27" s="267">
        <f>SUMIFS(financeiro[valor],financeiro[IdAgente],B27,financeiro[idDet1],22,financeiro[idDet2],60,financeiro[idDet3],524)</f>
        <v>0</v>
      </c>
      <c r="AH27" s="269"/>
      <c r="AI27" s="267">
        <f>SUMIFS(financeiro[valor],financeiro[IdAgente],B27,financeiro[idDet1],22,financeiro[idDet2],60,financeiro[idDet3],523,financeiro[id_grupo_tarifa],2,financeiro[id_detalhe_grupo_tarifa],30,financeiro[id_tipo_tarifa],9)</f>
        <v>0</v>
      </c>
      <c r="AJ27" s="267">
        <f>SUMIFS(financeiro[valor],financeiro[IdAgente],B27,financeiro[idDet1],22,financeiro[idDet2],60,financeiro[idDet3],503,financeiro[id_grupo_tarifa],99,financeiro[id_detalhe_grupo_tarifa],999,financeiro[id_tipo_tarifa],3)</f>
        <v>0</v>
      </c>
      <c r="AK27" s="269"/>
      <c r="AL27" s="269"/>
      <c r="AM27" s="269"/>
      <c r="AN27" s="269"/>
      <c r="AO27" s="269"/>
      <c r="AP27" s="269"/>
      <c r="AQ27" s="269"/>
      <c r="AR27" s="269"/>
      <c r="AS27" s="269"/>
      <c r="AT27" s="267">
        <f>SUMIFS(financeiro[valor],financeiro[IdAgente],B27,financeiro[idDet1],22,financeiro[idDet2],60,financeiro[idDet3],235,financeiro[id_grupo_tarifa],4,financeiro[id_detalhe_grupo_tarifa],999,financeiro[id_tipo_tarifa],9)</f>
        <v>0</v>
      </c>
      <c r="AU27" s="267">
        <f>SUMIFS(financeiro[valor],financeiro[IdAgente],B27,financeiro[idDet1],22,financeiro[idDet2],60,financeiro[idDet3],512,financeiro[id_grupo_tarifa],3,financeiro[id_detalhe_grupo_tarifa],28,financeiro[id_tipo_tarifa],9)</f>
        <v>0</v>
      </c>
      <c r="AV27" s="267">
        <f>SUMIFS(financeiro[valor],financeiro[IdAgente],B27,financeiro[idDet1],22,financeiro[idDet2],60,financeiro[idDet3],241,financeiro[id_grupo_tarifa],2,financeiro[id_detalhe_grupo_tarifa],11,financeiro[id_tipo_tarifa],9)+SUMIFS(financeiro[valor],financeiro[IdAgente],B27,financeiro[idDet1],22,financeiro[idDet2],60,financeiro[idDet3],241,financeiro[id_grupo_tarifa],2,financeiro[id_detalhe_grupo_tarifa],9,financeiro[id_tipo_tarifa],9)+SUMIFS(financeiro[valor],financeiro[IdAgente],B27,financeiro[idDet1],22,financeiro[idDet2],60,financeiro[idDet3],241,financeiro[id_grupo_tarifa],2,financeiro[id_detalhe_grupo_tarifa],8,financeiro[id_tipo_tarifa],9)+SUMIFS(financeiro[valor],financeiro[IdAgente],B27,financeiro[idDet1],22,financeiro[idDet2],60,financeiro[idDet3],241,financeiro[id_grupo_tarifa],2,financeiro[id_detalhe_grupo_tarifa],10,financeiro[id_tipo_tarifa],9)+SUMIFS(financeiro[valor],financeiro[IdAgente],B27,financeiro[idDet1],22,financeiro[idDet2],60,financeiro[idDet3],241,financeiro[id_grupo_tarifa],2,financeiro[id_detalhe_grupo_tarifa],24,financeiro[id_tipo_tarifa],9)</f>
        <v>0</v>
      </c>
      <c r="AW27" s="267">
        <f>SUMIFS(financeiro[valor],financeiro[IdAgente],B27,financeiro[idDet1],22,financeiro[idDet2],60,financeiro[idDet3],241,financeiro[id_grupo_tarifa],3,financeiro[id_detalhe_grupo_tarifa],17,financeiro[id_tipo_tarifa],9)</f>
        <v>0</v>
      </c>
      <c r="AX27" s="267">
        <f>SUMIFS(financeiro[valor],financeiro[IdAgente],B27,financeiro[idDet1],22,financeiro[idDet2],60,financeiro[idDet3],240,financeiro[id_grupo_tarifa],2,financeiro[id_detalhe_grupo_tarifa],11,financeiro[id_tipo_tarifa],9)+SUMIFS(financeiro[valor],financeiro[IdAgente],B27,financeiro[idDet1],22,financeiro[idDet2],60,financeiro[idDet3],240,financeiro[id_grupo_tarifa],2,financeiro[id_detalhe_grupo_tarifa],9,financeiro[id_tipo_tarifa],9)+SUMIFS(financeiro[valor],financeiro[IdAgente],B27,financeiro[idDet1],22,financeiro[idDet2],60,financeiro[idDet3],240,financeiro[id_grupo_tarifa],2,financeiro[id_detalhe_grupo_tarifa],8,financeiro[id_tipo_tarifa],9)+SUMIFS(financeiro[valor],financeiro[IdAgente],B27,financeiro[idDet1],22,financeiro[idDet2],60,financeiro[idDet3],240,financeiro[id_grupo_tarifa],2,financeiro[id_detalhe_grupo_tarifa],10,financeiro[id_tipo_tarifa],9)+SUMIFS(financeiro[valor],financeiro[IdAgente],B27,financeiro[idDet1],22,financeiro[idDet2],60,financeiro[idDet3],240,financeiro[id_grupo_tarifa],2,financeiro[id_detalhe_grupo_tarifa],24,financeiro[id_tipo_tarifa],9)</f>
        <v>0</v>
      </c>
      <c r="AY27" s="267">
        <f>SUMIFS(financeiro[valor],financeiro[IdAgente],B27,financeiro[idDet1],22,financeiro[idDet2],60,financeiro[idDet3],106,financeiro[id_grupo_tarifa],2,financeiro[id_detalhe_grupo_tarifa],11,financeiro[id_tipo_tarifa],9)+SUMIFS(financeiro[valor],financeiro[IdAgente],B27,financeiro[idDet1],22,financeiro[idDet2],60,financeiro[idDet3],106,financeiro[id_grupo_tarifa],2,financeiro[id_detalhe_grupo_tarifa],9,financeiro[id_tipo_tarifa],9)+SUMIFS(financeiro[valor],financeiro[IdAgente],B27,financeiro[idDet1],22,financeiro[idDet2],60,financeiro[idDet3],106,financeiro[id_grupo_tarifa],2,financeiro[id_detalhe_grupo_tarifa],8,financeiro[id_tipo_tarifa],9)+SUMIFS(financeiro[valor],financeiro[IdAgente],B27,financeiro[idDet1],22,financeiro[idDet2],60,financeiro[idDet3],106,financeiro[id_grupo_tarifa],2,financeiro[id_detalhe_grupo_tarifa],10,financeiro[id_tipo_tarifa],9)+SUMIFS(financeiro[valor],financeiro[IdAgente],B27,financeiro[idDet1],22,financeiro[idDet2],60,financeiro[idDet3],106,financeiro[id_grupo_tarifa],2,financeiro[id_detalhe_grupo_tarifa],24,financeiro[id_tipo_tarifa],9)</f>
        <v>0</v>
      </c>
      <c r="AZ27" s="267">
        <f>SUMIFS(financeiro[valor],financeiro[IdAgente],B27,financeiro[idDet1],22,financeiro[idDet2],62,financeiro[idDet3],220,financeiro[id_grupo_tarifa],2,financeiro[id_detalhe_grupo_tarifa],11,financeiro[id_tipo_tarifa],9)+SUMIFS(financeiro[valor],financeiro[IdAgente],B27,financeiro[idDet1],22,financeiro[idDet2],62,financeiro[idDet3],220,financeiro[id_grupo_tarifa],2,financeiro[id_detalhe_grupo_tarifa],9,financeiro[id_tipo_tarifa],9)+SUMIFS(financeiro[valor],financeiro[IdAgente],B27,financeiro[idDet1],22,financeiro[idDet2],62,financeiro[idDet3],220,financeiro[id_grupo_tarifa],2,financeiro[id_detalhe_grupo_tarifa],8,financeiro[id_tipo_tarifa],9)+SUMIFS(financeiro[valor],financeiro[IdAgente],B27,financeiro[idDet1],22,financeiro[idDet2],62,financeiro[idDet3],220,financeiro[id_grupo_tarifa],2,financeiro[id_detalhe_grupo_tarifa],10,financeiro[id_tipo_tarifa],9)+SUMIFS(financeiro[valor],financeiro[IdAgente],B27,financeiro[idDet1],22,financeiro[idDet2],62,financeiro[idDet3],220,financeiro[id_grupo_tarifa],2,financeiro[id_detalhe_grupo_tarifa],24,financeiro[id_tipo_tarifa],9)</f>
        <v>0</v>
      </c>
      <c r="BA27" s="267">
        <f>SUMIFS(financeiro[valor],financeiro[IdAgente],B27,financeiro[idDet1],22,financeiro[idDet2],60,financeiro[idDet3],220,financeiro[id_grupo_tarifa],2,financeiro[id_detalhe_grupo_tarifa],11,financeiro[id_tipo_tarifa],9)+SUMIFS(financeiro[valor],financeiro[IdAgente],B27,financeiro[idDet1],22,financeiro[idDet2],60,financeiro[idDet3],220,financeiro[id_grupo_tarifa],2,financeiro[id_detalhe_grupo_tarifa],9,financeiro[id_tipo_tarifa],9)+SUMIFS(financeiro[valor],financeiro[IdAgente],B27,financeiro[idDet1],22,financeiro[idDet2],60,financeiro[idDet3],220,financeiro[id_grupo_tarifa],2,financeiro[id_detalhe_grupo_tarifa],8,financeiro[id_tipo_tarifa],9)+SUMIFS(financeiro[valor],financeiro[IdAgente],B27,financeiro[idDet1],22,financeiro[idDet2],60,financeiro[idDet3],220,financeiro[id_grupo_tarifa],2,financeiro[id_detalhe_grupo_tarifa],10,financeiro[id_tipo_tarifa],9)+SUMIFS(financeiro[valor],financeiro[IdAgente],B27,financeiro[idDet1],22,financeiro[idDet2],60,financeiro[idDet3],220,financeiro[id_grupo_tarifa],2,financeiro[id_detalhe_grupo_tarifa],24,financeiro[id_tipo_tarifa],9)</f>
        <v>0</v>
      </c>
      <c r="BB27" s="267">
        <f>SUMIFS(financeiro[valor],financeiro[IdAgente],B27,financeiro[idDet1],22,financeiro[idDet2],60,financeiro[idDet3],102,financeiro[id_grupo_tarifa],2,financeiro[id_detalhe_grupo_tarifa],11,financeiro[id_tipo_tarifa],9)+SUMIFS(financeiro[valor],financeiro[IdAgente],B27,financeiro[idDet1],22,financeiro[idDet2],60,financeiro[idDet3],102,financeiro[id_grupo_tarifa],2,financeiro[id_detalhe_grupo_tarifa],9,financeiro[id_tipo_tarifa],9)+SUMIFS(financeiro[valor],financeiro[IdAgente],B27,financeiro[idDet1],22,financeiro[idDet2],60,financeiro[idDet3],102,financeiro[id_grupo_tarifa],2,financeiro[id_detalhe_grupo_tarifa],8,financeiro[id_tipo_tarifa],9)+SUMIFS(financeiro[valor],financeiro[IdAgente],B27,financeiro[idDet1],22,financeiro[idDet2],60,financeiro[idDet3],102,financeiro[id_grupo_tarifa],2,financeiro[id_detalhe_grupo_tarifa],10,financeiro[id_tipo_tarifa],9)+SUMIFS(financeiro[valor],financeiro[IdAgente],B27,financeiro[idDet1],22,financeiro[idDet2],60,financeiro[idDet3],102,financeiro[id_grupo_tarifa],2,financeiro[id_detalhe_grupo_tarifa],24,financeiro[id_tipo_tarifa],9)</f>
        <v>0</v>
      </c>
      <c r="BC27" s="267">
        <f>SUMIFS(financeiro[valor],financeiro[IdAgente],B27,financeiro[idDet1],22,financeiro[idDet2],60,financeiro[idDet3],522,financeiro[valor],"&lt;0")</f>
        <v>0</v>
      </c>
      <c r="BD27" s="267">
        <f>SUMIFS(financeiro[valor],financeiro[IdAgente],B27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27" s="267">
        <f>SUMIFS(financeiro[valor],financeiro[IdAgente],B27,financeiro[id_natureza_dado],2,financeiro[id_detalhe_natureza],2,financeiro[idDet1],20,financeiro[idDet2],60,financeiro[idDet3],82,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27" s="267">
        <f>SUMIFS(financeiro[valor],financeiro[IdAgente],B27,financeiro[id_natureza_dado],2,financeiro[id_detalhe_natureza],2,financeiro[idDet1],20,financeiro[idDet2],60,financeiro[idDet3],81,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27" s="267">
        <f>SUMIFS(financeiro[valor],financeiro[IdAgente],B27,financeiro[id_natureza_dado],2,financeiro[id_detalhe_natureza],2,financeiro[idDet1],20,financeiro[idDet2],60,financeiro[idDet3],503,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27" s="267">
        <f>SUMIFS(financeiro[valor],financeiro[IdAgente],B27,financeiro[idDet1],22,financeiro[idDet2],60,financeiro[idDet3],123)</f>
        <v>0</v>
      </c>
      <c r="BI27" s="267">
        <f>SUMIFS(financeiro[valor],financeiro[IdAgente],B27,financeiro[idDet1],20,financeiro[idDet2],60,financeiro[idDet3],73)</f>
        <v>0</v>
      </c>
      <c r="BJ27" s="267">
        <f>SUMIFS(financeiro[valor],financeiro[IdAgente],B27,financeiro[idDet1],22,financeiro[idDet2],60,financeiro[idDet3],527)</f>
        <v>0</v>
      </c>
      <c r="BK27" s="267">
        <f>SUMIFS(financeiro[valor],financeiro[IdAgente],B27,financeiro[idDet1],22,financeiro[idDet2],60,financeiro[idDet3],510)</f>
        <v>0</v>
      </c>
      <c r="BL27" s="267">
        <f>SUMIFS(financeiro[valor],financeiro[IdAgente],B27,financeiro[idDet1],22,financeiro[idDet2],60,financeiro[idDet3],526,
financeiro[id_grupo_tarifa],1,financeiro[id_detalhe_grupo_tarifa],3,financeiro[id_tipo_tarifa],9,financeiro[id_subgrupo],3)</f>
        <v>0</v>
      </c>
      <c r="BM27" s="267">
        <f>SUMIFS(financeiro[valor],financeiro[IdAgente],B27,financeiro[idDet1],22,financeiro[idDet2],60,financeiro[idDet3],999,
financeiro[id_grupo_tarifa],3,financeiro[id_detalhe_grupo_tarifa],17,financeiro[id_tipo_tarifa],9)</f>
        <v>0</v>
      </c>
      <c r="BN27" s="267">
        <f>SUMIFS(financeiro[valor],financeiro[IdAgente],B27,financeiro[idDet1],22,financeiro[idDet2],60,financeiro[idDet3],526,financeiro[id_grupo_tarifa],1,financeiro[id_detalhe_grupo_tarifa],7,financeiro[id_tipo_tarifa],9,financeiro[valor],"&lt;0")+SUMIFS(financeiro[valor],financeiro[IdAgente],B27,financeiro[idDet1],22,financeiro[idDet2],60,financeiro[idDet3],526,financeiro[id_grupo_tarifa],2,financeiro[id_detalhe_grupo_tarifa],11,financeiro[id_tipo_tarifa],9,financeiro[valor],"&lt;0")+SUMIFS(financeiro[valor],financeiro[IdAgente],B27,financeiro[idDet1],22,financeiro[idDet2],60,financeiro[idDet3],526,financeiro[id_grupo_tarifa],2,financeiro[id_detalhe_grupo_tarifa],8,financeiro[id_tipo_tarifa],9,financeiro[valor],"&lt;0")</f>
        <v>0</v>
      </c>
      <c r="BO27" s="267">
        <f>SUMIFS(financeiro[valor],financeiro[IdAgente],B27,financeiro[idDet1],22,financeiro[idDet2],60,financeiro[idDet3],999,financeiro[id_grupo_tarifa],4,financeiro[id_detalhe_grupo_tarifa],999,financeiro[id_tipo_tarifa],9,financeiro[valor],"&lt;0")</f>
        <v>0</v>
      </c>
      <c r="BP27" s="267">
        <f>SUMIFS(financeiro[valor],financeiro[IdAgente],B27,financeiro[idDet1],22,financeiro[idDet2],60,financeiro[idDet3],530,financeiro[valor],"&lt;0")</f>
        <v>0</v>
      </c>
      <c r="BQ27" s="267">
        <f>SUMIFS(financeiro[valor],financeiro[IdAgente],B27,financeiro[idDet1],22,financeiro[idDet2],60,financeiro[idDet3],531,financeiro[valor],"&lt;0")</f>
        <v>0</v>
      </c>
      <c r="BR27" s="267">
        <f>SUMIFS(financeiro[valor],financeiro[IdAgente],B27,financeiro[idDet1],22,financeiro[idDet2],62,financeiro[idDet3],532,financeiro[valor],"&lt;0")</f>
        <v>0</v>
      </c>
      <c r="BS27" s="267">
        <f>SUMIFS(financeiro[valor],financeiro[IdAgente],B27,financeiro[idDet1],22,financeiro[idDet2],62,financeiro[idDet3],533,financeiro[valor],"&lt;0")</f>
        <v>0</v>
      </c>
      <c r="BT27" s="267">
        <f>SUMIFS(financeiro[valor],financeiro[IdAgente],B27,financeiro[idDet1],22,financeiro[idDet2],62,financeiro[idDet3],534,financeiro[valor],"&lt;0")</f>
        <v>0</v>
      </c>
      <c r="BW27" s="210" t="s">
        <v>186</v>
      </c>
      <c r="BX27" t="str">
        <f>Efeito!B28</f>
        <v>NO SELECT</v>
      </c>
      <c r="BY27" s="267">
        <f>SUMIFS(Banco[valor],Banco[IdAgente],BX27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27" s="267">
        <f>SUMIFS(Banco[valor],Banco[IdAgente],BX27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27" s="267">
        <f>SUMIFS(Banco[valor],Banco[IdAgente],BX27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27" s="267">
        <f>SUMIFS(Banco[valor],Banco[IdAgente],BX27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27" s="267">
        <f>SUMIFS(Banco[valor],Banco[IdAgente],BX27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27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27" s="267">
        <f>SUMIFS(Banco[valor],Banco[IdAgente],BX27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27" s="267">
        <f>SUMIFS(Banco[valor],Banco[IdAgente],BX27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27" s="267">
        <f>SUMIFS(Banco[valor],Banco[IdAgente],BX27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27" s="267">
        <f>SUMIFS(Banco[valor],Banco[IdAgente],BX27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27" s="267">
        <f>SUMIFS(Banco[valor],Banco[IdAgente],BX27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27" s="267">
        <f>SUMIFS(Banco[valor],Banco[IdAgente],BX27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27" s="267">
        <f>SUMIFS(Banco[valor],Banco[IdAgente],BX27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27" s="267">
        <f>SUMIFS(Banco[valor],Banco[IdAgente],B27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27" s="267">
        <f>SUMIFS(Banco[valor],Banco[IdAgente],B27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27" s="267">
        <f>SUMIFS(Banco[valor],Banco[IdAgente],B27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28" spans="1:91">
      <c r="A28" t="s">
        <v>189</v>
      </c>
      <c r="B28" t="str">
        <f>Efeito!B29</f>
        <v>NO SELECT</v>
      </c>
      <c r="C28" s="267">
        <f>SUMIFS(Banco[valor],Banco[IdAgente],B28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28" s="267">
        <f>SUMIFS(Banco[valor],Banco[IdAgente],B28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28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28" s="267">
        <f>SUMIFS(Banco[valor],Banco[IdAgente],B28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28" s="267">
        <f>SUMIFS(Banco[valor],Banco[IdAgente],B28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28" s="267">
        <f>SUMIFS(Banco[valor],Banco[IdAgente],B28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28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28" s="267">
        <f>SUMIFS(Banco[valor],Banco[IdAgente],B28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28" s="267">
        <f>SUMIFS(Banco[valor],Banco[IdAgente],B28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28" s="267">
        <f>SUMIFS(Banco[valor],Banco[IdAgente],B28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28" s="267">
        <f>SUMIFS(Banco[valor],Banco[IdAgente],B28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28" s="267">
        <f>SUMIFS(Banco[valor],Banco[IdAgente],B28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28" s="267">
        <f>SUMIFS(Banco[valor],Banco[IdAgente],B28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28" s="267">
        <f>SUMIFS(Banco[valor],Banco[IdAgente],B28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28" s="267">
        <f>SUMIFS(Banco[valor],Banco[IdAgente],B28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28" s="267">
        <f t="shared" si="2"/>
        <v>0</v>
      </c>
      <c r="Q28" s="267">
        <f>SUMIFS(Banco[valor],Banco[IdAgente],B28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28" s="267">
        <f>SUMIFS(Banco[valor],Banco[IdAgente],B28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28" s="4"/>
      <c r="T28" s="4"/>
      <c r="U28" s="4"/>
      <c r="V28" s="267">
        <f>SUMIFS(financeiro[valor],financeiro[IdAgente],B28,financeiro[idDet1],22,financeiro[idDet2],60,financeiro[idDet3],526,financeiro[id_grupo_tarifa],1,financeiro[id_detalhe_grupo_tarifa],7,financeiro[id_tipo_tarifa],9,financeiro[id_subgrupo],99,financeiro[valor],"&gt;0")+SUMIFS(financeiro[valor],financeiro[IdAgente],B28,financeiro[idDet1],22,financeiro[idDet2],60,financeiro[idDet3],526,financeiro[id_grupo_tarifa],2,financeiro[id_detalhe_grupo_tarifa],11,financeiro[id_tipo_tarifa],9,financeiro[valor],"&gt;0")+SUMIFS(financeiro[valor],financeiro[IdAgente],B28,financeiro[idDet1],22,financeiro[idDet2],60,financeiro[idDet3],526,financeiro[id_grupo_tarifa],2,financeiro[id_detalhe_grupo_tarifa],9,financeiro[id_tipo_tarifa],9,financeiro[valor],"&gt;0")+SUMIFS(financeiro[valor],financeiro[IdAgente],B28,financeiro[idDet1],22,financeiro[idDet2],60,financeiro[idDet3],526,financeiro[id_grupo_tarifa],2,financeiro[id_detalhe_grupo_tarifa],8,financeiro[id_tipo_tarifa],9,financeiro[valor],"&gt;0")+SUMIFS(financeiro[valor],financeiro[IdAgente],B28,financeiro[idDet1],22,financeiro[idDet2],60,financeiro[idDet3],526,financeiro[id_grupo_tarifa],2,financeiro[id_detalhe_grupo_tarifa],10,financeiro[id_tipo_tarifa],9,financeiro[valor],"&gt;0")+SUMIFS(financeiro[valor],financeiro[IdAgente],B28,financeiro[idDet1],22,financeiro[idDet2],60,financeiro[idDet3],526,financeiro[id_grupo_tarifa],2,financeiro[id_detalhe_grupo_tarifa],24,financeiro[id_tipo_tarifa],9,financeiro[valor],"&gt;0")</f>
        <v>0</v>
      </c>
      <c r="W28" s="267">
        <f>SUMIFS(financeiro[valor],financeiro[IdAgente],B28,financeiro[idDet1],20,financeiro[idDet2],60,financeiro[idDet3],999,financeiro[id_grupo_tarifa],3,financeiro[id_detalhe_grupo_tarifa],14,financeiro[id_tipo_tarifa],9)+SUMIFS(financeiro[valor],financeiro[IdAgente],B28,financeiro[idDet1],20,financeiro[idDet2],60,financeiro[idDet3],999,financeiro[id_grupo_tarifa],3,financeiro[id_detalhe_grupo_tarifa],15,financeiro[id_tipo_tarifa],9)+SUMIFS(financeiro[valor],financeiro[IdAgente],B28,financeiro[idDet1],20,financeiro[idDet2],60,financeiro[idDet3],999,financeiro[id_grupo_tarifa],3,financeiro[id_detalhe_grupo_tarifa],16,financeiro[id_tipo_tarifa],9)+SUMIFS(financeiro[valor],financeiro[IdAgente],B28,financeiro[idDet1],20,financeiro[idDet2],60,financeiro[idDet3],999,financeiro[id_grupo_tarifa],3,financeiro[id_detalhe_grupo_tarifa],17,financeiro[id_tipo_tarifa],9)+SUMIFS(financeiro[valor],financeiro[IdAgente],B28,financeiro[idDet1],20,financeiro[idDet2],60,financeiro[idDet3],999,financeiro[id_grupo_tarifa],3,financeiro[id_detalhe_grupo_tarifa],18,financeiro[id_tipo_tarifa],9)+SUMIFS(financeiro[valor],financeiro[IdAgente],B28,financeiro[idDet1],20,financeiro[idDet2],60,financeiro[idDet3],999,financeiro[id_grupo_tarifa],3,financeiro[id_detalhe_grupo_tarifa],19,financeiro[id_tipo_tarifa],9)</f>
        <v>0</v>
      </c>
      <c r="X28" s="267">
        <f>SUMIFS(financeiro[valor],financeiro[IdAgente],B28,financeiro[idDet1],20,financeiro[idDet2],60,financeiro[idDet3],999,financeiro[id_grupo_tarifa],3,financeiro[id_detalhe_grupo_tarifa],12,financeiro[id_tipo_tarifa],9)+SUMIFS(financeiro[valor],financeiro[IdAgente],B28,financeiro[idDet1],20,financeiro[idDet2],60,financeiro[idDet3],999,financeiro[id_grupo_tarifa],4,financeiro[id_detalhe_grupo_tarifa],999,financeiro[id_tipo_tarifa],9)</f>
        <v>0</v>
      </c>
      <c r="Y28" s="267">
        <f>SUMIFS(financeiro[valor],financeiro[IdAgente],B28,financeiro[idDet1],20,financeiro[idDet2],60,financeiro[idDet3],179,financeiro[id_grupo_tarifa],99,financeiro[id_detalhe_grupo_tarifa],999,financeiro[id_tipo_tarifa],9)</f>
        <v>0</v>
      </c>
      <c r="Z28" s="267">
        <f>SUMIFS(financeiro[valor],financeiro[IdAgente],B28,financeiro[idDet1],20,financeiro[idDet2],60,financeiro[idDet3],999,financeiro[id_grupo_tarifa],2,financeiro[id_detalhe_grupo_tarifa],11,financeiro[id_tipo_tarifa],9,financeiro[valor],"&gt;0")+SUMIFS(financeiro[valor],financeiro[IdAgente],B28,financeiro[idDet1],20,financeiro[idDet2],60,financeiro[idDet3],999,financeiro[id_grupo_tarifa],2,financeiro[id_detalhe_grupo_tarifa],9,financeiro[id_tipo_tarifa],9,financeiro[valor],"&gt;0")+SUMIFS(financeiro[valor],financeiro[IdAgente],B28,financeiro[idDet1],20,financeiro[idDet2],60,financeiro[idDet3],999,financeiro[id_grupo_tarifa],2,financeiro[id_detalhe_grupo_tarifa],8,financeiro[id_tipo_tarifa],9,financeiro[valor],"&gt;0")+SUMIFS(financeiro[valor],financeiro[IdAgente],B28,financeiro[idDet1],20,financeiro[idDet2],60,financeiro[idDet3],999,financeiro[id_grupo_tarifa],2,financeiro[id_detalhe_grupo_tarifa],10,financeiro[id_tipo_tarifa],9,financeiro[valor],"&gt;0")+SUMIFS(financeiro[valor],financeiro[IdAgente],B28,financeiro[idDet1],20,financeiro[idDet2],60,financeiro[idDet3],999,financeiro[id_grupo_tarifa],2,financeiro[id_detalhe_grupo_tarifa],24,financeiro[id_tipo_tarifa],9,financeiro[valor],"&gt;0")+SUMIFS(financeiro[valor],financeiro[IdAgente],B28,financeiro[idDet1],20,financeiro[idDet2],60,financeiro[idDet3],999,financeiro[id_grupo_tarifa],2,financeiro[id_detalhe_grupo_tarifa],17,financeiro[id_tipo_tarifa],9,financeiro[valor],"&gt;0")+SUMIFS(financeiro[valor],financeiro[IdAgente],B28,financeiro[idDet1],999,financeiro[idDet2],999999,financeiro[idDet3],999,financeiro[id_grupo_tarifa],99,financeiro[id_detalhe_grupo_tarifa],999,financeiro[id_tipo_tarifa],9,financeiro[valor],"&gt;0")</f>
        <v>0</v>
      </c>
      <c r="AA28" s="267">
        <f>SUMIFS(financeiro[valor],financeiro[IdAgente],B28,financeiro[idDet1],22,financeiro[idDet2],60,financeiro[idDet3],529,financeiro[id_grupo_tarifa],1,financeiro[id_detalhe_grupo_tarifa],1,financeiro[id_tipo_tarifa],9,financeiro[valor],"&gt;0")+SUMIFS(financeiro[valor],financeiro[IdAgente],B28,financeiro[idDet1],22,financeiro[idDet2],60,financeiro[idDet3],529,financeiro[id_grupo_tarifa],1,financeiro[id_detalhe_grupo_tarifa],2,financeiro[id_tipo_tarifa],9,financeiro[valor],"&gt;0")</f>
        <v>0</v>
      </c>
      <c r="AB28" s="269"/>
      <c r="AC28" s="267">
        <f>SUMIFS(financeiro[valor],financeiro[IdAgente],B28,financeiro[idDet1],22,financeiro[idDet2],60,financeiro[idDet3],999,financeiro[id_grupo_tarifa],2,financeiro[id_detalhe_grupo_tarifa],30,financeiro[id_tipo_tarifa],9,financeiro[valor],"&gt;0")</f>
        <v>0</v>
      </c>
      <c r="AD28" s="267">
        <f>SUMIFS(financeiro[valor],financeiro[IdAgente],B28,financeiro[idDet1],22,financeiro[idDet2],60,financeiro[idDet3],178,financeiro[id_grupo_tarifa],1,financeiro[id_detalhe_grupo_tarifa],7,financeiro[id_tipo_tarifa],9)</f>
        <v>0</v>
      </c>
      <c r="AE28" s="267">
        <f>SUMIFS(financeiro[valor],financeiro[IdAgente],B28,financeiro[idDet1],22,financeiro[idDet2],60,financeiro[idDet3],242,financeiro[id_grupo_tarifa],4,financeiro[id_detalhe_grupo_tarifa],999,financeiro[id_tipo_tarifa],9)</f>
        <v>0</v>
      </c>
      <c r="AF28" s="267">
        <f>SUMIFS(financeiro[valor],financeiro[IdAgente],B28,financeiro[idDet1],22,financeiro[idDet2],60,financeiro[idDet3],525,financeiro[id_grupo_tarifa],2,financeiro[id_tipo_tarifa],9)</f>
        <v>0</v>
      </c>
      <c r="AG28" s="267">
        <f>SUMIFS(financeiro[valor],financeiro[IdAgente],B28,financeiro[idDet1],22,financeiro[idDet2],60,financeiro[idDet3],524)</f>
        <v>0</v>
      </c>
      <c r="AH28" s="269"/>
      <c r="AI28" s="267">
        <f>SUMIFS(financeiro[valor],financeiro[IdAgente],B28,financeiro[idDet1],22,financeiro[idDet2],60,financeiro[idDet3],523,financeiro[id_grupo_tarifa],2,financeiro[id_detalhe_grupo_tarifa],30,financeiro[id_tipo_tarifa],9)</f>
        <v>0</v>
      </c>
      <c r="AJ28" s="267">
        <f>SUMIFS(financeiro[valor],financeiro[IdAgente],B28,financeiro[idDet1],22,financeiro[idDet2],60,financeiro[idDet3],503,financeiro[id_grupo_tarifa],99,financeiro[id_detalhe_grupo_tarifa],999,financeiro[id_tipo_tarifa],3)</f>
        <v>0</v>
      </c>
      <c r="AK28" s="269"/>
      <c r="AL28" s="269"/>
      <c r="AM28" s="269"/>
      <c r="AN28" s="269"/>
      <c r="AO28" s="269"/>
      <c r="AP28" s="269"/>
      <c r="AQ28" s="269"/>
      <c r="AR28" s="269"/>
      <c r="AS28" s="269"/>
      <c r="AT28" s="267">
        <f>SUMIFS(financeiro[valor],financeiro[IdAgente],B28,financeiro[idDet1],22,financeiro[idDet2],60,financeiro[idDet3],235,financeiro[id_grupo_tarifa],4,financeiro[id_detalhe_grupo_tarifa],999,financeiro[id_tipo_tarifa],9)</f>
        <v>0</v>
      </c>
      <c r="AU28" s="267">
        <f>SUMIFS(financeiro[valor],financeiro[IdAgente],B28,financeiro[idDet1],22,financeiro[idDet2],60,financeiro[idDet3],512,financeiro[id_grupo_tarifa],3,financeiro[id_detalhe_grupo_tarifa],28,financeiro[id_tipo_tarifa],9)</f>
        <v>0</v>
      </c>
      <c r="AV28" s="267">
        <f>SUMIFS(financeiro[valor],financeiro[IdAgente],B28,financeiro[idDet1],22,financeiro[idDet2],60,financeiro[idDet3],241,financeiro[id_grupo_tarifa],2,financeiro[id_detalhe_grupo_tarifa],11,financeiro[id_tipo_tarifa],9)+SUMIFS(financeiro[valor],financeiro[IdAgente],B28,financeiro[idDet1],22,financeiro[idDet2],60,financeiro[idDet3],241,financeiro[id_grupo_tarifa],2,financeiro[id_detalhe_grupo_tarifa],9,financeiro[id_tipo_tarifa],9)+SUMIFS(financeiro[valor],financeiro[IdAgente],B28,financeiro[idDet1],22,financeiro[idDet2],60,financeiro[idDet3],241,financeiro[id_grupo_tarifa],2,financeiro[id_detalhe_grupo_tarifa],8,financeiro[id_tipo_tarifa],9)+SUMIFS(financeiro[valor],financeiro[IdAgente],B28,financeiro[idDet1],22,financeiro[idDet2],60,financeiro[idDet3],241,financeiro[id_grupo_tarifa],2,financeiro[id_detalhe_grupo_tarifa],10,financeiro[id_tipo_tarifa],9)+SUMIFS(financeiro[valor],financeiro[IdAgente],B28,financeiro[idDet1],22,financeiro[idDet2],60,financeiro[idDet3],241,financeiro[id_grupo_tarifa],2,financeiro[id_detalhe_grupo_tarifa],24,financeiro[id_tipo_tarifa],9)</f>
        <v>0</v>
      </c>
      <c r="AW28" s="267">
        <f>SUMIFS(financeiro[valor],financeiro[IdAgente],B28,financeiro[idDet1],22,financeiro[idDet2],60,financeiro[idDet3],241,financeiro[id_grupo_tarifa],3,financeiro[id_detalhe_grupo_tarifa],17,financeiro[id_tipo_tarifa],9)</f>
        <v>0</v>
      </c>
      <c r="AX28" s="267">
        <f>SUMIFS(financeiro[valor],financeiro[IdAgente],B28,financeiro[idDet1],22,financeiro[idDet2],60,financeiro[idDet3],240,financeiro[id_grupo_tarifa],2,financeiro[id_detalhe_grupo_tarifa],11,financeiro[id_tipo_tarifa],9)+SUMIFS(financeiro[valor],financeiro[IdAgente],B28,financeiro[idDet1],22,financeiro[idDet2],60,financeiro[idDet3],240,financeiro[id_grupo_tarifa],2,financeiro[id_detalhe_grupo_tarifa],9,financeiro[id_tipo_tarifa],9)+SUMIFS(financeiro[valor],financeiro[IdAgente],B28,financeiro[idDet1],22,financeiro[idDet2],60,financeiro[idDet3],240,financeiro[id_grupo_tarifa],2,financeiro[id_detalhe_grupo_tarifa],8,financeiro[id_tipo_tarifa],9)+SUMIFS(financeiro[valor],financeiro[IdAgente],B28,financeiro[idDet1],22,financeiro[idDet2],60,financeiro[idDet3],240,financeiro[id_grupo_tarifa],2,financeiro[id_detalhe_grupo_tarifa],10,financeiro[id_tipo_tarifa],9)+SUMIFS(financeiro[valor],financeiro[IdAgente],B28,financeiro[idDet1],22,financeiro[idDet2],60,financeiro[idDet3],240,financeiro[id_grupo_tarifa],2,financeiro[id_detalhe_grupo_tarifa],24,financeiro[id_tipo_tarifa],9)</f>
        <v>0</v>
      </c>
      <c r="AY28" s="267">
        <f>SUMIFS(financeiro[valor],financeiro[IdAgente],B28,financeiro[idDet1],22,financeiro[idDet2],60,financeiro[idDet3],106,financeiro[id_grupo_tarifa],2,financeiro[id_detalhe_grupo_tarifa],11,financeiro[id_tipo_tarifa],9)+SUMIFS(financeiro[valor],financeiro[IdAgente],B28,financeiro[idDet1],22,financeiro[idDet2],60,financeiro[idDet3],106,financeiro[id_grupo_tarifa],2,financeiro[id_detalhe_grupo_tarifa],9,financeiro[id_tipo_tarifa],9)+SUMIFS(financeiro[valor],financeiro[IdAgente],B28,financeiro[idDet1],22,financeiro[idDet2],60,financeiro[idDet3],106,financeiro[id_grupo_tarifa],2,financeiro[id_detalhe_grupo_tarifa],8,financeiro[id_tipo_tarifa],9)+SUMIFS(financeiro[valor],financeiro[IdAgente],B28,financeiro[idDet1],22,financeiro[idDet2],60,financeiro[idDet3],106,financeiro[id_grupo_tarifa],2,financeiro[id_detalhe_grupo_tarifa],10,financeiro[id_tipo_tarifa],9)+SUMIFS(financeiro[valor],financeiro[IdAgente],B28,financeiro[idDet1],22,financeiro[idDet2],60,financeiro[idDet3],106,financeiro[id_grupo_tarifa],2,financeiro[id_detalhe_grupo_tarifa],24,financeiro[id_tipo_tarifa],9)</f>
        <v>0</v>
      </c>
      <c r="AZ28" s="267">
        <f>SUMIFS(financeiro[valor],financeiro[IdAgente],B28,financeiro[idDet1],22,financeiro[idDet2],62,financeiro[idDet3],220,financeiro[id_grupo_tarifa],2,financeiro[id_detalhe_grupo_tarifa],11,financeiro[id_tipo_tarifa],9)+SUMIFS(financeiro[valor],financeiro[IdAgente],B28,financeiro[idDet1],22,financeiro[idDet2],62,financeiro[idDet3],220,financeiro[id_grupo_tarifa],2,financeiro[id_detalhe_grupo_tarifa],9,financeiro[id_tipo_tarifa],9)+SUMIFS(financeiro[valor],financeiro[IdAgente],B28,financeiro[idDet1],22,financeiro[idDet2],62,financeiro[idDet3],220,financeiro[id_grupo_tarifa],2,financeiro[id_detalhe_grupo_tarifa],8,financeiro[id_tipo_tarifa],9)+SUMIFS(financeiro[valor],financeiro[IdAgente],B28,financeiro[idDet1],22,financeiro[idDet2],62,financeiro[idDet3],220,financeiro[id_grupo_tarifa],2,financeiro[id_detalhe_grupo_tarifa],10,financeiro[id_tipo_tarifa],9)+SUMIFS(financeiro[valor],financeiro[IdAgente],B28,financeiro[idDet1],22,financeiro[idDet2],62,financeiro[idDet3],220,financeiro[id_grupo_tarifa],2,financeiro[id_detalhe_grupo_tarifa],24,financeiro[id_tipo_tarifa],9)</f>
        <v>0</v>
      </c>
      <c r="BA28" s="267">
        <f>SUMIFS(financeiro[valor],financeiro[IdAgente],B28,financeiro[idDet1],22,financeiro[idDet2],60,financeiro[idDet3],220,financeiro[id_grupo_tarifa],2,financeiro[id_detalhe_grupo_tarifa],11,financeiro[id_tipo_tarifa],9)+SUMIFS(financeiro[valor],financeiro[IdAgente],B28,financeiro[idDet1],22,financeiro[idDet2],60,financeiro[idDet3],220,financeiro[id_grupo_tarifa],2,financeiro[id_detalhe_grupo_tarifa],9,financeiro[id_tipo_tarifa],9)+SUMIFS(financeiro[valor],financeiro[IdAgente],B28,financeiro[idDet1],22,financeiro[idDet2],60,financeiro[idDet3],220,financeiro[id_grupo_tarifa],2,financeiro[id_detalhe_grupo_tarifa],8,financeiro[id_tipo_tarifa],9)+SUMIFS(financeiro[valor],financeiro[IdAgente],B28,financeiro[idDet1],22,financeiro[idDet2],60,financeiro[idDet3],220,financeiro[id_grupo_tarifa],2,financeiro[id_detalhe_grupo_tarifa],10,financeiro[id_tipo_tarifa],9)+SUMIFS(financeiro[valor],financeiro[IdAgente],B28,financeiro[idDet1],22,financeiro[idDet2],60,financeiro[idDet3],220,financeiro[id_grupo_tarifa],2,financeiro[id_detalhe_grupo_tarifa],24,financeiro[id_tipo_tarifa],9)</f>
        <v>0</v>
      </c>
      <c r="BB28" s="267">
        <f>SUMIFS(financeiro[valor],financeiro[IdAgente],B28,financeiro[idDet1],22,financeiro[idDet2],60,financeiro[idDet3],102,financeiro[id_grupo_tarifa],2,financeiro[id_detalhe_grupo_tarifa],11,financeiro[id_tipo_tarifa],9)+SUMIFS(financeiro[valor],financeiro[IdAgente],B28,financeiro[idDet1],22,financeiro[idDet2],60,financeiro[idDet3],102,financeiro[id_grupo_tarifa],2,financeiro[id_detalhe_grupo_tarifa],9,financeiro[id_tipo_tarifa],9)+SUMIFS(financeiro[valor],financeiro[IdAgente],B28,financeiro[idDet1],22,financeiro[idDet2],60,financeiro[idDet3],102,financeiro[id_grupo_tarifa],2,financeiro[id_detalhe_grupo_tarifa],8,financeiro[id_tipo_tarifa],9)+SUMIFS(financeiro[valor],financeiro[IdAgente],B28,financeiro[idDet1],22,financeiro[idDet2],60,financeiro[idDet3],102,financeiro[id_grupo_tarifa],2,financeiro[id_detalhe_grupo_tarifa],10,financeiro[id_tipo_tarifa],9)+SUMIFS(financeiro[valor],financeiro[IdAgente],B28,financeiro[idDet1],22,financeiro[idDet2],60,financeiro[idDet3],102,financeiro[id_grupo_tarifa],2,financeiro[id_detalhe_grupo_tarifa],24,financeiro[id_tipo_tarifa],9)</f>
        <v>0</v>
      </c>
      <c r="BC28" s="267">
        <f>SUMIFS(financeiro[valor],financeiro[IdAgente],B28,financeiro[idDet1],22,financeiro[idDet2],60,financeiro[idDet3],522,financeiro[valor],"&lt;0")</f>
        <v>0</v>
      </c>
      <c r="BD28" s="267">
        <f>SUMIFS(financeiro[valor],financeiro[IdAgente],B28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28" s="267">
        <f>SUMIFS(financeiro[valor],financeiro[IdAgente],B28,financeiro[id_natureza_dado],2,financeiro[id_detalhe_natureza],2,financeiro[idDet1],20,financeiro[idDet2],60,financeiro[idDet3],82,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28" s="267">
        <f>SUMIFS(financeiro[valor],financeiro[IdAgente],B28,financeiro[id_natureza_dado],2,financeiro[id_detalhe_natureza],2,financeiro[idDet1],20,financeiro[idDet2],60,financeiro[idDet3],81,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28" s="267">
        <f>SUMIFS(financeiro[valor],financeiro[IdAgente],B28,financeiro[id_natureza_dado],2,financeiro[id_detalhe_natureza],2,financeiro[idDet1],20,financeiro[idDet2],60,financeiro[idDet3],503,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28" s="267">
        <f>SUMIFS(financeiro[valor],financeiro[IdAgente],B28,financeiro[idDet1],22,financeiro[idDet2],60,financeiro[idDet3],123)</f>
        <v>0</v>
      </c>
      <c r="BI28" s="267">
        <f>SUMIFS(financeiro[valor],financeiro[IdAgente],B28,financeiro[idDet1],20,financeiro[idDet2],60,financeiro[idDet3],73)</f>
        <v>0</v>
      </c>
      <c r="BJ28" s="267">
        <f>SUMIFS(financeiro[valor],financeiro[IdAgente],B28,financeiro[idDet1],22,financeiro[idDet2],60,financeiro[idDet3],527)</f>
        <v>0</v>
      </c>
      <c r="BK28" s="267">
        <f>SUMIFS(financeiro[valor],financeiro[IdAgente],B28,financeiro[idDet1],22,financeiro[idDet2],60,financeiro[idDet3],510)</f>
        <v>0</v>
      </c>
      <c r="BL28" s="267">
        <f>SUMIFS(financeiro[valor],financeiro[IdAgente],B28,financeiro[idDet1],22,financeiro[idDet2],60,financeiro[idDet3],526,
financeiro[id_grupo_tarifa],1,financeiro[id_detalhe_grupo_tarifa],3,financeiro[id_tipo_tarifa],9,financeiro[id_subgrupo],3)</f>
        <v>0</v>
      </c>
      <c r="BM28" s="267">
        <f>SUMIFS(financeiro[valor],financeiro[IdAgente],B28,financeiro[idDet1],22,financeiro[idDet2],60,financeiro[idDet3],999,
financeiro[id_grupo_tarifa],3,financeiro[id_detalhe_grupo_tarifa],17,financeiro[id_tipo_tarifa],9)</f>
        <v>0</v>
      </c>
      <c r="BN28" s="267">
        <f>SUMIFS(financeiro[valor],financeiro[IdAgente],B28,financeiro[idDet1],22,financeiro[idDet2],60,financeiro[idDet3],526,financeiro[id_grupo_tarifa],1,financeiro[id_detalhe_grupo_tarifa],7,financeiro[id_tipo_tarifa],9,financeiro[valor],"&lt;0")+SUMIFS(financeiro[valor],financeiro[IdAgente],B28,financeiro[idDet1],22,financeiro[idDet2],60,financeiro[idDet3],526,financeiro[id_grupo_tarifa],2,financeiro[id_detalhe_grupo_tarifa],11,financeiro[id_tipo_tarifa],9,financeiro[valor],"&lt;0")+SUMIFS(financeiro[valor],financeiro[IdAgente],B28,financeiro[idDet1],22,financeiro[idDet2],60,financeiro[idDet3],526,financeiro[id_grupo_tarifa],2,financeiro[id_detalhe_grupo_tarifa],8,financeiro[id_tipo_tarifa],9,financeiro[valor],"&lt;0")</f>
        <v>0</v>
      </c>
      <c r="BO28" s="267">
        <f>SUMIFS(financeiro[valor],financeiro[IdAgente],B28,financeiro[idDet1],22,financeiro[idDet2],60,financeiro[idDet3],999,financeiro[id_grupo_tarifa],4,financeiro[id_detalhe_grupo_tarifa],999,financeiro[id_tipo_tarifa],9,financeiro[valor],"&lt;0")</f>
        <v>0</v>
      </c>
      <c r="BP28" s="267">
        <f>SUMIFS(financeiro[valor],financeiro[IdAgente],B28,financeiro[idDet1],22,financeiro[idDet2],60,financeiro[idDet3],530,financeiro[valor],"&lt;0")</f>
        <v>0</v>
      </c>
      <c r="BQ28" s="267">
        <f>SUMIFS(financeiro[valor],financeiro[IdAgente],B28,financeiro[idDet1],22,financeiro[idDet2],60,financeiro[idDet3],531,financeiro[valor],"&lt;0")</f>
        <v>0</v>
      </c>
      <c r="BR28" s="267">
        <f>SUMIFS(financeiro[valor],financeiro[IdAgente],B28,financeiro[idDet1],22,financeiro[idDet2],62,financeiro[idDet3],532,financeiro[valor],"&lt;0")</f>
        <v>0</v>
      </c>
      <c r="BS28" s="267">
        <f>SUMIFS(financeiro[valor],financeiro[IdAgente],B28,financeiro[idDet1],22,financeiro[idDet2],62,financeiro[idDet3],533,financeiro[valor],"&lt;0")</f>
        <v>0</v>
      </c>
      <c r="BT28" s="267">
        <f>SUMIFS(financeiro[valor],financeiro[IdAgente],B28,financeiro[idDet1],22,financeiro[idDet2],62,financeiro[idDet3],534,financeiro[valor],"&lt;0")</f>
        <v>0</v>
      </c>
      <c r="BW28" s="210" t="s">
        <v>189</v>
      </c>
      <c r="BX28" t="str">
        <f>Efeito!B29</f>
        <v>NO SELECT</v>
      </c>
      <c r="BY28" s="267">
        <f>SUMIFS(Banco[valor],Banco[IdAgente],BX28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28" s="267">
        <f>SUMIFS(Banco[valor],Banco[IdAgente],BX28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28" s="267">
        <f>SUMIFS(Banco[valor],Banco[IdAgente],BX28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28" s="267">
        <f>SUMIFS(Banco[valor],Banco[IdAgente],BX28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28" s="267">
        <f>SUMIFS(Banco[valor],Banco[IdAgente],BX28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28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28" s="267">
        <f>SUMIFS(Banco[valor],Banco[IdAgente],BX28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28" s="267">
        <f>SUMIFS(Banco[valor],Banco[IdAgente],BX28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28" s="267">
        <f>SUMIFS(Banco[valor],Banco[IdAgente],BX28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28" s="267">
        <f>SUMIFS(Banco[valor],Banco[IdAgente],BX28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28" s="267">
        <f>SUMIFS(Banco[valor],Banco[IdAgente],BX28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28" s="267">
        <f>SUMIFS(Banco[valor],Banco[IdAgente],BX28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28" s="267">
        <f>SUMIFS(Banco[valor],Banco[IdAgente],BX28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28" s="267">
        <f>SUMIFS(Banco[valor],Banco[IdAgente],B28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28" s="267">
        <f>SUMIFS(Banco[valor],Banco[IdAgente],B28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28" s="267">
        <f>SUMIFS(Banco[valor],Banco[IdAgente],B28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29" spans="1:91">
      <c r="A29" t="s">
        <v>60</v>
      </c>
      <c r="B29" t="str">
        <f>Efeito!B30</f>
        <v>NO SELECT</v>
      </c>
      <c r="C29" s="267">
        <f>SUMIFS(Banco[valor],Banco[IdAgente],B29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29" s="267">
        <f>SUMIFS(Banco[valor],Banco[IdAgente],B29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29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29" s="267">
        <f>SUMIFS(Banco[valor],Banco[IdAgente],B29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29" s="267">
        <f>SUMIFS(Banco[valor],Banco[IdAgente],B29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29" s="267">
        <f>SUMIFS(Banco[valor],Banco[IdAgente],B29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29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29" s="267">
        <f>SUMIFS(Banco[valor],Banco[IdAgente],B29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29" s="267">
        <f>SUMIFS(Banco[valor],Banco[IdAgente],B29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29" s="267">
        <f>SUMIFS(Banco[valor],Banco[IdAgente],B29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29" s="267">
        <f>SUMIFS(Banco[valor],Banco[IdAgente],B29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29" s="267">
        <f>SUMIFS(Banco[valor],Banco[IdAgente],B29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29" s="267">
        <f>SUMIFS(Banco[valor],Banco[IdAgente],B29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29" s="267">
        <f>SUMIFS(Banco[valor],Banco[IdAgente],B29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29" s="267">
        <f>SUMIFS(Banco[valor],Banco[IdAgente],B29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29" s="267">
        <f t="shared" si="2"/>
        <v>0</v>
      </c>
      <c r="Q29" s="267">
        <f>SUMIFS(Banco[valor],Banco[IdAgente],B29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29" s="267">
        <f>SUMIFS(Banco[valor],Banco[IdAgente],B29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29" s="4"/>
      <c r="T29" s="4"/>
      <c r="U29" s="4"/>
      <c r="V29" s="267">
        <f>SUMIFS(financeiro[valor],financeiro[IdAgente],B29,financeiro[idDet1],22,financeiro[idDet2],60,financeiro[idDet3],526,financeiro[id_grupo_tarifa],1,financeiro[id_detalhe_grupo_tarifa],7,financeiro[id_tipo_tarifa],9,financeiro[id_subgrupo],99,financeiro[valor],"&gt;0")+SUMIFS(financeiro[valor],financeiro[IdAgente],B29,financeiro[idDet1],22,financeiro[idDet2],60,financeiro[idDet3],526,financeiro[id_grupo_tarifa],2,financeiro[id_detalhe_grupo_tarifa],11,financeiro[id_tipo_tarifa],9,financeiro[valor],"&gt;0")+SUMIFS(financeiro[valor],financeiro[IdAgente],B29,financeiro[idDet1],22,financeiro[idDet2],60,financeiro[idDet3],526,financeiro[id_grupo_tarifa],2,financeiro[id_detalhe_grupo_tarifa],9,financeiro[id_tipo_tarifa],9,financeiro[valor],"&gt;0")+SUMIFS(financeiro[valor],financeiro[IdAgente],B29,financeiro[idDet1],22,financeiro[idDet2],60,financeiro[idDet3],526,financeiro[id_grupo_tarifa],2,financeiro[id_detalhe_grupo_tarifa],8,financeiro[id_tipo_tarifa],9,financeiro[valor],"&gt;0")+SUMIFS(financeiro[valor],financeiro[IdAgente],B29,financeiro[idDet1],22,financeiro[idDet2],60,financeiro[idDet3],526,financeiro[id_grupo_tarifa],2,financeiro[id_detalhe_grupo_tarifa],10,financeiro[id_tipo_tarifa],9,financeiro[valor],"&gt;0")+SUMIFS(financeiro[valor],financeiro[IdAgente],B29,financeiro[idDet1],22,financeiro[idDet2],60,financeiro[idDet3],526,financeiro[id_grupo_tarifa],2,financeiro[id_detalhe_grupo_tarifa],24,financeiro[id_tipo_tarifa],9,financeiro[valor],"&gt;0")</f>
        <v>0</v>
      </c>
      <c r="W29" s="267">
        <f>SUMIFS(financeiro[valor],financeiro[IdAgente],B29,financeiro[idDet1],20,financeiro[idDet2],60,financeiro[idDet3],999,financeiro[id_grupo_tarifa],3,financeiro[id_detalhe_grupo_tarifa],14,financeiro[id_tipo_tarifa],9)+SUMIFS(financeiro[valor],financeiro[IdAgente],B29,financeiro[idDet1],20,financeiro[idDet2],60,financeiro[idDet3],999,financeiro[id_grupo_tarifa],3,financeiro[id_detalhe_grupo_tarifa],15,financeiro[id_tipo_tarifa],9)+SUMIFS(financeiro[valor],financeiro[IdAgente],B29,financeiro[idDet1],20,financeiro[idDet2],60,financeiro[idDet3],999,financeiro[id_grupo_tarifa],3,financeiro[id_detalhe_grupo_tarifa],16,financeiro[id_tipo_tarifa],9)+SUMIFS(financeiro[valor],financeiro[IdAgente],B29,financeiro[idDet1],20,financeiro[idDet2],60,financeiro[idDet3],999,financeiro[id_grupo_tarifa],3,financeiro[id_detalhe_grupo_tarifa],17,financeiro[id_tipo_tarifa],9)+SUMIFS(financeiro[valor],financeiro[IdAgente],B29,financeiro[idDet1],20,financeiro[idDet2],60,financeiro[idDet3],999,financeiro[id_grupo_tarifa],3,financeiro[id_detalhe_grupo_tarifa],18,financeiro[id_tipo_tarifa],9)+SUMIFS(financeiro[valor],financeiro[IdAgente],B29,financeiro[idDet1],20,financeiro[idDet2],60,financeiro[idDet3],999,financeiro[id_grupo_tarifa],3,financeiro[id_detalhe_grupo_tarifa],19,financeiro[id_tipo_tarifa],9)</f>
        <v>0</v>
      </c>
      <c r="X29" s="267">
        <f>SUMIFS(financeiro[valor],financeiro[IdAgente],B29,financeiro[idDet1],20,financeiro[idDet2],60,financeiro[idDet3],999,financeiro[id_grupo_tarifa],3,financeiro[id_detalhe_grupo_tarifa],12,financeiro[id_tipo_tarifa],9)+SUMIFS(financeiro[valor],financeiro[IdAgente],B29,financeiro[idDet1],20,financeiro[idDet2],60,financeiro[idDet3],999,financeiro[id_grupo_tarifa],4,financeiro[id_detalhe_grupo_tarifa],999,financeiro[id_tipo_tarifa],9)</f>
        <v>0</v>
      </c>
      <c r="Y29" s="267">
        <f>SUMIFS(financeiro[valor],financeiro[IdAgente],B29,financeiro[idDet1],20,financeiro[idDet2],60,financeiro[idDet3],179,financeiro[id_grupo_tarifa],99,financeiro[id_detalhe_grupo_tarifa],999,financeiro[id_tipo_tarifa],9)</f>
        <v>0</v>
      </c>
      <c r="Z29" s="267">
        <f>SUMIFS(financeiro[valor],financeiro[IdAgente],B29,financeiro[idDet1],20,financeiro[idDet2],60,financeiro[idDet3],999,financeiro[id_grupo_tarifa],2,financeiro[id_detalhe_grupo_tarifa],11,financeiro[id_tipo_tarifa],9,financeiro[valor],"&gt;0")+SUMIFS(financeiro[valor],financeiro[IdAgente],B29,financeiro[idDet1],20,financeiro[idDet2],60,financeiro[idDet3],999,financeiro[id_grupo_tarifa],2,financeiro[id_detalhe_grupo_tarifa],9,financeiro[id_tipo_tarifa],9,financeiro[valor],"&gt;0")+SUMIFS(financeiro[valor],financeiro[IdAgente],B29,financeiro[idDet1],20,financeiro[idDet2],60,financeiro[idDet3],999,financeiro[id_grupo_tarifa],2,financeiro[id_detalhe_grupo_tarifa],8,financeiro[id_tipo_tarifa],9,financeiro[valor],"&gt;0")+SUMIFS(financeiro[valor],financeiro[IdAgente],B29,financeiro[idDet1],20,financeiro[idDet2],60,financeiro[idDet3],999,financeiro[id_grupo_tarifa],2,financeiro[id_detalhe_grupo_tarifa],10,financeiro[id_tipo_tarifa],9,financeiro[valor],"&gt;0")+SUMIFS(financeiro[valor],financeiro[IdAgente],B29,financeiro[idDet1],20,financeiro[idDet2],60,financeiro[idDet3],999,financeiro[id_grupo_tarifa],2,financeiro[id_detalhe_grupo_tarifa],24,financeiro[id_tipo_tarifa],9,financeiro[valor],"&gt;0")+SUMIFS(financeiro[valor],financeiro[IdAgente],B29,financeiro[idDet1],20,financeiro[idDet2],60,financeiro[idDet3],999,financeiro[id_grupo_tarifa],2,financeiro[id_detalhe_grupo_tarifa],17,financeiro[id_tipo_tarifa],9,financeiro[valor],"&gt;0")+SUMIFS(financeiro[valor],financeiro[IdAgente],B29,financeiro[idDet1],999,financeiro[idDet2],999999,financeiro[idDet3],999,financeiro[id_grupo_tarifa],99,financeiro[id_detalhe_grupo_tarifa],999,financeiro[id_tipo_tarifa],9,financeiro[valor],"&gt;0")</f>
        <v>0</v>
      </c>
      <c r="AA29" s="267">
        <f>SUMIFS(financeiro[valor],financeiro[IdAgente],B29,financeiro[idDet1],22,financeiro[idDet2],60,financeiro[idDet3],529,financeiro[id_grupo_tarifa],1,financeiro[id_detalhe_grupo_tarifa],1,financeiro[id_tipo_tarifa],9,financeiro[valor],"&gt;0")+SUMIFS(financeiro[valor],financeiro[IdAgente],B29,financeiro[idDet1],22,financeiro[idDet2],60,financeiro[idDet3],529,financeiro[id_grupo_tarifa],1,financeiro[id_detalhe_grupo_tarifa],2,financeiro[id_tipo_tarifa],9,financeiro[valor],"&gt;0")</f>
        <v>0</v>
      </c>
      <c r="AB29" s="269"/>
      <c r="AC29" s="267">
        <f>SUMIFS(financeiro[valor],financeiro[IdAgente],B29,financeiro[idDet1],22,financeiro[idDet2],60,financeiro[idDet3],999,financeiro[id_grupo_tarifa],2,financeiro[id_detalhe_grupo_tarifa],30,financeiro[id_tipo_tarifa],9,financeiro[valor],"&gt;0")</f>
        <v>0</v>
      </c>
      <c r="AD29" s="267">
        <f>SUMIFS(financeiro[valor],financeiro[IdAgente],B29,financeiro[idDet1],22,financeiro[idDet2],60,financeiro[idDet3],178,financeiro[id_grupo_tarifa],1,financeiro[id_detalhe_grupo_tarifa],7,financeiro[id_tipo_tarifa],9)</f>
        <v>0</v>
      </c>
      <c r="AE29" s="267">
        <f>SUMIFS(financeiro[valor],financeiro[IdAgente],B29,financeiro[idDet1],22,financeiro[idDet2],60,financeiro[idDet3],242,financeiro[id_grupo_tarifa],4,financeiro[id_detalhe_grupo_tarifa],999,financeiro[id_tipo_tarifa],9)</f>
        <v>0</v>
      </c>
      <c r="AF29" s="267">
        <f>SUMIFS(financeiro[valor],financeiro[IdAgente],B29,financeiro[idDet1],22,financeiro[idDet2],60,financeiro[idDet3],525,financeiro[id_grupo_tarifa],2,financeiro[id_tipo_tarifa],9)</f>
        <v>0</v>
      </c>
      <c r="AG29" s="267">
        <f>SUMIFS(financeiro[valor],financeiro[IdAgente],B29,financeiro[idDet1],22,financeiro[idDet2],60,financeiro[idDet3],524)</f>
        <v>0</v>
      </c>
      <c r="AH29" s="269"/>
      <c r="AI29" s="267">
        <f>SUMIFS(financeiro[valor],financeiro[IdAgente],B29,financeiro[idDet1],22,financeiro[idDet2],60,financeiro[idDet3],523,financeiro[id_grupo_tarifa],2,financeiro[id_detalhe_grupo_tarifa],30,financeiro[id_tipo_tarifa],9)</f>
        <v>0</v>
      </c>
      <c r="AJ29" s="267">
        <f>SUMIFS(financeiro[valor],financeiro[IdAgente],B29,financeiro[idDet1],22,financeiro[idDet2],60,financeiro[idDet3],503,financeiro[id_grupo_tarifa],99,financeiro[id_detalhe_grupo_tarifa],999,financeiro[id_tipo_tarifa],3)</f>
        <v>0</v>
      </c>
      <c r="AK29" s="269"/>
      <c r="AL29" s="269"/>
      <c r="AM29" s="269"/>
      <c r="AN29" s="269"/>
      <c r="AO29" s="269"/>
      <c r="AP29" s="269"/>
      <c r="AQ29" s="269"/>
      <c r="AR29" s="269"/>
      <c r="AS29" s="269"/>
      <c r="AT29" s="267">
        <f>SUMIFS(financeiro[valor],financeiro[IdAgente],B29,financeiro[idDet1],22,financeiro[idDet2],60,financeiro[idDet3],235,financeiro[id_grupo_tarifa],4,financeiro[id_detalhe_grupo_tarifa],999,financeiro[id_tipo_tarifa],9)</f>
        <v>0</v>
      </c>
      <c r="AU29" s="267">
        <f>SUMIFS(financeiro[valor],financeiro[IdAgente],B29,financeiro[idDet1],22,financeiro[idDet2],60,financeiro[idDet3],512,financeiro[id_grupo_tarifa],3,financeiro[id_detalhe_grupo_tarifa],28,financeiro[id_tipo_tarifa],9)</f>
        <v>0</v>
      </c>
      <c r="AV29" s="267">
        <f>SUMIFS(financeiro[valor],financeiro[IdAgente],B29,financeiro[idDet1],22,financeiro[idDet2],60,financeiro[idDet3],241,financeiro[id_grupo_tarifa],2,financeiro[id_detalhe_grupo_tarifa],11,financeiro[id_tipo_tarifa],9)+SUMIFS(financeiro[valor],financeiro[IdAgente],B29,financeiro[idDet1],22,financeiro[idDet2],60,financeiro[idDet3],241,financeiro[id_grupo_tarifa],2,financeiro[id_detalhe_grupo_tarifa],9,financeiro[id_tipo_tarifa],9)+SUMIFS(financeiro[valor],financeiro[IdAgente],B29,financeiro[idDet1],22,financeiro[idDet2],60,financeiro[idDet3],241,financeiro[id_grupo_tarifa],2,financeiro[id_detalhe_grupo_tarifa],8,financeiro[id_tipo_tarifa],9)+SUMIFS(financeiro[valor],financeiro[IdAgente],B29,financeiro[idDet1],22,financeiro[idDet2],60,financeiro[idDet3],241,financeiro[id_grupo_tarifa],2,financeiro[id_detalhe_grupo_tarifa],10,financeiro[id_tipo_tarifa],9)+SUMIFS(financeiro[valor],financeiro[IdAgente],B29,financeiro[idDet1],22,financeiro[idDet2],60,financeiro[idDet3],241,financeiro[id_grupo_tarifa],2,financeiro[id_detalhe_grupo_tarifa],24,financeiro[id_tipo_tarifa],9)</f>
        <v>0</v>
      </c>
      <c r="AW29" s="267">
        <f>SUMIFS(financeiro[valor],financeiro[IdAgente],B29,financeiro[idDet1],22,financeiro[idDet2],60,financeiro[idDet3],241,financeiro[id_grupo_tarifa],3,financeiro[id_detalhe_grupo_tarifa],17,financeiro[id_tipo_tarifa],9)</f>
        <v>0</v>
      </c>
      <c r="AX29" s="267">
        <f>SUMIFS(financeiro[valor],financeiro[IdAgente],B29,financeiro[idDet1],22,financeiro[idDet2],60,financeiro[idDet3],240,financeiro[id_grupo_tarifa],2,financeiro[id_detalhe_grupo_tarifa],11,financeiro[id_tipo_tarifa],9)+SUMIFS(financeiro[valor],financeiro[IdAgente],B29,financeiro[idDet1],22,financeiro[idDet2],60,financeiro[idDet3],240,financeiro[id_grupo_tarifa],2,financeiro[id_detalhe_grupo_tarifa],9,financeiro[id_tipo_tarifa],9)+SUMIFS(financeiro[valor],financeiro[IdAgente],B29,financeiro[idDet1],22,financeiro[idDet2],60,financeiro[idDet3],240,financeiro[id_grupo_tarifa],2,financeiro[id_detalhe_grupo_tarifa],8,financeiro[id_tipo_tarifa],9)+SUMIFS(financeiro[valor],financeiro[IdAgente],B29,financeiro[idDet1],22,financeiro[idDet2],60,financeiro[idDet3],240,financeiro[id_grupo_tarifa],2,financeiro[id_detalhe_grupo_tarifa],10,financeiro[id_tipo_tarifa],9)+SUMIFS(financeiro[valor],financeiro[IdAgente],B29,financeiro[idDet1],22,financeiro[idDet2],60,financeiro[idDet3],240,financeiro[id_grupo_tarifa],2,financeiro[id_detalhe_grupo_tarifa],24,financeiro[id_tipo_tarifa],9)</f>
        <v>0</v>
      </c>
      <c r="AY29" s="267">
        <f>SUMIFS(financeiro[valor],financeiro[IdAgente],B29,financeiro[idDet1],22,financeiro[idDet2],60,financeiro[idDet3],106,financeiro[id_grupo_tarifa],2,financeiro[id_detalhe_grupo_tarifa],11,financeiro[id_tipo_tarifa],9)+SUMIFS(financeiro[valor],financeiro[IdAgente],B29,financeiro[idDet1],22,financeiro[idDet2],60,financeiro[idDet3],106,financeiro[id_grupo_tarifa],2,financeiro[id_detalhe_grupo_tarifa],9,financeiro[id_tipo_tarifa],9)+SUMIFS(financeiro[valor],financeiro[IdAgente],B29,financeiro[idDet1],22,financeiro[idDet2],60,financeiro[idDet3],106,financeiro[id_grupo_tarifa],2,financeiro[id_detalhe_grupo_tarifa],8,financeiro[id_tipo_tarifa],9)+SUMIFS(financeiro[valor],financeiro[IdAgente],B29,financeiro[idDet1],22,financeiro[idDet2],60,financeiro[idDet3],106,financeiro[id_grupo_tarifa],2,financeiro[id_detalhe_grupo_tarifa],10,financeiro[id_tipo_tarifa],9)+SUMIFS(financeiro[valor],financeiro[IdAgente],B29,financeiro[idDet1],22,financeiro[idDet2],60,financeiro[idDet3],106,financeiro[id_grupo_tarifa],2,financeiro[id_detalhe_grupo_tarifa],24,financeiro[id_tipo_tarifa],9)</f>
        <v>0</v>
      </c>
      <c r="AZ29" s="267">
        <f>SUMIFS(financeiro[valor],financeiro[IdAgente],B29,financeiro[idDet1],22,financeiro[idDet2],62,financeiro[idDet3],220,financeiro[id_grupo_tarifa],2,financeiro[id_detalhe_grupo_tarifa],11,financeiro[id_tipo_tarifa],9)+SUMIFS(financeiro[valor],financeiro[IdAgente],B29,financeiro[idDet1],22,financeiro[idDet2],62,financeiro[idDet3],220,financeiro[id_grupo_tarifa],2,financeiro[id_detalhe_grupo_tarifa],9,financeiro[id_tipo_tarifa],9)+SUMIFS(financeiro[valor],financeiro[IdAgente],B29,financeiro[idDet1],22,financeiro[idDet2],62,financeiro[idDet3],220,financeiro[id_grupo_tarifa],2,financeiro[id_detalhe_grupo_tarifa],8,financeiro[id_tipo_tarifa],9)+SUMIFS(financeiro[valor],financeiro[IdAgente],B29,financeiro[idDet1],22,financeiro[idDet2],62,financeiro[idDet3],220,financeiro[id_grupo_tarifa],2,financeiro[id_detalhe_grupo_tarifa],10,financeiro[id_tipo_tarifa],9)+SUMIFS(financeiro[valor],financeiro[IdAgente],B29,financeiro[idDet1],22,financeiro[idDet2],62,financeiro[idDet3],220,financeiro[id_grupo_tarifa],2,financeiro[id_detalhe_grupo_tarifa],24,financeiro[id_tipo_tarifa],9)</f>
        <v>0</v>
      </c>
      <c r="BA29" s="267">
        <f>SUMIFS(financeiro[valor],financeiro[IdAgente],B29,financeiro[idDet1],22,financeiro[idDet2],60,financeiro[idDet3],220,financeiro[id_grupo_tarifa],2,financeiro[id_detalhe_grupo_tarifa],11,financeiro[id_tipo_tarifa],9)+SUMIFS(financeiro[valor],financeiro[IdAgente],B29,financeiro[idDet1],22,financeiro[idDet2],60,financeiro[idDet3],220,financeiro[id_grupo_tarifa],2,financeiro[id_detalhe_grupo_tarifa],9,financeiro[id_tipo_tarifa],9)+SUMIFS(financeiro[valor],financeiro[IdAgente],B29,financeiro[idDet1],22,financeiro[idDet2],60,financeiro[idDet3],220,financeiro[id_grupo_tarifa],2,financeiro[id_detalhe_grupo_tarifa],8,financeiro[id_tipo_tarifa],9)+SUMIFS(financeiro[valor],financeiro[IdAgente],B29,financeiro[idDet1],22,financeiro[idDet2],60,financeiro[idDet3],220,financeiro[id_grupo_tarifa],2,financeiro[id_detalhe_grupo_tarifa],10,financeiro[id_tipo_tarifa],9)+SUMIFS(financeiro[valor],financeiro[IdAgente],B29,financeiro[idDet1],22,financeiro[idDet2],60,financeiro[idDet3],220,financeiro[id_grupo_tarifa],2,financeiro[id_detalhe_grupo_tarifa],24,financeiro[id_tipo_tarifa],9)</f>
        <v>0</v>
      </c>
      <c r="BB29" s="267">
        <f>SUMIFS(financeiro[valor],financeiro[IdAgente],B29,financeiro[idDet1],22,financeiro[idDet2],60,financeiro[idDet3],102,financeiro[id_grupo_tarifa],2,financeiro[id_detalhe_grupo_tarifa],11,financeiro[id_tipo_tarifa],9)+SUMIFS(financeiro[valor],financeiro[IdAgente],B29,financeiro[idDet1],22,financeiro[idDet2],60,financeiro[idDet3],102,financeiro[id_grupo_tarifa],2,financeiro[id_detalhe_grupo_tarifa],9,financeiro[id_tipo_tarifa],9)+SUMIFS(financeiro[valor],financeiro[IdAgente],B29,financeiro[idDet1],22,financeiro[idDet2],60,financeiro[idDet3],102,financeiro[id_grupo_tarifa],2,financeiro[id_detalhe_grupo_tarifa],8,financeiro[id_tipo_tarifa],9)+SUMIFS(financeiro[valor],financeiro[IdAgente],B29,financeiro[idDet1],22,financeiro[idDet2],60,financeiro[idDet3],102,financeiro[id_grupo_tarifa],2,financeiro[id_detalhe_grupo_tarifa],10,financeiro[id_tipo_tarifa],9)+SUMIFS(financeiro[valor],financeiro[IdAgente],B29,financeiro[idDet1],22,financeiro[idDet2],60,financeiro[idDet3],102,financeiro[id_grupo_tarifa],2,financeiro[id_detalhe_grupo_tarifa],24,financeiro[id_tipo_tarifa],9)</f>
        <v>0</v>
      </c>
      <c r="BC29" s="267">
        <f>SUMIFS(financeiro[valor],financeiro[IdAgente],B29,financeiro[idDet1],22,financeiro[idDet2],60,financeiro[idDet3],522,financeiro[valor],"&lt;0")</f>
        <v>0</v>
      </c>
      <c r="BD29" s="267">
        <f>SUMIFS(financeiro[valor],financeiro[IdAgente],B29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29" s="267">
        <f>SUMIFS(financeiro[valor],financeiro[IdAgente],B29,financeiro[id_natureza_dado],2,financeiro[id_detalhe_natureza],2,financeiro[idDet1],20,financeiro[idDet2],60,financeiro[idDet3],82,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29" s="267">
        <f>SUMIFS(financeiro[valor],financeiro[IdAgente],B29,financeiro[id_natureza_dado],2,financeiro[id_detalhe_natureza],2,financeiro[idDet1],20,financeiro[idDet2],60,financeiro[idDet3],81,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29" s="267">
        <f>SUMIFS(financeiro[valor],financeiro[IdAgente],B29,financeiro[id_natureza_dado],2,financeiro[id_detalhe_natureza],2,financeiro[idDet1],20,financeiro[idDet2],60,financeiro[idDet3],503,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29" s="267">
        <f>SUMIFS(financeiro[valor],financeiro[IdAgente],B29,financeiro[idDet1],22,financeiro[idDet2],60,financeiro[idDet3],123)</f>
        <v>0</v>
      </c>
      <c r="BI29" s="267">
        <f>SUMIFS(financeiro[valor],financeiro[IdAgente],B29,financeiro[idDet1],20,financeiro[idDet2],60,financeiro[idDet3],73)</f>
        <v>0</v>
      </c>
      <c r="BJ29" s="267">
        <f>SUMIFS(financeiro[valor],financeiro[IdAgente],B29,financeiro[idDet1],22,financeiro[idDet2],60,financeiro[idDet3],527)</f>
        <v>0</v>
      </c>
      <c r="BK29" s="267">
        <f>SUMIFS(financeiro[valor],financeiro[IdAgente],B29,financeiro[idDet1],22,financeiro[idDet2],60,financeiro[idDet3],510)</f>
        <v>0</v>
      </c>
      <c r="BL29" s="267">
        <f>SUMIFS(financeiro[valor],financeiro[IdAgente],B29,financeiro[idDet1],22,financeiro[idDet2],60,financeiro[idDet3],526,
financeiro[id_grupo_tarifa],1,financeiro[id_detalhe_grupo_tarifa],3,financeiro[id_tipo_tarifa],9,financeiro[id_subgrupo],3)</f>
        <v>0</v>
      </c>
      <c r="BM29" s="267">
        <f>SUMIFS(financeiro[valor],financeiro[IdAgente],B29,financeiro[idDet1],22,financeiro[idDet2],60,financeiro[idDet3],999,
financeiro[id_grupo_tarifa],3,financeiro[id_detalhe_grupo_tarifa],17,financeiro[id_tipo_tarifa],9)</f>
        <v>0</v>
      </c>
      <c r="BN29" s="267">
        <f>SUMIFS(financeiro[valor],financeiro[IdAgente],B29,financeiro[idDet1],22,financeiro[idDet2],60,financeiro[idDet3],526,financeiro[id_grupo_tarifa],1,financeiro[id_detalhe_grupo_tarifa],7,financeiro[id_tipo_tarifa],9,financeiro[valor],"&lt;0")+SUMIFS(financeiro[valor],financeiro[IdAgente],B29,financeiro[idDet1],22,financeiro[idDet2],60,financeiro[idDet3],526,financeiro[id_grupo_tarifa],2,financeiro[id_detalhe_grupo_tarifa],11,financeiro[id_tipo_tarifa],9,financeiro[valor],"&lt;0")+SUMIFS(financeiro[valor],financeiro[IdAgente],B29,financeiro[idDet1],22,financeiro[idDet2],60,financeiro[idDet3],526,financeiro[id_grupo_tarifa],2,financeiro[id_detalhe_grupo_tarifa],8,financeiro[id_tipo_tarifa],9,financeiro[valor],"&lt;0")</f>
        <v>0</v>
      </c>
      <c r="BO29" s="267">
        <f>SUMIFS(financeiro[valor],financeiro[IdAgente],B29,financeiro[idDet1],22,financeiro[idDet2],60,financeiro[idDet3],999,financeiro[id_grupo_tarifa],4,financeiro[id_detalhe_grupo_tarifa],999,financeiro[id_tipo_tarifa],9,financeiro[valor],"&lt;0")</f>
        <v>0</v>
      </c>
      <c r="BP29" s="267">
        <f>SUMIFS(financeiro[valor],financeiro[IdAgente],B29,financeiro[idDet1],22,financeiro[idDet2],60,financeiro[idDet3],530,financeiro[valor],"&lt;0")</f>
        <v>0</v>
      </c>
      <c r="BQ29" s="267">
        <f>SUMIFS(financeiro[valor],financeiro[IdAgente],B29,financeiro[idDet1],22,financeiro[idDet2],60,financeiro[idDet3],531,financeiro[valor],"&lt;0")</f>
        <v>0</v>
      </c>
      <c r="BR29" s="267">
        <f>SUMIFS(financeiro[valor],financeiro[IdAgente],B29,financeiro[idDet1],22,financeiro[idDet2],62,financeiro[idDet3],532,financeiro[valor],"&lt;0")</f>
        <v>0</v>
      </c>
      <c r="BS29" s="267">
        <f>SUMIFS(financeiro[valor],financeiro[IdAgente],B29,financeiro[idDet1],22,financeiro[idDet2],62,financeiro[idDet3],533,financeiro[valor],"&lt;0")</f>
        <v>0</v>
      </c>
      <c r="BT29" s="267">
        <f>SUMIFS(financeiro[valor],financeiro[IdAgente],B29,financeiro[idDet1],22,financeiro[idDet2],62,financeiro[idDet3],534,financeiro[valor],"&lt;0")</f>
        <v>0</v>
      </c>
      <c r="BW29" s="210" t="s">
        <v>60</v>
      </c>
      <c r="BX29" t="str">
        <f>Efeito!B30</f>
        <v>NO SELECT</v>
      </c>
      <c r="BY29" s="267">
        <f>SUMIFS(Banco[valor],Banco[IdAgente],BX29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29" s="267">
        <f>SUMIFS(Banco[valor],Banco[IdAgente],BX29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29" s="267">
        <f>SUMIFS(Banco[valor],Banco[IdAgente],BX29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29" s="267">
        <f>SUMIFS(Banco[valor],Banco[IdAgente],BX29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29" s="267">
        <f>SUMIFS(Banco[valor],Banco[IdAgente],BX29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29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29" s="267">
        <f>SUMIFS(Banco[valor],Banco[IdAgente],BX29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29" s="267">
        <f>SUMIFS(Banco[valor],Banco[IdAgente],BX29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29" s="267">
        <f>SUMIFS(Banco[valor],Banco[IdAgente],BX29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29" s="267">
        <f>SUMIFS(Banco[valor],Banco[IdAgente],BX29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29" s="267">
        <f>SUMIFS(Banco[valor],Banco[IdAgente],BX29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29" s="267">
        <f>SUMIFS(Banco[valor],Banco[IdAgente],BX29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29" s="267">
        <f>SUMIFS(Banco[valor],Banco[IdAgente],BX29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29" s="267">
        <f>SUMIFS(Banco[valor],Banco[IdAgente],B29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29" s="267">
        <f>SUMIFS(Banco[valor],Banco[IdAgente],B29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29" s="267">
        <f>SUMIFS(Banco[valor],Banco[IdAgente],B29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30" spans="1:91">
      <c r="A30" t="s">
        <v>192</v>
      </c>
      <c r="B30" t="str">
        <f>Efeito!B31</f>
        <v>NO SELECT</v>
      </c>
      <c r="C30" s="267">
        <f>SUMIFS(Banco[valor],Banco[IdAgente],B30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30" s="267">
        <f>SUMIFS(Banco[valor],Banco[IdAgente],B30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30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30" s="267">
        <f>SUMIFS(Banco[valor],Banco[IdAgente],B30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30" s="267">
        <f>SUMIFS(Banco[valor],Banco[IdAgente],B30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30" s="267">
        <f>SUMIFS(Banco[valor],Banco[IdAgente],B30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30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30" s="267">
        <f>SUMIFS(Banco[valor],Banco[IdAgente],B30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30" s="267">
        <f>SUMIFS(Banco[valor],Banco[IdAgente],B30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30" s="267">
        <f>SUMIFS(Banco[valor],Banco[IdAgente],B30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30" s="267">
        <f>SUMIFS(Banco[valor],Banco[IdAgente],B30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30" s="267">
        <f>SUMIFS(Banco[valor],Banco[IdAgente],B30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30" s="267">
        <f>SUMIFS(Banco[valor],Banco[IdAgente],B30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30" s="267">
        <f>SUMIFS(Banco[valor],Banco[IdAgente],B30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30" s="267">
        <f>SUMIFS(Banco[valor],Banco[IdAgente],B30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30" s="267">
        <f t="shared" si="2"/>
        <v>0</v>
      </c>
      <c r="Q30" s="267">
        <f>SUMIFS(Banco[valor],Banco[IdAgente],B30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30" s="267">
        <f>SUMIFS(Banco[valor],Banco[IdAgente],B30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30" s="4"/>
      <c r="T30" s="4"/>
      <c r="U30" s="4"/>
      <c r="V30" s="267">
        <f>SUMIFS(financeiro[valor],financeiro[IdAgente],B30,financeiro[idDet1],22,financeiro[idDet2],60,financeiro[idDet3],526,financeiro[id_grupo_tarifa],1,financeiro[id_detalhe_grupo_tarifa],7,financeiro[id_tipo_tarifa],9,financeiro[id_subgrupo],99,financeiro[valor],"&gt;0")+SUMIFS(financeiro[valor],financeiro[IdAgente],B30,financeiro[idDet1],22,financeiro[idDet2],60,financeiro[idDet3],526,financeiro[id_grupo_tarifa],2,financeiro[id_detalhe_grupo_tarifa],11,financeiro[id_tipo_tarifa],9,financeiro[valor],"&gt;0")+SUMIFS(financeiro[valor],financeiro[IdAgente],B30,financeiro[idDet1],22,financeiro[idDet2],60,financeiro[idDet3],526,financeiro[id_grupo_tarifa],2,financeiro[id_detalhe_grupo_tarifa],9,financeiro[id_tipo_tarifa],9,financeiro[valor],"&gt;0")+SUMIFS(financeiro[valor],financeiro[IdAgente],B30,financeiro[idDet1],22,financeiro[idDet2],60,financeiro[idDet3],526,financeiro[id_grupo_tarifa],2,financeiro[id_detalhe_grupo_tarifa],8,financeiro[id_tipo_tarifa],9,financeiro[valor],"&gt;0")+SUMIFS(financeiro[valor],financeiro[IdAgente],B30,financeiro[idDet1],22,financeiro[idDet2],60,financeiro[idDet3],526,financeiro[id_grupo_tarifa],2,financeiro[id_detalhe_grupo_tarifa],10,financeiro[id_tipo_tarifa],9,financeiro[valor],"&gt;0")+SUMIFS(financeiro[valor],financeiro[IdAgente],B30,financeiro[idDet1],22,financeiro[idDet2],60,financeiro[idDet3],526,financeiro[id_grupo_tarifa],2,financeiro[id_detalhe_grupo_tarifa],24,financeiro[id_tipo_tarifa],9,financeiro[valor],"&gt;0")</f>
        <v>0</v>
      </c>
      <c r="W30" s="267">
        <f>SUMIFS(financeiro[valor],financeiro[IdAgente],B30,financeiro[idDet1],20,financeiro[idDet2],60,financeiro[idDet3],999,financeiro[id_grupo_tarifa],3,financeiro[id_detalhe_grupo_tarifa],14,financeiro[id_tipo_tarifa],9)+SUMIFS(financeiro[valor],financeiro[IdAgente],B30,financeiro[idDet1],20,financeiro[idDet2],60,financeiro[idDet3],999,financeiro[id_grupo_tarifa],3,financeiro[id_detalhe_grupo_tarifa],15,financeiro[id_tipo_tarifa],9)+SUMIFS(financeiro[valor],financeiro[IdAgente],B30,financeiro[idDet1],20,financeiro[idDet2],60,financeiro[idDet3],999,financeiro[id_grupo_tarifa],3,financeiro[id_detalhe_grupo_tarifa],16,financeiro[id_tipo_tarifa],9)+SUMIFS(financeiro[valor],financeiro[IdAgente],B30,financeiro[idDet1],20,financeiro[idDet2],60,financeiro[idDet3],999,financeiro[id_grupo_tarifa],3,financeiro[id_detalhe_grupo_tarifa],17,financeiro[id_tipo_tarifa],9)+SUMIFS(financeiro[valor],financeiro[IdAgente],B30,financeiro[idDet1],20,financeiro[idDet2],60,financeiro[idDet3],999,financeiro[id_grupo_tarifa],3,financeiro[id_detalhe_grupo_tarifa],18,financeiro[id_tipo_tarifa],9)+SUMIFS(financeiro[valor],financeiro[IdAgente],B30,financeiro[idDet1],20,financeiro[idDet2],60,financeiro[idDet3],999,financeiro[id_grupo_tarifa],3,financeiro[id_detalhe_grupo_tarifa],19,financeiro[id_tipo_tarifa],9)</f>
        <v>0</v>
      </c>
      <c r="X30" s="267">
        <f>SUMIFS(financeiro[valor],financeiro[IdAgente],B30,financeiro[idDet1],20,financeiro[idDet2],60,financeiro[idDet3],999,financeiro[id_grupo_tarifa],3,financeiro[id_detalhe_grupo_tarifa],12,financeiro[id_tipo_tarifa],9)+SUMIFS(financeiro[valor],financeiro[IdAgente],B30,financeiro[idDet1],20,financeiro[idDet2],60,financeiro[idDet3],999,financeiro[id_grupo_tarifa],4,financeiro[id_detalhe_grupo_tarifa],999,financeiro[id_tipo_tarifa],9)</f>
        <v>0</v>
      </c>
      <c r="Y30" s="267">
        <f>SUMIFS(financeiro[valor],financeiro[IdAgente],B30,financeiro[idDet1],20,financeiro[idDet2],60,financeiro[idDet3],179,financeiro[id_grupo_tarifa],99,financeiro[id_detalhe_grupo_tarifa],999,financeiro[id_tipo_tarifa],9)</f>
        <v>0</v>
      </c>
      <c r="Z30" s="267">
        <f>SUMIFS(financeiro[valor],financeiro[IdAgente],B30,financeiro[idDet1],20,financeiro[idDet2],60,financeiro[idDet3],999,financeiro[id_grupo_tarifa],2,financeiro[id_detalhe_grupo_tarifa],11,financeiro[id_tipo_tarifa],9,financeiro[valor],"&gt;0")+SUMIFS(financeiro[valor],financeiro[IdAgente],B30,financeiro[idDet1],20,financeiro[idDet2],60,financeiro[idDet3],999,financeiro[id_grupo_tarifa],2,financeiro[id_detalhe_grupo_tarifa],9,financeiro[id_tipo_tarifa],9,financeiro[valor],"&gt;0")+SUMIFS(financeiro[valor],financeiro[IdAgente],B30,financeiro[idDet1],20,financeiro[idDet2],60,financeiro[idDet3],999,financeiro[id_grupo_tarifa],2,financeiro[id_detalhe_grupo_tarifa],8,financeiro[id_tipo_tarifa],9,financeiro[valor],"&gt;0")+SUMIFS(financeiro[valor],financeiro[IdAgente],B30,financeiro[idDet1],20,financeiro[idDet2],60,financeiro[idDet3],999,financeiro[id_grupo_tarifa],2,financeiro[id_detalhe_grupo_tarifa],10,financeiro[id_tipo_tarifa],9,financeiro[valor],"&gt;0")+SUMIFS(financeiro[valor],financeiro[IdAgente],B30,financeiro[idDet1],20,financeiro[idDet2],60,financeiro[idDet3],999,financeiro[id_grupo_tarifa],2,financeiro[id_detalhe_grupo_tarifa],24,financeiro[id_tipo_tarifa],9,financeiro[valor],"&gt;0")+SUMIFS(financeiro[valor],financeiro[IdAgente],B30,financeiro[idDet1],20,financeiro[idDet2],60,financeiro[idDet3],999,financeiro[id_grupo_tarifa],2,financeiro[id_detalhe_grupo_tarifa],17,financeiro[id_tipo_tarifa],9,financeiro[valor],"&gt;0")+SUMIFS(financeiro[valor],financeiro[IdAgente],B30,financeiro[idDet1],999,financeiro[idDet2],999999,financeiro[idDet3],999,financeiro[id_grupo_tarifa],99,financeiro[id_detalhe_grupo_tarifa],999,financeiro[id_tipo_tarifa],9,financeiro[valor],"&gt;0")</f>
        <v>0</v>
      </c>
      <c r="AA30" s="267">
        <f>SUMIFS(financeiro[valor],financeiro[IdAgente],B30,financeiro[idDet1],22,financeiro[idDet2],60,financeiro[idDet3],529,financeiro[id_grupo_tarifa],1,financeiro[id_detalhe_grupo_tarifa],3,financeiro[id_tipo_tarifa],9,financeiro[valor],"&gt;0")+SUMIFS(financeiro[valor],financeiro[IdAgente],B30,financeiro[idDet1],22,financeiro[idDet2],60,financeiro[idDet3],529,financeiro[id_grupo_tarifa],1,financeiro[id_detalhe_grupo_tarifa],2,financeiro[id_tipo_tarifa],9,financeiro[valor],"&gt;0")</f>
        <v>0</v>
      </c>
      <c r="AB30" s="269"/>
      <c r="AC30" s="267">
        <f>SUMIFS(financeiro[valor],financeiro[IdAgente],B30,financeiro[idDet1],22,financeiro[idDet2],60,financeiro[idDet3],999,financeiro[id_grupo_tarifa],2,financeiro[id_detalhe_grupo_tarifa],30,financeiro[id_tipo_tarifa],9,financeiro[valor],"&gt;0")</f>
        <v>0</v>
      </c>
      <c r="AD30" s="267">
        <f>SUMIFS(financeiro[valor],financeiro[IdAgente],B30,financeiro[idDet1],22,financeiro[idDet2],60,financeiro[idDet3],178,financeiro[id_grupo_tarifa],1,financeiro[id_detalhe_grupo_tarifa],7,financeiro[id_tipo_tarifa],9)</f>
        <v>0</v>
      </c>
      <c r="AE30" s="267">
        <f>SUMIFS(financeiro[valor],financeiro[IdAgente],B30,financeiro[idDet1],22,financeiro[idDet2],60,financeiro[idDet3],242,financeiro[id_grupo_tarifa],4,financeiro[id_detalhe_grupo_tarifa],999,financeiro[id_tipo_tarifa],9)</f>
        <v>0</v>
      </c>
      <c r="AF30" s="267">
        <f>SUMIFS(financeiro[valor],financeiro[IdAgente],B30,financeiro[idDet1],22,financeiro[idDet2],60,financeiro[idDet3],525,financeiro[id_grupo_tarifa],2,financeiro[id_tipo_tarifa],9)</f>
        <v>0</v>
      </c>
      <c r="AG30" s="267">
        <f>SUMIFS(financeiro[valor],financeiro[IdAgente],B30,financeiro[idDet1],22,financeiro[idDet2],60,financeiro[idDet3],524)</f>
        <v>0</v>
      </c>
      <c r="AH30" s="269"/>
      <c r="AI30" s="267">
        <f>SUMIFS(financeiro[valor],financeiro[IdAgente],B30,financeiro[idDet1],22,financeiro[idDet2],60,financeiro[idDet3],523,financeiro[id_grupo_tarifa],2,financeiro[id_detalhe_grupo_tarifa],30,financeiro[id_tipo_tarifa],9)</f>
        <v>0</v>
      </c>
      <c r="AJ30" s="267">
        <f>SUMIFS(financeiro[valor],financeiro[IdAgente],B30,financeiro[idDet1],22,financeiro[idDet2],60,financeiro[idDet3],503,financeiro[id_grupo_tarifa],99,financeiro[id_detalhe_grupo_tarifa],999,financeiro[id_tipo_tarifa],3)</f>
        <v>0</v>
      </c>
      <c r="AK30" s="269"/>
      <c r="AL30" s="269"/>
      <c r="AM30" s="269"/>
      <c r="AN30" s="269"/>
      <c r="AO30" s="269"/>
      <c r="AP30" s="269"/>
      <c r="AQ30" s="269"/>
      <c r="AR30" s="269"/>
      <c r="AS30" s="269"/>
      <c r="AT30" s="267">
        <f>SUMIFS(financeiro[valor],financeiro[IdAgente],B30,financeiro[idDet1],22,financeiro[idDet2],60,financeiro[idDet3],235,financeiro[id_grupo_tarifa],4,financeiro[id_detalhe_grupo_tarifa],999,financeiro[id_tipo_tarifa],9)</f>
        <v>0</v>
      </c>
      <c r="AU30" s="267">
        <f>SUMIFS(financeiro[valor],financeiro[IdAgente],B30,financeiro[idDet1],22,financeiro[idDet2],60,financeiro[idDet3],512,financeiro[id_grupo_tarifa],3,financeiro[id_detalhe_grupo_tarifa],28,financeiro[id_tipo_tarifa],9)</f>
        <v>0</v>
      </c>
      <c r="AV30" s="267">
        <f>SUMIFS(financeiro[valor],financeiro[IdAgente],B30,financeiro[idDet1],22,financeiro[idDet2],60,financeiro[idDet3],241,financeiro[id_grupo_tarifa],2,financeiro[id_detalhe_grupo_tarifa],11,financeiro[id_tipo_tarifa],9)+SUMIFS(financeiro[valor],financeiro[IdAgente],B30,financeiro[idDet1],22,financeiro[idDet2],60,financeiro[idDet3],241,financeiro[id_grupo_tarifa],2,financeiro[id_detalhe_grupo_tarifa],9,financeiro[id_tipo_tarifa],9)+SUMIFS(financeiro[valor],financeiro[IdAgente],B30,financeiro[idDet1],22,financeiro[idDet2],60,financeiro[idDet3],241,financeiro[id_grupo_tarifa],2,financeiro[id_detalhe_grupo_tarifa],8,financeiro[id_tipo_tarifa],9)+SUMIFS(financeiro[valor],financeiro[IdAgente],B30,financeiro[idDet1],22,financeiro[idDet2],60,financeiro[idDet3],241,financeiro[id_grupo_tarifa],2,financeiro[id_detalhe_grupo_tarifa],10,financeiro[id_tipo_tarifa],9)+SUMIFS(financeiro[valor],financeiro[IdAgente],B30,financeiro[idDet1],22,financeiro[idDet2],60,financeiro[idDet3],241,financeiro[id_grupo_tarifa],2,financeiro[id_detalhe_grupo_tarifa],24,financeiro[id_tipo_tarifa],9)</f>
        <v>0</v>
      </c>
      <c r="AW30" s="267">
        <f>SUMIFS(financeiro[valor],financeiro[IdAgente],B30,financeiro[idDet1],22,financeiro[idDet2],60,financeiro[idDet3],241,financeiro[id_grupo_tarifa],3,financeiro[id_detalhe_grupo_tarifa],17,financeiro[id_tipo_tarifa],9)</f>
        <v>0</v>
      </c>
      <c r="AX30" s="267">
        <f>SUMIFS(financeiro[valor],financeiro[IdAgente],B30,financeiro[idDet1],22,financeiro[idDet2],60,financeiro[idDet3],240,financeiro[id_grupo_tarifa],2,financeiro[id_detalhe_grupo_tarifa],11,financeiro[id_tipo_tarifa],9)+SUMIFS(financeiro[valor],financeiro[IdAgente],B30,financeiro[idDet1],22,financeiro[idDet2],60,financeiro[idDet3],240,financeiro[id_grupo_tarifa],2,financeiro[id_detalhe_grupo_tarifa],9,financeiro[id_tipo_tarifa],9)+SUMIFS(financeiro[valor],financeiro[IdAgente],B30,financeiro[idDet1],22,financeiro[idDet2],60,financeiro[idDet3],240,financeiro[id_grupo_tarifa],2,financeiro[id_detalhe_grupo_tarifa],8,financeiro[id_tipo_tarifa],9)+SUMIFS(financeiro[valor],financeiro[IdAgente],B30,financeiro[idDet1],22,financeiro[idDet2],60,financeiro[idDet3],240,financeiro[id_grupo_tarifa],2,financeiro[id_detalhe_grupo_tarifa],10,financeiro[id_tipo_tarifa],9)+SUMIFS(financeiro[valor],financeiro[IdAgente],B30,financeiro[idDet1],22,financeiro[idDet2],60,financeiro[idDet3],240,financeiro[id_grupo_tarifa],2,financeiro[id_detalhe_grupo_tarifa],24,financeiro[id_tipo_tarifa],9)</f>
        <v>0</v>
      </c>
      <c r="AY30" s="267">
        <f>SUMIFS(financeiro[valor],financeiro[IdAgente],B30,financeiro[idDet1],22,financeiro[idDet2],60,financeiro[idDet3],106,financeiro[id_grupo_tarifa],2,financeiro[id_detalhe_grupo_tarifa],11,financeiro[id_tipo_tarifa],9)+SUMIFS(financeiro[valor],financeiro[IdAgente],B30,financeiro[idDet1],22,financeiro[idDet2],60,financeiro[idDet3],106,financeiro[id_grupo_tarifa],2,financeiro[id_detalhe_grupo_tarifa],9,financeiro[id_tipo_tarifa],9)+SUMIFS(financeiro[valor],financeiro[IdAgente],B30,financeiro[idDet1],22,financeiro[idDet2],60,financeiro[idDet3],106,financeiro[id_grupo_tarifa],2,financeiro[id_detalhe_grupo_tarifa],8,financeiro[id_tipo_tarifa],9)+SUMIFS(financeiro[valor],financeiro[IdAgente],B30,financeiro[idDet1],22,financeiro[idDet2],60,financeiro[idDet3],106,financeiro[id_grupo_tarifa],2,financeiro[id_detalhe_grupo_tarifa],10,financeiro[id_tipo_tarifa],9)+SUMIFS(financeiro[valor],financeiro[IdAgente],B30,financeiro[idDet1],22,financeiro[idDet2],60,financeiro[idDet3],106,financeiro[id_grupo_tarifa],2,financeiro[id_detalhe_grupo_tarifa],24,financeiro[id_tipo_tarifa],9)</f>
        <v>0</v>
      </c>
      <c r="AZ30" s="267">
        <f>SUMIFS(financeiro[valor],financeiro[IdAgente],B30,financeiro[idDet1],22,financeiro[idDet2],62,financeiro[idDet3],220,financeiro[id_grupo_tarifa],2,financeiro[id_detalhe_grupo_tarifa],11,financeiro[id_tipo_tarifa],9)+SUMIFS(financeiro[valor],financeiro[IdAgente],B30,financeiro[idDet1],22,financeiro[idDet2],62,financeiro[idDet3],220,financeiro[id_grupo_tarifa],2,financeiro[id_detalhe_grupo_tarifa],9,financeiro[id_tipo_tarifa],9)+SUMIFS(financeiro[valor],financeiro[IdAgente],B30,financeiro[idDet1],22,financeiro[idDet2],62,financeiro[idDet3],220,financeiro[id_grupo_tarifa],2,financeiro[id_detalhe_grupo_tarifa],8,financeiro[id_tipo_tarifa],9)+SUMIFS(financeiro[valor],financeiro[IdAgente],B30,financeiro[idDet1],22,financeiro[idDet2],62,financeiro[idDet3],220,financeiro[id_grupo_tarifa],2,financeiro[id_detalhe_grupo_tarifa],10,financeiro[id_tipo_tarifa],9)+SUMIFS(financeiro[valor],financeiro[IdAgente],B30,financeiro[idDet1],22,financeiro[idDet2],62,financeiro[idDet3],220,financeiro[id_grupo_tarifa],2,financeiro[id_detalhe_grupo_tarifa],24,financeiro[id_tipo_tarifa],9)</f>
        <v>0</v>
      </c>
      <c r="BA30" s="267">
        <f>SUMIFS(financeiro[valor],financeiro[IdAgente],B30,financeiro[idDet1],22,financeiro[idDet2],60,financeiro[idDet3],220,financeiro[id_grupo_tarifa],2,financeiro[id_detalhe_grupo_tarifa],11,financeiro[id_tipo_tarifa],9)+SUMIFS(financeiro[valor],financeiro[IdAgente],B30,financeiro[idDet1],22,financeiro[idDet2],60,financeiro[idDet3],220,financeiro[id_grupo_tarifa],2,financeiro[id_detalhe_grupo_tarifa],9,financeiro[id_tipo_tarifa],9)+SUMIFS(financeiro[valor],financeiro[IdAgente],B30,financeiro[idDet1],22,financeiro[idDet2],60,financeiro[idDet3],220,financeiro[id_grupo_tarifa],2,financeiro[id_detalhe_grupo_tarifa],8,financeiro[id_tipo_tarifa],9)+SUMIFS(financeiro[valor],financeiro[IdAgente],B30,financeiro[idDet1],22,financeiro[idDet2],60,financeiro[idDet3],220,financeiro[id_grupo_tarifa],2,financeiro[id_detalhe_grupo_tarifa],10,financeiro[id_tipo_tarifa],9)+SUMIFS(financeiro[valor],financeiro[IdAgente],B30,financeiro[idDet1],22,financeiro[idDet2],60,financeiro[idDet3],220,financeiro[id_grupo_tarifa],2,financeiro[id_detalhe_grupo_tarifa],24,financeiro[id_tipo_tarifa],9)</f>
        <v>0</v>
      </c>
      <c r="BB30" s="267">
        <f>SUMIFS(financeiro[valor],financeiro[IdAgente],B30,financeiro[idDet1],22,financeiro[idDet2],60,financeiro[idDet3],102,financeiro[id_grupo_tarifa],2,financeiro[id_detalhe_grupo_tarifa],11,financeiro[id_tipo_tarifa],9)+SUMIFS(financeiro[valor],financeiro[IdAgente],B30,financeiro[idDet1],22,financeiro[idDet2],60,financeiro[idDet3],102,financeiro[id_grupo_tarifa],2,financeiro[id_detalhe_grupo_tarifa],9,financeiro[id_tipo_tarifa],9)+SUMIFS(financeiro[valor],financeiro[IdAgente],B30,financeiro[idDet1],22,financeiro[idDet2],60,financeiro[idDet3],102,financeiro[id_grupo_tarifa],2,financeiro[id_detalhe_grupo_tarifa],8,financeiro[id_tipo_tarifa],9)+SUMIFS(financeiro[valor],financeiro[IdAgente],B30,financeiro[idDet1],22,financeiro[idDet2],60,financeiro[idDet3],102,financeiro[id_grupo_tarifa],2,financeiro[id_detalhe_grupo_tarifa],10,financeiro[id_tipo_tarifa],9)+SUMIFS(financeiro[valor],financeiro[IdAgente],B30,financeiro[idDet1],22,financeiro[idDet2],60,financeiro[idDet3],102,financeiro[id_grupo_tarifa],2,financeiro[id_detalhe_grupo_tarifa],24,financeiro[id_tipo_tarifa],9)</f>
        <v>0</v>
      </c>
      <c r="BC30" s="267">
        <f>SUMIFS(financeiro[valor],financeiro[IdAgente],B30,financeiro[idDet1],22,financeiro[idDet2],60,financeiro[idDet3],522,financeiro[valor],"&lt;0")</f>
        <v>0</v>
      </c>
      <c r="BD30" s="267">
        <f>SUMIFS(financeiro[valor],financeiro[IdAgente],B30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30" s="267">
        <f>SUMIFS(financeiro[valor],financeiro[IdAgente],B30,financeiro[id_natureza_dado],2,financeiro[id_detalhe_natureza],2,financeiro[idDet1],20,financeiro[idDet2],60,financeiro[idDet3],82,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30" s="267">
        <f>SUMIFS(financeiro[valor],financeiro[IdAgente],B30,financeiro[id_natureza_dado],2,financeiro[id_detalhe_natureza],2,financeiro[idDet1],20,financeiro[idDet2],60,financeiro[idDet3],81,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30" s="267">
        <f>SUMIFS(financeiro[valor],financeiro[IdAgente],B30,financeiro[id_natureza_dado],2,financeiro[id_detalhe_natureza],2,financeiro[idDet1],20,financeiro[idDet2],60,financeiro[idDet3],503,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30" s="267">
        <f>SUMIFS(financeiro[valor],financeiro[IdAgente],B30,financeiro[idDet1],22,financeiro[idDet2],60,financeiro[idDet3],123)</f>
        <v>0</v>
      </c>
      <c r="BI30" s="267">
        <f>SUMIFS(financeiro[valor],financeiro[IdAgente],B30,financeiro[idDet1],20,financeiro[idDet2],60,financeiro[idDet3],73)</f>
        <v>0</v>
      </c>
      <c r="BJ30" s="267">
        <f>SUMIFS(financeiro[valor],financeiro[IdAgente],B30,financeiro[idDet1],22,financeiro[idDet2],60,financeiro[idDet3],527)</f>
        <v>0</v>
      </c>
      <c r="BK30" s="267">
        <f>SUMIFS(financeiro[valor],financeiro[IdAgente],B30,financeiro[idDet1],22,financeiro[idDet2],60,financeiro[idDet3],510)</f>
        <v>0</v>
      </c>
      <c r="BL30" s="267">
        <f>SUMIFS(financeiro[valor],financeiro[IdAgente],B30,financeiro[idDet1],22,financeiro[idDet2],60,financeiro[idDet3],526,
financeiro[id_grupo_tarifa],1,financeiro[id_detalhe_grupo_tarifa],3,financeiro[id_tipo_tarifa],9,financeiro[id_subgrupo],3)</f>
        <v>0</v>
      </c>
      <c r="BM30" s="267">
        <f>SUMIFS(financeiro[valor],financeiro[IdAgente],B30,financeiro[idDet1],22,financeiro[idDet2],60,financeiro[idDet3],999,
financeiro[id_grupo_tarifa],3,financeiro[id_detalhe_grupo_tarifa],17,financeiro[id_tipo_tarifa],9)</f>
        <v>0</v>
      </c>
      <c r="BN30" s="267">
        <f>SUMIFS(financeiro[valor],financeiro[IdAgente],B30,financeiro[idDet1],22,financeiro[idDet2],60,financeiro[idDet3],526,financeiro[id_grupo_tarifa],1,financeiro[id_detalhe_grupo_tarifa],7,financeiro[id_tipo_tarifa],9,financeiro[valor],"&lt;0")+SUMIFS(financeiro[valor],financeiro[IdAgente],B30,financeiro[idDet1],22,financeiro[idDet2],60,financeiro[idDet3],526,financeiro[id_grupo_tarifa],2,financeiro[id_detalhe_grupo_tarifa],11,financeiro[id_tipo_tarifa],9,financeiro[valor],"&lt;0")+SUMIFS(financeiro[valor],financeiro[IdAgente],B30,financeiro[idDet1],22,financeiro[idDet2],60,financeiro[idDet3],526,financeiro[id_grupo_tarifa],2,financeiro[id_detalhe_grupo_tarifa],8,financeiro[id_tipo_tarifa],9,financeiro[valor],"&lt;0")</f>
        <v>0</v>
      </c>
      <c r="BO30" s="267">
        <f>SUMIFS(financeiro[valor],financeiro[IdAgente],B30,financeiro[idDet1],22,financeiro[idDet2],60,financeiro[idDet3],999,financeiro[id_grupo_tarifa],4,financeiro[id_detalhe_grupo_tarifa],999,financeiro[id_tipo_tarifa],9,financeiro[valor],"&lt;0")</f>
        <v>0</v>
      </c>
      <c r="BP30" s="267">
        <f>SUMIFS(financeiro[valor],financeiro[IdAgente],B30,financeiro[idDet1],22,financeiro[idDet2],60,financeiro[idDet3],530,financeiro[valor],"&lt;0")</f>
        <v>0</v>
      </c>
      <c r="BQ30" s="267">
        <f>SUMIFS(financeiro[valor],financeiro[IdAgente],B30,financeiro[idDet1],22,financeiro[idDet2],60,financeiro[idDet3],531,financeiro[valor],"&lt;0")</f>
        <v>0</v>
      </c>
      <c r="BR30" s="267">
        <f>SUMIFS(financeiro[valor],financeiro[IdAgente],B30,financeiro[idDet1],22,financeiro[idDet2],62,financeiro[idDet3],532,financeiro[valor],"&lt;0")</f>
        <v>0</v>
      </c>
      <c r="BS30" s="267">
        <f>SUMIFS(financeiro[valor],financeiro[IdAgente],B30,financeiro[idDet1],22,financeiro[idDet2],62,financeiro[idDet3],533,financeiro[valor],"&lt;0")</f>
        <v>0</v>
      </c>
      <c r="BT30" s="267">
        <f>SUMIFS(financeiro[valor],financeiro[IdAgente],B30,financeiro[idDet1],22,financeiro[idDet2],62,financeiro[idDet3],534,financeiro[valor],"&lt;0")</f>
        <v>0</v>
      </c>
      <c r="BW30" s="210" t="s">
        <v>192</v>
      </c>
      <c r="BX30" t="str">
        <f>Efeito!B31</f>
        <v>NO SELECT</v>
      </c>
      <c r="BY30" s="267">
        <f>SUMIFS(Banco[valor],Banco[IdAgente],BX30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30" s="267">
        <f>SUMIFS(Banco[valor],Banco[IdAgente],BX30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30" s="267">
        <f>SUMIFS(Banco[valor],Banco[IdAgente],BX30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30" s="267">
        <f>SUMIFS(Banco[valor],Banco[IdAgente],BX30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30" s="267">
        <f>SUMIFS(Banco[valor],Banco[IdAgente],BX30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30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30" s="267">
        <f>SUMIFS(Banco[valor],Banco[IdAgente],BX30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30" s="267">
        <f>SUMIFS(Banco[valor],Banco[IdAgente],BX30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30" s="267">
        <f>SUMIFS(Banco[valor],Banco[IdAgente],BX30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30" s="267">
        <f>SUMIFS(Banco[valor],Banco[IdAgente],BX30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30" s="267">
        <f>SUMIFS(Banco[valor],Banco[IdAgente],BX30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30" s="267">
        <f>SUMIFS(Banco[valor],Banco[IdAgente],BX30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30" s="267">
        <f>SUMIFS(Banco[valor],Banco[IdAgente],BX30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30" s="267">
        <f>SUMIFS(Banco[valor],Banco[IdAgente],B30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30" s="267">
        <f>SUMIFS(Banco[valor],Banco[IdAgente],B30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30" s="267">
        <f>SUMIFS(Banco[valor],Banco[IdAgente],B30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31" spans="1:91">
      <c r="A31" t="s">
        <v>195</v>
      </c>
      <c r="B31" t="str">
        <f>Efeito!B32</f>
        <v>NO SELECT</v>
      </c>
      <c r="C31" s="267">
        <f>SUMIFS(Banco[valor],Banco[IdAgente],B31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31" s="267">
        <f>SUMIFS(Banco[valor],Banco[IdAgente],B31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31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31" s="267">
        <f>SUMIFS(Banco[valor],Banco[IdAgente],B31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31" s="267">
        <f>SUMIFS(Banco[valor],Banco[IdAgente],B31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31" s="267">
        <f>SUMIFS(Banco[valor],Banco[IdAgente],B31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31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31" s="267">
        <f>SUMIFS(Banco[valor],Banco[IdAgente],B31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31" s="267">
        <f>SUMIFS(Banco[valor],Banco[IdAgente],B31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31" s="267">
        <f>SUMIFS(Banco[valor],Banco[IdAgente],B31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31" s="267">
        <f>SUMIFS(Banco[valor],Banco[IdAgente],B31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31" s="267">
        <f>SUMIFS(Banco[valor],Banco[IdAgente],B31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31" s="267">
        <f>SUMIFS(Banco[valor],Banco[IdAgente],B31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31" s="267">
        <f>SUMIFS(Banco[valor],Banco[IdAgente],B31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31" s="267">
        <f>SUMIFS(Banco[valor],Banco[IdAgente],B31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31" s="267">
        <f t="shared" si="2"/>
        <v>0</v>
      </c>
      <c r="Q31" s="267">
        <f>SUMIFS(Banco[valor],Banco[IdAgente],B31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31" s="267">
        <f>SUMIFS(Banco[valor],Banco[IdAgente],B31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31" s="4"/>
      <c r="T31" s="4"/>
      <c r="U31" s="4"/>
      <c r="V31" s="267">
        <f>SUMIFS(financeiro[valor],financeiro[IdAgente],B31,financeiro[idDet1],22,financeiro[idDet2],60,financeiro[idDet3],526,financeiro[id_grupo_tarifa],1,financeiro[id_detalhe_grupo_tarifa],7,financeiro[id_tipo_tarifa],9,financeiro[id_subgrupo],99,financeiro[valor],"&gt;0")+SUMIFS(financeiro[valor],financeiro[IdAgente],B31,financeiro[idDet1],22,financeiro[idDet2],60,financeiro[idDet3],526,financeiro[id_grupo_tarifa],2,financeiro[id_detalhe_grupo_tarifa],11,financeiro[id_tipo_tarifa],9,financeiro[valor],"&gt;0")+SUMIFS(financeiro[valor],financeiro[IdAgente],B31,financeiro[idDet1],22,financeiro[idDet2],60,financeiro[idDet3],526,financeiro[id_grupo_tarifa],2,financeiro[id_detalhe_grupo_tarifa],9,financeiro[id_tipo_tarifa],9,financeiro[valor],"&gt;0")+SUMIFS(financeiro[valor],financeiro[IdAgente],B31,financeiro[idDet1],22,financeiro[idDet2],60,financeiro[idDet3],526,financeiro[id_grupo_tarifa],2,financeiro[id_detalhe_grupo_tarifa],8,financeiro[id_tipo_tarifa],9,financeiro[valor],"&gt;0")+SUMIFS(financeiro[valor],financeiro[IdAgente],B31,financeiro[idDet1],22,financeiro[idDet2],60,financeiro[idDet3],526,financeiro[id_grupo_tarifa],2,financeiro[id_detalhe_grupo_tarifa],10,financeiro[id_tipo_tarifa],9,financeiro[valor],"&gt;0")+SUMIFS(financeiro[valor],financeiro[IdAgente],B31,financeiro[idDet1],22,financeiro[idDet2],60,financeiro[idDet3],526,financeiro[id_grupo_tarifa],2,financeiro[id_detalhe_grupo_tarifa],24,financeiro[id_tipo_tarifa],9,financeiro[valor],"&gt;0")</f>
        <v>0</v>
      </c>
      <c r="W31" s="267">
        <f>SUMIFS(financeiro[valor],financeiro[IdAgente],B31,financeiro[idDet1],20,financeiro[idDet2],60,financeiro[idDet3],999,financeiro[id_grupo_tarifa],3,financeiro[id_detalhe_grupo_tarifa],14,financeiro[id_tipo_tarifa],9)+SUMIFS(financeiro[valor],financeiro[IdAgente],B31,financeiro[idDet1],20,financeiro[idDet2],60,financeiro[idDet3],999,financeiro[id_grupo_tarifa],3,financeiro[id_detalhe_grupo_tarifa],15,financeiro[id_tipo_tarifa],9)+SUMIFS(financeiro[valor],financeiro[IdAgente],B31,financeiro[idDet1],20,financeiro[idDet2],60,financeiro[idDet3],999,financeiro[id_grupo_tarifa],3,financeiro[id_detalhe_grupo_tarifa],16,financeiro[id_tipo_tarifa],9)+SUMIFS(financeiro[valor],financeiro[IdAgente],B31,financeiro[idDet1],20,financeiro[idDet2],60,financeiro[idDet3],999,financeiro[id_grupo_tarifa],3,financeiro[id_detalhe_grupo_tarifa],17,financeiro[id_tipo_tarifa],9)+SUMIFS(financeiro[valor],financeiro[IdAgente],B31,financeiro[idDet1],20,financeiro[idDet2],60,financeiro[idDet3],999,financeiro[id_grupo_tarifa],3,financeiro[id_detalhe_grupo_tarifa],18,financeiro[id_tipo_tarifa],9)+SUMIFS(financeiro[valor],financeiro[IdAgente],B31,financeiro[idDet1],20,financeiro[idDet2],60,financeiro[idDet3],999,financeiro[id_grupo_tarifa],3,financeiro[id_detalhe_grupo_tarifa],19,financeiro[id_tipo_tarifa],9)+SUMIFS(financeiro[valor],financeiro[IdAgente],B31,financeiro[idDet1],20,financeiro[idDet2],60,financeiro[idDet3],73,financeiro[idDet3],999,financeiro[id_grupo_tarifa],3,financeiro[id_detalhe_grupo_tarifa],12,financeiro[id_tipo_tarifa],9)</f>
        <v>0</v>
      </c>
      <c r="X31" s="267">
        <f>SUMIFS(financeiro[valor],financeiro[IdAgente],B31,financeiro[idDet1],20,financeiro[idDet2],60,financeiro[idDet3],999,financeiro[id_grupo_tarifa],3,financeiro[id_detalhe_grupo_tarifa],12,financeiro[id_tipo_tarifa],9)+SUMIFS(financeiro[valor],financeiro[IdAgente],B31,financeiro[idDet1],20,financeiro[idDet2],60,financeiro[idDet3],999,financeiro[id_grupo_tarifa],4,financeiro[id_detalhe_grupo_tarifa],999,financeiro[id_tipo_tarifa],9)</f>
        <v>0</v>
      </c>
      <c r="Y31" s="267">
        <f>SUMIFS(financeiro[valor],financeiro[IdAgente],B31,financeiro[idDet1],20,financeiro[idDet2],60,financeiro[idDet3],179,financeiro[id_grupo_tarifa],99,financeiro[id_detalhe_grupo_tarifa],999,financeiro[id_tipo_tarifa],9)</f>
        <v>0</v>
      </c>
      <c r="Z31" s="267">
        <f>SUMIFS(financeiro[valor],financeiro[IdAgente],B31,financeiro[idDet1],20,financeiro[idDet2],60,financeiro[idDet3],999,financeiro[id_grupo_tarifa],2,financeiro[id_detalhe_grupo_tarifa],11,financeiro[id_tipo_tarifa],9,financeiro[valor],"&gt;0")+SUMIFS(financeiro[valor],financeiro[IdAgente],B31,financeiro[idDet1],20,financeiro[idDet2],60,financeiro[idDet3],999,financeiro[id_grupo_tarifa],2,financeiro[id_detalhe_grupo_tarifa],9,financeiro[id_tipo_tarifa],9,financeiro[valor],"&gt;0")+SUMIFS(financeiro[valor],financeiro[IdAgente],B31,financeiro[idDet1],20,financeiro[idDet2],60,financeiro[idDet3],999,financeiro[id_grupo_tarifa],2,financeiro[id_detalhe_grupo_tarifa],8,financeiro[id_tipo_tarifa],9,financeiro[valor],"&gt;0")+SUMIFS(financeiro[valor],financeiro[IdAgente],B31,financeiro[idDet1],20,financeiro[idDet2],60,financeiro[idDet3],999,financeiro[id_grupo_tarifa],2,financeiro[id_detalhe_grupo_tarifa],10,financeiro[id_tipo_tarifa],9,financeiro[valor],"&gt;0")+SUMIFS(financeiro[valor],financeiro[IdAgente],B31,financeiro[idDet1],20,financeiro[idDet2],60,financeiro[idDet3],999,financeiro[id_grupo_tarifa],2,financeiro[id_detalhe_grupo_tarifa],24,financeiro[id_tipo_tarifa],9,financeiro[valor],"&gt;0")+SUMIFS(financeiro[valor],financeiro[IdAgente],B31,financeiro[idDet1],20,financeiro[idDet2],60,financeiro[idDet3],999,financeiro[id_grupo_tarifa],2,financeiro[id_detalhe_grupo_tarifa],17,financeiro[id_tipo_tarifa],9,financeiro[valor],"&gt;0")+SUMIFS(financeiro[valor],financeiro[IdAgente],B31,financeiro[idDet1],999,financeiro[idDet2],999999,financeiro[idDet3],999,financeiro[id_grupo_tarifa],99,financeiro[id_detalhe_grupo_tarifa],999,financeiro[id_tipo_tarifa],9,financeiro[valor],"&gt;0")</f>
        <v>0</v>
      </c>
      <c r="AA31" s="267">
        <f>SUMIFS(financeiro[valor],financeiro[IdAgente],B31,financeiro[idDet1],22,financeiro[idDet2],60,financeiro[idDet3],529,financeiro[id_grupo_tarifa],1,financeiro[id_detalhe_grupo_tarifa],2,financeiro[id_tipo_tarifa],9,financeiro[valor],"&gt;0")+SUMIFS(financeiro[valor],financeiro[IdAgente],B31,financeiro[idDet1],22,financeiro[idDet2],60,financeiro[idDet3],529,financeiro[id_grupo_tarifa],1,financeiro[id_detalhe_grupo_tarifa],1,financeiro[id_tipo_tarifa],9,financeiro[valor],"&gt;0")</f>
        <v>0</v>
      </c>
      <c r="AB31" s="269"/>
      <c r="AC31" s="267">
        <f>SUMIFS(financeiro[valor],financeiro[IdAgente],B31,financeiro[idDet1],22,financeiro[idDet2],60,financeiro[idDet3],999,financeiro[id_grupo_tarifa],2,financeiro[id_detalhe_grupo_tarifa],30,financeiro[id_tipo_tarifa],9,financeiro[valor],"&gt;0")</f>
        <v>0</v>
      </c>
      <c r="AD31" s="267">
        <f>SUMIFS(financeiro[valor],financeiro[IdAgente],B31,financeiro[idDet1],22,financeiro[idDet2],60,financeiro[idDet3],178,financeiro[id_grupo_tarifa],1,financeiro[id_detalhe_grupo_tarifa],7,financeiro[id_tipo_tarifa],9)</f>
        <v>0</v>
      </c>
      <c r="AE31" s="267">
        <f>SUMIFS(financeiro[valor],financeiro[IdAgente],B31,financeiro[idDet1],22,financeiro[idDet2],60,financeiro[idDet3],242,financeiro[id_grupo_tarifa],4,financeiro[id_detalhe_grupo_tarifa],999,financeiro[id_tipo_tarifa],9)</f>
        <v>0</v>
      </c>
      <c r="AF31" s="267">
        <f>SUMIFS(financeiro[valor],financeiro[IdAgente],B31,financeiro[idDet1],22,financeiro[idDet2],60,financeiro[idDet3],525,financeiro[id_grupo_tarifa],2,financeiro[id_tipo_tarifa],9)</f>
        <v>0</v>
      </c>
      <c r="AG31" s="267">
        <f>SUMIFS(financeiro[valor],financeiro[IdAgente],B31,financeiro[idDet1],22,financeiro[idDet2],60,financeiro[idDet3],524)</f>
        <v>0</v>
      </c>
      <c r="AH31" s="269"/>
      <c r="AI31" s="267">
        <f>SUMIFS(financeiro[valor],financeiro[IdAgente],B31,financeiro[idDet1],22,financeiro[idDet2],60,financeiro[idDet3],523,financeiro[id_grupo_tarifa],2,financeiro[id_detalhe_grupo_tarifa],30,financeiro[id_tipo_tarifa],9)</f>
        <v>0</v>
      </c>
      <c r="AJ31" s="267">
        <f>SUMIFS(financeiro[valor],financeiro[IdAgente],B31,financeiro[idDet1],22,financeiro[idDet2],60,financeiro[idDet3],503,financeiro[id_grupo_tarifa],99,financeiro[id_detalhe_grupo_tarifa],999,financeiro[id_tipo_tarifa],3)</f>
        <v>0</v>
      </c>
      <c r="AK31" s="269"/>
      <c r="AL31" s="269"/>
      <c r="AM31" s="269"/>
      <c r="AN31" s="269"/>
      <c r="AO31" s="269"/>
      <c r="AP31" s="269"/>
      <c r="AQ31" s="269"/>
      <c r="AR31" s="269"/>
      <c r="AS31" s="269"/>
      <c r="AT31" s="267">
        <f>SUMIFS(financeiro[valor],financeiro[IdAgente],B31,financeiro[idDet1],22,financeiro[idDet2],60,financeiro[idDet3],235,financeiro[id_grupo_tarifa],4,financeiro[id_detalhe_grupo_tarifa],999,financeiro[id_tipo_tarifa],9)</f>
        <v>0</v>
      </c>
      <c r="AU31" s="267">
        <f>SUMIFS(financeiro[valor],financeiro[IdAgente],B31,financeiro[idDet1],22,financeiro[idDet2],60,financeiro[idDet3],512,financeiro[id_grupo_tarifa],3,financeiro[id_detalhe_grupo_tarifa],28,financeiro[id_tipo_tarifa],9)</f>
        <v>0</v>
      </c>
      <c r="AV31" s="267">
        <f>SUMIFS(financeiro[valor],financeiro[IdAgente],B31,financeiro[idDet1],22,financeiro[idDet2],60,financeiro[idDet3],241,financeiro[id_grupo_tarifa],2,financeiro[id_detalhe_grupo_tarifa],11,financeiro[id_tipo_tarifa],9)+SUMIFS(financeiro[valor],financeiro[IdAgente],B31,financeiro[idDet1],22,financeiro[idDet2],60,financeiro[idDet3],241,financeiro[id_grupo_tarifa],2,financeiro[id_detalhe_grupo_tarifa],9,financeiro[id_tipo_tarifa],9)+SUMIFS(financeiro[valor],financeiro[IdAgente],B31,financeiro[idDet1],22,financeiro[idDet2],60,financeiro[idDet3],241,financeiro[id_grupo_tarifa],2,financeiro[id_detalhe_grupo_tarifa],8,financeiro[id_tipo_tarifa],9)+SUMIFS(financeiro[valor],financeiro[IdAgente],B31,financeiro[idDet1],22,financeiro[idDet2],60,financeiro[idDet3],241,financeiro[id_grupo_tarifa],2,financeiro[id_detalhe_grupo_tarifa],10,financeiro[id_tipo_tarifa],9)+SUMIFS(financeiro[valor],financeiro[IdAgente],B31,financeiro[idDet1],22,financeiro[idDet2],60,financeiro[idDet3],241,financeiro[id_grupo_tarifa],2,financeiro[id_detalhe_grupo_tarifa],24,financeiro[id_tipo_tarifa],9)</f>
        <v>0</v>
      </c>
      <c r="AW31" s="267">
        <f>SUMIFS(financeiro[valor],financeiro[IdAgente],B31,financeiro[idDet1],22,financeiro[idDet2],60,financeiro[idDet3],241,financeiro[id_grupo_tarifa],3,financeiro[id_detalhe_grupo_tarifa],17,financeiro[id_tipo_tarifa],9)</f>
        <v>0</v>
      </c>
      <c r="AX31" s="267">
        <f>SUMIFS(financeiro[valor],financeiro[IdAgente],B31,financeiro[idDet1],22,financeiro[idDet2],60,financeiro[idDet3],240,financeiro[id_grupo_tarifa],2,financeiro[id_detalhe_grupo_tarifa],11,financeiro[id_tipo_tarifa],9)+SUMIFS(financeiro[valor],financeiro[IdAgente],B31,financeiro[idDet1],22,financeiro[idDet2],60,financeiro[idDet3],240,financeiro[id_grupo_tarifa],2,financeiro[id_detalhe_grupo_tarifa],9,financeiro[id_tipo_tarifa],9)+SUMIFS(financeiro[valor],financeiro[IdAgente],B31,financeiro[idDet1],22,financeiro[idDet2],60,financeiro[idDet3],240,financeiro[id_grupo_tarifa],2,financeiro[id_detalhe_grupo_tarifa],8,financeiro[id_tipo_tarifa],9)+SUMIFS(financeiro[valor],financeiro[IdAgente],B31,financeiro[idDet1],22,financeiro[idDet2],60,financeiro[idDet3],240,financeiro[id_grupo_tarifa],2,financeiro[id_detalhe_grupo_tarifa],10,financeiro[id_tipo_tarifa],9)+SUMIFS(financeiro[valor],financeiro[IdAgente],B31,financeiro[idDet1],22,financeiro[idDet2],60,financeiro[idDet3],240,financeiro[id_grupo_tarifa],2,financeiro[id_detalhe_grupo_tarifa],24,financeiro[id_tipo_tarifa],9)</f>
        <v>0</v>
      </c>
      <c r="AY31" s="267">
        <f>SUMIFS(financeiro[valor],financeiro[IdAgente],B31,financeiro[idDet1],22,financeiro[idDet2],60,financeiro[idDet3],106,financeiro[id_grupo_tarifa],2,financeiro[id_detalhe_grupo_tarifa],11,financeiro[id_tipo_tarifa],9)+SUMIFS(financeiro[valor],financeiro[IdAgente],B31,financeiro[idDet1],22,financeiro[idDet2],60,financeiro[idDet3],106,financeiro[id_grupo_tarifa],2,financeiro[id_detalhe_grupo_tarifa],9,financeiro[id_tipo_tarifa],9)+SUMIFS(financeiro[valor],financeiro[IdAgente],B31,financeiro[idDet1],22,financeiro[idDet2],60,financeiro[idDet3],106,financeiro[id_grupo_tarifa],2,financeiro[id_detalhe_grupo_tarifa],8,financeiro[id_tipo_tarifa],9)+SUMIFS(financeiro[valor],financeiro[IdAgente],B31,financeiro[idDet1],22,financeiro[idDet2],60,financeiro[idDet3],106,financeiro[id_grupo_tarifa],2,financeiro[id_detalhe_grupo_tarifa],10,financeiro[id_tipo_tarifa],9)+SUMIFS(financeiro[valor],financeiro[IdAgente],B31,financeiro[idDet1],22,financeiro[idDet2],60,financeiro[idDet3],106,financeiro[id_grupo_tarifa],2,financeiro[id_detalhe_grupo_tarifa],24,financeiro[id_tipo_tarifa],9)</f>
        <v>0</v>
      </c>
      <c r="AZ31" s="267">
        <f>SUMIFS(financeiro[valor],financeiro[IdAgente],B31,financeiro[idDet1],22,financeiro[idDet2],62,financeiro[idDet3],220,financeiro[id_grupo_tarifa],2,financeiro[id_detalhe_grupo_tarifa],11,financeiro[id_tipo_tarifa],9)+SUMIFS(financeiro[valor],financeiro[IdAgente],B31,financeiro[idDet1],22,financeiro[idDet2],62,financeiro[idDet3],220,financeiro[id_grupo_tarifa],2,financeiro[id_detalhe_grupo_tarifa],9,financeiro[id_tipo_tarifa],9)+SUMIFS(financeiro[valor],financeiro[IdAgente],B31,financeiro[idDet1],22,financeiro[idDet2],62,financeiro[idDet3],220,financeiro[id_grupo_tarifa],2,financeiro[id_detalhe_grupo_tarifa],8,financeiro[id_tipo_tarifa],9)+SUMIFS(financeiro[valor],financeiro[IdAgente],B31,financeiro[idDet1],22,financeiro[idDet2],62,financeiro[idDet3],220,financeiro[id_grupo_tarifa],2,financeiro[id_detalhe_grupo_tarifa],10,financeiro[id_tipo_tarifa],9)+SUMIFS(financeiro[valor],financeiro[IdAgente],B31,financeiro[idDet1],22,financeiro[idDet2],62,financeiro[idDet3],220,financeiro[id_grupo_tarifa],2,financeiro[id_detalhe_grupo_tarifa],24,financeiro[id_tipo_tarifa],9)</f>
        <v>0</v>
      </c>
      <c r="BA31" s="267">
        <f>SUMIFS(financeiro[valor],financeiro[IdAgente],B31,financeiro[idDet1],22,financeiro[idDet2],60,financeiro[idDet3],220,financeiro[id_grupo_tarifa],2,financeiro[id_detalhe_grupo_tarifa],11,financeiro[id_tipo_tarifa],9)+SUMIFS(financeiro[valor],financeiro[IdAgente],B31,financeiro[idDet1],22,financeiro[idDet2],60,financeiro[idDet3],220,financeiro[id_grupo_tarifa],2,financeiro[id_detalhe_grupo_tarifa],9,financeiro[id_tipo_tarifa],9)+SUMIFS(financeiro[valor],financeiro[IdAgente],B31,financeiro[idDet1],22,financeiro[idDet2],60,financeiro[idDet3],220,financeiro[id_grupo_tarifa],2,financeiro[id_detalhe_grupo_tarifa],8,financeiro[id_tipo_tarifa],9)+SUMIFS(financeiro[valor],financeiro[IdAgente],B31,financeiro[idDet1],22,financeiro[idDet2],60,financeiro[idDet3],220,financeiro[id_grupo_tarifa],2,financeiro[id_detalhe_grupo_tarifa],10,financeiro[id_tipo_tarifa],9)+SUMIFS(financeiro[valor],financeiro[IdAgente],B31,financeiro[idDet1],22,financeiro[idDet2],60,financeiro[idDet3],220,financeiro[id_grupo_tarifa],2,financeiro[id_detalhe_grupo_tarifa],24,financeiro[id_tipo_tarifa],9)</f>
        <v>0</v>
      </c>
      <c r="BB31" s="267">
        <f>SUMIFS(financeiro[valor],financeiro[IdAgente],B31,financeiro[idDet1],22,financeiro[idDet2],60,financeiro[idDet3],102,financeiro[id_grupo_tarifa],2,financeiro[id_detalhe_grupo_tarifa],11,financeiro[id_tipo_tarifa],9)+SUMIFS(financeiro[valor],financeiro[IdAgente],B31,financeiro[idDet1],22,financeiro[idDet2],60,financeiro[idDet3],102,financeiro[id_grupo_tarifa],2,financeiro[id_detalhe_grupo_tarifa],9,financeiro[id_tipo_tarifa],9)+SUMIFS(financeiro[valor],financeiro[IdAgente],B31,financeiro[idDet1],22,financeiro[idDet2],60,financeiro[idDet3],102,financeiro[id_grupo_tarifa],2,financeiro[id_detalhe_grupo_tarifa],8,financeiro[id_tipo_tarifa],9)+SUMIFS(financeiro[valor],financeiro[IdAgente],B31,financeiro[idDet1],22,financeiro[idDet2],60,financeiro[idDet3],102,financeiro[id_grupo_tarifa],2,financeiro[id_detalhe_grupo_tarifa],10,financeiro[id_tipo_tarifa],9)+SUMIFS(financeiro[valor],financeiro[IdAgente],B31,financeiro[idDet1],22,financeiro[idDet2],60,financeiro[idDet3],102,financeiro[id_grupo_tarifa],2,financeiro[id_detalhe_grupo_tarifa],24,financeiro[id_tipo_tarifa],9)</f>
        <v>0</v>
      </c>
      <c r="BC31" s="267">
        <f>SUMIFS(financeiro[valor],financeiro[IdAgente],B31,financeiro[idDet1],22,financeiro[idDet2],60,financeiro[idDet3],522,financeiro[valor],"&lt;0")</f>
        <v>0</v>
      </c>
      <c r="BD31" s="267">
        <f>SUMIFS(financeiro[valor],financeiro[IdAgente],B31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31" s="267">
        <f>SUMIFS(financeiro[valor],financeiro[IdAgente],B31,financeiro[id_natureza_dado],2,financeiro[id_detalhe_natureza],2,financeiro[idDet1],20,financeiro[idDet2],60,financeiro[idDet3],82,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31" s="267">
        <f>SUMIFS(financeiro[valor],financeiro[IdAgente],B31,financeiro[id_natureza_dado],2,financeiro[id_detalhe_natureza],2,financeiro[idDet1],20,financeiro[idDet2],60,financeiro[idDet3],81,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31" s="267">
        <f>SUMIFS(financeiro[valor],financeiro[IdAgente],B31,financeiro[id_natureza_dado],2,financeiro[id_detalhe_natureza],2,financeiro[idDet1],20,financeiro[idDet2],60,financeiro[idDet3],503,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31" s="267">
        <f>SUMIFS(financeiro[valor],financeiro[IdAgente],B31,financeiro[idDet1],22,financeiro[idDet2],60,financeiro[idDet3],123)</f>
        <v>0</v>
      </c>
      <c r="BI31" s="267">
        <f>SUMIFS(financeiro[valor],financeiro[IdAgente],B31,financeiro[idDet1],20,financeiro[idDet2],60,financeiro[idDet3],73)</f>
        <v>0</v>
      </c>
      <c r="BJ31" s="267">
        <f>SUMIFS(financeiro[valor],financeiro[IdAgente],B31,financeiro[idDet1],22,financeiro[idDet2],60,financeiro[idDet3],527)</f>
        <v>0</v>
      </c>
      <c r="BK31" s="267">
        <f>SUMIFS(financeiro[valor],financeiro[IdAgente],B31,financeiro[idDet1],22,financeiro[idDet2],60,financeiro[idDet3],510)</f>
        <v>0</v>
      </c>
      <c r="BL31" s="267">
        <f>SUMIFS(financeiro[valor],financeiro[IdAgente],B31,financeiro[idDet1],22,financeiro[idDet2],60,financeiro[idDet3],526,
financeiro[id_grupo_tarifa],1,financeiro[id_detalhe_grupo_tarifa],3,financeiro[id_tipo_tarifa],9,financeiro[id_subgrupo],3)</f>
        <v>0</v>
      </c>
      <c r="BM31" s="267">
        <f>SUMIFS(financeiro[valor],financeiro[IdAgente],B31,financeiro[idDet1],22,financeiro[idDet2],60,financeiro[idDet3],999,
financeiro[id_grupo_tarifa],3,financeiro[id_detalhe_grupo_tarifa],17,financeiro[id_tipo_tarifa],9)</f>
        <v>0</v>
      </c>
      <c r="BN31" s="267">
        <f>SUMIFS(financeiro[valor],financeiro[IdAgente],B31,financeiro[idDet1],22,financeiro[idDet2],60,financeiro[idDet3],526,financeiro[id_grupo_tarifa],1,financeiro[id_detalhe_grupo_tarifa],7,financeiro[id_tipo_tarifa],9,financeiro[valor],"&lt;0")+SUMIFS(financeiro[valor],financeiro[IdAgente],B31,financeiro[idDet1],22,financeiro[idDet2],60,financeiro[idDet3],526,financeiro[id_grupo_tarifa],2,financeiro[id_detalhe_grupo_tarifa],11,financeiro[id_tipo_tarifa],9,financeiro[valor],"&lt;0")+SUMIFS(financeiro[valor],financeiro[IdAgente],B31,financeiro[idDet1],22,financeiro[idDet2],60,financeiro[idDet3],526,financeiro[id_grupo_tarifa],2,financeiro[id_detalhe_grupo_tarifa],8,financeiro[id_tipo_tarifa],9,financeiro[valor],"&lt;0")</f>
        <v>0</v>
      </c>
      <c r="BO31" s="267">
        <f>SUMIFS(financeiro[valor],financeiro[IdAgente],B31,financeiro[idDet1],22,financeiro[idDet2],60,financeiro[idDet3],999,financeiro[id_grupo_tarifa],4,financeiro[id_detalhe_grupo_tarifa],999,financeiro[id_tipo_tarifa],9,financeiro[valor],"&lt;0")</f>
        <v>0</v>
      </c>
      <c r="BP31" s="267">
        <f>SUMIFS(financeiro[valor],financeiro[IdAgente],B31,financeiro[idDet1],22,financeiro[idDet2],60,financeiro[idDet3],530,financeiro[valor],"&lt;0")</f>
        <v>0</v>
      </c>
      <c r="BQ31" s="267">
        <f>SUMIFS(financeiro[valor],financeiro[IdAgente],B31,financeiro[idDet1],22,financeiro[idDet2],60,financeiro[idDet3],531,financeiro[valor],"&lt;0")</f>
        <v>0</v>
      </c>
      <c r="BR31" s="267">
        <f>SUMIFS(financeiro[valor],financeiro[IdAgente],B31,financeiro[idDet1],22,financeiro[idDet2],62,financeiro[idDet3],532,financeiro[valor],"&lt;0")</f>
        <v>0</v>
      </c>
      <c r="BS31" s="267">
        <f>SUMIFS(financeiro[valor],financeiro[IdAgente],B31,financeiro[idDet1],22,financeiro[idDet2],62,financeiro[idDet3],533,financeiro[valor],"&lt;0")</f>
        <v>0</v>
      </c>
      <c r="BT31" s="267">
        <f>SUMIFS(financeiro[valor],financeiro[IdAgente],B31,financeiro[idDet1],22,financeiro[idDet2],62,financeiro[idDet3],534,financeiro[valor],"&lt;0")</f>
        <v>0</v>
      </c>
      <c r="BW31" s="210" t="s">
        <v>195</v>
      </c>
      <c r="BX31" t="str">
        <f>Efeito!B32</f>
        <v>NO SELECT</v>
      </c>
      <c r="BY31" s="267">
        <f>SUMIFS(Banco[valor],Banco[IdAgente],BX31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31" s="267">
        <f>SUMIFS(Banco[valor],Banco[IdAgente],BX31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31" s="267">
        <f>SUMIFS(Banco[valor],Banco[IdAgente],BX31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31" s="267">
        <f>SUMIFS(Banco[valor],Banco[IdAgente],BX31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31" s="267">
        <f>SUMIFS(Banco[valor],Banco[IdAgente],BX31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31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31" s="267">
        <f>SUMIFS(Banco[valor],Banco[IdAgente],BX31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31" s="267">
        <f>SUMIFS(Banco[valor],Banco[IdAgente],BX31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31" s="267">
        <f>SUMIFS(Banco[valor],Banco[IdAgente],BX31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31" s="267">
        <f>SUMIFS(Banco[valor],Banco[IdAgente],BX31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31" s="267">
        <f>SUMIFS(Banco[valor],Banco[IdAgente],BX31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31" s="267">
        <f>SUMIFS(Banco[valor],Banco[IdAgente],BX31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31" s="267">
        <f>SUMIFS(Banco[valor],Banco[IdAgente],BX31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31" s="267">
        <f>SUMIFS(Banco[valor],Banco[IdAgente],B31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31" s="267">
        <f>SUMIFS(Banco[valor],Banco[IdAgente],B31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31" s="267">
        <f>SUMIFS(Banco[valor],Banco[IdAgente],B31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32" spans="1:91">
      <c r="A32" t="s">
        <v>61</v>
      </c>
      <c r="B32" t="str">
        <f>Efeito!B33</f>
        <v>NO SELECT</v>
      </c>
      <c r="C32" s="267">
        <f>SUMIFS(Banco[valor],Banco[IdAgente],B32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32" s="267">
        <f>SUMIFS(Banco[valor],Banco[IdAgente],B32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32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32" s="267">
        <f>SUMIFS(Banco[valor],Banco[IdAgente],B32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32" s="267">
        <f>SUMIFS(Banco[valor],Banco[IdAgente],B32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32" s="267">
        <f>SUMIFS(Banco[valor],Banco[IdAgente],B32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32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32" s="267">
        <f>SUMIFS(Banco[valor],Banco[IdAgente],B32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32" s="267">
        <f>SUMIFS(Banco[valor],Banco[IdAgente],B32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32" s="267">
        <f>SUMIFS(Banco[valor],Banco[IdAgente],B32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32" s="267">
        <f>SUMIFS(Banco[valor],Banco[IdAgente],B32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32" s="267">
        <f>SUMIFS(Banco[valor],Banco[IdAgente],B32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32" s="267">
        <f>SUMIFS(Banco[valor],Banco[IdAgente],B32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32" s="267">
        <f>SUMIFS(Banco[valor],Banco[IdAgente],B32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32" s="267">
        <f>SUMIFS(Banco[valor],Banco[IdAgente],B32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32" s="267">
        <f t="shared" si="2"/>
        <v>0</v>
      </c>
      <c r="Q32" s="267">
        <f>SUMIFS(Banco[valor],Banco[IdAgente],B32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32" s="267">
        <f>SUMIFS(Banco[valor],Banco[IdAgente],B32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32" s="4"/>
      <c r="T32" s="4"/>
      <c r="U32" s="4"/>
      <c r="V32" s="267">
        <f>SUMIFS(financeiro[valor],financeiro[IdAgente],B32,financeiro[idDet1],22,financeiro[idDet2],60,financeiro[idDet3],526,financeiro[id_grupo_tarifa],1,financeiro[id_detalhe_grupo_tarifa],7,financeiro[id_tipo_tarifa],9,financeiro[id_subgrupo],99,financeiro[valor],"&gt;0")+SUMIFS(financeiro[valor],financeiro[IdAgente],B32,financeiro[idDet1],22,financeiro[idDet2],60,financeiro[idDet3],526,financeiro[id_grupo_tarifa],2,financeiro[id_detalhe_grupo_tarifa],11,financeiro[id_tipo_tarifa],9,financeiro[valor],"&gt;0")+SUMIFS(financeiro[valor],financeiro[IdAgente],B32,financeiro[idDet1],22,financeiro[idDet2],60,financeiro[idDet3],526,financeiro[id_grupo_tarifa],2,financeiro[id_detalhe_grupo_tarifa],9,financeiro[id_tipo_tarifa],9,financeiro[valor],"&gt;0")+SUMIFS(financeiro[valor],financeiro[IdAgente],B32,financeiro[idDet1],22,financeiro[idDet2],60,financeiro[idDet3],526,financeiro[id_grupo_tarifa],2,financeiro[id_detalhe_grupo_tarifa],8,financeiro[id_tipo_tarifa],9,financeiro[valor],"&gt;0")+SUMIFS(financeiro[valor],financeiro[IdAgente],B32,financeiro[idDet1],22,financeiro[idDet2],60,financeiro[idDet3],526,financeiro[id_grupo_tarifa],2,financeiro[id_detalhe_grupo_tarifa],10,financeiro[id_tipo_tarifa],9,financeiro[valor],"&gt;0")+SUMIFS(financeiro[valor],financeiro[IdAgente],B32,financeiro[idDet1],22,financeiro[idDet2],60,financeiro[idDet3],526,financeiro[id_grupo_tarifa],2,financeiro[id_detalhe_grupo_tarifa],24,financeiro[id_tipo_tarifa],9,financeiro[valor],"&gt;0")</f>
        <v>0</v>
      </c>
      <c r="W32" s="267">
        <f>SUMIFS(financeiro[valor],financeiro[IdAgente],B32,financeiro[idDet1],20,financeiro[idDet2],60,financeiro[idDet3],999,financeiro[id_grupo_tarifa],3,financeiro[id_detalhe_grupo_tarifa],14,financeiro[id_tipo_tarifa],9)+SUMIFS(financeiro[valor],financeiro[IdAgente],B32,financeiro[idDet1],20,financeiro[idDet2],60,financeiro[idDet3],999,financeiro[id_grupo_tarifa],3,financeiro[id_detalhe_grupo_tarifa],15,financeiro[id_tipo_tarifa],9)+SUMIFS(financeiro[valor],financeiro[IdAgente],B32,financeiro[idDet1],20,financeiro[idDet2],60,financeiro[idDet3],999,financeiro[id_grupo_tarifa],3,financeiro[id_detalhe_grupo_tarifa],16,financeiro[id_tipo_tarifa],9)+SUMIFS(financeiro[valor],financeiro[IdAgente],B32,financeiro[idDet1],20,financeiro[idDet2],60,financeiro[idDet3],999,financeiro[id_grupo_tarifa],3,financeiro[id_detalhe_grupo_tarifa],17,financeiro[id_tipo_tarifa],9)+SUMIFS(financeiro[valor],financeiro[IdAgente],B32,financeiro[idDet1],20,financeiro[idDet2],60,financeiro[idDet3],999,financeiro[id_grupo_tarifa],3,financeiro[id_detalhe_grupo_tarifa],18,financeiro[id_tipo_tarifa],9)+SUMIFS(financeiro[valor],financeiro[IdAgente],B32,financeiro[idDet1],20,financeiro[idDet2],60,financeiro[idDet3],999,financeiro[id_grupo_tarifa],3,financeiro[id_detalhe_grupo_tarifa],19,financeiro[id_tipo_tarifa],9)</f>
        <v>0</v>
      </c>
      <c r="X32" s="267">
        <f>SUMIFS(financeiro[valor],financeiro[IdAgente],B32,financeiro[idDet1],20,financeiro[idDet2],60,financeiro[idDet3],999,financeiro[id_grupo_tarifa],3,financeiro[id_detalhe_grupo_tarifa],12,financeiro[id_tipo_tarifa],9)+SUMIFS(financeiro[valor],financeiro[IdAgente],B32,financeiro[idDet1],20,financeiro[idDet2],60,financeiro[idDet3],999,financeiro[id_grupo_tarifa],4,financeiro[id_detalhe_grupo_tarifa],999,financeiro[id_tipo_tarifa],9)</f>
        <v>0</v>
      </c>
      <c r="Y32" s="267">
        <f>SUMIFS(financeiro[valor],financeiro[IdAgente],B32,financeiro[idDet1],20,financeiro[idDet2],60,financeiro[idDet3],179,financeiro[id_grupo_tarifa],99,financeiro[id_detalhe_grupo_tarifa],999,financeiro[id_tipo_tarifa],9)</f>
        <v>0</v>
      </c>
      <c r="Z32" s="267">
        <f>SUMIFS(financeiro[valor],financeiro[IdAgente],B32,financeiro[idDet1],20,financeiro[idDet2],60,financeiro[idDet3],999,financeiro[id_grupo_tarifa],2,financeiro[id_detalhe_grupo_tarifa],11,financeiro[id_tipo_tarifa],9,financeiro[valor],"&gt;0")+SUMIFS(financeiro[valor],financeiro[IdAgente],B32,financeiro[idDet1],20,financeiro[idDet2],60,financeiro[idDet3],999,financeiro[id_grupo_tarifa],2,financeiro[id_detalhe_grupo_tarifa],9,financeiro[id_tipo_tarifa],9,financeiro[valor],"&gt;0")+SUMIFS(financeiro[valor],financeiro[IdAgente],B32,financeiro[idDet1],20,financeiro[idDet2],60,financeiro[idDet3],999,financeiro[id_grupo_tarifa],2,financeiro[id_detalhe_grupo_tarifa],8,financeiro[id_tipo_tarifa],9,financeiro[valor],"&gt;0")+SUMIFS(financeiro[valor],financeiro[IdAgente],B32,financeiro[idDet1],20,financeiro[idDet2],60,financeiro[idDet3],999,financeiro[id_grupo_tarifa],2,financeiro[id_detalhe_grupo_tarifa],10,financeiro[id_tipo_tarifa],9,financeiro[valor],"&gt;0")+SUMIFS(financeiro[valor],financeiro[IdAgente],B32,financeiro[idDet1],20,financeiro[idDet2],60,financeiro[idDet3],999,financeiro[id_grupo_tarifa],2,financeiro[id_detalhe_grupo_tarifa],24,financeiro[id_tipo_tarifa],9,financeiro[valor],"&gt;0")+SUMIFS(financeiro[valor],financeiro[IdAgente],B32,financeiro[idDet1],20,financeiro[idDet2],60,financeiro[idDet3],999,financeiro[id_grupo_tarifa],2,financeiro[id_detalhe_grupo_tarifa],17,financeiro[id_tipo_tarifa],9,financeiro[valor],"&gt;0")+SUMIFS(financeiro[valor],financeiro[IdAgente],B32,financeiro[idDet1],999,financeiro[idDet2],999999,financeiro[idDet3],999,financeiro[id_grupo_tarifa],99,financeiro[id_detalhe_grupo_tarifa],999,financeiro[id_tipo_tarifa],9,financeiro[valor],"&gt;0")</f>
        <v>0</v>
      </c>
      <c r="AA32" s="267">
        <f>SUMIFS(financeiro[valor],financeiro[IdAgente],B32,financeiro[idDet1],22,financeiro[idDet2],60,financeiro[idDet3],529,financeiro[id_grupo_tarifa],1,financeiro[id_detalhe_grupo_tarifa],1,financeiro[id_tipo_tarifa],9,financeiro[valor],"&gt;0")+SUMIFS(financeiro[valor],financeiro[IdAgente],B32,financeiro[idDet1],22,financeiro[idDet2],60,financeiro[idDet3],529,financeiro[id_grupo_tarifa],1,financeiro[id_detalhe_grupo_tarifa],2,financeiro[id_tipo_tarifa],9,financeiro[valor],"&gt;0")</f>
        <v>0</v>
      </c>
      <c r="AB32" s="269"/>
      <c r="AC32" s="267">
        <f>SUMIFS(financeiro[valor],financeiro[IdAgente],B32,financeiro[idDet1],22,financeiro[idDet2],60,financeiro[idDet3],999,financeiro[id_grupo_tarifa],2,financeiro[id_detalhe_grupo_tarifa],30,financeiro[id_tipo_tarifa],9,financeiro[valor],"&gt;0")</f>
        <v>0</v>
      </c>
      <c r="AD32" s="267">
        <f>SUMIFS(financeiro[valor],financeiro[IdAgente],B32,financeiro[idDet1],22,financeiro[idDet2],60,financeiro[idDet3],178,financeiro[id_grupo_tarifa],1,financeiro[id_detalhe_grupo_tarifa],7,financeiro[id_tipo_tarifa],9)</f>
        <v>0</v>
      </c>
      <c r="AE32" s="267">
        <f>SUMIFS(financeiro[valor],financeiro[IdAgente],B32,financeiro[idDet1],22,financeiro[idDet2],60,financeiro[idDet3],242,financeiro[id_grupo_tarifa],4,financeiro[id_detalhe_grupo_tarifa],999,financeiro[id_tipo_tarifa],9)</f>
        <v>0</v>
      </c>
      <c r="AF32" s="267">
        <f>SUMIFS(financeiro[valor],financeiro[IdAgente],B32,financeiro[idDet1],22,financeiro[idDet2],60,financeiro[idDet3],525,financeiro[id_grupo_tarifa],2,financeiro[id_tipo_tarifa],9)</f>
        <v>0</v>
      </c>
      <c r="AG32" s="267">
        <f>SUMIFS(financeiro[valor],financeiro[IdAgente],B32,financeiro[idDet1],22,financeiro[idDet2],60,financeiro[idDet3],524)</f>
        <v>0</v>
      </c>
      <c r="AH32" s="269"/>
      <c r="AI32" s="267">
        <f>SUMIFS(financeiro[valor],financeiro[IdAgente],B32,financeiro[idDet1],22,financeiro[idDet2],60,financeiro[idDet3],523,financeiro[id_grupo_tarifa],2,financeiro[id_detalhe_grupo_tarifa],30,financeiro[id_tipo_tarifa],9)</f>
        <v>0</v>
      </c>
      <c r="AJ32" s="267">
        <f>SUMIFS(financeiro[valor],financeiro[IdAgente],B32,financeiro[idDet1],22,financeiro[idDet2],60,financeiro[idDet3],503,financeiro[id_grupo_tarifa],99,financeiro[id_detalhe_grupo_tarifa],999,financeiro[id_tipo_tarifa],3)</f>
        <v>0</v>
      </c>
      <c r="AK32" s="269"/>
      <c r="AL32" s="269"/>
      <c r="AM32" s="269"/>
      <c r="AN32" s="269"/>
      <c r="AO32" s="269"/>
      <c r="AP32" s="269"/>
      <c r="AQ32" s="269"/>
      <c r="AR32" s="269"/>
      <c r="AS32" s="269"/>
      <c r="AT32" s="267">
        <f>SUMIFS(financeiro[valor],financeiro[IdAgente],B32,financeiro[idDet1],22,financeiro[idDet2],60,financeiro[idDet3],235,financeiro[id_grupo_tarifa],4,financeiro[id_detalhe_grupo_tarifa],999,financeiro[id_tipo_tarifa],9)</f>
        <v>0</v>
      </c>
      <c r="AU32" s="267">
        <f>SUMIFS(financeiro[valor],financeiro[IdAgente],B32,financeiro[idDet1],22,financeiro[idDet2],60,financeiro[idDet3],512,financeiro[id_grupo_tarifa],3,financeiro[id_detalhe_grupo_tarifa],28,financeiro[id_tipo_tarifa],9)</f>
        <v>0</v>
      </c>
      <c r="AV32" s="267">
        <f>SUMIFS(financeiro[valor],financeiro[IdAgente],B32,financeiro[idDet1],22,financeiro[idDet2],60,financeiro[idDet3],241,financeiro[id_grupo_tarifa],2,financeiro[id_detalhe_grupo_tarifa],11,financeiro[id_tipo_tarifa],9)+SUMIFS(financeiro[valor],financeiro[IdAgente],B32,financeiro[idDet1],22,financeiro[idDet2],60,financeiro[idDet3],241,financeiro[id_grupo_tarifa],2,financeiro[id_detalhe_grupo_tarifa],9,financeiro[id_tipo_tarifa],9)+SUMIFS(financeiro[valor],financeiro[IdAgente],B32,financeiro[idDet1],22,financeiro[idDet2],60,financeiro[idDet3],241,financeiro[id_grupo_tarifa],2,financeiro[id_detalhe_grupo_tarifa],8,financeiro[id_tipo_tarifa],9)+SUMIFS(financeiro[valor],financeiro[IdAgente],B32,financeiro[idDet1],22,financeiro[idDet2],60,financeiro[idDet3],241,financeiro[id_grupo_tarifa],2,financeiro[id_detalhe_grupo_tarifa],10,financeiro[id_tipo_tarifa],9)+SUMIFS(financeiro[valor],financeiro[IdAgente],B32,financeiro[idDet1],22,financeiro[idDet2],60,financeiro[idDet3],241,financeiro[id_grupo_tarifa],2,financeiro[id_detalhe_grupo_tarifa],24,financeiro[id_tipo_tarifa],9)</f>
        <v>0</v>
      </c>
      <c r="AW32" s="267">
        <f>SUMIFS(financeiro[valor],financeiro[IdAgente],B32,financeiro[idDet1],22,financeiro[idDet2],60,financeiro[idDet3],241,financeiro[id_grupo_tarifa],3,financeiro[id_detalhe_grupo_tarifa],17,financeiro[id_tipo_tarifa],9)</f>
        <v>0</v>
      </c>
      <c r="AX32" s="267">
        <f>SUMIFS(financeiro[valor],financeiro[IdAgente],B32,financeiro[idDet1],22,financeiro[idDet2],60,financeiro[idDet3],240,financeiro[id_grupo_tarifa],2,financeiro[id_detalhe_grupo_tarifa],11,financeiro[id_tipo_tarifa],9)+SUMIFS(financeiro[valor],financeiro[IdAgente],B32,financeiro[idDet1],22,financeiro[idDet2],60,financeiro[idDet3],240,financeiro[id_grupo_tarifa],2,financeiro[id_detalhe_grupo_tarifa],9,financeiro[id_tipo_tarifa],9)+SUMIFS(financeiro[valor],financeiro[IdAgente],B32,financeiro[idDet1],22,financeiro[idDet2],60,financeiro[idDet3],240,financeiro[id_grupo_tarifa],2,financeiro[id_detalhe_grupo_tarifa],8,financeiro[id_tipo_tarifa],9)+SUMIFS(financeiro[valor],financeiro[IdAgente],B32,financeiro[idDet1],22,financeiro[idDet2],60,financeiro[idDet3],240,financeiro[id_grupo_tarifa],2,financeiro[id_detalhe_grupo_tarifa],10,financeiro[id_tipo_tarifa],9)+SUMIFS(financeiro[valor],financeiro[IdAgente],B32,financeiro[idDet1],22,financeiro[idDet2],60,financeiro[idDet3],240,financeiro[id_grupo_tarifa],2,financeiro[id_detalhe_grupo_tarifa],24,financeiro[id_tipo_tarifa],9)</f>
        <v>0</v>
      </c>
      <c r="AY32" s="267">
        <f>SUMIFS(financeiro[valor],financeiro[IdAgente],B32,financeiro[idDet1],22,financeiro[idDet2],60,financeiro[idDet3],106,financeiro[id_grupo_tarifa],2,financeiro[id_detalhe_grupo_tarifa],11,financeiro[id_tipo_tarifa],9)+SUMIFS(financeiro[valor],financeiro[IdAgente],B32,financeiro[idDet1],22,financeiro[idDet2],60,financeiro[idDet3],106,financeiro[id_grupo_tarifa],2,financeiro[id_detalhe_grupo_tarifa],9,financeiro[id_tipo_tarifa],9)+SUMIFS(financeiro[valor],financeiro[IdAgente],B32,financeiro[idDet1],22,financeiro[idDet2],60,financeiro[idDet3],106,financeiro[id_grupo_tarifa],2,financeiro[id_detalhe_grupo_tarifa],8,financeiro[id_tipo_tarifa],9)+SUMIFS(financeiro[valor],financeiro[IdAgente],B32,financeiro[idDet1],22,financeiro[idDet2],60,financeiro[idDet3],106,financeiro[id_grupo_tarifa],2,financeiro[id_detalhe_grupo_tarifa],10,financeiro[id_tipo_tarifa],9)+SUMIFS(financeiro[valor],financeiro[IdAgente],B32,financeiro[idDet1],22,financeiro[idDet2],60,financeiro[idDet3],106,financeiro[id_grupo_tarifa],2,financeiro[id_detalhe_grupo_tarifa],24,financeiro[id_tipo_tarifa],9)</f>
        <v>0</v>
      </c>
      <c r="AZ32" s="267">
        <f>SUMIFS(financeiro[valor],financeiro[IdAgente],B32,financeiro[idDet1],22,financeiro[idDet2],62,financeiro[idDet3],220,financeiro[id_grupo_tarifa],2,financeiro[id_detalhe_grupo_tarifa],11,financeiro[id_tipo_tarifa],9)+SUMIFS(financeiro[valor],financeiro[IdAgente],B32,financeiro[idDet1],22,financeiro[idDet2],62,financeiro[idDet3],220,financeiro[id_grupo_tarifa],2,financeiro[id_detalhe_grupo_tarifa],9,financeiro[id_tipo_tarifa],9)+SUMIFS(financeiro[valor],financeiro[IdAgente],B32,financeiro[idDet1],22,financeiro[idDet2],62,financeiro[idDet3],220,financeiro[id_grupo_tarifa],2,financeiro[id_detalhe_grupo_tarifa],8,financeiro[id_tipo_tarifa],9)+SUMIFS(financeiro[valor],financeiro[IdAgente],B32,financeiro[idDet1],22,financeiro[idDet2],62,financeiro[idDet3],220,financeiro[id_grupo_tarifa],2,financeiro[id_detalhe_grupo_tarifa],10,financeiro[id_tipo_tarifa],9)+SUMIFS(financeiro[valor],financeiro[IdAgente],B32,financeiro[idDet1],22,financeiro[idDet2],62,financeiro[idDet3],220,financeiro[id_grupo_tarifa],2,financeiro[id_detalhe_grupo_tarifa],24,financeiro[id_tipo_tarifa],9)</f>
        <v>0</v>
      </c>
      <c r="BA32" s="267">
        <f>SUMIFS(financeiro[valor],financeiro[IdAgente],B32,financeiro[idDet1],22,financeiro[idDet2],60,financeiro[idDet3],220,financeiro[id_grupo_tarifa],2,financeiro[id_detalhe_grupo_tarifa],11,financeiro[id_tipo_tarifa],9)+SUMIFS(financeiro[valor],financeiro[IdAgente],B32,financeiro[idDet1],22,financeiro[idDet2],60,financeiro[idDet3],220,financeiro[id_grupo_tarifa],2,financeiro[id_detalhe_grupo_tarifa],9,financeiro[id_tipo_tarifa],9)+SUMIFS(financeiro[valor],financeiro[IdAgente],B32,financeiro[idDet1],22,financeiro[idDet2],60,financeiro[idDet3],220,financeiro[id_grupo_tarifa],2,financeiro[id_detalhe_grupo_tarifa],8,financeiro[id_tipo_tarifa],9)+SUMIFS(financeiro[valor],financeiro[IdAgente],B32,financeiro[idDet1],22,financeiro[idDet2],60,financeiro[idDet3],220,financeiro[id_grupo_tarifa],2,financeiro[id_detalhe_grupo_tarifa],10,financeiro[id_tipo_tarifa],9)+SUMIFS(financeiro[valor],financeiro[IdAgente],B32,financeiro[idDet1],22,financeiro[idDet2],60,financeiro[idDet3],220,financeiro[id_grupo_tarifa],2,financeiro[id_detalhe_grupo_tarifa],24,financeiro[id_tipo_tarifa],9)</f>
        <v>0</v>
      </c>
      <c r="BB32" s="267">
        <f>SUMIFS(financeiro[valor],financeiro[IdAgente],B32,financeiro[idDet1],22,financeiro[idDet2],60,financeiro[idDet3],102,financeiro[id_grupo_tarifa],2,financeiro[id_detalhe_grupo_tarifa],11,financeiro[id_tipo_tarifa],9)+SUMIFS(financeiro[valor],financeiro[IdAgente],B32,financeiro[idDet1],22,financeiro[idDet2],60,financeiro[idDet3],102,financeiro[id_grupo_tarifa],2,financeiro[id_detalhe_grupo_tarifa],9,financeiro[id_tipo_tarifa],9)+SUMIFS(financeiro[valor],financeiro[IdAgente],B32,financeiro[idDet1],22,financeiro[idDet2],60,financeiro[idDet3],102,financeiro[id_grupo_tarifa],2,financeiro[id_detalhe_grupo_tarifa],8,financeiro[id_tipo_tarifa],9)+SUMIFS(financeiro[valor],financeiro[IdAgente],B32,financeiro[idDet1],22,financeiro[idDet2],60,financeiro[idDet3],102,financeiro[id_grupo_tarifa],2,financeiro[id_detalhe_grupo_tarifa],10,financeiro[id_tipo_tarifa],9)+SUMIFS(financeiro[valor],financeiro[IdAgente],B32,financeiro[idDet1],22,financeiro[idDet2],60,financeiro[idDet3],102,financeiro[id_grupo_tarifa],2,financeiro[id_detalhe_grupo_tarifa],24,financeiro[id_tipo_tarifa],9)</f>
        <v>0</v>
      </c>
      <c r="BC32" s="267">
        <f>SUMIFS(financeiro[valor],financeiro[IdAgente],B32,financeiro[idDet1],22,financeiro[idDet2],60,financeiro[idDet3],522,financeiro[valor],"&lt;0")</f>
        <v>0</v>
      </c>
      <c r="BD32" s="267">
        <f>SUMIFS(financeiro[valor],financeiro[IdAgente],B32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32" s="267">
        <f>SUMIFS(financeiro[valor],financeiro[IdAgente],B32,financeiro[id_natureza_dado],2,financeiro[id_detalhe_natureza],2,financeiro[idDet1],20,financeiro[idDet2],60,financeiro[idDet3],82,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32" s="267">
        <f>SUMIFS(financeiro[valor],financeiro[IdAgente],B32,financeiro[id_natureza_dado],2,financeiro[id_detalhe_natureza],2,financeiro[idDet1],20,financeiro[idDet2],60,financeiro[idDet3],81,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32" s="267">
        <f>SUMIFS(financeiro[valor],financeiro[IdAgente],B32,financeiro[id_natureza_dado],2,financeiro[id_detalhe_natureza],2,financeiro[idDet1],20,financeiro[idDet2],60,financeiro[idDet3],503,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32" s="267">
        <f>SUMIFS(financeiro[valor],financeiro[IdAgente],B32,financeiro[idDet1],22,financeiro[idDet2],60,financeiro[idDet3],123)</f>
        <v>0</v>
      </c>
      <c r="BI32" s="267">
        <f>SUMIFS(financeiro[valor],financeiro[IdAgente],B32,financeiro[idDet1],20,financeiro[idDet2],60,financeiro[idDet3],73)</f>
        <v>0</v>
      </c>
      <c r="BJ32" s="267">
        <f>SUMIFS(financeiro[valor],financeiro[IdAgente],B32,financeiro[idDet1],22,financeiro[idDet2],60,financeiro[idDet3],527)</f>
        <v>0</v>
      </c>
      <c r="BK32" s="267">
        <f>SUMIFS(financeiro[valor],financeiro[IdAgente],B32,financeiro[idDet1],22,financeiro[idDet2],60,financeiro[idDet3],510)</f>
        <v>0</v>
      </c>
      <c r="BL32" s="267">
        <f>SUMIFS(financeiro[valor],financeiro[IdAgente],B32,financeiro[idDet1],22,financeiro[idDet2],60,financeiro[idDet3],526,
financeiro[id_grupo_tarifa],1,financeiro[id_detalhe_grupo_tarifa],3,financeiro[id_tipo_tarifa],9,financeiro[id_subgrupo],3)</f>
        <v>0</v>
      </c>
      <c r="BM32" s="267">
        <f>SUMIFS(financeiro[valor],financeiro[IdAgente],B32,financeiro[idDet1],22,financeiro[idDet2],60,financeiro[idDet3],999,
financeiro[id_grupo_tarifa],3,financeiro[id_detalhe_grupo_tarifa],17,financeiro[id_tipo_tarifa],9)</f>
        <v>0</v>
      </c>
      <c r="BN32" s="267">
        <f>SUMIFS(financeiro[valor],financeiro[IdAgente],B32,financeiro[idDet1],22,financeiro[idDet2],60,financeiro[idDet3],526,financeiro[id_grupo_tarifa],1,financeiro[id_detalhe_grupo_tarifa],7,financeiro[id_tipo_tarifa],9,financeiro[valor],"&lt;0")+SUMIFS(financeiro[valor],financeiro[IdAgente],B32,financeiro[idDet1],22,financeiro[idDet2],60,financeiro[idDet3],526,financeiro[id_grupo_tarifa],2,financeiro[id_detalhe_grupo_tarifa],11,financeiro[id_tipo_tarifa],9,financeiro[valor],"&lt;0")+SUMIFS(financeiro[valor],financeiro[IdAgente],B32,financeiro[idDet1],22,financeiro[idDet2],60,financeiro[idDet3],526,financeiro[id_grupo_tarifa],2,financeiro[id_detalhe_grupo_tarifa],8,financeiro[id_tipo_tarifa],9,financeiro[valor],"&lt;0")</f>
        <v>0</v>
      </c>
      <c r="BO32" s="267">
        <f>SUMIFS(financeiro[valor],financeiro[IdAgente],B32,financeiro[idDet1],22,financeiro[idDet2],60,financeiro[idDet3],999,financeiro[id_grupo_tarifa],4,financeiro[id_detalhe_grupo_tarifa],999,financeiro[id_tipo_tarifa],9,financeiro[valor],"&lt;0")</f>
        <v>0</v>
      </c>
      <c r="BP32" s="267">
        <f>SUMIFS(financeiro[valor],financeiro[IdAgente],B32,financeiro[idDet1],22,financeiro[idDet2],60,financeiro[idDet3],530,financeiro[valor],"&lt;0")</f>
        <v>0</v>
      </c>
      <c r="BQ32" s="267">
        <f>SUMIFS(financeiro[valor],financeiro[IdAgente],B32,financeiro[idDet1],22,financeiro[idDet2],60,financeiro[idDet3],531,financeiro[valor],"&lt;0")</f>
        <v>0</v>
      </c>
      <c r="BR32" s="267">
        <f>SUMIFS(financeiro[valor],financeiro[IdAgente],B32,financeiro[idDet1],22,financeiro[idDet2],62,financeiro[idDet3],532,financeiro[valor],"&lt;0")</f>
        <v>0</v>
      </c>
      <c r="BS32" s="267">
        <f>SUMIFS(financeiro[valor],financeiro[IdAgente],B32,financeiro[idDet1],22,financeiro[idDet2],62,financeiro[idDet3],533,financeiro[valor],"&lt;0")</f>
        <v>0</v>
      </c>
      <c r="BT32" s="267">
        <f>SUMIFS(financeiro[valor],financeiro[IdAgente],B32,financeiro[idDet1],22,financeiro[idDet2],62,financeiro[idDet3],534,financeiro[valor],"&lt;0")</f>
        <v>0</v>
      </c>
      <c r="BW32" s="210" t="s">
        <v>61</v>
      </c>
      <c r="BX32" t="str">
        <f>Efeito!B33</f>
        <v>NO SELECT</v>
      </c>
      <c r="BY32" s="267">
        <f>SUMIFS(Banco[valor],Banco[IdAgente],BX32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32" s="267">
        <f>SUMIFS(Banco[valor],Banco[IdAgente],BX32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32" s="267">
        <f>SUMIFS(Banco[valor],Banco[IdAgente],BX32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32" s="267">
        <f>SUMIFS(Banco[valor],Banco[IdAgente],BX32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32" s="267">
        <f>SUMIFS(Banco[valor],Banco[IdAgente],BX32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32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32" s="267">
        <f>SUMIFS(Banco[valor],Banco[IdAgente],BX32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32" s="267">
        <f>SUMIFS(Banco[valor],Banco[IdAgente],BX32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32" s="267">
        <f>SUMIFS(Banco[valor],Banco[IdAgente],BX32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32" s="267">
        <f>SUMIFS(Banco[valor],Banco[IdAgente],BX32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32" s="267">
        <f>SUMIFS(Banco[valor],Banco[IdAgente],BX32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32" s="267">
        <f>SUMIFS(Banco[valor],Banco[IdAgente],BX32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32" s="267">
        <f>SUMIFS(Banco[valor],Banco[IdAgente],BX32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32" s="267">
        <f>SUMIFS(Banco[valor],Banco[IdAgente],B32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32" s="267">
        <f>SUMIFS(Banco[valor],Banco[IdAgente],B32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32" s="267">
        <f>SUMIFS(Banco[valor],Banco[IdAgente],B32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33" spans="1:92">
      <c r="A33" t="s">
        <v>198</v>
      </c>
      <c r="B33" t="str">
        <f>Efeito!B34</f>
        <v>NO SELECT</v>
      </c>
      <c r="C33" s="267">
        <f>SUMIFS(Banco[valor],Banco[IdAgente],B33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33" s="267">
        <f>SUMIFS(Banco[valor],Banco[IdAgente],B33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33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33" s="267">
        <f>SUMIFS(Banco[valor],Banco[IdAgente],B33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33" s="267">
        <f>SUMIFS(Banco[valor],Banco[IdAgente],B33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33" s="267">
        <f>SUMIFS(Banco[valor],Banco[IdAgente],B33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33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33" s="267">
        <f>SUMIFS(Banco[valor],Banco[IdAgente],B33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33" s="267">
        <f>SUMIFS(Banco[valor],Banco[IdAgente],B33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33" s="267">
        <f>SUMIFS(Banco[valor],Banco[IdAgente],B33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33" s="267">
        <f>SUMIFS(Banco[valor],Banco[IdAgente],B33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33" s="267">
        <f>SUMIFS(Banco[valor],Banco[IdAgente],B33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33" s="267">
        <f>SUMIFS(Banco[valor],Banco[IdAgente],B33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33" s="267">
        <f>SUMIFS(Banco[valor],Banco[IdAgente],B33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33" s="267">
        <f>SUMIFS(Banco[valor],Banco[IdAgente],B33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33" s="267">
        <f t="shared" si="2"/>
        <v>0</v>
      </c>
      <c r="Q33" s="267">
        <f>SUMIFS(Banco[valor],Banco[IdAgente],B33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33" s="267">
        <f>SUMIFS(Banco[valor],Banco[IdAgente],B33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33" s="4"/>
      <c r="T33" s="4"/>
      <c r="U33" s="4"/>
      <c r="V33" s="267">
        <f>SUMIFS(financeiro[valor],financeiro[IdAgente],B33,financeiro[idDet1],22,financeiro[idDet2],60,financeiro[idDet3],526,financeiro[id_grupo_tarifa],1,financeiro[id_detalhe_grupo_tarifa],7,financeiro[id_tipo_tarifa],9,financeiro[id_subgrupo],99,financeiro[valor],"&gt;0")+SUMIFS(financeiro[valor],financeiro[IdAgente],B33,financeiro[idDet1],22,financeiro[idDet2],60,financeiro[idDet3],526,financeiro[id_grupo_tarifa],2,financeiro[id_detalhe_grupo_tarifa],11,financeiro[id_tipo_tarifa],9,financeiro[valor],"&gt;0")+SUMIFS(financeiro[valor],financeiro[IdAgente],B33,financeiro[idDet1],22,financeiro[idDet2],60,financeiro[idDet3],526,financeiro[id_grupo_tarifa],2,financeiro[id_detalhe_grupo_tarifa],9,financeiro[id_tipo_tarifa],9,financeiro[valor],"&gt;0")+SUMIFS(financeiro[valor],financeiro[IdAgente],B33,financeiro[idDet1],22,financeiro[idDet2],60,financeiro[idDet3],526,financeiro[id_grupo_tarifa],2,financeiro[id_detalhe_grupo_tarifa],8,financeiro[id_tipo_tarifa],9,financeiro[valor],"&gt;0")+SUMIFS(financeiro[valor],financeiro[IdAgente],B33,financeiro[idDet1],22,financeiro[idDet2],60,financeiro[idDet3],526,financeiro[id_grupo_tarifa],2,financeiro[id_detalhe_grupo_tarifa],10,financeiro[id_tipo_tarifa],9,financeiro[valor],"&gt;0")+SUMIFS(financeiro[valor],financeiro[IdAgente],B33,financeiro[idDet1],22,financeiro[idDet2],60,financeiro[idDet3],526,financeiro[id_grupo_tarifa],2,financeiro[id_detalhe_grupo_tarifa],24,financeiro[id_tipo_tarifa],9,financeiro[valor],"&gt;0")</f>
        <v>0</v>
      </c>
      <c r="W33" s="267">
        <f>SUMIFS(financeiro[valor],financeiro[IdAgente],B33,financeiro[idDet1],20,financeiro[idDet2],60,financeiro[idDet3],999,financeiro[id_grupo_tarifa],3,financeiro[id_detalhe_grupo_tarifa],14,financeiro[id_tipo_tarifa],9)+SUMIFS(financeiro[valor],financeiro[IdAgente],B33,financeiro[idDet1],20,financeiro[idDet2],60,financeiro[idDet3],999,financeiro[id_grupo_tarifa],3,financeiro[id_detalhe_grupo_tarifa],15,financeiro[id_tipo_tarifa],9)+SUMIFS(financeiro[valor],financeiro[IdAgente],B33,financeiro[idDet1],20,financeiro[idDet2],60,financeiro[idDet3],999,financeiro[id_grupo_tarifa],3,financeiro[id_detalhe_grupo_tarifa],16,financeiro[id_tipo_tarifa],9)+SUMIFS(financeiro[valor],financeiro[IdAgente],B33,financeiro[idDet1],20,financeiro[idDet2],60,financeiro[idDet3],999,financeiro[id_grupo_tarifa],3,financeiro[id_detalhe_grupo_tarifa],17,financeiro[id_tipo_tarifa],9)+SUMIFS(financeiro[valor],financeiro[IdAgente],B33,financeiro[idDet1],20,financeiro[idDet2],60,financeiro[idDet3],999,financeiro[id_grupo_tarifa],3,financeiro[id_detalhe_grupo_tarifa],18,financeiro[id_tipo_tarifa],9)+SUMIFS(financeiro[valor],financeiro[IdAgente],B33,financeiro[idDet1],20,financeiro[idDet2],60,financeiro[idDet3],999,financeiro[id_grupo_tarifa],3,financeiro[id_detalhe_grupo_tarifa],19,financeiro[id_tipo_tarifa],9)</f>
        <v>0</v>
      </c>
      <c r="X33" s="267">
        <f>SUMIFS(financeiro[valor],financeiro[IdAgente],B33,financeiro[idDet1],20,financeiro[idDet2],60,financeiro[idDet3],999,financeiro[id_grupo_tarifa],3,financeiro[id_detalhe_grupo_tarifa],12,financeiro[id_tipo_tarifa],9)+SUMIFS(financeiro[valor],financeiro[IdAgente],B33,financeiro[idDet1],20,financeiro[idDet2],60,financeiro[idDet3],999,financeiro[id_grupo_tarifa],4,financeiro[id_detalhe_grupo_tarifa],999,financeiro[id_tipo_tarifa],9)</f>
        <v>0</v>
      </c>
      <c r="Y33" s="267">
        <f>SUMIFS(financeiro[valor],financeiro[IdAgente],B33,financeiro[idDet1],20,financeiro[idDet2],60,financeiro[idDet3],179,financeiro[id_grupo_tarifa],99,financeiro[id_detalhe_grupo_tarifa],999,financeiro[id_tipo_tarifa],9)</f>
        <v>0</v>
      </c>
      <c r="Z33" s="267">
        <f>SUMIFS(financeiro[valor],financeiro[IdAgente],B33,financeiro[idDet1],20,financeiro[idDet2],60,financeiro[idDet3],999,financeiro[id_grupo_tarifa],2,financeiro[id_detalhe_grupo_tarifa],11,financeiro[id_tipo_tarifa],9,financeiro[valor],"&gt;0")+SUMIFS(financeiro[valor],financeiro[IdAgente],B33,financeiro[idDet1],20,financeiro[idDet2],60,financeiro[idDet3],999,financeiro[id_grupo_tarifa],2,financeiro[id_detalhe_grupo_tarifa],9,financeiro[id_tipo_tarifa],9,financeiro[valor],"&gt;0")+SUMIFS(financeiro[valor],financeiro[IdAgente],B33,financeiro[idDet1],20,financeiro[idDet2],60,financeiro[idDet3],999,financeiro[id_grupo_tarifa],2,financeiro[id_detalhe_grupo_tarifa],8,financeiro[id_tipo_tarifa],9,financeiro[valor],"&gt;0")+SUMIFS(financeiro[valor],financeiro[IdAgente],B33,financeiro[idDet1],20,financeiro[idDet2],60,financeiro[idDet3],999,financeiro[id_grupo_tarifa],2,financeiro[id_detalhe_grupo_tarifa],10,financeiro[id_tipo_tarifa],9,financeiro[valor],"&gt;0")+SUMIFS(financeiro[valor],financeiro[IdAgente],B33,financeiro[idDet1],20,financeiro[idDet2],60,financeiro[idDet3],999,financeiro[id_grupo_tarifa],2,financeiro[id_detalhe_grupo_tarifa],24,financeiro[id_tipo_tarifa],9,financeiro[valor],"&gt;0")+SUMIFS(financeiro[valor],financeiro[IdAgente],B33,financeiro[idDet1],20,financeiro[idDet2],60,financeiro[idDet3],999,financeiro[id_grupo_tarifa],2,financeiro[id_detalhe_grupo_tarifa],17,financeiro[id_tipo_tarifa],9,financeiro[valor],"&gt;0")+SUMIFS(financeiro[valor],financeiro[IdAgente],B33,financeiro[idDet1],999,financeiro[idDet2],999999,financeiro[idDet3],999,financeiro[id_grupo_tarifa],99,financeiro[id_detalhe_grupo_tarifa],999,financeiro[id_tipo_tarifa],9,financeiro[valor],"&gt;0")</f>
        <v>0</v>
      </c>
      <c r="AA33" s="267">
        <f>SUMIFS(financeiro[valor],financeiro[IdAgente],B33,financeiro[idDet1],22,financeiro[idDet2],60,financeiro[idDet3],529,financeiro[id_grupo_tarifa],1,financeiro[id_detalhe_grupo_tarifa],1,financeiro[id_tipo_tarifa],9,financeiro[valor],"&gt;0")+SUMIFS(financeiro[valor],financeiro[IdAgente],B33,financeiro[idDet1],22,financeiro[idDet2],60,financeiro[idDet3],529,financeiro[id_grupo_tarifa],1,financeiro[id_detalhe_grupo_tarifa],2,financeiro[id_tipo_tarifa],9,financeiro[valor],"&gt;0")</f>
        <v>0</v>
      </c>
      <c r="AB33" s="269"/>
      <c r="AC33" s="267">
        <f>SUMIFS(financeiro[valor],financeiro[IdAgente],B33,financeiro[idDet1],22,financeiro[idDet2],60,financeiro[idDet3],999,financeiro[id_grupo_tarifa],2,financeiro[id_detalhe_grupo_tarifa],30,financeiro[id_tipo_tarifa],9,financeiro[valor],"&gt;0")</f>
        <v>0</v>
      </c>
      <c r="AD33" s="267">
        <f>SUMIFS(financeiro[valor],financeiro[IdAgente],B33,financeiro[idDet1],22,financeiro[idDet2],60,financeiro[idDet3],178,financeiro[id_grupo_tarifa],1,financeiro[id_detalhe_grupo_tarifa],7,financeiro[id_tipo_tarifa],9)</f>
        <v>0</v>
      </c>
      <c r="AE33" s="267">
        <f>SUMIFS(financeiro[valor],financeiro[IdAgente],B33,financeiro[idDet1],22,financeiro[idDet2],60,financeiro[idDet3],242,financeiro[id_grupo_tarifa],4,financeiro[id_detalhe_grupo_tarifa],999,financeiro[id_tipo_tarifa],9)</f>
        <v>0</v>
      </c>
      <c r="AF33" s="267">
        <f>SUMIFS(financeiro[valor],financeiro[IdAgente],B33,financeiro[idDet1],22,financeiro[idDet2],60,financeiro[idDet3],525,financeiro[id_grupo_tarifa],2,financeiro[id_tipo_tarifa],9)</f>
        <v>0</v>
      </c>
      <c r="AG33" s="267">
        <f>SUMIFS(financeiro[valor],financeiro[IdAgente],B33,financeiro[idDet1],22,financeiro[idDet2],60,financeiro[idDet3],524)</f>
        <v>0</v>
      </c>
      <c r="AH33" s="269"/>
      <c r="AI33" s="267">
        <f>SUMIFS(financeiro[valor],financeiro[IdAgente],B33,financeiro[idDet1],22,financeiro[idDet2],60,financeiro[idDet3],523,financeiro[id_grupo_tarifa],2,financeiro[id_detalhe_grupo_tarifa],30,financeiro[id_tipo_tarifa],9)</f>
        <v>0</v>
      </c>
      <c r="AJ33" s="267">
        <f>SUMIFS(financeiro[valor],financeiro[IdAgente],B33,financeiro[idDet1],22,financeiro[idDet2],60,financeiro[idDet3],503,financeiro[id_grupo_tarifa],99,financeiro[id_detalhe_grupo_tarifa],999,financeiro[id_tipo_tarifa],3)</f>
        <v>0</v>
      </c>
      <c r="AK33" s="269"/>
      <c r="AL33" s="269"/>
      <c r="AM33" s="269"/>
      <c r="AN33" s="269"/>
      <c r="AO33" s="269"/>
      <c r="AP33" s="269"/>
      <c r="AQ33" s="269"/>
      <c r="AR33" s="269"/>
      <c r="AS33" s="269"/>
      <c r="AT33" s="267">
        <f>SUMIFS(financeiro[valor],financeiro[IdAgente],B33,financeiro[idDet1],22,financeiro[idDet2],60,financeiro[idDet3],235,financeiro[id_grupo_tarifa],4,financeiro[id_detalhe_grupo_tarifa],999,financeiro[id_tipo_tarifa],9)</f>
        <v>0</v>
      </c>
      <c r="AU33" s="267">
        <f>SUMIFS(financeiro[valor],financeiro[IdAgente],B33,financeiro[idDet1],22,financeiro[idDet2],60,financeiro[idDet3],512,financeiro[id_grupo_tarifa],3,financeiro[id_detalhe_grupo_tarifa],28,financeiro[id_tipo_tarifa],9)</f>
        <v>0</v>
      </c>
      <c r="AV33" s="267">
        <f>SUMIFS(financeiro[valor],financeiro[IdAgente],B33,financeiro[idDet1],22,financeiro[idDet2],60,financeiro[idDet3],241,financeiro[id_grupo_tarifa],2,financeiro[id_detalhe_grupo_tarifa],11,financeiro[id_tipo_tarifa],9)+SUMIFS(financeiro[valor],financeiro[IdAgente],B33,financeiro[idDet1],22,financeiro[idDet2],60,financeiro[idDet3],241,financeiro[id_grupo_tarifa],2,financeiro[id_detalhe_grupo_tarifa],9,financeiro[id_tipo_tarifa],9)+SUMIFS(financeiro[valor],financeiro[IdAgente],B33,financeiro[idDet1],22,financeiro[idDet2],60,financeiro[idDet3],241,financeiro[id_grupo_tarifa],2,financeiro[id_detalhe_grupo_tarifa],8,financeiro[id_tipo_tarifa],9)+SUMIFS(financeiro[valor],financeiro[IdAgente],B33,financeiro[idDet1],22,financeiro[idDet2],60,financeiro[idDet3],241,financeiro[id_grupo_tarifa],2,financeiro[id_detalhe_grupo_tarifa],10,financeiro[id_tipo_tarifa],9)+SUMIFS(financeiro[valor],financeiro[IdAgente],B33,financeiro[idDet1],22,financeiro[idDet2],60,financeiro[idDet3],241,financeiro[id_grupo_tarifa],2,financeiro[id_detalhe_grupo_tarifa],24,financeiro[id_tipo_tarifa],9)</f>
        <v>0</v>
      </c>
      <c r="AW33" s="267">
        <f>SUMIFS(financeiro[valor],financeiro[IdAgente],B33,financeiro[idDet1],22,financeiro[idDet2],60,financeiro[idDet3],241,financeiro[id_grupo_tarifa],3,financeiro[id_detalhe_grupo_tarifa],17,financeiro[id_tipo_tarifa],9)</f>
        <v>0</v>
      </c>
      <c r="AX33" s="267">
        <f>SUMIFS(financeiro[valor],financeiro[IdAgente],B33,financeiro[idDet1],22,financeiro[idDet2],60,financeiro[idDet3],240,financeiro[id_grupo_tarifa],2,financeiro[id_detalhe_grupo_tarifa],11,financeiro[id_tipo_tarifa],9)+SUMIFS(financeiro[valor],financeiro[IdAgente],B33,financeiro[idDet1],22,financeiro[idDet2],60,financeiro[idDet3],240,financeiro[id_grupo_tarifa],2,financeiro[id_detalhe_grupo_tarifa],9,financeiro[id_tipo_tarifa],9)+SUMIFS(financeiro[valor],financeiro[IdAgente],B33,financeiro[idDet1],22,financeiro[idDet2],60,financeiro[idDet3],240,financeiro[id_grupo_tarifa],2,financeiro[id_detalhe_grupo_tarifa],8,financeiro[id_tipo_tarifa],9)+SUMIFS(financeiro[valor],financeiro[IdAgente],B33,financeiro[idDet1],22,financeiro[idDet2],60,financeiro[idDet3],240,financeiro[id_grupo_tarifa],2,financeiro[id_detalhe_grupo_tarifa],10,financeiro[id_tipo_tarifa],9)+SUMIFS(financeiro[valor],financeiro[IdAgente],B33,financeiro[idDet1],22,financeiro[idDet2],60,financeiro[idDet3],240,financeiro[id_grupo_tarifa],2,financeiro[id_detalhe_grupo_tarifa],24,financeiro[id_tipo_tarifa],9)</f>
        <v>0</v>
      </c>
      <c r="AY33" s="267">
        <f>SUMIFS(financeiro[valor],financeiro[IdAgente],B33,financeiro[idDet1],22,financeiro[idDet2],60,financeiro[idDet3],106,financeiro[id_grupo_tarifa],2,financeiro[id_detalhe_grupo_tarifa],11,financeiro[id_tipo_tarifa],9)+SUMIFS(financeiro[valor],financeiro[IdAgente],B33,financeiro[idDet1],22,financeiro[idDet2],60,financeiro[idDet3],106,financeiro[id_grupo_tarifa],2,financeiro[id_detalhe_grupo_tarifa],9,financeiro[id_tipo_tarifa],9)+SUMIFS(financeiro[valor],financeiro[IdAgente],B33,financeiro[idDet1],22,financeiro[idDet2],60,financeiro[idDet3],106,financeiro[id_grupo_tarifa],2,financeiro[id_detalhe_grupo_tarifa],8,financeiro[id_tipo_tarifa],9)+SUMIFS(financeiro[valor],financeiro[IdAgente],B33,financeiro[idDet1],22,financeiro[idDet2],60,financeiro[idDet3],106,financeiro[id_grupo_tarifa],2,financeiro[id_detalhe_grupo_tarifa],10,financeiro[id_tipo_tarifa],9)+SUMIFS(financeiro[valor],financeiro[IdAgente],B33,financeiro[idDet1],22,financeiro[idDet2],60,financeiro[idDet3],106,financeiro[id_grupo_tarifa],2,financeiro[id_detalhe_grupo_tarifa],24,financeiro[id_tipo_tarifa],9)</f>
        <v>0</v>
      </c>
      <c r="AZ33" s="267">
        <f>SUMIFS(financeiro[valor],financeiro[IdAgente],B33,financeiro[idDet1],22,financeiro[idDet2],62,financeiro[idDet3],220,financeiro[id_grupo_tarifa],2,financeiro[id_detalhe_grupo_tarifa],11,financeiro[id_tipo_tarifa],9)+SUMIFS(financeiro[valor],financeiro[IdAgente],B33,financeiro[idDet1],22,financeiro[idDet2],62,financeiro[idDet3],220,financeiro[id_grupo_tarifa],2,financeiro[id_detalhe_grupo_tarifa],9,financeiro[id_tipo_tarifa],9)+SUMIFS(financeiro[valor],financeiro[IdAgente],B33,financeiro[idDet1],22,financeiro[idDet2],62,financeiro[idDet3],220,financeiro[id_grupo_tarifa],2,financeiro[id_detalhe_grupo_tarifa],8,financeiro[id_tipo_tarifa],9)+SUMIFS(financeiro[valor],financeiro[IdAgente],B33,financeiro[idDet1],22,financeiro[idDet2],62,financeiro[idDet3],220,financeiro[id_grupo_tarifa],2,financeiro[id_detalhe_grupo_tarifa],10,financeiro[id_tipo_tarifa],9)+SUMIFS(financeiro[valor],financeiro[IdAgente],B33,financeiro[idDet1],22,financeiro[idDet2],62,financeiro[idDet3],220,financeiro[id_grupo_tarifa],2,financeiro[id_detalhe_grupo_tarifa],24,financeiro[id_tipo_tarifa],9)</f>
        <v>0</v>
      </c>
      <c r="BA33" s="267">
        <f>SUMIFS(financeiro[valor],financeiro[IdAgente],B33,financeiro[idDet1],22,financeiro[idDet2],60,financeiro[idDet3],220,financeiro[id_grupo_tarifa],2,financeiro[id_detalhe_grupo_tarifa],11,financeiro[id_tipo_tarifa],9)+SUMIFS(financeiro[valor],financeiro[IdAgente],B33,financeiro[idDet1],22,financeiro[idDet2],60,financeiro[idDet3],220,financeiro[id_grupo_tarifa],2,financeiro[id_detalhe_grupo_tarifa],9,financeiro[id_tipo_tarifa],9)+SUMIFS(financeiro[valor],financeiro[IdAgente],B33,financeiro[idDet1],22,financeiro[idDet2],60,financeiro[idDet3],220,financeiro[id_grupo_tarifa],2,financeiro[id_detalhe_grupo_tarifa],8,financeiro[id_tipo_tarifa],9)+SUMIFS(financeiro[valor],financeiro[IdAgente],B33,financeiro[idDet1],22,financeiro[idDet2],60,financeiro[idDet3],220,financeiro[id_grupo_tarifa],2,financeiro[id_detalhe_grupo_tarifa],10,financeiro[id_tipo_tarifa],9)+SUMIFS(financeiro[valor],financeiro[IdAgente],B33,financeiro[idDet1],22,financeiro[idDet2],60,financeiro[idDet3],220,financeiro[id_grupo_tarifa],2,financeiro[id_detalhe_grupo_tarifa],24,financeiro[id_tipo_tarifa],9)</f>
        <v>0</v>
      </c>
      <c r="BB33" s="267">
        <f>SUMIFS(financeiro[valor],financeiro[IdAgente],B33,financeiro[idDet1],22,financeiro[idDet2],60,financeiro[idDet3],102,financeiro[id_grupo_tarifa],2,financeiro[id_detalhe_grupo_tarifa],11,financeiro[id_tipo_tarifa],9)+SUMIFS(financeiro[valor],financeiro[IdAgente],B33,financeiro[idDet1],22,financeiro[idDet2],60,financeiro[idDet3],102,financeiro[id_grupo_tarifa],2,financeiro[id_detalhe_grupo_tarifa],9,financeiro[id_tipo_tarifa],9)+SUMIFS(financeiro[valor],financeiro[IdAgente],B33,financeiro[idDet1],22,financeiro[idDet2],60,financeiro[idDet3],102,financeiro[id_grupo_tarifa],2,financeiro[id_detalhe_grupo_tarifa],8,financeiro[id_tipo_tarifa],9)+SUMIFS(financeiro[valor],financeiro[IdAgente],B33,financeiro[idDet1],22,financeiro[idDet2],60,financeiro[idDet3],102,financeiro[id_grupo_tarifa],2,financeiro[id_detalhe_grupo_tarifa],10,financeiro[id_tipo_tarifa],9)+SUMIFS(financeiro[valor],financeiro[IdAgente],B33,financeiro[idDet1],22,financeiro[idDet2],60,financeiro[idDet3],102,financeiro[id_grupo_tarifa],2,financeiro[id_detalhe_grupo_tarifa],24,financeiro[id_tipo_tarifa],9)</f>
        <v>0</v>
      </c>
      <c r="BC33" s="267">
        <f>SUMIFS(financeiro[valor],financeiro[IdAgente],B33,financeiro[idDet1],22,financeiro[idDet2],60,financeiro[idDet3],522,financeiro[valor],"&lt;0")</f>
        <v>0</v>
      </c>
      <c r="BD33" s="267">
        <f>SUMIFS(financeiro[valor],financeiro[IdAgente],B33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33" s="267">
        <f>SUMIFS(financeiro[valor],financeiro[IdAgente],B33,financeiro[id_natureza_dado],2,financeiro[id_detalhe_natureza],2,financeiro[idDet1],20,financeiro[idDet2],60,financeiro[idDet3],82,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33" s="267">
        <f>SUMIFS(financeiro[valor],financeiro[IdAgente],B33,financeiro[id_natureza_dado],2,financeiro[id_detalhe_natureza],2,financeiro[idDet1],20,financeiro[idDet2],60,financeiro[idDet3],81,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33" s="267">
        <f>SUMIFS(financeiro[valor],financeiro[IdAgente],B33,financeiro[id_natureza_dado],2,financeiro[id_detalhe_natureza],2,financeiro[idDet1],20,financeiro[idDet2],60,financeiro[idDet3],503,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33" s="267">
        <f>SUMIFS(financeiro[valor],financeiro[IdAgente],B33,financeiro[idDet1],22,financeiro[idDet2],60,financeiro[idDet3],123)</f>
        <v>0</v>
      </c>
      <c r="BI33" s="267">
        <f>SUMIFS(financeiro[valor],financeiro[IdAgente],B33,financeiro[idDet1],20,financeiro[idDet2],60,financeiro[idDet3],73)</f>
        <v>0</v>
      </c>
      <c r="BJ33" s="267">
        <f>SUMIFS(financeiro[valor],financeiro[IdAgente],B33,financeiro[idDet1],22,financeiro[idDet2],60,financeiro[idDet3],527)</f>
        <v>0</v>
      </c>
      <c r="BK33" s="267">
        <f>SUMIFS(financeiro[valor],financeiro[IdAgente],B33,financeiro[idDet1],22,financeiro[idDet2],60,financeiro[idDet3],510)</f>
        <v>0</v>
      </c>
      <c r="BL33" s="267">
        <f>SUMIFS(financeiro[valor],financeiro[IdAgente],B33,financeiro[idDet1],22,financeiro[idDet2],60,financeiro[idDet3],526,
financeiro[id_grupo_tarifa],1,financeiro[id_detalhe_grupo_tarifa],3,financeiro[id_tipo_tarifa],9,financeiro[id_subgrupo],3)</f>
        <v>0</v>
      </c>
      <c r="BM33" s="267">
        <f>SUMIFS(financeiro[valor],financeiro[IdAgente],B33,financeiro[idDet1],22,financeiro[idDet2],60,financeiro[idDet3],999,
financeiro[id_grupo_tarifa],3,financeiro[id_detalhe_grupo_tarifa],17,financeiro[id_tipo_tarifa],9)</f>
        <v>0</v>
      </c>
      <c r="BN33" s="267">
        <f>SUMIFS(financeiro[valor],financeiro[IdAgente],B33,financeiro[idDet1],22,financeiro[idDet2],60,financeiro[idDet3],526,financeiro[id_grupo_tarifa],1,financeiro[id_detalhe_grupo_tarifa],7,financeiro[id_tipo_tarifa],9,financeiro[valor],"&lt;0")+SUMIFS(financeiro[valor],financeiro[IdAgente],B33,financeiro[idDet1],22,financeiro[idDet2],60,financeiro[idDet3],526,financeiro[id_grupo_tarifa],2,financeiro[id_detalhe_grupo_tarifa],11,financeiro[id_tipo_tarifa],9,financeiro[valor],"&lt;0")+SUMIFS(financeiro[valor],financeiro[IdAgente],B33,financeiro[idDet1],22,financeiro[idDet2],60,financeiro[idDet3],526,financeiro[id_grupo_tarifa],2,financeiro[id_detalhe_grupo_tarifa],8,financeiro[id_tipo_tarifa],9,financeiro[valor],"&lt;0")</f>
        <v>0</v>
      </c>
      <c r="BO33" s="267">
        <f>SUMIFS(financeiro[valor],financeiro[IdAgente],B33,financeiro[idDet1],22,financeiro[idDet2],60,financeiro[idDet3],999,financeiro[id_grupo_tarifa],4,financeiro[id_detalhe_grupo_tarifa],999,financeiro[id_tipo_tarifa],9,financeiro[valor],"&lt;0")</f>
        <v>0</v>
      </c>
      <c r="BP33" s="267">
        <f>SUMIFS(financeiro[valor],financeiro[IdAgente],B33,financeiro[idDet1],22,financeiro[idDet2],60,financeiro[idDet3],530,financeiro[valor],"&lt;0")</f>
        <v>0</v>
      </c>
      <c r="BQ33" s="267">
        <f>SUMIFS(financeiro[valor],financeiro[IdAgente],B33,financeiro[idDet1],22,financeiro[idDet2],60,financeiro[idDet3],531,financeiro[valor],"&lt;0")</f>
        <v>0</v>
      </c>
      <c r="BR33" s="267">
        <f>SUMIFS(financeiro[valor],financeiro[IdAgente],B33,financeiro[idDet1],22,financeiro[idDet2],62,financeiro[idDet3],532,financeiro[valor],"&lt;0")</f>
        <v>0</v>
      </c>
      <c r="BS33" s="267">
        <f>SUMIFS(financeiro[valor],financeiro[IdAgente],B33,financeiro[idDet1],22,financeiro[idDet2],62,financeiro[idDet3],533,financeiro[valor],"&lt;0")</f>
        <v>0</v>
      </c>
      <c r="BT33" s="267">
        <f>SUMIFS(financeiro[valor],financeiro[IdAgente],B33,financeiro[idDet1],22,financeiro[idDet2],62,financeiro[idDet3],534,financeiro[valor],"&lt;0")</f>
        <v>0</v>
      </c>
      <c r="BW33" s="210" t="s">
        <v>198</v>
      </c>
      <c r="BX33" t="str">
        <f>Efeito!B34</f>
        <v>NO SELECT</v>
      </c>
      <c r="BY33" s="267">
        <f>SUMIFS(Banco[valor],Banco[IdAgente],BX33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33" s="267">
        <f>SUMIFS(Banco[valor],Banco[IdAgente],BX33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33" s="267">
        <f>SUMIFS(Banco[valor],Banco[IdAgente],BX33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33" s="267">
        <f>SUMIFS(Banco[valor],Banco[IdAgente],BX33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33" s="267">
        <f>SUMIFS(Banco[valor],Banco[IdAgente],BX33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33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33" s="267">
        <f>SUMIFS(Banco[valor],Banco[IdAgente],BX33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33" s="267">
        <f>SUMIFS(Banco[valor],Banco[IdAgente],BX33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33" s="267">
        <f>SUMIFS(Banco[valor],Banco[IdAgente],BX33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33" s="267">
        <f>SUMIFS(Banco[valor],Banco[IdAgente],BX33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33" s="267">
        <f>SUMIFS(Banco[valor],Banco[IdAgente],BX33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33" s="267">
        <f>SUMIFS(Banco[valor],Banco[IdAgente],BX33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33" s="267">
        <f>SUMIFS(Banco[valor],Banco[IdAgente],BX33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33" s="267">
        <f>SUMIFS(Banco[valor],Banco[IdAgente],B33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33" s="267">
        <f>SUMIFS(Banco[valor],Banco[IdAgente],B33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33" s="267">
        <f>SUMIFS(Banco[valor],Banco[IdAgente],B33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34" spans="1:92">
      <c r="A34" t="s">
        <v>62</v>
      </c>
      <c r="B34" t="str">
        <f>Efeito!B35</f>
        <v>NO SELECT</v>
      </c>
      <c r="C34" s="267">
        <f>SUMIFS(Banco[valor],Banco[IdAgente],B34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34" s="267">
        <f>SUMIFS(Banco[valor],Banco[IdAgente],B34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34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34" s="267">
        <f>SUMIFS(Banco[valor],Banco[IdAgente],B34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34" s="267">
        <f>SUMIFS(Banco[valor],Banco[IdAgente],B34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34" s="267">
        <f>SUMIFS(Banco[valor],Banco[IdAgente],B34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34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34" s="267">
        <f>SUMIFS(Banco[valor],Banco[IdAgente],B34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34" s="267">
        <f>SUMIFS(Banco[valor],Banco[IdAgente],B34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34" s="267">
        <f>SUMIFS(Banco[valor],Banco[IdAgente],B34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34" s="267">
        <f>SUMIFS(Banco[valor],Banco[IdAgente],B34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34" s="267">
        <f>SUMIFS(Banco[valor],Banco[IdAgente],B34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34" s="267">
        <f>SUMIFS(Banco[valor],Banco[IdAgente],B34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34" s="267">
        <f>SUMIFS(Banco[valor],Banco[IdAgente],B34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34" s="267">
        <f>SUMIFS(Banco[valor],Banco[IdAgente],B34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34" s="267">
        <f t="shared" si="2"/>
        <v>0</v>
      </c>
      <c r="Q34" s="267">
        <f>SUMIFS(Banco[valor],Banco[IdAgente],B34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34" s="267">
        <f>SUMIFS(Banco[valor],Banco[IdAgente],B34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34" s="4"/>
      <c r="T34" s="4"/>
      <c r="U34" s="4"/>
      <c r="V34" s="267">
        <f>SUMIFS(financeiro[valor],financeiro[IdAgente],B34,financeiro[idDet1],22,financeiro[idDet2],60,financeiro[idDet3],526,financeiro[id_grupo_tarifa],1,financeiro[id_detalhe_grupo_tarifa],7,financeiro[id_tipo_tarifa],9,financeiro[id_subgrupo],99,financeiro[valor],"&gt;0")+SUMIFS(financeiro[valor],financeiro[IdAgente],B34,financeiro[idDet1],22,financeiro[idDet2],60,financeiro[idDet3],526,financeiro[id_grupo_tarifa],2,financeiro[id_detalhe_grupo_tarifa],11,financeiro[id_tipo_tarifa],9,financeiro[valor],"&gt;0")+SUMIFS(financeiro[valor],financeiro[IdAgente],B34,financeiro[idDet1],22,financeiro[idDet2],60,financeiro[idDet3],526,financeiro[id_grupo_tarifa],2,financeiro[id_detalhe_grupo_tarifa],9,financeiro[id_tipo_tarifa],9,financeiro[valor],"&gt;0")+SUMIFS(financeiro[valor],financeiro[IdAgente],B34,financeiro[idDet1],22,financeiro[idDet2],60,financeiro[idDet3],526,financeiro[id_grupo_tarifa],2,financeiro[id_detalhe_grupo_tarifa],8,financeiro[id_tipo_tarifa],9,financeiro[valor],"&gt;0")+SUMIFS(financeiro[valor],financeiro[IdAgente],B34,financeiro[idDet1],22,financeiro[idDet2],60,financeiro[idDet3],526,financeiro[id_grupo_tarifa],2,financeiro[id_detalhe_grupo_tarifa],10,financeiro[id_tipo_tarifa],9,financeiro[valor],"&gt;0")+SUMIFS(financeiro[valor],financeiro[IdAgente],B34,financeiro[idDet1],22,financeiro[idDet2],60,financeiro[idDet3],526,financeiro[id_grupo_tarifa],2,financeiro[id_detalhe_grupo_tarifa],24,financeiro[id_tipo_tarifa],9,financeiro[valor],"&gt;0")</f>
        <v>0</v>
      </c>
      <c r="W34" s="267">
        <f>SUMIFS(financeiro[valor],financeiro[IdAgente],B34,financeiro[idDet1],20,financeiro[idDet2],60,financeiro[idDet3],999,financeiro[id_grupo_tarifa],3,financeiro[id_detalhe_grupo_tarifa],14,financeiro[id_tipo_tarifa],9)+SUMIFS(financeiro[valor],financeiro[IdAgente],B34,financeiro[idDet1],20,financeiro[idDet2],60,financeiro[idDet3],999,financeiro[id_grupo_tarifa],3,financeiro[id_detalhe_grupo_tarifa],15,financeiro[id_tipo_tarifa],9)+SUMIFS(financeiro[valor],financeiro[IdAgente],B34,financeiro[idDet1],20,financeiro[idDet2],60,financeiro[idDet3],999,financeiro[id_grupo_tarifa],3,financeiro[id_detalhe_grupo_tarifa],16,financeiro[id_tipo_tarifa],9)+SUMIFS(financeiro[valor],financeiro[IdAgente],B34,financeiro[idDet1],20,financeiro[idDet2],60,financeiro[idDet3],999,financeiro[id_grupo_tarifa],3,financeiro[id_detalhe_grupo_tarifa],17,financeiro[id_tipo_tarifa],9)+SUMIFS(financeiro[valor],financeiro[IdAgente],B34,financeiro[idDet1],20,financeiro[idDet2],60,financeiro[idDet3],999,financeiro[id_grupo_tarifa],3,financeiro[id_detalhe_grupo_tarifa],18,financeiro[id_tipo_tarifa],9)+SUMIFS(financeiro[valor],financeiro[IdAgente],B34,financeiro[idDet1],20,financeiro[idDet2],60,financeiro[idDet3],999,financeiro[id_grupo_tarifa],3,financeiro[id_detalhe_grupo_tarifa],19,financeiro[id_tipo_tarifa],9)</f>
        <v>0</v>
      </c>
      <c r="X34" s="267">
        <f>SUMIFS(financeiro[valor],financeiro[IdAgente],B34,financeiro[idDet1],20,financeiro[idDet2],60,financeiro[idDet3],999,financeiro[id_grupo_tarifa],3,financeiro[id_detalhe_grupo_tarifa],12,financeiro[id_tipo_tarifa],9)+SUMIFS(financeiro[valor],financeiro[IdAgente],B34,financeiro[idDet1],20,financeiro[idDet2],60,financeiro[idDet3],999,financeiro[id_grupo_tarifa],4,financeiro[id_detalhe_grupo_tarifa],999,financeiro[id_tipo_tarifa],9)</f>
        <v>0</v>
      </c>
      <c r="Y34" s="267">
        <f>SUMIFS(financeiro[valor],financeiro[IdAgente],B34,financeiro[idDet1],20,financeiro[idDet2],60,financeiro[idDet3],179,financeiro[id_grupo_tarifa],99,financeiro[id_detalhe_grupo_tarifa],999,financeiro[id_tipo_tarifa],9)</f>
        <v>0</v>
      </c>
      <c r="Z34" s="267">
        <f>SUMIFS(financeiro[valor],financeiro[IdAgente],B34,financeiro[idDet1],20,financeiro[idDet2],60,financeiro[idDet3],999,financeiro[id_grupo_tarifa],2,financeiro[id_detalhe_grupo_tarifa],11,financeiro[id_tipo_tarifa],9,financeiro[valor],"&gt;0")+SUMIFS(financeiro[valor],financeiro[IdAgente],B34,financeiro[idDet1],20,financeiro[idDet2],60,financeiro[idDet3],999,financeiro[id_grupo_tarifa],2,financeiro[id_detalhe_grupo_tarifa],9,financeiro[id_tipo_tarifa],9,financeiro[valor],"&gt;0")+SUMIFS(financeiro[valor],financeiro[IdAgente],B34,financeiro[idDet1],20,financeiro[idDet2],60,financeiro[idDet3],999,financeiro[id_grupo_tarifa],2,financeiro[id_detalhe_grupo_tarifa],8,financeiro[id_tipo_tarifa],9,financeiro[valor],"&gt;0")+SUMIFS(financeiro[valor],financeiro[IdAgente],B34,financeiro[idDet1],20,financeiro[idDet2],60,financeiro[idDet3],999,financeiro[id_grupo_tarifa],2,financeiro[id_detalhe_grupo_tarifa],10,financeiro[id_tipo_tarifa],9,financeiro[valor],"&gt;0")+SUMIFS(financeiro[valor],financeiro[IdAgente],B34,financeiro[idDet1],20,financeiro[idDet2],60,financeiro[idDet3],999,financeiro[id_grupo_tarifa],2,financeiro[id_detalhe_grupo_tarifa],24,financeiro[id_tipo_tarifa],9,financeiro[valor],"&gt;0")+SUMIFS(financeiro[valor],financeiro[IdAgente],B34,financeiro[idDet1],20,financeiro[idDet2],60,financeiro[idDet3],999,financeiro[id_grupo_tarifa],2,financeiro[id_detalhe_grupo_tarifa],17,financeiro[id_tipo_tarifa],9,financeiro[valor],"&gt;0")+SUMIFS(financeiro[valor],financeiro[IdAgente],B34,financeiro[idDet1],999,financeiro[idDet2],999999,financeiro[idDet3],999,financeiro[id_grupo_tarifa],99,financeiro[id_detalhe_grupo_tarifa],999,financeiro[id_tipo_tarifa],9,financeiro[valor],"&gt;0")</f>
        <v>0</v>
      </c>
      <c r="AA34" s="267">
        <f>SUMIFS(financeiro[valor],financeiro[IdAgente],B34,financeiro[idDet1],22,financeiro[idDet2],60,financeiro[idDet3],529,financeiro[id_grupo_tarifa],1,financeiro[id_detalhe_grupo_tarifa],1,financeiro[id_tipo_tarifa],9,financeiro[valor],"&gt;0")+SUMIFS(financeiro[valor],financeiro[IdAgente],B34,financeiro[idDet1],22,financeiro[idDet2],60,financeiro[idDet3],529,financeiro[id_grupo_tarifa],1,financeiro[id_detalhe_grupo_tarifa],2,financeiro[id_tipo_tarifa],9,financeiro[valor],"&gt;0")</f>
        <v>0</v>
      </c>
      <c r="AB34" s="269"/>
      <c r="AC34" s="267">
        <f>SUMIFS(financeiro[valor],financeiro[IdAgente],B34,financeiro[idDet1],22,financeiro[idDet2],60,financeiro[idDet3],999,financeiro[id_grupo_tarifa],2,financeiro[id_detalhe_grupo_tarifa],30,financeiro[id_tipo_tarifa],9,financeiro[valor],"&gt;0")</f>
        <v>0</v>
      </c>
      <c r="AD34" s="267">
        <f>SUMIFS(financeiro[valor],financeiro[IdAgente],B34,financeiro[idDet1],22,financeiro[idDet2],60,financeiro[idDet3],178,financeiro[id_grupo_tarifa],1,financeiro[id_detalhe_grupo_tarifa],7,financeiro[id_tipo_tarifa],9)</f>
        <v>0</v>
      </c>
      <c r="AE34" s="267">
        <f>SUMIFS(financeiro[valor],financeiro[IdAgente],B34,financeiro[idDet1],22,financeiro[idDet2],60,financeiro[idDet3],242,financeiro[id_grupo_tarifa],4,financeiro[id_detalhe_grupo_tarifa],999,financeiro[id_tipo_tarifa],9)</f>
        <v>0</v>
      </c>
      <c r="AF34" s="267">
        <f>SUMIFS(financeiro[valor],financeiro[IdAgente],B34,financeiro[idDet1],22,financeiro[idDet2],60,financeiro[idDet3],525,financeiro[id_grupo_tarifa],2,financeiro[id_tipo_tarifa],9)</f>
        <v>0</v>
      </c>
      <c r="AG34" s="267">
        <f>SUMIFS(financeiro[valor],financeiro[IdAgente],B34,financeiro[idDet1],22,financeiro[idDet2],60,financeiro[idDet3],524)</f>
        <v>0</v>
      </c>
      <c r="AH34" s="269"/>
      <c r="AI34" s="267">
        <f>SUMIFS(financeiro[valor],financeiro[IdAgente],B34,financeiro[idDet1],22,financeiro[idDet2],60,financeiro[idDet3],523,financeiro[id_grupo_tarifa],2,financeiro[id_detalhe_grupo_tarifa],30,financeiro[id_tipo_tarifa],9)</f>
        <v>0</v>
      </c>
      <c r="AJ34" s="267">
        <f>SUMIFS(financeiro[valor],financeiro[IdAgente],B34,financeiro[idDet1],22,financeiro[idDet2],60,financeiro[idDet3],503,financeiro[id_grupo_tarifa],99,financeiro[id_detalhe_grupo_tarifa],999,financeiro[id_tipo_tarifa],3)</f>
        <v>0</v>
      </c>
      <c r="AK34" s="269"/>
      <c r="AL34" s="269"/>
      <c r="AM34" s="269"/>
      <c r="AN34" s="269"/>
      <c r="AO34" s="269"/>
      <c r="AP34" s="269"/>
      <c r="AQ34" s="269"/>
      <c r="AR34" s="269"/>
      <c r="AS34" s="269"/>
      <c r="AT34" s="267">
        <f>SUMIFS(financeiro[valor],financeiro[IdAgente],B34,financeiro[idDet1],22,financeiro[idDet2],60,financeiro[idDet3],235,financeiro[id_grupo_tarifa],4,financeiro[id_detalhe_grupo_tarifa],999,financeiro[id_tipo_tarifa],9)</f>
        <v>0</v>
      </c>
      <c r="AU34" s="267">
        <f>SUMIFS(financeiro[valor],financeiro[IdAgente],B34,financeiro[idDet1],22,financeiro[idDet2],60,financeiro[idDet3],512,financeiro[id_grupo_tarifa],3,financeiro[id_detalhe_grupo_tarifa],28,financeiro[id_tipo_tarifa],9)</f>
        <v>0</v>
      </c>
      <c r="AV34" s="267">
        <f>SUMIFS(financeiro[valor],financeiro[IdAgente],B34,financeiro[idDet1],22,financeiro[idDet2],60,financeiro[idDet3],241,financeiro[id_grupo_tarifa],2,financeiro[id_detalhe_grupo_tarifa],11,financeiro[id_tipo_tarifa],9)+SUMIFS(financeiro[valor],financeiro[IdAgente],B34,financeiro[idDet1],22,financeiro[idDet2],60,financeiro[idDet3],241,financeiro[id_grupo_tarifa],2,financeiro[id_detalhe_grupo_tarifa],9,financeiro[id_tipo_tarifa],9)+SUMIFS(financeiro[valor],financeiro[IdAgente],B34,financeiro[idDet1],22,financeiro[idDet2],60,financeiro[idDet3],241,financeiro[id_grupo_tarifa],2,financeiro[id_detalhe_grupo_tarifa],8,financeiro[id_tipo_tarifa],9)+SUMIFS(financeiro[valor],financeiro[IdAgente],B34,financeiro[idDet1],22,financeiro[idDet2],60,financeiro[idDet3],241,financeiro[id_grupo_tarifa],2,financeiro[id_detalhe_grupo_tarifa],10,financeiro[id_tipo_tarifa],9)+SUMIFS(financeiro[valor],financeiro[IdAgente],B34,financeiro[idDet1],22,financeiro[idDet2],60,financeiro[idDet3],241,financeiro[id_grupo_tarifa],2,financeiro[id_detalhe_grupo_tarifa],24,financeiro[id_tipo_tarifa],9)</f>
        <v>0</v>
      </c>
      <c r="AW34" s="267">
        <f>SUMIFS(financeiro[valor],financeiro[IdAgente],B34,financeiro[idDet1],22,financeiro[idDet2],60,financeiro[idDet3],241,financeiro[id_grupo_tarifa],3,financeiro[id_detalhe_grupo_tarifa],17,financeiro[id_tipo_tarifa],9)</f>
        <v>0</v>
      </c>
      <c r="AX34" s="267">
        <f>SUMIFS(financeiro[valor],financeiro[IdAgente],B34,financeiro[idDet1],22,financeiro[idDet2],60,financeiro[idDet3],240,financeiro[id_grupo_tarifa],2,financeiro[id_detalhe_grupo_tarifa],11,financeiro[id_tipo_tarifa],9)+SUMIFS(financeiro[valor],financeiro[IdAgente],B34,financeiro[idDet1],22,financeiro[idDet2],60,financeiro[idDet3],240,financeiro[id_grupo_tarifa],2,financeiro[id_detalhe_grupo_tarifa],9,financeiro[id_tipo_tarifa],9)+SUMIFS(financeiro[valor],financeiro[IdAgente],B34,financeiro[idDet1],22,financeiro[idDet2],60,financeiro[idDet3],240,financeiro[id_grupo_tarifa],2,financeiro[id_detalhe_grupo_tarifa],8,financeiro[id_tipo_tarifa],9)+SUMIFS(financeiro[valor],financeiro[IdAgente],B34,financeiro[idDet1],22,financeiro[idDet2],60,financeiro[idDet3],240,financeiro[id_grupo_tarifa],2,financeiro[id_detalhe_grupo_tarifa],10,financeiro[id_tipo_tarifa],9)+SUMIFS(financeiro[valor],financeiro[IdAgente],B34,financeiro[idDet1],22,financeiro[idDet2],60,financeiro[idDet3],240,financeiro[id_grupo_tarifa],2,financeiro[id_detalhe_grupo_tarifa],24,financeiro[id_tipo_tarifa],9)</f>
        <v>0</v>
      </c>
      <c r="AY34" s="267">
        <f>SUMIFS(financeiro[valor],financeiro[IdAgente],B34,financeiro[idDet1],22,financeiro[idDet2],60,financeiro[idDet3],106,financeiro[id_grupo_tarifa],2,financeiro[id_detalhe_grupo_tarifa],11,financeiro[id_tipo_tarifa],9)+SUMIFS(financeiro[valor],financeiro[IdAgente],B34,financeiro[idDet1],22,financeiro[idDet2],60,financeiro[idDet3],106,financeiro[id_grupo_tarifa],2,financeiro[id_detalhe_grupo_tarifa],9,financeiro[id_tipo_tarifa],9)+SUMIFS(financeiro[valor],financeiro[IdAgente],B34,financeiro[idDet1],22,financeiro[idDet2],60,financeiro[idDet3],106,financeiro[id_grupo_tarifa],2,financeiro[id_detalhe_grupo_tarifa],8,financeiro[id_tipo_tarifa],9)+SUMIFS(financeiro[valor],financeiro[IdAgente],B34,financeiro[idDet1],22,financeiro[idDet2],60,financeiro[idDet3],106,financeiro[id_grupo_tarifa],2,financeiro[id_detalhe_grupo_tarifa],10,financeiro[id_tipo_tarifa],9)+SUMIFS(financeiro[valor],financeiro[IdAgente],B34,financeiro[idDet1],22,financeiro[idDet2],60,financeiro[idDet3],106,financeiro[id_grupo_tarifa],2,financeiro[id_detalhe_grupo_tarifa],24,financeiro[id_tipo_tarifa],9)</f>
        <v>0</v>
      </c>
      <c r="AZ34" s="267">
        <f>SUMIFS(financeiro[valor],financeiro[IdAgente],B34,financeiro[idDet1],22,financeiro[idDet2],62,financeiro[idDet3],220,financeiro[id_grupo_tarifa],2,financeiro[id_detalhe_grupo_tarifa],11,financeiro[id_tipo_tarifa],9)+SUMIFS(financeiro[valor],financeiro[IdAgente],B34,financeiro[idDet1],22,financeiro[idDet2],62,financeiro[idDet3],220,financeiro[id_grupo_tarifa],2,financeiro[id_detalhe_grupo_tarifa],9,financeiro[id_tipo_tarifa],9)+SUMIFS(financeiro[valor],financeiro[IdAgente],B34,financeiro[idDet1],22,financeiro[idDet2],62,financeiro[idDet3],220,financeiro[id_grupo_tarifa],2,financeiro[id_detalhe_grupo_tarifa],8,financeiro[id_tipo_tarifa],9)+SUMIFS(financeiro[valor],financeiro[IdAgente],B34,financeiro[idDet1],22,financeiro[idDet2],62,financeiro[idDet3],220,financeiro[id_grupo_tarifa],2,financeiro[id_detalhe_grupo_tarifa],10,financeiro[id_tipo_tarifa],9)+SUMIFS(financeiro[valor],financeiro[IdAgente],B34,financeiro[idDet1],22,financeiro[idDet2],62,financeiro[idDet3],220,financeiro[id_grupo_tarifa],2,financeiro[id_detalhe_grupo_tarifa],24,financeiro[id_tipo_tarifa],9)</f>
        <v>0</v>
      </c>
      <c r="BA34" s="267">
        <f>SUMIFS(financeiro[valor],financeiro[IdAgente],B34,financeiro[idDet1],22,financeiro[idDet2],60,financeiro[idDet3],220,financeiro[id_grupo_tarifa],2,financeiro[id_detalhe_grupo_tarifa],11,financeiro[id_tipo_tarifa],9)+SUMIFS(financeiro[valor],financeiro[IdAgente],B34,financeiro[idDet1],22,financeiro[idDet2],60,financeiro[idDet3],220,financeiro[id_grupo_tarifa],2,financeiro[id_detalhe_grupo_tarifa],9,financeiro[id_tipo_tarifa],9)+SUMIFS(financeiro[valor],financeiro[IdAgente],B34,financeiro[idDet1],22,financeiro[idDet2],60,financeiro[idDet3],220,financeiro[id_grupo_tarifa],2,financeiro[id_detalhe_grupo_tarifa],8,financeiro[id_tipo_tarifa],9)+SUMIFS(financeiro[valor],financeiro[IdAgente],B34,financeiro[idDet1],22,financeiro[idDet2],60,financeiro[idDet3],220,financeiro[id_grupo_tarifa],2,financeiro[id_detalhe_grupo_tarifa],10,financeiro[id_tipo_tarifa],9)+SUMIFS(financeiro[valor],financeiro[IdAgente],B34,financeiro[idDet1],22,financeiro[idDet2],60,financeiro[idDet3],220,financeiro[id_grupo_tarifa],2,financeiro[id_detalhe_grupo_tarifa],24,financeiro[id_tipo_tarifa],9)</f>
        <v>0</v>
      </c>
      <c r="BB34" s="267">
        <f>SUMIFS(financeiro[valor],financeiro[IdAgente],B34,financeiro[idDet1],22,financeiro[idDet2],60,financeiro[idDet3],102,financeiro[id_grupo_tarifa],2,financeiro[id_detalhe_grupo_tarifa],11,financeiro[id_tipo_tarifa],9)+SUMIFS(financeiro[valor],financeiro[IdAgente],B34,financeiro[idDet1],22,financeiro[idDet2],60,financeiro[idDet3],102,financeiro[id_grupo_tarifa],2,financeiro[id_detalhe_grupo_tarifa],9,financeiro[id_tipo_tarifa],9)+SUMIFS(financeiro[valor],financeiro[IdAgente],B34,financeiro[idDet1],22,financeiro[idDet2],60,financeiro[idDet3],102,financeiro[id_grupo_tarifa],2,financeiro[id_detalhe_grupo_tarifa],8,financeiro[id_tipo_tarifa],9)+SUMIFS(financeiro[valor],financeiro[IdAgente],B34,financeiro[idDet1],22,financeiro[idDet2],60,financeiro[idDet3],102,financeiro[id_grupo_tarifa],2,financeiro[id_detalhe_grupo_tarifa],10,financeiro[id_tipo_tarifa],9)+SUMIFS(financeiro[valor],financeiro[IdAgente],B34,financeiro[idDet1],22,financeiro[idDet2],60,financeiro[idDet3],102,financeiro[id_grupo_tarifa],2,financeiro[id_detalhe_grupo_tarifa],24,financeiro[id_tipo_tarifa],9)</f>
        <v>0</v>
      </c>
      <c r="BC34" s="267">
        <f>SUMIFS(financeiro[valor],financeiro[IdAgente],B34,financeiro[idDet1],22,financeiro[idDet2],60,financeiro[idDet3],522,financeiro[valor],"&lt;0")</f>
        <v>0</v>
      </c>
      <c r="BD34" s="267">
        <f>SUMIFS(financeiro[valor],financeiro[IdAgente],B34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34" s="267">
        <f>SUMIFS(financeiro[valor],financeiro[IdAgente],B34,financeiro[id_natureza_dado],2,financeiro[id_detalhe_natureza],2,financeiro[idDet1],20,financeiro[idDet2],60,financeiro[idDet3],82,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34" s="267">
        <f>SUMIFS(financeiro[valor],financeiro[IdAgente],B34,financeiro[id_natureza_dado],2,financeiro[id_detalhe_natureza],2,financeiro[idDet1],20,financeiro[idDet2],60,financeiro[idDet3],81,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34" s="267">
        <f>SUMIFS(financeiro[valor],financeiro[IdAgente],B34,financeiro[id_natureza_dado],2,financeiro[id_detalhe_natureza],2,financeiro[idDet1],20,financeiro[idDet2],60,financeiro[idDet3],503,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34" s="267">
        <f>SUMIFS(financeiro[valor],financeiro[IdAgente],B34,financeiro[idDet1],22,financeiro[idDet2],60,financeiro[idDet3],123)</f>
        <v>0</v>
      </c>
      <c r="BI34" s="267">
        <f>SUMIFS(financeiro[valor],financeiro[IdAgente],B34,financeiro[idDet1],20,financeiro[idDet2],60,financeiro[idDet3],73)</f>
        <v>0</v>
      </c>
      <c r="BJ34" s="267">
        <f>SUMIFS(financeiro[valor],financeiro[IdAgente],B34,financeiro[idDet1],22,financeiro[idDet2],60,financeiro[idDet3],527)</f>
        <v>0</v>
      </c>
      <c r="BK34" s="267">
        <f>SUMIFS(financeiro[valor],financeiro[IdAgente],B34,financeiro[idDet1],22,financeiro[idDet2],60,financeiro[idDet3],510)</f>
        <v>0</v>
      </c>
      <c r="BL34" s="267">
        <f>SUMIFS(financeiro[valor],financeiro[IdAgente],B34,financeiro[idDet1],22,financeiro[idDet2],60,financeiro[idDet3],526,
financeiro[id_grupo_tarifa],1,financeiro[id_detalhe_grupo_tarifa],3,financeiro[id_tipo_tarifa],9,financeiro[id_subgrupo],3)</f>
        <v>0</v>
      </c>
      <c r="BM34" s="267">
        <f>SUMIFS(financeiro[valor],financeiro[IdAgente],B34,financeiro[idDet1],22,financeiro[idDet2],60,financeiro[idDet3],999,
financeiro[id_grupo_tarifa],3,financeiro[id_detalhe_grupo_tarifa],17,financeiro[id_tipo_tarifa],9)</f>
        <v>0</v>
      </c>
      <c r="BN34" s="267">
        <f>SUMIFS(financeiro[valor],financeiro[IdAgente],B34,financeiro[idDet1],22,financeiro[idDet2],60,financeiro[idDet3],526,financeiro[id_grupo_tarifa],1,financeiro[id_detalhe_grupo_tarifa],7,financeiro[id_tipo_tarifa],9,financeiro[valor],"&lt;0")+SUMIFS(financeiro[valor],financeiro[IdAgente],B34,financeiro[idDet1],22,financeiro[idDet2],60,financeiro[idDet3],526,financeiro[id_grupo_tarifa],2,financeiro[id_detalhe_grupo_tarifa],11,financeiro[id_tipo_tarifa],9,financeiro[valor],"&lt;0")+SUMIFS(financeiro[valor],financeiro[IdAgente],B34,financeiro[idDet1],22,financeiro[idDet2],60,financeiro[idDet3],526,financeiro[id_grupo_tarifa],2,financeiro[id_detalhe_grupo_tarifa],8,financeiro[id_tipo_tarifa],9,financeiro[valor],"&lt;0")</f>
        <v>0</v>
      </c>
      <c r="BO34" s="267">
        <f>SUMIFS(financeiro[valor],financeiro[IdAgente],B34,financeiro[idDet1],22,financeiro[idDet2],60,financeiro[idDet3],999,financeiro[id_grupo_tarifa],4,financeiro[id_detalhe_grupo_tarifa],999,financeiro[id_tipo_tarifa],9,financeiro[valor],"&lt;0")</f>
        <v>0</v>
      </c>
      <c r="BP34" s="267">
        <f>SUMIFS(financeiro[valor],financeiro[IdAgente],B34,financeiro[idDet1],22,financeiro[idDet2],60,financeiro[idDet3],530,financeiro[valor],"&lt;0")</f>
        <v>0</v>
      </c>
      <c r="BQ34" s="267">
        <f>SUMIFS(financeiro[valor],financeiro[IdAgente],B34,financeiro[idDet1],22,financeiro[idDet2],60,financeiro[idDet3],531,financeiro[valor],"&lt;0")</f>
        <v>0</v>
      </c>
      <c r="BR34" s="267">
        <f>SUMIFS(financeiro[valor],financeiro[IdAgente],B34,financeiro[idDet1],22,financeiro[idDet2],62,financeiro[idDet3],532,financeiro[valor],"&lt;0")</f>
        <v>0</v>
      </c>
      <c r="BS34" s="267">
        <f>SUMIFS(financeiro[valor],financeiro[IdAgente],B34,financeiro[idDet1],22,financeiro[idDet2],62,financeiro[idDet3],533,financeiro[valor],"&lt;0")</f>
        <v>0</v>
      </c>
      <c r="BT34" s="267">
        <f>SUMIFS(financeiro[valor],financeiro[IdAgente],B34,financeiro[idDet1],22,financeiro[idDet2],62,financeiro[idDet3],534,financeiro[valor],"&lt;0")</f>
        <v>0</v>
      </c>
      <c r="BW34" s="210" t="s">
        <v>62</v>
      </c>
      <c r="BX34" t="str">
        <f>Efeito!B35</f>
        <v>NO SELECT</v>
      </c>
      <c r="BY34" s="267">
        <f>SUMIFS(Banco[valor],Banco[IdAgente],BX34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34" s="267">
        <f>SUMIFS(Banco[valor],Banco[IdAgente],BX34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34" s="267">
        <f>SUMIFS(Banco[valor],Banco[IdAgente],BX34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34" s="267">
        <f>SUMIFS(Banco[valor],Banco[IdAgente],BX34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34" s="267">
        <f>SUMIFS(Banco[valor],Banco[IdAgente],BX34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34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34" s="267">
        <f>SUMIFS(Banco[valor],Banco[IdAgente],BX34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34" s="267">
        <f>SUMIFS(Banco[valor],Banco[IdAgente],BX34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34" s="267">
        <f>SUMIFS(Banco[valor],Banco[IdAgente],BX34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34" s="267">
        <f>SUMIFS(Banco[valor],Banco[IdAgente],BX34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34" s="267">
        <f>SUMIFS(Banco[valor],Banco[IdAgente],BX34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34" s="267">
        <f>SUMIFS(Banco[valor],Banco[IdAgente],BX34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34" s="267">
        <f>SUMIFS(Banco[valor],Banco[IdAgente],BX34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34" s="267">
        <f>SUMIFS(Banco[valor],Banco[IdAgente],B34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34" s="267">
        <f>SUMIFS(Banco[valor],Banco[IdAgente],B34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34" s="267">
        <f>SUMIFS(Banco[valor],Banco[IdAgente],B34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35" spans="1:92">
      <c r="A35" t="s">
        <v>53</v>
      </c>
      <c r="B35" t="str">
        <f>Efeito!B36</f>
        <v>NO SELECT</v>
      </c>
      <c r="C35" s="267">
        <f>SUMIFS(Banco[valor],Banco[IdAgente],B35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35" s="267">
        <f>SUMIFS(Banco[valor],Banco[IdAgente],B35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35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35" s="267">
        <f>SUMIFS(Banco[valor],Banco[IdAgente],B35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35" s="267">
        <f>SUMIFS(Banco[valor],Banco[IdAgente],B35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35" s="267">
        <f>SUMIFS(Banco[valor],Banco[IdAgente],B35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35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35" s="267">
        <f>SUMIFS(Banco[valor],Banco[IdAgente],B35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35" s="267">
        <f>SUMIFS(Banco[valor],Banco[IdAgente],B35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35" s="267">
        <f>SUMIFS(Banco[valor],Banco[IdAgente],B35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35" s="267">
        <f>SUMIFS(Banco[valor],Banco[IdAgente],B35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35" s="267">
        <f>SUMIFS(Banco[valor],Banco[IdAgente],B35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35" s="267">
        <f>SUMIFS(Banco[valor],Banco[IdAgente],B35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35" s="267">
        <f>SUMIFS(Banco[valor],Banco[IdAgente],B35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35" s="267">
        <f>SUMIFS(Banco[valor],Banco[IdAgente],B35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35" s="267">
        <f t="shared" si="2"/>
        <v>0</v>
      </c>
      <c r="Q35" s="267">
        <f>SUMIFS(Banco[valor],Banco[IdAgente],B35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35" s="267">
        <f>SUMIFS(Banco[valor],Banco[IdAgente],B35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35" s="4"/>
      <c r="T35" s="4"/>
      <c r="U35" s="4"/>
      <c r="V35" s="267">
        <f>SUMIFS(financeiro[valor],financeiro[IdAgente],B35,financeiro[idDet1],22,financeiro[idDet2],60,financeiro[idDet3],526,financeiro[id_grupo_tarifa],1,financeiro[id_detalhe_grupo_tarifa],7,financeiro[id_tipo_tarifa],9,financeiro[id_subgrupo],99,financeiro[valor],"&gt;0")+SUMIFS(financeiro[valor],financeiro[IdAgente],B35,financeiro[idDet1],22,financeiro[idDet2],60,financeiro[idDet3],526,financeiro[id_grupo_tarifa],2,financeiro[id_detalhe_grupo_tarifa],11,financeiro[id_tipo_tarifa],9,financeiro[valor],"&gt;0")+SUMIFS(financeiro[valor],financeiro[IdAgente],B35,financeiro[idDet1],22,financeiro[idDet2],60,financeiro[idDet3],526,financeiro[id_grupo_tarifa],2,financeiro[id_detalhe_grupo_tarifa],9,financeiro[id_tipo_tarifa],9,financeiro[valor],"&gt;0")+SUMIFS(financeiro[valor],financeiro[IdAgente],B35,financeiro[idDet1],22,financeiro[idDet2],60,financeiro[idDet3],526,financeiro[id_grupo_tarifa],2,financeiro[id_detalhe_grupo_tarifa],8,financeiro[id_tipo_tarifa],9,financeiro[valor],"&gt;0")+SUMIFS(financeiro[valor],financeiro[IdAgente],B35,financeiro[idDet1],22,financeiro[idDet2],60,financeiro[idDet3],526,financeiro[id_grupo_tarifa],2,financeiro[id_detalhe_grupo_tarifa],10,financeiro[id_tipo_tarifa],9,financeiro[valor],"&gt;0")+SUMIFS(financeiro[valor],financeiro[IdAgente],B35,financeiro[idDet1],22,financeiro[idDet2],60,financeiro[idDet3],526,financeiro[id_grupo_tarifa],2,financeiro[id_detalhe_grupo_tarifa],24,financeiro[id_tipo_tarifa],9,financeiro[valor],"&gt;0")</f>
        <v>0</v>
      </c>
      <c r="W35" s="267">
        <f>SUMIFS(financeiro[valor],financeiro[IdAgente],B35,financeiro[idDet1],20,financeiro[idDet2],60,financeiro[idDet3],999,financeiro[id_grupo_tarifa],3,financeiro[id_detalhe_grupo_tarifa],14,financeiro[id_tipo_tarifa],9)+SUMIFS(financeiro[valor],financeiro[IdAgente],B35,financeiro[idDet1],20,financeiro[idDet2],60,financeiro[idDet3],999,financeiro[id_grupo_tarifa],3,financeiro[id_detalhe_grupo_tarifa],15,financeiro[id_tipo_tarifa],9)+SUMIFS(financeiro[valor],financeiro[IdAgente],B35,financeiro[idDet1],20,financeiro[idDet2],60,financeiro[idDet3],999,financeiro[id_grupo_tarifa],3,financeiro[id_detalhe_grupo_tarifa],16,financeiro[id_tipo_tarifa],9)+SUMIFS(financeiro[valor],financeiro[IdAgente],B35,financeiro[idDet1],20,financeiro[idDet2],60,financeiro[idDet3],999,financeiro[id_grupo_tarifa],3,financeiro[id_detalhe_grupo_tarifa],17,financeiro[id_tipo_tarifa],9)+SUMIFS(financeiro[valor],financeiro[IdAgente],B35,financeiro[idDet1],20,financeiro[idDet2],60,financeiro[idDet3],999,financeiro[id_grupo_tarifa],3,financeiro[id_detalhe_grupo_tarifa],18,financeiro[id_tipo_tarifa],9)+SUMIFS(financeiro[valor],financeiro[IdAgente],B35,financeiro[idDet1],20,financeiro[idDet2],60,financeiro[idDet3],999,financeiro[id_grupo_tarifa],3,financeiro[id_detalhe_grupo_tarifa],19,financeiro[id_tipo_tarifa],9)</f>
        <v>0</v>
      </c>
      <c r="X35" s="267">
        <f>SUMIFS(financeiro[valor],financeiro[IdAgente],B35,financeiro[idDet1],20,financeiro[idDet2],60,financeiro[idDet3],999,financeiro[id_grupo_tarifa],3,financeiro[id_detalhe_grupo_tarifa],12,financeiro[id_tipo_tarifa],9)+SUMIFS(financeiro[valor],financeiro[IdAgente],B35,financeiro[idDet1],20,financeiro[idDet2],60,financeiro[idDet3],999,financeiro[id_grupo_tarifa],4,financeiro[id_detalhe_grupo_tarifa],999,financeiro[id_tipo_tarifa],9)</f>
        <v>0</v>
      </c>
      <c r="Y35" s="267">
        <f>SUMIFS(financeiro[valor],financeiro[IdAgente],B35,financeiro[idDet1],20,financeiro[idDet2],60,financeiro[idDet3],179,financeiro[id_grupo_tarifa],99,financeiro[id_detalhe_grupo_tarifa],999,financeiro[id_tipo_tarifa],9)</f>
        <v>0</v>
      </c>
      <c r="Z35" s="267">
        <f>SUMIFS(financeiro[valor],financeiro[IdAgente],B35,financeiro[idDet1],20,financeiro[idDet2],60,financeiro[idDet3],999,financeiro[id_grupo_tarifa],2,financeiro[id_detalhe_grupo_tarifa],11,financeiro[id_tipo_tarifa],9,financeiro[valor],"&gt;0")+SUMIFS(financeiro[valor],financeiro[IdAgente],B35,financeiro[idDet1],20,financeiro[idDet2],60,financeiro[idDet3],999,financeiro[id_grupo_tarifa],2,financeiro[id_detalhe_grupo_tarifa],9,financeiro[id_tipo_tarifa],9,financeiro[valor],"&gt;0")+SUMIFS(financeiro[valor],financeiro[IdAgente],B35,financeiro[idDet1],20,financeiro[idDet2],60,financeiro[idDet3],999,financeiro[id_grupo_tarifa],2,financeiro[id_detalhe_grupo_tarifa],8,financeiro[id_tipo_tarifa],9,financeiro[valor],"&gt;0")+SUMIFS(financeiro[valor],financeiro[IdAgente],B35,financeiro[idDet1],20,financeiro[idDet2],60,financeiro[idDet3],999,financeiro[id_grupo_tarifa],2,financeiro[id_detalhe_grupo_tarifa],10,financeiro[id_tipo_tarifa],9,financeiro[valor],"&gt;0")+SUMIFS(financeiro[valor],financeiro[IdAgente],B35,financeiro[idDet1],20,financeiro[idDet2],60,financeiro[idDet3],999,financeiro[id_grupo_tarifa],2,financeiro[id_detalhe_grupo_tarifa],24,financeiro[id_tipo_tarifa],9,financeiro[valor],"&gt;0")+SUMIFS(financeiro[valor],financeiro[IdAgente],B35,financeiro[idDet1],20,financeiro[idDet2],60,financeiro[idDet3],999,financeiro[id_grupo_tarifa],2,financeiro[id_detalhe_grupo_tarifa],17,financeiro[id_tipo_tarifa],9,financeiro[valor],"&gt;0")+SUMIFS(financeiro[valor],financeiro[IdAgente],B35,financeiro[idDet1],999,financeiro[idDet2],999999,financeiro[idDet3],999,financeiro[id_grupo_tarifa],99,financeiro[id_detalhe_grupo_tarifa],999,financeiro[id_tipo_tarifa],9,financeiro[valor],"&gt;0")</f>
        <v>0</v>
      </c>
      <c r="AA35" s="267">
        <f>SUMIFS(financeiro[valor],financeiro[IdAgente],B35,financeiro[idDet1],22,financeiro[idDet2],60,financeiro[idDet3],529,financeiro[id_grupo_tarifa],1,financeiro[id_detalhe_grupo_tarifa],1,financeiro[id_tipo_tarifa],9,financeiro[valor],"&gt;0")+SUMIFS(financeiro[valor],financeiro[IdAgente],B35,financeiro[idDet1],22,financeiro[idDet2],60,financeiro[idDet3],529,financeiro[id_grupo_tarifa],1,financeiro[id_detalhe_grupo_tarifa],2,financeiro[id_tipo_tarifa],9,financeiro[valor],"&gt;0")</f>
        <v>0</v>
      </c>
      <c r="AB35" s="269"/>
      <c r="AC35" s="267">
        <f>SUMIFS(financeiro[valor],financeiro[IdAgente],B35,financeiro[idDet1],22,financeiro[idDet2],60,financeiro[idDet3],999,financeiro[id_grupo_tarifa],2,financeiro[id_detalhe_grupo_tarifa],30,financeiro[id_tipo_tarifa],9,financeiro[valor],"&gt;0")</f>
        <v>0</v>
      </c>
      <c r="AD35" s="267">
        <f>SUMIFS(financeiro[valor],financeiro[IdAgente],B35,financeiro[idDet1],22,financeiro[idDet2],60,financeiro[idDet3],178,financeiro[id_grupo_tarifa],1,financeiro[id_detalhe_grupo_tarifa],7,financeiro[id_tipo_tarifa],9)</f>
        <v>0</v>
      </c>
      <c r="AE35" s="267">
        <f>SUMIFS(financeiro[valor],financeiro[IdAgente],B35,financeiro[idDet1],22,financeiro[idDet2],60,financeiro[idDet3],242,financeiro[id_grupo_tarifa],4,financeiro[id_detalhe_grupo_tarifa],999,financeiro[id_tipo_tarifa],9)</f>
        <v>0</v>
      </c>
      <c r="AF35" s="267">
        <f>SUMIFS(financeiro[valor],financeiro[IdAgente],B35,financeiro[idDet1],22,financeiro[idDet2],60,financeiro[idDet3],525,financeiro[id_grupo_tarifa],2,financeiro[id_tipo_tarifa],9)</f>
        <v>0</v>
      </c>
      <c r="AG35" s="267">
        <f>SUMIFS(financeiro[valor],financeiro[IdAgente],B35,financeiro[idDet1],22,financeiro[idDet2],60,financeiro[idDet3],524)</f>
        <v>0</v>
      </c>
      <c r="AH35" s="269"/>
      <c r="AI35" s="267">
        <f>SUMIFS(financeiro[valor],financeiro[IdAgente],B35,financeiro[idDet1],22,financeiro[idDet2],60,financeiro[idDet3],523,financeiro[id_grupo_tarifa],2,financeiro[id_detalhe_grupo_tarifa],30,financeiro[id_tipo_tarifa],9)</f>
        <v>0</v>
      </c>
      <c r="AJ35" s="267">
        <f>SUMIFS(financeiro[valor],financeiro[IdAgente],B35,financeiro[idDet1],22,financeiro[idDet2],60,financeiro[idDet3],503,financeiro[id_grupo_tarifa],99,financeiro[id_detalhe_grupo_tarifa],999,financeiro[id_tipo_tarifa],3)</f>
        <v>0</v>
      </c>
      <c r="AK35" s="269"/>
      <c r="AL35" s="269"/>
      <c r="AM35" s="269"/>
      <c r="AN35" s="269"/>
      <c r="AO35" s="269"/>
      <c r="AP35" s="269"/>
      <c r="AQ35" s="269"/>
      <c r="AR35" s="269"/>
      <c r="AS35" s="269"/>
      <c r="AT35" s="267">
        <f>SUMIFS(financeiro[valor],financeiro[IdAgente],B35,financeiro[idDet1],22,financeiro[idDet2],60,financeiro[idDet3],235,financeiro[id_grupo_tarifa],4,financeiro[id_detalhe_grupo_tarifa],999,financeiro[id_tipo_tarifa],9)</f>
        <v>0</v>
      </c>
      <c r="AU35" s="267">
        <f>SUMIFS(financeiro[valor],financeiro[IdAgente],B35,financeiro[idDet1],22,financeiro[idDet2],60,financeiro[idDet3],512,financeiro[id_grupo_tarifa],3,financeiro[id_detalhe_grupo_tarifa],28,financeiro[id_tipo_tarifa],9)</f>
        <v>0</v>
      </c>
      <c r="AV35" s="267">
        <f>SUMIFS(financeiro[valor],financeiro[IdAgente],B35,financeiro[idDet1],22,financeiro[idDet2],60,financeiro[idDet3],241,financeiro[id_grupo_tarifa],2,financeiro[id_detalhe_grupo_tarifa],11,financeiro[id_tipo_tarifa],9)+SUMIFS(financeiro[valor],financeiro[IdAgente],B35,financeiro[idDet1],22,financeiro[idDet2],60,financeiro[idDet3],241,financeiro[id_grupo_tarifa],2,financeiro[id_detalhe_grupo_tarifa],9,financeiro[id_tipo_tarifa],9)+SUMIFS(financeiro[valor],financeiro[IdAgente],B35,financeiro[idDet1],22,financeiro[idDet2],60,financeiro[idDet3],241,financeiro[id_grupo_tarifa],2,financeiro[id_detalhe_grupo_tarifa],8,financeiro[id_tipo_tarifa],9)+SUMIFS(financeiro[valor],financeiro[IdAgente],B35,financeiro[idDet1],22,financeiro[idDet2],60,financeiro[idDet3],241,financeiro[id_grupo_tarifa],2,financeiro[id_detalhe_grupo_tarifa],10,financeiro[id_tipo_tarifa],9)+SUMIFS(financeiro[valor],financeiro[IdAgente],B35,financeiro[idDet1],22,financeiro[idDet2],60,financeiro[idDet3],241,financeiro[id_grupo_tarifa],2,financeiro[id_detalhe_grupo_tarifa],24,financeiro[id_tipo_tarifa],9)</f>
        <v>0</v>
      </c>
      <c r="AW35" s="267">
        <f>SUMIFS(financeiro[valor],financeiro[IdAgente],B35,financeiro[idDet1],22,financeiro[idDet2],60,financeiro[idDet3],241,financeiro[id_grupo_tarifa],3,financeiro[id_detalhe_grupo_tarifa],17,financeiro[id_tipo_tarifa],9)</f>
        <v>0</v>
      </c>
      <c r="AX35" s="267">
        <f>SUMIFS(financeiro[valor],financeiro[IdAgente],B35,financeiro[idDet1],22,financeiro[idDet2],60,financeiro[idDet3],240,financeiro[id_grupo_tarifa],2,financeiro[id_detalhe_grupo_tarifa],11,financeiro[id_tipo_tarifa],9)+SUMIFS(financeiro[valor],financeiro[IdAgente],B35,financeiro[idDet1],22,financeiro[idDet2],60,financeiro[idDet3],240,financeiro[id_grupo_tarifa],2,financeiro[id_detalhe_grupo_tarifa],9,financeiro[id_tipo_tarifa],9)+SUMIFS(financeiro[valor],financeiro[IdAgente],B35,financeiro[idDet1],22,financeiro[idDet2],60,financeiro[idDet3],240,financeiro[id_grupo_tarifa],2,financeiro[id_detalhe_grupo_tarifa],8,financeiro[id_tipo_tarifa],9)+SUMIFS(financeiro[valor],financeiro[IdAgente],B35,financeiro[idDet1],22,financeiro[idDet2],60,financeiro[idDet3],240,financeiro[id_grupo_tarifa],2,financeiro[id_detalhe_grupo_tarifa],10,financeiro[id_tipo_tarifa],9)+SUMIFS(financeiro[valor],financeiro[IdAgente],B35,financeiro[idDet1],22,financeiro[idDet2],60,financeiro[idDet3],240,financeiro[id_grupo_tarifa],2,financeiro[id_detalhe_grupo_tarifa],24,financeiro[id_tipo_tarifa],9)</f>
        <v>0</v>
      </c>
      <c r="AY35" s="267">
        <f>SUMIFS(financeiro[valor],financeiro[IdAgente],B35,financeiro[idDet1],22,financeiro[idDet2],60,financeiro[idDet3],106,financeiro[id_grupo_tarifa],2,financeiro[id_detalhe_grupo_tarifa],11,financeiro[id_tipo_tarifa],9)+SUMIFS(financeiro[valor],financeiro[IdAgente],B35,financeiro[idDet1],22,financeiro[idDet2],60,financeiro[idDet3],106,financeiro[id_grupo_tarifa],2,financeiro[id_detalhe_grupo_tarifa],9,financeiro[id_tipo_tarifa],9)+SUMIFS(financeiro[valor],financeiro[IdAgente],B35,financeiro[idDet1],22,financeiro[idDet2],60,financeiro[idDet3],106,financeiro[id_grupo_tarifa],2,financeiro[id_detalhe_grupo_tarifa],8,financeiro[id_tipo_tarifa],9)+SUMIFS(financeiro[valor],financeiro[IdAgente],B35,financeiro[idDet1],22,financeiro[idDet2],60,financeiro[idDet3],106,financeiro[id_grupo_tarifa],2,financeiro[id_detalhe_grupo_tarifa],10,financeiro[id_tipo_tarifa],9)+SUMIFS(financeiro[valor],financeiro[IdAgente],B35,financeiro[idDet1],22,financeiro[idDet2],60,financeiro[idDet3],106,financeiro[id_grupo_tarifa],2,financeiro[id_detalhe_grupo_tarifa],24,financeiro[id_tipo_tarifa],9)</f>
        <v>0</v>
      </c>
      <c r="AZ35" s="267">
        <f>SUMIFS(financeiro[valor],financeiro[IdAgente],B35,financeiro[idDet1],22,financeiro[idDet2],62,financeiro[idDet3],220,financeiro[id_grupo_tarifa],2,financeiro[id_detalhe_grupo_tarifa],11,financeiro[id_tipo_tarifa],9)+SUMIFS(financeiro[valor],financeiro[IdAgente],B35,financeiro[idDet1],22,financeiro[idDet2],62,financeiro[idDet3],220,financeiro[id_grupo_tarifa],2,financeiro[id_detalhe_grupo_tarifa],9,financeiro[id_tipo_tarifa],9)+SUMIFS(financeiro[valor],financeiro[IdAgente],B35,financeiro[idDet1],22,financeiro[idDet2],62,financeiro[idDet3],220,financeiro[id_grupo_tarifa],2,financeiro[id_detalhe_grupo_tarifa],8,financeiro[id_tipo_tarifa],9)+SUMIFS(financeiro[valor],financeiro[IdAgente],B35,financeiro[idDet1],22,financeiro[idDet2],62,financeiro[idDet3],220,financeiro[id_grupo_tarifa],2,financeiro[id_detalhe_grupo_tarifa],10,financeiro[id_tipo_tarifa],9)+SUMIFS(financeiro[valor],financeiro[IdAgente],B35,financeiro[idDet1],22,financeiro[idDet2],62,financeiro[idDet3],220,financeiro[id_grupo_tarifa],2,financeiro[id_detalhe_grupo_tarifa],24,financeiro[id_tipo_tarifa],9)</f>
        <v>0</v>
      </c>
      <c r="BA35" s="267">
        <f>SUMIFS(financeiro[valor],financeiro[IdAgente],B35,financeiro[idDet1],22,financeiro[idDet2],60,financeiro[idDet3],220,financeiro[id_grupo_tarifa],2,financeiro[id_detalhe_grupo_tarifa],11,financeiro[id_tipo_tarifa],9)+SUMIFS(financeiro[valor],financeiro[IdAgente],B35,financeiro[idDet1],22,financeiro[idDet2],60,financeiro[idDet3],220,financeiro[id_grupo_tarifa],2,financeiro[id_detalhe_grupo_tarifa],9,financeiro[id_tipo_tarifa],9)+SUMIFS(financeiro[valor],financeiro[IdAgente],B35,financeiro[idDet1],22,financeiro[idDet2],60,financeiro[idDet3],220,financeiro[id_grupo_tarifa],2,financeiro[id_detalhe_grupo_tarifa],8,financeiro[id_tipo_tarifa],9)+SUMIFS(financeiro[valor],financeiro[IdAgente],B35,financeiro[idDet1],22,financeiro[idDet2],60,financeiro[idDet3],220,financeiro[id_grupo_tarifa],2,financeiro[id_detalhe_grupo_tarifa],10,financeiro[id_tipo_tarifa],9)+SUMIFS(financeiro[valor],financeiro[IdAgente],B35,financeiro[idDet1],22,financeiro[idDet2],60,financeiro[idDet3],220,financeiro[id_grupo_tarifa],2,financeiro[id_detalhe_grupo_tarifa],24,financeiro[id_tipo_tarifa],9)</f>
        <v>0</v>
      </c>
      <c r="BB35" s="267">
        <f>SUMIFS(financeiro[valor],financeiro[IdAgente],B35,financeiro[idDet1],22,financeiro[idDet2],60,financeiro[idDet3],102,financeiro[id_grupo_tarifa],2,financeiro[id_detalhe_grupo_tarifa],11,financeiro[id_tipo_tarifa],9)+SUMIFS(financeiro[valor],financeiro[IdAgente],B35,financeiro[idDet1],22,financeiro[idDet2],60,financeiro[idDet3],102,financeiro[id_grupo_tarifa],2,financeiro[id_detalhe_grupo_tarifa],9,financeiro[id_tipo_tarifa],9)+SUMIFS(financeiro[valor],financeiro[IdAgente],B35,financeiro[idDet1],22,financeiro[idDet2],60,financeiro[idDet3],102,financeiro[id_grupo_tarifa],2,financeiro[id_detalhe_grupo_tarifa],8,financeiro[id_tipo_tarifa],9)+SUMIFS(financeiro[valor],financeiro[IdAgente],B35,financeiro[idDet1],22,financeiro[idDet2],60,financeiro[idDet3],102,financeiro[id_grupo_tarifa],2,financeiro[id_detalhe_grupo_tarifa],10,financeiro[id_tipo_tarifa],9)+SUMIFS(financeiro[valor],financeiro[IdAgente],B35,financeiro[idDet1],22,financeiro[idDet2],60,financeiro[idDet3],102,financeiro[id_grupo_tarifa],2,financeiro[id_detalhe_grupo_tarifa],24,financeiro[id_tipo_tarifa],9)</f>
        <v>0</v>
      </c>
      <c r="BC35" s="267">
        <f>SUMIFS(financeiro[valor],financeiro[IdAgente],B35,financeiro[idDet1],22,financeiro[idDet2],60,financeiro[idDet3],522,financeiro[valor],"&lt;0")</f>
        <v>0</v>
      </c>
      <c r="BD35" s="267">
        <f>SUMIFS(financeiro[valor],financeiro[IdAgente],B35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35" s="267">
        <f>SUMIFS(financeiro[valor],financeiro[IdAgente],B35,financeiro[id_natureza_dado],2,financeiro[id_detalhe_natureza],2,financeiro[idDet1],20,financeiro[idDet2],60,financeiro[idDet3],82,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35" s="267">
        <f>SUMIFS(financeiro[valor],financeiro[IdAgente],B35,financeiro[id_natureza_dado],2,financeiro[id_detalhe_natureza],2,financeiro[idDet1],20,financeiro[idDet2],60,financeiro[idDet3],81,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35" s="267">
        <f>SUMIFS(financeiro[valor],financeiro[IdAgente],B35,financeiro[id_natureza_dado],2,financeiro[id_detalhe_natureza],2,financeiro[idDet1],20,financeiro[idDet2],60,financeiro[idDet3],503,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35" s="267">
        <f>SUMIFS(financeiro[valor],financeiro[IdAgente],B35,financeiro[idDet1],22,financeiro[idDet2],60,financeiro[idDet3],123)</f>
        <v>0</v>
      </c>
      <c r="BI35" s="267">
        <f>SUMIFS(financeiro[valor],financeiro[IdAgente],B35,financeiro[idDet1],20,financeiro[idDet2],60,financeiro[idDet3],73)</f>
        <v>0</v>
      </c>
      <c r="BJ35" s="267">
        <f>SUMIFS(financeiro[valor],financeiro[IdAgente],B35,financeiro[idDet1],22,financeiro[idDet2],60,financeiro[idDet3],527)</f>
        <v>0</v>
      </c>
      <c r="BK35" s="267">
        <f>SUMIFS(financeiro[valor],financeiro[IdAgente],B35,financeiro[idDet1],22,financeiro[idDet2],60,financeiro[idDet3],510)</f>
        <v>0</v>
      </c>
      <c r="BL35" s="267">
        <f>SUMIFS(financeiro[valor],financeiro[IdAgente],B35,financeiro[idDet1],22,financeiro[idDet2],60,financeiro[idDet3],526,
financeiro[id_grupo_tarifa],1,financeiro[id_detalhe_grupo_tarifa],3,financeiro[id_tipo_tarifa],9,financeiro[id_subgrupo],3)</f>
        <v>0</v>
      </c>
      <c r="BM35" s="267">
        <f>SUMIFS(financeiro[valor],financeiro[IdAgente],B35,financeiro[idDet1],22,financeiro[idDet2],60,financeiro[idDet3],999,
financeiro[id_grupo_tarifa],3,financeiro[id_detalhe_grupo_tarifa],17,financeiro[id_tipo_tarifa],9)</f>
        <v>0</v>
      </c>
      <c r="BN35" s="267">
        <f>SUMIFS(financeiro[valor],financeiro[IdAgente],B35,financeiro[idDet1],22,financeiro[idDet2],60,financeiro[idDet3],526,financeiro[id_grupo_tarifa],1,financeiro[id_detalhe_grupo_tarifa],7,financeiro[id_tipo_tarifa],9,financeiro[valor],"&lt;0")+SUMIFS(financeiro[valor],financeiro[IdAgente],B35,financeiro[idDet1],22,financeiro[idDet2],60,financeiro[idDet3],526,financeiro[id_grupo_tarifa],2,financeiro[id_detalhe_grupo_tarifa],11,financeiro[id_tipo_tarifa],9,financeiro[valor],"&lt;0")+SUMIFS(financeiro[valor],financeiro[IdAgente],B35,financeiro[idDet1],22,financeiro[idDet2],60,financeiro[idDet3],526,financeiro[id_grupo_tarifa],2,financeiro[id_detalhe_grupo_tarifa],8,financeiro[id_tipo_tarifa],9,financeiro[valor],"&lt;0")</f>
        <v>0</v>
      </c>
      <c r="BO35" s="267">
        <f>SUMIFS(financeiro[valor],financeiro[IdAgente],B35,financeiro[idDet1],22,financeiro[idDet2],60,financeiro[idDet3],999,financeiro[id_grupo_tarifa],4,financeiro[id_detalhe_grupo_tarifa],999,financeiro[id_tipo_tarifa],9,financeiro[valor],"&lt;0")</f>
        <v>0</v>
      </c>
      <c r="BP35" s="267">
        <f>SUMIFS(financeiro[valor],financeiro[IdAgente],B35,financeiro[idDet1],22,financeiro[idDet2],60,financeiro[idDet3],530,financeiro[valor],"&lt;0")</f>
        <v>0</v>
      </c>
      <c r="BQ35" s="267">
        <f>SUMIFS(financeiro[valor],financeiro[IdAgente],B35,financeiro[idDet1],22,financeiro[idDet2],60,financeiro[idDet3],531,financeiro[valor],"&lt;0")</f>
        <v>0</v>
      </c>
      <c r="BR35" s="267">
        <f>SUMIFS(financeiro[valor],financeiro[IdAgente],B35,financeiro[idDet1],22,financeiro[idDet2],62,financeiro[idDet3],532,financeiro[valor],"&lt;0")</f>
        <v>0</v>
      </c>
      <c r="BS35" s="267">
        <f>SUMIFS(financeiro[valor],financeiro[IdAgente],B35,financeiro[idDet1],22,financeiro[idDet2],62,financeiro[idDet3],533,financeiro[valor],"&lt;0")</f>
        <v>0</v>
      </c>
      <c r="BT35" s="267">
        <f>SUMIFS(financeiro[valor],financeiro[IdAgente],B35,financeiro[idDet1],22,financeiro[idDet2],62,financeiro[idDet3],534,financeiro[valor],"&lt;0")</f>
        <v>0</v>
      </c>
      <c r="BU35" s="4"/>
      <c r="BV35" s="4"/>
      <c r="BW35" s="210" t="s">
        <v>53</v>
      </c>
      <c r="BX35" t="str">
        <f>Efeito!B36</f>
        <v>NO SELECT</v>
      </c>
      <c r="BY35" s="267">
        <f>SUMIFS(Banco[valor],Banco[IdAgente],BX35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35" s="267">
        <f>SUMIFS(Banco[valor],Banco[IdAgente],BX35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35" s="267">
        <f>SUMIFS(Banco[valor],Banco[IdAgente],BX35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35" s="267">
        <f>SUMIFS(Banco[valor],Banco[IdAgente],BX35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35" s="267">
        <f>SUMIFS(Banco[valor],Banco[IdAgente],BX35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35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35" s="267">
        <f>SUMIFS(Banco[valor],Banco[IdAgente],BX35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35" s="267">
        <f>SUMIFS(Banco[valor],Banco[IdAgente],BX35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35" s="267">
        <f>SUMIFS(Banco[valor],Banco[IdAgente],BX35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35" s="267">
        <f>SUMIFS(Banco[valor],Banco[IdAgente],BX35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35" s="267">
        <f>SUMIFS(Banco[valor],Banco[IdAgente],BX35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35" s="267">
        <f>SUMIFS(Banco[valor],Banco[IdAgente],BX35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35" s="267">
        <f>SUMIFS(Banco[valor],Banco[IdAgente],BX35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35" s="267">
        <f>SUMIFS(Banco[valor],Banco[IdAgente],B35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35" s="267">
        <f>SUMIFS(Banco[valor],Banco[IdAgente],B35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35" s="267">
        <f>SUMIFS(Banco[valor],Banco[IdAgente],B35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  <c r="CN35" s="4"/>
    </row>
    <row r="36" spans="1:92">
      <c r="A36" t="s">
        <v>201</v>
      </c>
      <c r="B36" t="str">
        <f>Efeito!B37</f>
        <v>NO SELECT</v>
      </c>
      <c r="C36" s="267">
        <f>SUMIFS(Banco[valor],Banco[IdAgente],B36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36" s="267">
        <f>SUMIFS(Banco[valor],Banco[IdAgente],B36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36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36" s="267">
        <f>SUMIFS(Banco[valor],Banco[IdAgente],B36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36" s="267">
        <f>SUMIFS(Banco[valor],Banco[IdAgente],B36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36" s="267">
        <f>SUMIFS(Banco[valor],Banco[IdAgente],B36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36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36" s="267">
        <f>SUMIFS(Banco[valor],Banco[IdAgente],B36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36" s="267">
        <f>SUMIFS(Banco[valor],Banco[IdAgente],B36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36" s="267">
        <f>SUMIFS(Banco[valor],Banco[IdAgente],B36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36" s="267">
        <f>SUMIFS(Banco[valor],Banco[IdAgente],B36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36" s="267">
        <f>SUMIFS(Banco[valor],Banco[IdAgente],B36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36" s="267">
        <f>SUMIFS(Banco[valor],Banco[IdAgente],B36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36" s="267">
        <f>SUMIFS(Banco[valor],Banco[IdAgente],B36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36" s="267">
        <f>SUMIFS(Banco[valor],Banco[IdAgente],B36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36" s="267">
        <f t="shared" ref="P36:P55" si="3">SUM(C36:O36)</f>
        <v>0</v>
      </c>
      <c r="Q36" s="267">
        <f>SUMIFS(Banco[valor],Banco[IdAgente],B36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36" s="267">
        <f>SUMIFS(Banco[valor],Banco[IdAgente],B36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36" s="4"/>
      <c r="T36" s="4"/>
      <c r="U36" s="4"/>
      <c r="V36" s="267">
        <f>SUMIFS(financeiro[valor],financeiro[IdAgente],B36,financeiro[idDet1],22,financeiro[idDet2],60,financeiro[idDet3],526,financeiro[id_grupo_tarifa],1,financeiro[id_detalhe_grupo_tarifa],7,financeiro[id_tipo_tarifa],9,financeiro[id_subgrupo],99,financeiro[valor],"&gt;0")+SUMIFS(financeiro[valor],financeiro[IdAgente],B36,financeiro[idDet1],22,financeiro[idDet2],60,financeiro[idDet3],526,financeiro[id_grupo_tarifa],2,financeiro[id_detalhe_grupo_tarifa],11,financeiro[id_tipo_tarifa],9,financeiro[valor],"&gt;0")+SUMIFS(financeiro[valor],financeiro[IdAgente],B36,financeiro[idDet1],22,financeiro[idDet2],60,financeiro[idDet3],526,financeiro[id_grupo_tarifa],2,financeiro[id_detalhe_grupo_tarifa],9,financeiro[id_tipo_tarifa],9,financeiro[valor],"&gt;0")+SUMIFS(financeiro[valor],financeiro[IdAgente],B36,financeiro[idDet1],22,financeiro[idDet2],60,financeiro[idDet3],526,financeiro[id_grupo_tarifa],2,financeiro[id_detalhe_grupo_tarifa],8,financeiro[id_tipo_tarifa],9,financeiro[valor],"&gt;0")+SUMIFS(financeiro[valor],financeiro[IdAgente],B36,financeiro[idDet1],22,financeiro[idDet2],60,financeiro[idDet3],526,financeiro[id_grupo_tarifa],2,financeiro[id_detalhe_grupo_tarifa],10,financeiro[id_tipo_tarifa],9,financeiro[valor],"&gt;0")+SUMIFS(financeiro[valor],financeiro[IdAgente],B36,financeiro[idDet1],22,financeiro[idDet2],60,financeiro[idDet3],526,financeiro[id_grupo_tarifa],2,financeiro[id_detalhe_grupo_tarifa],24,financeiro[id_tipo_tarifa],9,financeiro[valor],"&gt;0")</f>
        <v>0</v>
      </c>
      <c r="W36" s="267">
        <f>SUMIFS(financeiro[valor],financeiro[IdAgente],B36,financeiro[idDet1],20,financeiro[idDet2],60,financeiro[idDet3],999,financeiro[id_grupo_tarifa],3,financeiro[id_detalhe_grupo_tarifa],14,financeiro[id_tipo_tarifa],9)+SUMIFS(financeiro[valor],financeiro[IdAgente],B36,financeiro[idDet1],20,financeiro[idDet2],60,financeiro[idDet3],999,financeiro[id_grupo_tarifa],3,financeiro[id_detalhe_grupo_tarifa],15,financeiro[id_tipo_tarifa],9)+SUMIFS(financeiro[valor],financeiro[IdAgente],B36,financeiro[idDet1],20,financeiro[idDet2],60,financeiro[idDet3],999,financeiro[id_grupo_tarifa],3,financeiro[id_detalhe_grupo_tarifa],16,financeiro[id_tipo_tarifa],9)+SUMIFS(financeiro[valor],financeiro[IdAgente],B36,financeiro[idDet1],20,financeiro[idDet2],60,financeiro[idDet3],999,financeiro[id_grupo_tarifa],3,financeiro[id_detalhe_grupo_tarifa],17,financeiro[id_tipo_tarifa],9)+SUMIFS(financeiro[valor],financeiro[IdAgente],B36,financeiro[idDet1],20,financeiro[idDet2],60,financeiro[idDet3],999,financeiro[id_grupo_tarifa],3,financeiro[id_detalhe_grupo_tarifa],18,financeiro[id_tipo_tarifa],9)+SUMIFS(financeiro[valor],financeiro[IdAgente],B36,financeiro[idDet1],20,financeiro[idDet2],60,financeiro[idDet3],999,financeiro[id_grupo_tarifa],3,financeiro[id_detalhe_grupo_tarifa],19,financeiro[id_tipo_tarifa],9)</f>
        <v>0</v>
      </c>
      <c r="X36" s="267">
        <f>SUMIFS(financeiro[valor],financeiro[IdAgente],B36,financeiro[idDet1],20,financeiro[idDet2],60,financeiro[idDet3],999,financeiro[id_grupo_tarifa],3,financeiro[id_detalhe_grupo_tarifa],12,financeiro[id_tipo_tarifa],9)+SUMIFS(financeiro[valor],financeiro[IdAgente],B36,financeiro[idDet1],20,financeiro[idDet2],60,financeiro[idDet3],999,financeiro[id_grupo_tarifa],4,financeiro[id_detalhe_grupo_tarifa],999,financeiro[id_tipo_tarifa],9)</f>
        <v>0</v>
      </c>
      <c r="Y36" s="267">
        <f>SUMIFS(financeiro[valor],financeiro[IdAgente],B36,financeiro[idDet1],20,financeiro[idDet2],60,financeiro[idDet3],179,financeiro[id_grupo_tarifa],99,financeiro[id_detalhe_grupo_tarifa],999,financeiro[id_tipo_tarifa],9)</f>
        <v>0</v>
      </c>
      <c r="Z36" s="267">
        <f>SUMIFS(financeiro[valor],financeiro[IdAgente],B36,financeiro[idDet1],20,financeiro[idDet2],60,financeiro[idDet3],999,financeiro[id_grupo_tarifa],2,financeiro[id_detalhe_grupo_tarifa],11,financeiro[id_tipo_tarifa],9,financeiro[valor],"&gt;0")+SUMIFS(financeiro[valor],financeiro[IdAgente],B36,financeiro[idDet1],20,financeiro[idDet2],60,financeiro[idDet3],999,financeiro[id_grupo_tarifa],2,financeiro[id_detalhe_grupo_tarifa],9,financeiro[id_tipo_tarifa],9,financeiro[valor],"&gt;0")+SUMIFS(financeiro[valor],financeiro[IdAgente],B36,financeiro[idDet1],20,financeiro[idDet2],60,financeiro[idDet3],999,financeiro[id_grupo_tarifa],2,financeiro[id_detalhe_grupo_tarifa],8,financeiro[id_tipo_tarifa],9,financeiro[valor],"&gt;0")+SUMIFS(financeiro[valor],financeiro[IdAgente],B36,financeiro[idDet1],20,financeiro[idDet2],60,financeiro[idDet3],999,financeiro[id_grupo_tarifa],2,financeiro[id_detalhe_grupo_tarifa],10,financeiro[id_tipo_tarifa],9,financeiro[valor],"&gt;0")+SUMIFS(financeiro[valor],financeiro[IdAgente],B36,financeiro[idDet1],20,financeiro[idDet2],60,financeiro[idDet3],999,financeiro[id_grupo_tarifa],2,financeiro[id_detalhe_grupo_tarifa],24,financeiro[id_tipo_tarifa],9,financeiro[valor],"&gt;0")+SUMIFS(financeiro[valor],financeiro[IdAgente],B36,financeiro[idDet1],20,financeiro[idDet2],60,financeiro[idDet3],999,financeiro[id_grupo_tarifa],2,financeiro[id_detalhe_grupo_tarifa],17,financeiro[id_tipo_tarifa],9,financeiro[valor],"&gt;0")+SUMIFS(financeiro[valor],financeiro[IdAgente],B36,financeiro[idDet1],999,financeiro[idDet2],999999,financeiro[idDet3],999,financeiro[id_grupo_tarifa],99,financeiro[id_detalhe_grupo_tarifa],999,financeiro[id_tipo_tarifa],9,financeiro[valor],"&gt;0")</f>
        <v>0</v>
      </c>
      <c r="AA36" s="267">
        <f>SUMIFS(financeiro[valor],financeiro[IdAgente],B36,financeiro[idDet1],22,financeiro[idDet2],60,financeiro[idDet3],529,financeiro[id_grupo_tarifa],1,financeiro[id_detalhe_grupo_tarifa],1,financeiro[id_tipo_tarifa],9,financeiro[valor],"&gt;0")+SUMIFS(financeiro[valor],financeiro[IdAgente],B36,financeiro[idDet1],22,financeiro[idDet2],60,financeiro[idDet3],529,financeiro[id_grupo_tarifa],1,financeiro[id_detalhe_grupo_tarifa],2,financeiro[id_tipo_tarifa],9,financeiro[valor],"&gt;0")</f>
        <v>0</v>
      </c>
      <c r="AB36" s="269"/>
      <c r="AC36" s="267">
        <f>SUMIFS(financeiro[valor],financeiro[IdAgente],B36,financeiro[idDet1],22,financeiro[idDet2],60,financeiro[idDet3],999,financeiro[id_grupo_tarifa],2,financeiro[id_detalhe_grupo_tarifa],30,financeiro[id_tipo_tarifa],9,financeiro[valor],"&gt;0")</f>
        <v>0</v>
      </c>
      <c r="AD36" s="267">
        <f>SUMIFS(financeiro[valor],financeiro[IdAgente],B36,financeiro[idDet1],22,financeiro[idDet2],60,financeiro[idDet3],178,financeiro[id_grupo_tarifa],1,financeiro[id_detalhe_grupo_tarifa],7,financeiro[id_tipo_tarifa],9)</f>
        <v>0</v>
      </c>
      <c r="AE36" s="267">
        <f>SUMIFS(financeiro[valor],financeiro[IdAgente],B36,financeiro[idDet1],22,financeiro[idDet2],60,financeiro[idDet3],242,financeiro[id_grupo_tarifa],4,financeiro[id_detalhe_grupo_tarifa],999,financeiro[id_tipo_tarifa],9)</f>
        <v>0</v>
      </c>
      <c r="AF36" s="267">
        <f>SUMIFS(financeiro[valor],financeiro[IdAgente],B36,financeiro[idDet1],22,financeiro[idDet2],60,financeiro[idDet3],525,financeiro[id_grupo_tarifa],2,financeiro[id_tipo_tarifa],9)</f>
        <v>0</v>
      </c>
      <c r="AG36" s="267">
        <f>SUMIFS(financeiro[valor],financeiro[IdAgente],B36,financeiro[idDet1],22,financeiro[idDet2],60,financeiro[idDet3],524)</f>
        <v>0</v>
      </c>
      <c r="AH36" s="269"/>
      <c r="AI36" s="267">
        <f>SUMIFS(financeiro[valor],financeiro[IdAgente],B36,financeiro[idDet1],22,financeiro[idDet2],60,financeiro[idDet3],523,financeiro[id_grupo_tarifa],2,financeiro[id_detalhe_grupo_tarifa],30,financeiro[id_tipo_tarifa],9)</f>
        <v>0</v>
      </c>
      <c r="AJ36" s="267">
        <f>SUMIFS(financeiro[valor],financeiro[IdAgente],B36,financeiro[idDet1],22,financeiro[idDet2],60,financeiro[idDet3],503,financeiro[id_grupo_tarifa],99,financeiro[id_detalhe_grupo_tarifa],999,financeiro[id_tipo_tarifa],3)</f>
        <v>0</v>
      </c>
      <c r="AK36" s="269"/>
      <c r="AL36" s="269"/>
      <c r="AM36" s="269"/>
      <c r="AN36" s="269"/>
      <c r="AO36" s="269"/>
      <c r="AP36" s="269"/>
      <c r="AQ36" s="269"/>
      <c r="AR36" s="269"/>
      <c r="AS36" s="269"/>
      <c r="AT36" s="267">
        <f>SUMIFS(financeiro[valor],financeiro[IdAgente],B36,financeiro[idDet1],22,financeiro[idDet2],60,financeiro[idDet3],235,financeiro[id_grupo_tarifa],4,financeiro[id_detalhe_grupo_tarifa],999,financeiro[id_tipo_tarifa],9)</f>
        <v>0</v>
      </c>
      <c r="AU36" s="267">
        <f>SUMIFS(financeiro[valor],financeiro[IdAgente],B36,financeiro[idDet1],22,financeiro[idDet2],60,financeiro[idDet3],512,financeiro[id_grupo_tarifa],3,financeiro[id_detalhe_grupo_tarifa],28,financeiro[id_tipo_tarifa],9)</f>
        <v>0</v>
      </c>
      <c r="AV36" s="267">
        <f>SUMIFS(financeiro[valor],financeiro[IdAgente],B36,financeiro[idDet1],22,financeiro[idDet2],60,financeiro[idDet3],241,financeiro[id_grupo_tarifa],2,financeiro[id_detalhe_grupo_tarifa],11,financeiro[id_tipo_tarifa],9)+SUMIFS(financeiro[valor],financeiro[IdAgente],B36,financeiro[idDet1],22,financeiro[idDet2],60,financeiro[idDet3],241,financeiro[id_grupo_tarifa],2,financeiro[id_detalhe_grupo_tarifa],9,financeiro[id_tipo_tarifa],9)+SUMIFS(financeiro[valor],financeiro[IdAgente],B36,financeiro[idDet1],22,financeiro[idDet2],60,financeiro[idDet3],241,financeiro[id_grupo_tarifa],2,financeiro[id_detalhe_grupo_tarifa],8,financeiro[id_tipo_tarifa],9)+SUMIFS(financeiro[valor],financeiro[IdAgente],B36,financeiro[idDet1],22,financeiro[idDet2],60,financeiro[idDet3],241,financeiro[id_grupo_tarifa],2,financeiro[id_detalhe_grupo_tarifa],10,financeiro[id_tipo_tarifa],9)+SUMIFS(financeiro[valor],financeiro[IdAgente],B36,financeiro[idDet1],22,financeiro[idDet2],60,financeiro[idDet3],241,financeiro[id_grupo_tarifa],2,financeiro[id_detalhe_grupo_tarifa],24,financeiro[id_tipo_tarifa],9)</f>
        <v>0</v>
      </c>
      <c r="AW36" s="267">
        <f>SUMIFS(financeiro[valor],financeiro[IdAgente],B36,financeiro[idDet1],22,financeiro[idDet2],60,financeiro[idDet3],241,financeiro[id_grupo_tarifa],3,financeiro[id_detalhe_grupo_tarifa],17,financeiro[id_tipo_tarifa],9)</f>
        <v>0</v>
      </c>
      <c r="AX36" s="267">
        <f>SUMIFS(financeiro[valor],financeiro[IdAgente],B36,financeiro[idDet1],22,financeiro[idDet2],60,financeiro[idDet3],240,financeiro[id_grupo_tarifa],2,financeiro[id_detalhe_grupo_tarifa],11,financeiro[id_tipo_tarifa],9)+SUMIFS(financeiro[valor],financeiro[IdAgente],B36,financeiro[idDet1],22,financeiro[idDet2],60,financeiro[idDet3],240,financeiro[id_grupo_tarifa],2,financeiro[id_detalhe_grupo_tarifa],9,financeiro[id_tipo_tarifa],9)+SUMIFS(financeiro[valor],financeiro[IdAgente],B36,financeiro[idDet1],22,financeiro[idDet2],60,financeiro[idDet3],240,financeiro[id_grupo_tarifa],2,financeiro[id_detalhe_grupo_tarifa],8,financeiro[id_tipo_tarifa],9)+SUMIFS(financeiro[valor],financeiro[IdAgente],B36,financeiro[idDet1],22,financeiro[idDet2],60,financeiro[idDet3],240,financeiro[id_grupo_tarifa],2,financeiro[id_detalhe_grupo_tarifa],10,financeiro[id_tipo_tarifa],9)+SUMIFS(financeiro[valor],financeiro[IdAgente],B36,financeiro[idDet1],22,financeiro[idDet2],60,financeiro[idDet3],240,financeiro[id_grupo_tarifa],2,financeiro[id_detalhe_grupo_tarifa],24,financeiro[id_tipo_tarifa],9)</f>
        <v>0</v>
      </c>
      <c r="AY36" s="267">
        <f>SUMIFS(financeiro[valor],financeiro[IdAgente],B36,financeiro[idDet1],22,financeiro[idDet2],60,financeiro[idDet3],106,financeiro[id_grupo_tarifa],2,financeiro[id_detalhe_grupo_tarifa],11,financeiro[id_tipo_tarifa],9)+SUMIFS(financeiro[valor],financeiro[IdAgente],B36,financeiro[idDet1],22,financeiro[idDet2],60,financeiro[idDet3],106,financeiro[id_grupo_tarifa],2,financeiro[id_detalhe_grupo_tarifa],9,financeiro[id_tipo_tarifa],9)+SUMIFS(financeiro[valor],financeiro[IdAgente],B36,financeiro[idDet1],22,financeiro[idDet2],60,financeiro[idDet3],106,financeiro[id_grupo_tarifa],2,financeiro[id_detalhe_grupo_tarifa],8,financeiro[id_tipo_tarifa],9)+SUMIFS(financeiro[valor],financeiro[IdAgente],B36,financeiro[idDet1],22,financeiro[idDet2],60,financeiro[idDet3],106,financeiro[id_grupo_tarifa],2,financeiro[id_detalhe_grupo_tarifa],10,financeiro[id_tipo_tarifa],9)+SUMIFS(financeiro[valor],financeiro[IdAgente],B36,financeiro[idDet1],22,financeiro[idDet2],60,financeiro[idDet3],106,financeiro[id_grupo_tarifa],2,financeiro[id_detalhe_grupo_tarifa],24,financeiro[id_tipo_tarifa],9)</f>
        <v>0</v>
      </c>
      <c r="AZ36" s="267">
        <f>SUMIFS(financeiro[valor],financeiro[IdAgente],B36,financeiro[idDet1],22,financeiro[idDet2],62,financeiro[idDet3],220,financeiro[id_grupo_tarifa],2,financeiro[id_detalhe_grupo_tarifa],11,financeiro[id_tipo_tarifa],9)+SUMIFS(financeiro[valor],financeiro[IdAgente],B36,financeiro[idDet1],22,financeiro[idDet2],62,financeiro[idDet3],220,financeiro[id_grupo_tarifa],2,financeiro[id_detalhe_grupo_tarifa],9,financeiro[id_tipo_tarifa],9)+SUMIFS(financeiro[valor],financeiro[IdAgente],B36,financeiro[idDet1],22,financeiro[idDet2],62,financeiro[idDet3],220,financeiro[id_grupo_tarifa],2,financeiro[id_detalhe_grupo_tarifa],8,financeiro[id_tipo_tarifa],9)+SUMIFS(financeiro[valor],financeiro[IdAgente],B36,financeiro[idDet1],22,financeiro[idDet2],62,financeiro[idDet3],220,financeiro[id_grupo_tarifa],2,financeiro[id_detalhe_grupo_tarifa],10,financeiro[id_tipo_tarifa],9)+SUMIFS(financeiro[valor],financeiro[IdAgente],B36,financeiro[idDet1],22,financeiro[idDet2],62,financeiro[idDet3],220,financeiro[id_grupo_tarifa],2,financeiro[id_detalhe_grupo_tarifa],24,financeiro[id_tipo_tarifa],9)</f>
        <v>0</v>
      </c>
      <c r="BA36" s="267">
        <f>SUMIFS(financeiro[valor],financeiro[IdAgente],B36,financeiro[idDet1],22,financeiro[idDet2],60,financeiro[idDet3],220,financeiro[id_grupo_tarifa],2,financeiro[id_detalhe_grupo_tarifa],11,financeiro[id_tipo_tarifa],9)+SUMIFS(financeiro[valor],financeiro[IdAgente],B36,financeiro[idDet1],22,financeiro[idDet2],60,financeiro[idDet3],220,financeiro[id_grupo_tarifa],2,financeiro[id_detalhe_grupo_tarifa],9,financeiro[id_tipo_tarifa],9)+SUMIFS(financeiro[valor],financeiro[IdAgente],B36,financeiro[idDet1],22,financeiro[idDet2],60,financeiro[idDet3],220,financeiro[id_grupo_tarifa],2,financeiro[id_detalhe_grupo_tarifa],8,financeiro[id_tipo_tarifa],9)+SUMIFS(financeiro[valor],financeiro[IdAgente],B36,financeiro[idDet1],22,financeiro[idDet2],60,financeiro[idDet3],220,financeiro[id_grupo_tarifa],2,financeiro[id_detalhe_grupo_tarifa],10,financeiro[id_tipo_tarifa],9)+SUMIFS(financeiro[valor],financeiro[IdAgente],B36,financeiro[idDet1],22,financeiro[idDet2],60,financeiro[idDet3],220,financeiro[id_grupo_tarifa],2,financeiro[id_detalhe_grupo_tarifa],24,financeiro[id_tipo_tarifa],9)</f>
        <v>0</v>
      </c>
      <c r="BB36" s="267">
        <f>SUMIFS(financeiro[valor],financeiro[IdAgente],B36,financeiro[idDet1],22,financeiro[idDet2],60,financeiro[idDet3],102,financeiro[id_grupo_tarifa],2,financeiro[id_detalhe_grupo_tarifa],11,financeiro[id_tipo_tarifa],9)+SUMIFS(financeiro[valor],financeiro[IdAgente],B36,financeiro[idDet1],22,financeiro[idDet2],60,financeiro[idDet3],102,financeiro[id_grupo_tarifa],2,financeiro[id_detalhe_grupo_tarifa],9,financeiro[id_tipo_tarifa],9)+SUMIFS(financeiro[valor],financeiro[IdAgente],B36,financeiro[idDet1],22,financeiro[idDet2],60,financeiro[idDet3],102,financeiro[id_grupo_tarifa],2,financeiro[id_detalhe_grupo_tarifa],8,financeiro[id_tipo_tarifa],9)+SUMIFS(financeiro[valor],financeiro[IdAgente],B36,financeiro[idDet1],22,financeiro[idDet2],60,financeiro[idDet3],102,financeiro[id_grupo_tarifa],2,financeiro[id_detalhe_grupo_tarifa],10,financeiro[id_tipo_tarifa],9)+SUMIFS(financeiro[valor],financeiro[IdAgente],B36,financeiro[idDet1],22,financeiro[idDet2],60,financeiro[idDet3],102,financeiro[id_grupo_tarifa],2,financeiro[id_detalhe_grupo_tarifa],24,financeiro[id_tipo_tarifa],9)</f>
        <v>0</v>
      </c>
      <c r="BC36" s="267">
        <f>SUMIFS(financeiro[valor],financeiro[IdAgente],B36,financeiro[idDet1],22,financeiro[idDet2],60,financeiro[idDet3],522,financeiro[valor],"&lt;0")</f>
        <v>0</v>
      </c>
      <c r="BD36" s="267">
        <f>SUMIFS(financeiro[valor],financeiro[IdAgente],B36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36" s="267">
        <f>SUMIFS(financeiro[valor],financeiro[IdAgente],B36,financeiro[id_natureza_dado],2,financeiro[id_detalhe_natureza],2,financeiro[idDet1],20,financeiro[idDet2],60,financeiro[idDet3],82,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36" s="267">
        <f>SUMIFS(financeiro[valor],financeiro[IdAgente],B36,financeiro[id_natureza_dado],2,financeiro[id_detalhe_natureza],2,financeiro[idDet1],20,financeiro[idDet2],60,financeiro[idDet3],81,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36" s="267">
        <f>SUMIFS(financeiro[valor],financeiro[IdAgente],B36,financeiro[id_natureza_dado],2,financeiro[id_detalhe_natureza],2,financeiro[idDet1],20,financeiro[idDet2],60,financeiro[idDet3],503,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36" s="267">
        <f>SUMIFS(financeiro[valor],financeiro[IdAgente],B36,financeiro[idDet1],22,financeiro[idDet2],60,financeiro[idDet3],123)</f>
        <v>0</v>
      </c>
      <c r="BI36" s="267">
        <f>SUMIFS(financeiro[valor],financeiro[IdAgente],B36,financeiro[idDet1],20,financeiro[idDet2],60,financeiro[idDet3],73)</f>
        <v>0</v>
      </c>
      <c r="BJ36" s="267">
        <f>SUMIFS(financeiro[valor],financeiro[IdAgente],B36,financeiro[idDet1],22,financeiro[idDet2],60,financeiro[idDet3],527)</f>
        <v>0</v>
      </c>
      <c r="BK36" s="267">
        <f>SUMIFS(financeiro[valor],financeiro[IdAgente],B36,financeiro[idDet1],22,financeiro[idDet2],60,financeiro[idDet3],510)</f>
        <v>0</v>
      </c>
      <c r="BL36" s="267">
        <f>SUMIFS(financeiro[valor],financeiro[IdAgente],B36,financeiro[idDet1],22,financeiro[idDet2],60,financeiro[idDet3],526,
financeiro[id_grupo_tarifa],1,financeiro[id_detalhe_grupo_tarifa],3,financeiro[id_tipo_tarifa],9,financeiro[id_subgrupo],3)</f>
        <v>0</v>
      </c>
      <c r="BM36" s="267">
        <f>SUMIFS(financeiro[valor],financeiro[IdAgente],B36,financeiro[idDet1],22,financeiro[idDet2],60,financeiro[idDet3],999,
financeiro[id_grupo_tarifa],3,financeiro[id_detalhe_grupo_tarifa],17,financeiro[id_tipo_tarifa],9)</f>
        <v>0</v>
      </c>
      <c r="BN36" s="267">
        <f>SUMIFS(financeiro[valor],financeiro[IdAgente],B36,financeiro[idDet1],22,financeiro[idDet2],60,financeiro[idDet3],526,financeiro[id_grupo_tarifa],1,financeiro[id_detalhe_grupo_tarifa],7,financeiro[id_tipo_tarifa],9,financeiro[valor],"&lt;0")+SUMIFS(financeiro[valor],financeiro[IdAgente],B36,financeiro[idDet1],22,financeiro[idDet2],60,financeiro[idDet3],526,financeiro[id_grupo_tarifa],2,financeiro[id_detalhe_grupo_tarifa],11,financeiro[id_tipo_tarifa],9,financeiro[valor],"&lt;0")+SUMIFS(financeiro[valor],financeiro[IdAgente],B36,financeiro[idDet1],22,financeiro[idDet2],60,financeiro[idDet3],526,financeiro[id_grupo_tarifa],2,financeiro[id_detalhe_grupo_tarifa],8,financeiro[id_tipo_tarifa],9,financeiro[valor],"&lt;0")</f>
        <v>0</v>
      </c>
      <c r="BO36" s="267">
        <f>SUMIFS(financeiro[valor],financeiro[IdAgente],B36,financeiro[idDet1],22,financeiro[idDet2],60,financeiro[idDet3],999,financeiro[id_grupo_tarifa],4,financeiro[id_detalhe_grupo_tarifa],999,financeiro[id_tipo_tarifa],9,financeiro[valor],"&lt;0")</f>
        <v>0</v>
      </c>
      <c r="BP36" s="267">
        <f>SUMIFS(financeiro[valor],financeiro[IdAgente],B36,financeiro[idDet1],22,financeiro[idDet2],60,financeiro[idDet3],530,financeiro[valor],"&lt;0")</f>
        <v>0</v>
      </c>
      <c r="BQ36" s="267">
        <f>SUMIFS(financeiro[valor],financeiro[IdAgente],B36,financeiro[idDet1],22,financeiro[idDet2],60,financeiro[idDet3],531,financeiro[valor],"&lt;0")</f>
        <v>0</v>
      </c>
      <c r="BR36" s="267">
        <f>SUMIFS(financeiro[valor],financeiro[IdAgente],B36,financeiro[idDet1],22,financeiro[idDet2],62,financeiro[idDet3],532,financeiro[valor],"&lt;0")</f>
        <v>0</v>
      </c>
      <c r="BS36" s="267">
        <f>SUMIFS(financeiro[valor],financeiro[IdAgente],B36,financeiro[idDet1],22,financeiro[idDet2],62,financeiro[idDet3],533,financeiro[valor],"&lt;0")</f>
        <v>0</v>
      </c>
      <c r="BT36" s="267">
        <f>SUMIFS(financeiro[valor],financeiro[IdAgente],B36,financeiro[idDet1],22,financeiro[idDet2],62,financeiro[idDet3],534,financeiro[valor],"&lt;0")</f>
        <v>0</v>
      </c>
      <c r="BU36" s="4"/>
      <c r="BV36" s="4"/>
      <c r="BW36" s="210" t="s">
        <v>201</v>
      </c>
      <c r="BX36" t="str">
        <f>Efeito!B37</f>
        <v>NO SELECT</v>
      </c>
      <c r="BY36" s="267">
        <f>SUMIFS(Banco[valor],Banco[IdAgente],BX36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36" s="267">
        <f>SUMIFS(Banco[valor],Banco[IdAgente],BX36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36" s="267">
        <f>SUMIFS(Banco[valor],Banco[IdAgente],BX36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36" s="267">
        <f>SUMIFS(Banco[valor],Banco[IdAgente],BX36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36" s="267">
        <f>SUMIFS(Banco[valor],Banco[IdAgente],BX36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36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36" s="267">
        <f>SUMIFS(Banco[valor],Banco[IdAgente],BX36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36" s="267">
        <f>SUMIFS(Banco[valor],Banco[IdAgente],BX36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36" s="267">
        <f>SUMIFS(Banco[valor],Banco[IdAgente],BX36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36" s="267">
        <f>SUMIFS(Banco[valor],Banco[IdAgente],BX36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36" s="267">
        <f>SUMIFS(Banco[valor],Banco[IdAgente],BX36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36" s="267">
        <f>SUMIFS(Banco[valor],Banco[IdAgente],BX36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36" s="267">
        <f>SUMIFS(Banco[valor],Banco[IdAgente],BX36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36" s="267">
        <f>SUMIFS(Banco[valor],Banco[IdAgente],B36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36" s="267">
        <f>SUMIFS(Banco[valor],Banco[IdAgente],B36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36" s="267">
        <f>SUMIFS(Banco[valor],Banco[IdAgente],B36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  <c r="CN36" s="4"/>
    </row>
    <row r="37" spans="1:92">
      <c r="A37" t="s">
        <v>63</v>
      </c>
      <c r="B37" t="str">
        <f>Efeito!B38</f>
        <v>NO SELECT</v>
      </c>
      <c r="C37" s="267">
        <f>SUMIFS(Banco[valor],Banco[IdAgente],B37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37" s="267">
        <f>SUMIFS(Banco[valor],Banco[IdAgente],B37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37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37" s="267">
        <f>SUMIFS(Banco[valor],Banco[IdAgente],B37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37" s="267">
        <f>SUMIFS(Banco[valor],Banco[IdAgente],B37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37" s="267">
        <f>SUMIFS(Banco[valor],Banco[IdAgente],B37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37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37" s="267">
        <f>SUMIFS(Banco[valor],Banco[IdAgente],B37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37" s="267">
        <f>SUMIFS(Banco[valor],Banco[IdAgente],B37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37" s="267">
        <f>SUMIFS(Banco[valor],Banco[IdAgente],B37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37" s="267">
        <f>SUMIFS(Banco[valor],Banco[IdAgente],B37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37" s="267">
        <f>SUMIFS(Banco[valor],Banco[IdAgente],B37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37" s="267">
        <f>SUMIFS(Banco[valor],Banco[IdAgente],B37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37" s="267">
        <f>SUMIFS(Banco[valor],Banco[IdAgente],B37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37" s="267">
        <f>SUMIFS(Banco[valor],Banco[IdAgente],B37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37" s="267">
        <f t="shared" si="3"/>
        <v>0</v>
      </c>
      <c r="Q37" s="267">
        <f>SUMIFS(Banco[valor],Banco[IdAgente],B37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37" s="267">
        <f>SUMIFS(Banco[valor],Banco[IdAgente],B37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37" s="4"/>
      <c r="T37" s="4"/>
      <c r="U37" s="4"/>
      <c r="V37" s="267">
        <f>SUMIFS(financeiro[valor],financeiro[IdAgente],B37,financeiro[idDet1],22,financeiro[idDet2],60,financeiro[idDet3],526,financeiro[id_grupo_tarifa],1,financeiro[id_detalhe_grupo_tarifa],7,financeiro[id_tipo_tarifa],9,financeiro[id_subgrupo],99,financeiro[valor],"&gt;0")+SUMIFS(financeiro[valor],financeiro[IdAgente],B37,financeiro[idDet1],22,financeiro[idDet2],60,financeiro[idDet3],526,financeiro[id_grupo_tarifa],2,financeiro[id_detalhe_grupo_tarifa],11,financeiro[id_tipo_tarifa],9,financeiro[valor],"&gt;0")+SUMIFS(financeiro[valor],financeiro[IdAgente],B37,financeiro[idDet1],22,financeiro[idDet2],60,financeiro[idDet3],526,financeiro[id_grupo_tarifa],2,financeiro[id_detalhe_grupo_tarifa],9,financeiro[id_tipo_tarifa],9,financeiro[valor],"&gt;0")+SUMIFS(financeiro[valor],financeiro[IdAgente],B37,financeiro[idDet1],22,financeiro[idDet2],60,financeiro[idDet3],526,financeiro[id_grupo_tarifa],2,financeiro[id_detalhe_grupo_tarifa],8,financeiro[id_tipo_tarifa],9,financeiro[valor],"&gt;0")+SUMIFS(financeiro[valor],financeiro[IdAgente],B37,financeiro[idDet1],22,financeiro[idDet2],60,financeiro[idDet3],526,financeiro[id_grupo_tarifa],2,financeiro[id_detalhe_grupo_tarifa],10,financeiro[id_tipo_tarifa],9,financeiro[valor],"&gt;0")+SUMIFS(financeiro[valor],financeiro[IdAgente],B37,financeiro[idDet1],22,financeiro[idDet2],60,financeiro[idDet3],526,financeiro[id_grupo_tarifa],2,financeiro[id_detalhe_grupo_tarifa],24,financeiro[id_tipo_tarifa],9,financeiro[valor],"&gt;0")</f>
        <v>0</v>
      </c>
      <c r="W37" s="267">
        <f>SUMIFS(financeiro[valor],financeiro[IdAgente],B37,financeiro[idDet1],20,financeiro[idDet2],60,financeiro[idDet3],999,financeiro[id_grupo_tarifa],3,financeiro[id_detalhe_grupo_tarifa],14,financeiro[id_tipo_tarifa],9)+SUMIFS(financeiro[valor],financeiro[IdAgente],B37,financeiro[idDet1],20,financeiro[idDet2],60,financeiro[idDet3],999,financeiro[id_grupo_tarifa],3,financeiro[id_detalhe_grupo_tarifa],15,financeiro[id_tipo_tarifa],9)+SUMIFS(financeiro[valor],financeiro[IdAgente],B37,financeiro[idDet1],20,financeiro[idDet2],60,financeiro[idDet3],999,financeiro[id_grupo_tarifa],3,financeiro[id_detalhe_grupo_tarifa],16,financeiro[id_tipo_tarifa],9)+SUMIFS(financeiro[valor],financeiro[IdAgente],B37,financeiro[idDet1],20,financeiro[idDet2],60,financeiro[idDet3],999,financeiro[id_grupo_tarifa],3,financeiro[id_detalhe_grupo_tarifa],17,financeiro[id_tipo_tarifa],9)+SUMIFS(financeiro[valor],financeiro[IdAgente],B37,financeiro[idDet1],20,financeiro[idDet2],60,financeiro[idDet3],999,financeiro[id_grupo_tarifa],3,financeiro[id_detalhe_grupo_tarifa],18,financeiro[id_tipo_tarifa],9)+SUMIFS(financeiro[valor],financeiro[IdAgente],B37,financeiro[idDet1],20,financeiro[idDet2],60,financeiro[idDet3],999,financeiro[id_grupo_tarifa],3,financeiro[id_detalhe_grupo_tarifa],19,financeiro[id_tipo_tarifa],9)</f>
        <v>0</v>
      </c>
      <c r="X37" s="267">
        <f>SUMIFS(financeiro[valor],financeiro[IdAgente],B37,financeiro[idDet1],20,financeiro[idDet2],60,financeiro[idDet3],999,financeiro[id_grupo_tarifa],3,financeiro[id_detalhe_grupo_tarifa],12,financeiro[id_tipo_tarifa],9)+SUMIFS(financeiro[valor],financeiro[IdAgente],B37,financeiro[idDet1],20,financeiro[idDet2],60,financeiro[idDet3],999,financeiro[id_grupo_tarifa],4,financeiro[id_detalhe_grupo_tarifa],999,financeiro[id_tipo_tarifa],9)</f>
        <v>0</v>
      </c>
      <c r="Y37" s="267">
        <f>SUMIFS(financeiro[valor],financeiro[IdAgente],B37,financeiro[idDet1],20,financeiro[idDet2],60,financeiro[idDet3],179,financeiro[id_grupo_tarifa],99,financeiro[id_detalhe_grupo_tarifa],999,financeiro[id_tipo_tarifa],9)</f>
        <v>0</v>
      </c>
      <c r="Z37" s="267">
        <f>SUMIFS(financeiro[valor],financeiro[IdAgente],B37,financeiro[idDet1],20,financeiro[idDet2],60,financeiro[idDet3],999,financeiro[id_grupo_tarifa],2,financeiro[id_detalhe_grupo_tarifa],11,financeiro[id_tipo_tarifa],9,financeiro[valor],"&gt;0")+SUMIFS(financeiro[valor],financeiro[IdAgente],B37,financeiro[idDet1],20,financeiro[idDet2],60,financeiro[idDet3],999,financeiro[id_grupo_tarifa],2,financeiro[id_detalhe_grupo_tarifa],9,financeiro[id_tipo_tarifa],9,financeiro[valor],"&gt;0")+SUMIFS(financeiro[valor],financeiro[IdAgente],B37,financeiro[idDet1],20,financeiro[idDet2],60,financeiro[idDet3],999,financeiro[id_grupo_tarifa],2,financeiro[id_detalhe_grupo_tarifa],8,financeiro[id_tipo_tarifa],9,financeiro[valor],"&gt;0")+SUMIFS(financeiro[valor],financeiro[IdAgente],B37,financeiro[idDet1],20,financeiro[idDet2],60,financeiro[idDet3],999,financeiro[id_grupo_tarifa],2,financeiro[id_detalhe_grupo_tarifa],10,financeiro[id_tipo_tarifa],9,financeiro[valor],"&gt;0")+SUMIFS(financeiro[valor],financeiro[IdAgente],B37,financeiro[idDet1],20,financeiro[idDet2],60,financeiro[idDet3],999,financeiro[id_grupo_tarifa],2,financeiro[id_detalhe_grupo_tarifa],24,financeiro[id_tipo_tarifa],9,financeiro[valor],"&gt;0")+SUMIFS(financeiro[valor],financeiro[IdAgente],B37,financeiro[idDet1],20,financeiro[idDet2],60,financeiro[idDet3],999,financeiro[id_grupo_tarifa],2,financeiro[id_detalhe_grupo_tarifa],17,financeiro[id_tipo_tarifa],9,financeiro[valor],"&gt;0")+SUMIFS(financeiro[valor],financeiro[IdAgente],B37,financeiro[idDet1],999,financeiro[idDet2],999999,financeiro[idDet3],999,financeiro[id_grupo_tarifa],99,financeiro[id_detalhe_grupo_tarifa],999,financeiro[id_tipo_tarifa],9,financeiro[valor],"&gt;0")</f>
        <v>0</v>
      </c>
      <c r="AA37" s="267">
        <f>SUMIFS(financeiro[valor],financeiro[IdAgente],B37,financeiro[idDet1],22,financeiro[idDet2],60,financeiro[idDet3],529,financeiro[id_grupo_tarifa],1,financeiro[id_detalhe_grupo_tarifa],1,financeiro[id_tipo_tarifa],9,financeiro[valor],"&gt;0")+SUMIFS(financeiro[valor],financeiro[IdAgente],B37,financeiro[idDet1],22,financeiro[idDet2],60,financeiro[idDet3],529,financeiro[id_grupo_tarifa],1,financeiro[id_detalhe_grupo_tarifa],2,financeiro[id_tipo_tarifa],9,financeiro[valor],"&gt;0")</f>
        <v>0</v>
      </c>
      <c r="AB37" s="269"/>
      <c r="AC37" s="267">
        <f>SUMIFS(financeiro[valor],financeiro[IdAgente],B37,financeiro[idDet1],22,financeiro[idDet2],60,financeiro[idDet3],999,financeiro[id_grupo_tarifa],2,financeiro[id_detalhe_grupo_tarifa],30,financeiro[id_tipo_tarifa],9,financeiro[valor],"&gt;0")</f>
        <v>0</v>
      </c>
      <c r="AD37" s="267">
        <f>SUMIFS(financeiro[valor],financeiro[IdAgente],B37,financeiro[idDet1],22,financeiro[idDet2],60,financeiro[idDet3],178,financeiro[id_grupo_tarifa],1,financeiro[id_detalhe_grupo_tarifa],7,financeiro[id_tipo_tarifa],9)</f>
        <v>0</v>
      </c>
      <c r="AE37" s="267">
        <f>SUMIFS(financeiro[valor],financeiro[IdAgente],B37,financeiro[idDet1],22,financeiro[idDet2],60,financeiro[idDet3],242,financeiro[id_grupo_tarifa],4,financeiro[id_detalhe_grupo_tarifa],999,financeiro[id_tipo_tarifa],9)</f>
        <v>0</v>
      </c>
      <c r="AF37" s="267">
        <f>SUMIFS(financeiro[valor],financeiro[IdAgente],B37,financeiro[idDet1],22,financeiro[idDet2],60,financeiro[idDet3],525,financeiro[id_grupo_tarifa],2,financeiro[id_tipo_tarifa],9)</f>
        <v>0</v>
      </c>
      <c r="AG37" s="267">
        <f>SUMIFS(financeiro[valor],financeiro[IdAgente],B37,financeiro[idDet1],22,financeiro[idDet2],60,financeiro[idDet3],524)</f>
        <v>0</v>
      </c>
      <c r="AH37" s="269"/>
      <c r="AI37" s="267">
        <f>SUMIFS(financeiro[valor],financeiro[IdAgente],B37,financeiro[idDet1],22,financeiro[idDet2],60,financeiro[idDet3],523,financeiro[id_grupo_tarifa],2,financeiro[id_detalhe_grupo_tarifa],30,financeiro[id_tipo_tarifa],9)</f>
        <v>0</v>
      </c>
      <c r="AJ37" s="267">
        <f>SUMIFS(financeiro[valor],financeiro[IdAgente],B37,financeiro[idDet1],22,financeiro[idDet2],60,financeiro[idDet3],503,financeiro[id_grupo_tarifa],99,financeiro[id_detalhe_grupo_tarifa],999,financeiro[id_tipo_tarifa],3)</f>
        <v>0</v>
      </c>
      <c r="AK37" s="269"/>
      <c r="AL37" s="269"/>
      <c r="AM37" s="269"/>
      <c r="AN37" s="269"/>
      <c r="AO37" s="269"/>
      <c r="AP37" s="269"/>
      <c r="AQ37" s="269"/>
      <c r="AR37" s="269"/>
      <c r="AS37" s="269"/>
      <c r="AT37" s="267">
        <f>SUMIFS(financeiro[valor],financeiro[IdAgente],B37,financeiro[idDet1],22,financeiro[idDet2],60,financeiro[idDet3],235,financeiro[id_grupo_tarifa],4,financeiro[id_detalhe_grupo_tarifa],999,financeiro[id_tipo_tarifa],9)</f>
        <v>0</v>
      </c>
      <c r="AU37" s="267">
        <f>SUMIFS(financeiro[valor],financeiro[IdAgente],B37,financeiro[idDet1],22,financeiro[idDet2],60,financeiro[idDet3],512,financeiro[id_grupo_tarifa],3,financeiro[id_detalhe_grupo_tarifa],28,financeiro[id_tipo_tarifa],9)</f>
        <v>0</v>
      </c>
      <c r="AV37" s="267">
        <f>SUMIFS(financeiro[valor],financeiro[IdAgente],B37,financeiro[idDet1],22,financeiro[idDet2],60,financeiro[idDet3],241,financeiro[id_grupo_tarifa],2,financeiro[id_detalhe_grupo_tarifa],11,financeiro[id_tipo_tarifa],9)+SUMIFS(financeiro[valor],financeiro[IdAgente],B37,financeiro[idDet1],22,financeiro[idDet2],60,financeiro[idDet3],241,financeiro[id_grupo_tarifa],2,financeiro[id_detalhe_grupo_tarifa],9,financeiro[id_tipo_tarifa],9)+SUMIFS(financeiro[valor],financeiro[IdAgente],B37,financeiro[idDet1],22,financeiro[idDet2],60,financeiro[idDet3],241,financeiro[id_grupo_tarifa],2,financeiro[id_detalhe_grupo_tarifa],8,financeiro[id_tipo_tarifa],9)+SUMIFS(financeiro[valor],financeiro[IdAgente],B37,financeiro[idDet1],22,financeiro[idDet2],60,financeiro[idDet3],241,financeiro[id_grupo_tarifa],2,financeiro[id_detalhe_grupo_tarifa],10,financeiro[id_tipo_tarifa],9)+SUMIFS(financeiro[valor],financeiro[IdAgente],B37,financeiro[idDet1],22,financeiro[idDet2],60,financeiro[idDet3],241,financeiro[id_grupo_tarifa],2,financeiro[id_detalhe_grupo_tarifa],24,financeiro[id_tipo_tarifa],9)</f>
        <v>0</v>
      </c>
      <c r="AW37" s="267">
        <f>SUMIFS(financeiro[valor],financeiro[IdAgente],B37,financeiro[idDet1],22,financeiro[idDet2],60,financeiro[idDet3],241,financeiro[id_grupo_tarifa],3,financeiro[id_detalhe_grupo_tarifa],17,financeiro[id_tipo_tarifa],9)</f>
        <v>0</v>
      </c>
      <c r="AX37" s="267">
        <f>SUMIFS(financeiro[valor],financeiro[IdAgente],B37,financeiro[idDet1],22,financeiro[idDet2],60,financeiro[idDet3],240,financeiro[id_grupo_tarifa],2,financeiro[id_detalhe_grupo_tarifa],11,financeiro[id_tipo_tarifa],9)+SUMIFS(financeiro[valor],financeiro[IdAgente],B37,financeiro[idDet1],22,financeiro[idDet2],60,financeiro[idDet3],240,financeiro[id_grupo_tarifa],2,financeiro[id_detalhe_grupo_tarifa],9,financeiro[id_tipo_tarifa],9)+SUMIFS(financeiro[valor],financeiro[IdAgente],B37,financeiro[idDet1],22,financeiro[idDet2],60,financeiro[idDet3],240,financeiro[id_grupo_tarifa],2,financeiro[id_detalhe_grupo_tarifa],8,financeiro[id_tipo_tarifa],9)+SUMIFS(financeiro[valor],financeiro[IdAgente],B37,financeiro[idDet1],22,financeiro[idDet2],60,financeiro[idDet3],240,financeiro[id_grupo_tarifa],2,financeiro[id_detalhe_grupo_tarifa],10,financeiro[id_tipo_tarifa],9)+SUMIFS(financeiro[valor],financeiro[IdAgente],B37,financeiro[idDet1],22,financeiro[idDet2],60,financeiro[idDet3],240,financeiro[id_grupo_tarifa],2,financeiro[id_detalhe_grupo_tarifa],24,financeiro[id_tipo_tarifa],9)</f>
        <v>0</v>
      </c>
      <c r="AY37" s="267">
        <f>SUMIFS(financeiro[valor],financeiro[IdAgente],B37,financeiro[idDet1],22,financeiro[idDet2],60,financeiro[idDet3],106,financeiro[id_grupo_tarifa],2,financeiro[id_detalhe_grupo_tarifa],11,financeiro[id_tipo_tarifa],9)+SUMIFS(financeiro[valor],financeiro[IdAgente],B37,financeiro[idDet1],22,financeiro[idDet2],60,financeiro[idDet3],106,financeiro[id_grupo_tarifa],2,financeiro[id_detalhe_grupo_tarifa],9,financeiro[id_tipo_tarifa],9)+SUMIFS(financeiro[valor],financeiro[IdAgente],B37,financeiro[idDet1],22,financeiro[idDet2],60,financeiro[idDet3],106,financeiro[id_grupo_tarifa],2,financeiro[id_detalhe_grupo_tarifa],8,financeiro[id_tipo_tarifa],9)+SUMIFS(financeiro[valor],financeiro[IdAgente],B37,financeiro[idDet1],22,financeiro[idDet2],60,financeiro[idDet3],106,financeiro[id_grupo_tarifa],2,financeiro[id_detalhe_grupo_tarifa],10,financeiro[id_tipo_tarifa],9)+SUMIFS(financeiro[valor],financeiro[IdAgente],B37,financeiro[idDet1],22,financeiro[idDet2],60,financeiro[idDet3],106,financeiro[id_grupo_tarifa],2,financeiro[id_detalhe_grupo_tarifa],24,financeiro[id_tipo_tarifa],9)</f>
        <v>0</v>
      </c>
      <c r="AZ37" s="267">
        <f>SUMIFS(financeiro[valor],financeiro[IdAgente],B37,financeiro[idDet1],22,financeiro[idDet2],62,financeiro[idDet3],220,financeiro[id_grupo_tarifa],2,financeiro[id_detalhe_grupo_tarifa],11,financeiro[id_tipo_tarifa],9)+SUMIFS(financeiro[valor],financeiro[IdAgente],B37,financeiro[idDet1],22,financeiro[idDet2],62,financeiro[idDet3],220,financeiro[id_grupo_tarifa],2,financeiro[id_detalhe_grupo_tarifa],9,financeiro[id_tipo_tarifa],9)+SUMIFS(financeiro[valor],financeiro[IdAgente],B37,financeiro[idDet1],22,financeiro[idDet2],62,financeiro[idDet3],220,financeiro[id_grupo_tarifa],2,financeiro[id_detalhe_grupo_tarifa],8,financeiro[id_tipo_tarifa],9)+SUMIFS(financeiro[valor],financeiro[IdAgente],B37,financeiro[idDet1],22,financeiro[idDet2],62,financeiro[idDet3],220,financeiro[id_grupo_tarifa],2,financeiro[id_detalhe_grupo_tarifa],10,financeiro[id_tipo_tarifa],9)+SUMIFS(financeiro[valor],financeiro[IdAgente],B37,financeiro[idDet1],22,financeiro[idDet2],62,financeiro[idDet3],220,financeiro[id_grupo_tarifa],2,financeiro[id_detalhe_grupo_tarifa],24,financeiro[id_tipo_tarifa],9)</f>
        <v>0</v>
      </c>
      <c r="BA37" s="267">
        <f>SUMIFS(financeiro[valor],financeiro[IdAgente],B37,financeiro[idDet1],22,financeiro[idDet2],60,financeiro[idDet3],220,financeiro[id_grupo_tarifa],2,financeiro[id_detalhe_grupo_tarifa],11,financeiro[id_tipo_tarifa],9)+SUMIFS(financeiro[valor],financeiro[IdAgente],B37,financeiro[idDet1],22,financeiro[idDet2],60,financeiro[idDet3],220,financeiro[id_grupo_tarifa],2,financeiro[id_detalhe_grupo_tarifa],9,financeiro[id_tipo_tarifa],9)+SUMIFS(financeiro[valor],financeiro[IdAgente],B37,financeiro[idDet1],22,financeiro[idDet2],60,financeiro[idDet3],220,financeiro[id_grupo_tarifa],2,financeiro[id_detalhe_grupo_tarifa],8,financeiro[id_tipo_tarifa],9)+SUMIFS(financeiro[valor],financeiro[IdAgente],B37,financeiro[idDet1],22,financeiro[idDet2],60,financeiro[idDet3],220,financeiro[id_grupo_tarifa],2,financeiro[id_detalhe_grupo_tarifa],10,financeiro[id_tipo_tarifa],9)+SUMIFS(financeiro[valor],financeiro[IdAgente],B37,financeiro[idDet1],22,financeiro[idDet2],60,financeiro[idDet3],220,financeiro[id_grupo_tarifa],2,financeiro[id_detalhe_grupo_tarifa],24,financeiro[id_tipo_tarifa],9)</f>
        <v>0</v>
      </c>
      <c r="BB37" s="267">
        <f>SUMIFS(financeiro[valor],financeiro[IdAgente],B37,financeiro[idDet1],22,financeiro[idDet2],60,financeiro[idDet3],102,financeiro[id_grupo_tarifa],2,financeiro[id_detalhe_grupo_tarifa],11,financeiro[id_tipo_tarifa],9)+SUMIFS(financeiro[valor],financeiro[IdAgente],B37,financeiro[idDet1],22,financeiro[idDet2],60,financeiro[idDet3],102,financeiro[id_grupo_tarifa],2,financeiro[id_detalhe_grupo_tarifa],9,financeiro[id_tipo_tarifa],9)+SUMIFS(financeiro[valor],financeiro[IdAgente],B37,financeiro[idDet1],22,financeiro[idDet2],60,financeiro[idDet3],102,financeiro[id_grupo_tarifa],2,financeiro[id_detalhe_grupo_tarifa],8,financeiro[id_tipo_tarifa],9)+SUMIFS(financeiro[valor],financeiro[IdAgente],B37,financeiro[idDet1],22,financeiro[idDet2],60,financeiro[idDet3],102,financeiro[id_grupo_tarifa],2,financeiro[id_detalhe_grupo_tarifa],10,financeiro[id_tipo_tarifa],9)+SUMIFS(financeiro[valor],financeiro[IdAgente],B37,financeiro[idDet1],22,financeiro[idDet2],60,financeiro[idDet3],102,financeiro[id_grupo_tarifa],2,financeiro[id_detalhe_grupo_tarifa],24,financeiro[id_tipo_tarifa],9)</f>
        <v>0</v>
      </c>
      <c r="BC37" s="267">
        <f>SUMIFS(financeiro[valor],financeiro[IdAgente],B37,financeiro[idDet1],22,financeiro[idDet2],60,financeiro[idDet3],522,financeiro[valor],"&lt;0")</f>
        <v>0</v>
      </c>
      <c r="BD37" s="267">
        <f>SUMIFS(financeiro[valor],financeiro[IdAgente],B37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37" s="267">
        <f>SUMIFS(financeiro[valor],financeiro[IdAgente],B37,financeiro[id_natureza_dado],2,financeiro[id_detalhe_natureza],2,financeiro[idDet1],20,financeiro[idDet2],60,financeiro[idDet3],82,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37" s="267">
        <f>SUMIFS(financeiro[valor],financeiro[IdAgente],B37,financeiro[id_natureza_dado],2,financeiro[id_detalhe_natureza],2,financeiro[idDet1],20,financeiro[idDet2],60,financeiro[idDet3],81,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37" s="267">
        <f>SUMIFS(financeiro[valor],financeiro[IdAgente],B37,financeiro[id_natureza_dado],2,financeiro[id_detalhe_natureza],2,financeiro[idDet1],20,financeiro[idDet2],60,financeiro[idDet3],503,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37" s="267">
        <f>SUMIFS(financeiro[valor],financeiro[IdAgente],B37,financeiro[idDet1],22,financeiro[idDet2],60,financeiro[idDet3],123)</f>
        <v>0</v>
      </c>
      <c r="BI37" s="267">
        <f>SUMIFS(financeiro[valor],financeiro[IdAgente],B37,financeiro[idDet1],20,financeiro[idDet2],60,financeiro[idDet3],73)</f>
        <v>0</v>
      </c>
      <c r="BJ37" s="267">
        <f>SUMIFS(financeiro[valor],financeiro[IdAgente],B37,financeiro[idDet1],22,financeiro[idDet2],60,financeiro[idDet3],527)</f>
        <v>0</v>
      </c>
      <c r="BK37" s="267">
        <f>SUMIFS(financeiro[valor],financeiro[IdAgente],B37,financeiro[idDet1],22,financeiro[idDet2],60,financeiro[idDet3],510)</f>
        <v>0</v>
      </c>
      <c r="BL37" s="267">
        <f>SUMIFS(financeiro[valor],financeiro[IdAgente],B37,financeiro[idDet1],22,financeiro[idDet2],60,financeiro[idDet3],526,
financeiro[id_grupo_tarifa],1,financeiro[id_detalhe_grupo_tarifa],3,financeiro[id_tipo_tarifa],9,financeiro[id_subgrupo],3)</f>
        <v>0</v>
      </c>
      <c r="BM37" s="267">
        <f>SUMIFS(financeiro[valor],financeiro[IdAgente],B37,financeiro[idDet1],22,financeiro[idDet2],60,financeiro[idDet3],999,
financeiro[id_grupo_tarifa],3,financeiro[id_detalhe_grupo_tarifa],17,financeiro[id_tipo_tarifa],9)</f>
        <v>0</v>
      </c>
      <c r="BN37" s="267">
        <f>SUMIFS(financeiro[valor],financeiro[IdAgente],B37,financeiro[idDet1],22,financeiro[idDet2],60,financeiro[idDet3],526,financeiro[id_grupo_tarifa],1,financeiro[id_detalhe_grupo_tarifa],7,financeiro[id_tipo_tarifa],9,financeiro[valor],"&lt;0")+SUMIFS(financeiro[valor],financeiro[IdAgente],B37,financeiro[idDet1],22,financeiro[idDet2],60,financeiro[idDet3],526,financeiro[id_grupo_tarifa],2,financeiro[id_detalhe_grupo_tarifa],11,financeiro[id_tipo_tarifa],9,financeiro[valor],"&lt;0")+SUMIFS(financeiro[valor],financeiro[IdAgente],B37,financeiro[idDet1],22,financeiro[idDet2],60,financeiro[idDet3],526,financeiro[id_grupo_tarifa],2,financeiro[id_detalhe_grupo_tarifa],8,financeiro[id_tipo_tarifa],9,financeiro[valor],"&lt;0")</f>
        <v>0</v>
      </c>
      <c r="BO37" s="267">
        <f>SUMIFS(financeiro[valor],financeiro[IdAgente],B37,financeiro[idDet1],22,financeiro[idDet2],60,financeiro[idDet3],999,financeiro[id_grupo_tarifa],4,financeiro[id_detalhe_grupo_tarifa],999,financeiro[id_tipo_tarifa],9,financeiro[valor],"&lt;0")</f>
        <v>0</v>
      </c>
      <c r="BP37" s="267">
        <f>SUMIFS(financeiro[valor],financeiro[IdAgente],B37,financeiro[idDet1],22,financeiro[idDet2],60,financeiro[idDet3],530,financeiro[valor],"&lt;0")</f>
        <v>0</v>
      </c>
      <c r="BQ37" s="267">
        <f>SUMIFS(financeiro[valor],financeiro[IdAgente],B37,financeiro[idDet1],22,financeiro[idDet2],60,financeiro[idDet3],531,financeiro[valor],"&lt;0")</f>
        <v>0</v>
      </c>
      <c r="BR37" s="267">
        <f>SUMIFS(financeiro[valor],financeiro[IdAgente],B37,financeiro[idDet1],22,financeiro[idDet2],62,financeiro[idDet3],532,financeiro[valor],"&lt;0")</f>
        <v>0</v>
      </c>
      <c r="BS37" s="267">
        <f>SUMIFS(financeiro[valor],financeiro[IdAgente],B37,financeiro[idDet1],22,financeiro[idDet2],62,financeiro[idDet3],533,financeiro[valor],"&lt;0")</f>
        <v>0</v>
      </c>
      <c r="BT37" s="267">
        <f>SUMIFS(financeiro[valor],financeiro[IdAgente],B37,financeiro[idDet1],22,financeiro[idDet2],62,financeiro[idDet3],534,financeiro[valor],"&lt;0")</f>
        <v>0</v>
      </c>
      <c r="BU37" s="4"/>
      <c r="BV37" s="4"/>
      <c r="BW37" s="210" t="s">
        <v>63</v>
      </c>
      <c r="BX37" t="str">
        <f>Efeito!B38</f>
        <v>NO SELECT</v>
      </c>
      <c r="BY37" s="267">
        <f>SUMIFS(Banco[valor],Banco[IdAgente],BX37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37" s="267">
        <f>SUMIFS(Banco[valor],Banco[IdAgente],BX37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37" s="267">
        <f>SUMIFS(Banco[valor],Banco[IdAgente],BX37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37" s="267">
        <f>SUMIFS(Banco[valor],Banco[IdAgente],BX37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37" s="267">
        <f>SUMIFS(Banco[valor],Banco[IdAgente],BX37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37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37" s="267">
        <f>SUMIFS(Banco[valor],Banco[IdAgente],BX37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37" s="267">
        <f>SUMIFS(Banco[valor],Banco[IdAgente],BX37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37" s="267">
        <f>SUMIFS(Banco[valor],Banco[IdAgente],BX37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37" s="267">
        <f>SUMIFS(Banco[valor],Banco[IdAgente],BX37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37" s="267">
        <f>SUMIFS(Banco[valor],Banco[IdAgente],BX37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37" s="267">
        <f>SUMIFS(Banco[valor],Banco[IdAgente],BX37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37" s="267">
        <f>SUMIFS(Banco[valor],Banco[IdAgente],BX37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37" s="267">
        <f>SUMIFS(Banco[valor],Banco[IdAgente],B37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37" s="267">
        <f>SUMIFS(Banco[valor],Banco[IdAgente],B37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37" s="267">
        <f>SUMIFS(Banco[valor],Banco[IdAgente],B37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  <c r="CN37" s="4"/>
    </row>
    <row r="38" spans="1:92">
      <c r="A38" t="s">
        <v>64</v>
      </c>
      <c r="B38" t="str">
        <f>Efeito!B39</f>
        <v>NO SELECT</v>
      </c>
      <c r="C38" s="267">
        <f>SUMIFS(Banco[valor],Banco[IdAgente],B38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38" s="267">
        <f>SUMIFS(Banco[valor],Banco[IdAgente],B38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38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38" s="267">
        <f>SUMIFS(Banco[valor],Banco[IdAgente],B38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38" s="267">
        <f>SUMIFS(Banco[valor],Banco[IdAgente],B38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38" s="267">
        <f>SUMIFS(Banco[valor],Banco[IdAgente],B38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38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38" s="267">
        <f>SUMIFS(Banco[valor],Banco[IdAgente],B38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38" s="267">
        <f>SUMIFS(Banco[valor],Banco[IdAgente],B38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38" s="267">
        <f>SUMIFS(Banco[valor],Banco[IdAgente],B38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38" s="267">
        <f>SUMIFS(Banco[valor],Banco[IdAgente],B38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38" s="267">
        <f>SUMIFS(Banco[valor],Banco[IdAgente],B38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38" s="267">
        <f>SUMIFS(Banco[valor],Banco[IdAgente],B38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38" s="267">
        <f>SUMIFS(Banco[valor],Banco[IdAgente],B38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38" s="267">
        <f>SUMIFS(Banco[valor],Banco[IdAgente],B38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38" s="267">
        <f t="shared" si="3"/>
        <v>0</v>
      </c>
      <c r="Q38" s="267">
        <f>SUMIFS(Banco[valor],Banco[IdAgente],B38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38" s="267">
        <f>SUMIFS(Banco[valor],Banco[IdAgente],B38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38" s="4"/>
      <c r="T38" s="4"/>
      <c r="U38" s="4"/>
      <c r="V38" s="267">
        <f>SUMIFS(financeiro[valor],financeiro[IdAgente],B38,financeiro[idDet1],22,financeiro[idDet2],60,financeiro[idDet3],526,financeiro[id_grupo_tarifa],1,financeiro[id_detalhe_grupo_tarifa],7,financeiro[id_tipo_tarifa],9,financeiro[id_subgrupo],99,financeiro[valor],"&gt;0")+SUMIFS(financeiro[valor],financeiro[IdAgente],B38,financeiro[idDet1],22,financeiro[idDet2],60,financeiro[idDet3],526,financeiro[id_grupo_tarifa],2,financeiro[id_detalhe_grupo_tarifa],11,financeiro[id_tipo_tarifa],9,financeiro[valor],"&gt;0")+SUMIFS(financeiro[valor],financeiro[IdAgente],B38,financeiro[idDet1],22,financeiro[idDet2],60,financeiro[idDet3],526,financeiro[id_grupo_tarifa],2,financeiro[id_detalhe_grupo_tarifa],9,financeiro[id_tipo_tarifa],9,financeiro[valor],"&gt;0")+SUMIFS(financeiro[valor],financeiro[IdAgente],B38,financeiro[idDet1],22,financeiro[idDet2],60,financeiro[idDet3],526,financeiro[id_grupo_tarifa],2,financeiro[id_detalhe_grupo_tarifa],8,financeiro[id_tipo_tarifa],9,financeiro[valor],"&gt;0")+SUMIFS(financeiro[valor],financeiro[IdAgente],B38,financeiro[idDet1],22,financeiro[idDet2],60,financeiro[idDet3],526,financeiro[id_grupo_tarifa],2,financeiro[id_detalhe_grupo_tarifa],10,financeiro[id_tipo_tarifa],9,financeiro[valor],"&gt;0")+SUMIFS(financeiro[valor],financeiro[IdAgente],B38,financeiro[idDet1],22,financeiro[idDet2],60,financeiro[idDet3],526,financeiro[id_grupo_tarifa],2,financeiro[id_detalhe_grupo_tarifa],24,financeiro[id_tipo_tarifa],9,financeiro[valor],"&gt;0")</f>
        <v>0</v>
      </c>
      <c r="W38" s="267">
        <f>SUMIFS(financeiro[valor],financeiro[IdAgente],B38,financeiro[idDet1],20,financeiro[idDet2],60,financeiro[idDet3],999,financeiro[id_grupo_tarifa],3,financeiro[id_detalhe_grupo_tarifa],14,financeiro[id_tipo_tarifa],9)+SUMIFS(financeiro[valor],financeiro[IdAgente],B38,financeiro[idDet1],20,financeiro[idDet2],60,financeiro[idDet3],999,financeiro[id_grupo_tarifa],3,financeiro[id_detalhe_grupo_tarifa],15,financeiro[id_tipo_tarifa],9)+SUMIFS(financeiro[valor],financeiro[IdAgente],B38,financeiro[idDet1],20,financeiro[idDet2],60,financeiro[idDet3],999,financeiro[id_grupo_tarifa],3,financeiro[id_detalhe_grupo_tarifa],16,financeiro[id_tipo_tarifa],9)+SUMIFS(financeiro[valor],financeiro[IdAgente],B38,financeiro[idDet1],20,financeiro[idDet2],60,financeiro[idDet3],999,financeiro[id_grupo_tarifa],3,financeiro[id_detalhe_grupo_tarifa],17,financeiro[id_tipo_tarifa],9)+SUMIFS(financeiro[valor],financeiro[IdAgente],B38,financeiro[idDet1],20,financeiro[idDet2],60,financeiro[idDet3],999,financeiro[id_grupo_tarifa],3,financeiro[id_detalhe_grupo_tarifa],18,financeiro[id_tipo_tarifa],9)+SUMIFS(financeiro[valor],financeiro[IdAgente],B38,financeiro[idDet1],20,financeiro[idDet2],60,financeiro[idDet3],999,financeiro[id_grupo_tarifa],3,financeiro[id_detalhe_grupo_tarifa],19,financeiro[id_tipo_tarifa],9)</f>
        <v>0</v>
      </c>
      <c r="X38" s="267">
        <f>SUMIFS(financeiro[valor],financeiro[IdAgente],B38,financeiro[idDet1],20,financeiro[idDet2],60,financeiro[idDet3],999,financeiro[id_grupo_tarifa],3,financeiro[id_detalhe_grupo_tarifa],12,financeiro[id_tipo_tarifa],9)+SUMIFS(financeiro[valor],financeiro[IdAgente],B38,financeiro[idDet1],20,financeiro[idDet2],60,financeiro[idDet3],999,financeiro[id_grupo_tarifa],4,financeiro[id_detalhe_grupo_tarifa],999,financeiro[id_tipo_tarifa],9)</f>
        <v>0</v>
      </c>
      <c r="Y38" s="267">
        <f>SUMIFS(financeiro[valor],financeiro[IdAgente],B38,financeiro[idDet1],20,financeiro[idDet2],60,financeiro[idDet3],179,financeiro[id_grupo_tarifa],99,financeiro[id_detalhe_grupo_tarifa],999,financeiro[id_tipo_tarifa],9)</f>
        <v>0</v>
      </c>
      <c r="Z38" s="267">
        <f>SUMIFS(financeiro[valor],financeiro[IdAgente],B38,financeiro[idDet1],20,financeiro[idDet2],60,financeiro[idDet3],999,financeiro[id_grupo_tarifa],2,financeiro[id_detalhe_grupo_tarifa],11,financeiro[id_tipo_tarifa],9,financeiro[valor],"&gt;0")+SUMIFS(financeiro[valor],financeiro[IdAgente],B38,financeiro[idDet1],20,financeiro[idDet2],60,financeiro[idDet3],999,financeiro[id_grupo_tarifa],2,financeiro[id_detalhe_grupo_tarifa],9,financeiro[id_tipo_tarifa],9,financeiro[valor],"&gt;0")+SUMIFS(financeiro[valor],financeiro[IdAgente],B38,financeiro[idDet1],20,financeiro[idDet2],60,financeiro[idDet3],999,financeiro[id_grupo_tarifa],2,financeiro[id_detalhe_grupo_tarifa],8,financeiro[id_tipo_tarifa],9,financeiro[valor],"&gt;0")+SUMIFS(financeiro[valor],financeiro[IdAgente],B38,financeiro[idDet1],20,financeiro[idDet2],60,financeiro[idDet3],999,financeiro[id_grupo_tarifa],2,financeiro[id_detalhe_grupo_tarifa],10,financeiro[id_tipo_tarifa],9,financeiro[valor],"&gt;0")+SUMIFS(financeiro[valor],financeiro[IdAgente],B38,financeiro[idDet1],20,financeiro[idDet2],60,financeiro[idDet3],999,financeiro[id_grupo_tarifa],2,financeiro[id_detalhe_grupo_tarifa],24,financeiro[id_tipo_tarifa],9,financeiro[valor],"&gt;0")+SUMIFS(financeiro[valor],financeiro[IdAgente],B38,financeiro[idDet1],20,financeiro[idDet2],60,financeiro[idDet3],999,financeiro[id_grupo_tarifa],2,financeiro[id_detalhe_grupo_tarifa],17,financeiro[id_tipo_tarifa],9,financeiro[valor],"&gt;0")+SUMIFS(financeiro[valor],financeiro[IdAgente],B38,financeiro[idDet1],999,financeiro[idDet2],999999,financeiro[idDet3],999,financeiro[id_grupo_tarifa],99,financeiro[id_detalhe_grupo_tarifa],999,financeiro[id_tipo_tarifa],9,financeiro[valor],"&gt;0")</f>
        <v>0</v>
      </c>
      <c r="AA38" s="267">
        <f>SUMIFS(financeiro[valor],financeiro[IdAgente],B38,financeiro[idDet1],22,financeiro[idDet2],60,financeiro[idDet3],529,financeiro[id_grupo_tarifa],1,financeiro[id_detalhe_grupo_tarifa],1,financeiro[id_tipo_tarifa],9,financeiro[valor],"&gt;0")+SUMIFS(financeiro[valor],financeiro[IdAgente],B38,financeiro[idDet1],22,financeiro[idDet2],60,financeiro[idDet3],529,financeiro[id_grupo_tarifa],1,financeiro[id_detalhe_grupo_tarifa],2,financeiro[id_tipo_tarifa],9,financeiro[valor],"&gt;0")</f>
        <v>0</v>
      </c>
      <c r="AB38" s="269"/>
      <c r="AC38" s="267">
        <f>SUMIFS(financeiro[valor],financeiro[IdAgente],B38,financeiro[idDet1],22,financeiro[idDet2],60,financeiro[idDet3],999,financeiro[id_grupo_tarifa],2,financeiro[id_detalhe_grupo_tarifa],30,financeiro[id_tipo_tarifa],9,financeiro[valor],"&gt;0")</f>
        <v>0</v>
      </c>
      <c r="AD38" s="267">
        <f>SUMIFS(financeiro[valor],financeiro[IdAgente],B38,financeiro[idDet1],22,financeiro[idDet2],60,financeiro[idDet3],178,financeiro[id_grupo_tarifa],1,financeiro[id_detalhe_grupo_tarifa],7,financeiro[id_tipo_tarifa],9)</f>
        <v>0</v>
      </c>
      <c r="AE38" s="267">
        <f>SUMIFS(financeiro[valor],financeiro[IdAgente],B38,financeiro[idDet1],22,financeiro[idDet2],60,financeiro[idDet3],242,financeiro[id_grupo_tarifa],4,financeiro[id_detalhe_grupo_tarifa],999,financeiro[id_tipo_tarifa],9)</f>
        <v>0</v>
      </c>
      <c r="AF38" s="267">
        <f>SUMIFS(financeiro[valor],financeiro[IdAgente],B38,financeiro[idDet1],22,financeiro[idDet2],60,financeiro[idDet3],525,financeiro[id_grupo_tarifa],2,financeiro[id_tipo_tarifa],9)</f>
        <v>0</v>
      </c>
      <c r="AG38" s="267">
        <f>SUMIFS(financeiro[valor],financeiro[IdAgente],B38,financeiro[idDet1],22,financeiro[idDet2],60,financeiro[idDet3],524)</f>
        <v>0</v>
      </c>
      <c r="AH38" s="269"/>
      <c r="AI38" s="267">
        <f>SUMIFS(financeiro[valor],financeiro[IdAgente],B38,financeiro[idDet1],22,financeiro[idDet2],60,financeiro[idDet3],523,financeiro[id_grupo_tarifa],2,financeiro[id_detalhe_grupo_tarifa],30,financeiro[id_tipo_tarifa],9)</f>
        <v>0</v>
      </c>
      <c r="AJ38" s="267">
        <f>SUMIFS(financeiro[valor],financeiro[IdAgente],B38,financeiro[idDet1],22,financeiro[idDet2],60,financeiro[idDet3],503,financeiro[id_grupo_tarifa],99,financeiro[id_detalhe_grupo_tarifa],999,financeiro[id_tipo_tarifa],3)</f>
        <v>0</v>
      </c>
      <c r="AK38" s="269"/>
      <c r="AL38" s="269"/>
      <c r="AM38" s="269"/>
      <c r="AN38" s="269"/>
      <c r="AO38" s="269"/>
      <c r="AP38" s="269"/>
      <c r="AQ38" s="269"/>
      <c r="AR38" s="269"/>
      <c r="AS38" s="269"/>
      <c r="AT38" s="267">
        <f>SUMIFS(financeiro[valor],financeiro[IdAgente],B38,financeiro[idDet1],22,financeiro[idDet2],60,financeiro[idDet3],235,financeiro[id_grupo_tarifa],4,financeiro[id_detalhe_grupo_tarifa],999,financeiro[id_tipo_tarifa],9)</f>
        <v>0</v>
      </c>
      <c r="AU38" s="267">
        <f>SUMIFS(financeiro[valor],financeiro[IdAgente],B38,financeiro[idDet1],22,financeiro[idDet2],60,financeiro[idDet3],512,financeiro[id_grupo_tarifa],3,financeiro[id_detalhe_grupo_tarifa],28,financeiro[id_tipo_tarifa],9)</f>
        <v>0</v>
      </c>
      <c r="AV38" s="267">
        <f>SUMIFS(financeiro[valor],financeiro[IdAgente],B38,financeiro[idDet1],22,financeiro[idDet2],60,financeiro[idDet3],241,financeiro[id_grupo_tarifa],2,financeiro[id_detalhe_grupo_tarifa],11,financeiro[id_tipo_tarifa],9)+SUMIFS(financeiro[valor],financeiro[IdAgente],B38,financeiro[idDet1],22,financeiro[idDet2],60,financeiro[idDet3],241,financeiro[id_grupo_tarifa],2,financeiro[id_detalhe_grupo_tarifa],9,financeiro[id_tipo_tarifa],9)+SUMIFS(financeiro[valor],financeiro[IdAgente],B38,financeiro[idDet1],22,financeiro[idDet2],60,financeiro[idDet3],241,financeiro[id_grupo_tarifa],2,financeiro[id_detalhe_grupo_tarifa],8,financeiro[id_tipo_tarifa],9)+SUMIFS(financeiro[valor],financeiro[IdAgente],B38,financeiro[idDet1],22,financeiro[idDet2],60,financeiro[idDet3],241,financeiro[id_grupo_tarifa],2,financeiro[id_detalhe_grupo_tarifa],10,financeiro[id_tipo_tarifa],9)+SUMIFS(financeiro[valor],financeiro[IdAgente],B38,financeiro[idDet1],22,financeiro[idDet2],60,financeiro[idDet3],241,financeiro[id_grupo_tarifa],2,financeiro[id_detalhe_grupo_tarifa],24,financeiro[id_tipo_tarifa],9)</f>
        <v>0</v>
      </c>
      <c r="AW38" s="267">
        <f>SUMIFS(financeiro[valor],financeiro[IdAgente],B38,financeiro[idDet1],22,financeiro[idDet2],60,financeiro[idDet3],241,financeiro[id_grupo_tarifa],3,financeiro[id_detalhe_grupo_tarifa],17,financeiro[id_tipo_tarifa],9)</f>
        <v>0</v>
      </c>
      <c r="AX38" s="267">
        <f>SUMIFS(financeiro[valor],financeiro[IdAgente],B38,financeiro[idDet1],22,financeiro[idDet2],60,financeiro[idDet3],240,financeiro[id_grupo_tarifa],2,financeiro[id_detalhe_grupo_tarifa],11,financeiro[id_tipo_tarifa],9)+SUMIFS(financeiro[valor],financeiro[IdAgente],B38,financeiro[idDet1],22,financeiro[idDet2],60,financeiro[idDet3],240,financeiro[id_grupo_tarifa],2,financeiro[id_detalhe_grupo_tarifa],9,financeiro[id_tipo_tarifa],9)+SUMIFS(financeiro[valor],financeiro[IdAgente],B38,financeiro[idDet1],22,financeiro[idDet2],60,financeiro[idDet3],240,financeiro[id_grupo_tarifa],2,financeiro[id_detalhe_grupo_tarifa],8,financeiro[id_tipo_tarifa],9)+SUMIFS(financeiro[valor],financeiro[IdAgente],B38,financeiro[idDet1],22,financeiro[idDet2],60,financeiro[idDet3],240,financeiro[id_grupo_tarifa],2,financeiro[id_detalhe_grupo_tarifa],10,financeiro[id_tipo_tarifa],9)+SUMIFS(financeiro[valor],financeiro[IdAgente],B38,financeiro[idDet1],22,financeiro[idDet2],60,financeiro[idDet3],240,financeiro[id_grupo_tarifa],2,financeiro[id_detalhe_grupo_tarifa],24,financeiro[id_tipo_tarifa],9)</f>
        <v>0</v>
      </c>
      <c r="AY38" s="267">
        <f>SUMIFS(financeiro[valor],financeiro[IdAgente],B38,financeiro[idDet1],22,financeiro[idDet2],60,financeiro[idDet3],106,financeiro[id_grupo_tarifa],2,financeiro[id_detalhe_grupo_tarifa],11,financeiro[id_tipo_tarifa],9)+SUMIFS(financeiro[valor],financeiro[IdAgente],B38,financeiro[idDet1],22,financeiro[idDet2],60,financeiro[idDet3],106,financeiro[id_grupo_tarifa],2,financeiro[id_detalhe_grupo_tarifa],9,financeiro[id_tipo_tarifa],9)+SUMIFS(financeiro[valor],financeiro[IdAgente],B38,financeiro[idDet1],22,financeiro[idDet2],60,financeiro[idDet3],106,financeiro[id_grupo_tarifa],2,financeiro[id_detalhe_grupo_tarifa],8,financeiro[id_tipo_tarifa],9)+SUMIFS(financeiro[valor],financeiro[IdAgente],B38,financeiro[idDet1],22,financeiro[idDet2],60,financeiro[idDet3],106,financeiro[id_grupo_tarifa],2,financeiro[id_detalhe_grupo_tarifa],10,financeiro[id_tipo_tarifa],9)+SUMIFS(financeiro[valor],financeiro[IdAgente],B38,financeiro[idDet1],22,financeiro[idDet2],60,financeiro[idDet3],106,financeiro[id_grupo_tarifa],2,financeiro[id_detalhe_grupo_tarifa],24,financeiro[id_tipo_tarifa],9)</f>
        <v>0</v>
      </c>
      <c r="AZ38" s="267">
        <f>SUMIFS(financeiro[valor],financeiro[IdAgente],B38,financeiro[idDet1],22,financeiro[idDet2],62,financeiro[idDet3],220,financeiro[id_grupo_tarifa],2,financeiro[id_detalhe_grupo_tarifa],11,financeiro[id_tipo_tarifa],9)+SUMIFS(financeiro[valor],financeiro[IdAgente],B38,financeiro[idDet1],22,financeiro[idDet2],62,financeiro[idDet3],220,financeiro[id_grupo_tarifa],2,financeiro[id_detalhe_grupo_tarifa],9,financeiro[id_tipo_tarifa],9)+SUMIFS(financeiro[valor],financeiro[IdAgente],B38,financeiro[idDet1],22,financeiro[idDet2],62,financeiro[idDet3],220,financeiro[id_grupo_tarifa],2,financeiro[id_detalhe_grupo_tarifa],8,financeiro[id_tipo_tarifa],9)+SUMIFS(financeiro[valor],financeiro[IdAgente],B38,financeiro[idDet1],22,financeiro[idDet2],62,financeiro[idDet3],220,financeiro[id_grupo_tarifa],2,financeiro[id_detalhe_grupo_tarifa],10,financeiro[id_tipo_tarifa],9)+SUMIFS(financeiro[valor],financeiro[IdAgente],B38,financeiro[idDet1],22,financeiro[idDet2],62,financeiro[idDet3],220,financeiro[id_grupo_tarifa],2,financeiro[id_detalhe_grupo_tarifa],24,financeiro[id_tipo_tarifa],9)</f>
        <v>0</v>
      </c>
      <c r="BA38" s="267">
        <f>SUMIFS(financeiro[valor],financeiro[IdAgente],B38,financeiro[idDet1],22,financeiro[idDet2],60,financeiro[idDet3],220,financeiro[id_grupo_tarifa],2,financeiro[id_detalhe_grupo_tarifa],11,financeiro[id_tipo_tarifa],9)+SUMIFS(financeiro[valor],financeiro[IdAgente],B38,financeiro[idDet1],22,financeiro[idDet2],60,financeiro[idDet3],220,financeiro[id_grupo_tarifa],2,financeiro[id_detalhe_grupo_tarifa],9,financeiro[id_tipo_tarifa],9)+SUMIFS(financeiro[valor],financeiro[IdAgente],B38,financeiro[idDet1],22,financeiro[idDet2],60,financeiro[idDet3],220,financeiro[id_grupo_tarifa],2,financeiro[id_detalhe_grupo_tarifa],8,financeiro[id_tipo_tarifa],9)+SUMIFS(financeiro[valor],financeiro[IdAgente],B38,financeiro[idDet1],22,financeiro[idDet2],60,financeiro[idDet3],220,financeiro[id_grupo_tarifa],2,financeiro[id_detalhe_grupo_tarifa],10,financeiro[id_tipo_tarifa],9)+SUMIFS(financeiro[valor],financeiro[IdAgente],B38,financeiro[idDet1],22,financeiro[idDet2],60,financeiro[idDet3],220,financeiro[id_grupo_tarifa],2,financeiro[id_detalhe_grupo_tarifa],24,financeiro[id_tipo_tarifa],9)</f>
        <v>0</v>
      </c>
      <c r="BB38" s="267">
        <f>SUMIFS(financeiro[valor],financeiro[IdAgente],B38,financeiro[idDet1],22,financeiro[idDet2],60,financeiro[idDet3],102,financeiro[id_grupo_tarifa],2,financeiro[id_detalhe_grupo_tarifa],11,financeiro[id_tipo_tarifa],9)+SUMIFS(financeiro[valor],financeiro[IdAgente],B38,financeiro[idDet1],22,financeiro[idDet2],60,financeiro[idDet3],102,financeiro[id_grupo_tarifa],2,financeiro[id_detalhe_grupo_tarifa],9,financeiro[id_tipo_tarifa],9)+SUMIFS(financeiro[valor],financeiro[IdAgente],B38,financeiro[idDet1],22,financeiro[idDet2],60,financeiro[idDet3],102,financeiro[id_grupo_tarifa],2,financeiro[id_detalhe_grupo_tarifa],8,financeiro[id_tipo_tarifa],9)+SUMIFS(financeiro[valor],financeiro[IdAgente],B38,financeiro[idDet1],22,financeiro[idDet2],60,financeiro[idDet3],102,financeiro[id_grupo_tarifa],2,financeiro[id_detalhe_grupo_tarifa],10,financeiro[id_tipo_tarifa],9)+SUMIFS(financeiro[valor],financeiro[IdAgente],B38,financeiro[idDet1],22,financeiro[idDet2],60,financeiro[idDet3],102,financeiro[id_grupo_tarifa],2,financeiro[id_detalhe_grupo_tarifa],24,financeiro[id_tipo_tarifa],9)</f>
        <v>0</v>
      </c>
      <c r="BC38" s="267">
        <f>SUMIFS(financeiro[valor],financeiro[IdAgente],B38,financeiro[idDet1],22,financeiro[idDet2],60,financeiro[idDet3],522,financeiro[valor],"&lt;0")</f>
        <v>0</v>
      </c>
      <c r="BD38" s="267">
        <f>SUMIFS(financeiro[valor],financeiro[IdAgente],B38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38" s="267">
        <f>SUMIFS(financeiro[valor],financeiro[IdAgente],B38,financeiro[id_natureza_dado],2,financeiro[id_detalhe_natureza],2,financeiro[idDet1],20,financeiro[idDet2],60,financeiro[idDet3],82,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38" s="267">
        <f>SUMIFS(financeiro[valor],financeiro[IdAgente],B38,financeiro[id_natureza_dado],2,financeiro[id_detalhe_natureza],2,financeiro[idDet1],20,financeiro[idDet2],60,financeiro[idDet3],81,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38" s="267">
        <f>SUMIFS(financeiro[valor],financeiro[IdAgente],B38,financeiro[id_natureza_dado],2,financeiro[id_detalhe_natureza],2,financeiro[idDet1],20,financeiro[idDet2],60,financeiro[idDet3],503,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38" s="267">
        <f>SUMIFS(financeiro[valor],financeiro[IdAgente],B38,financeiro[idDet1],22,financeiro[idDet2],60,financeiro[idDet3],123)</f>
        <v>0</v>
      </c>
      <c r="BI38" s="267">
        <f>SUMIFS(financeiro[valor],financeiro[IdAgente],B38,financeiro[idDet1],20,financeiro[idDet2],60,financeiro[idDet3],73)</f>
        <v>0</v>
      </c>
      <c r="BJ38" s="267">
        <f>SUMIFS(financeiro[valor],financeiro[IdAgente],B38,financeiro[idDet1],22,financeiro[idDet2],60,financeiro[idDet3],527)</f>
        <v>0</v>
      </c>
      <c r="BK38" s="267">
        <f>SUMIFS(financeiro[valor],financeiro[IdAgente],B38,financeiro[idDet1],22,financeiro[idDet2],60,financeiro[idDet3],510)</f>
        <v>0</v>
      </c>
      <c r="BL38" s="267">
        <f>SUMIFS(financeiro[valor],financeiro[IdAgente],B38,financeiro[idDet1],22,financeiro[idDet2],60,financeiro[idDet3],526,
financeiro[id_grupo_tarifa],1,financeiro[id_detalhe_grupo_tarifa],3,financeiro[id_tipo_tarifa],9,financeiro[id_subgrupo],3)</f>
        <v>0</v>
      </c>
      <c r="BM38" s="267">
        <f>SUMIFS(financeiro[valor],financeiro[IdAgente],B38,financeiro[idDet1],22,financeiro[idDet2],60,financeiro[idDet3],999,
financeiro[id_grupo_tarifa],3,financeiro[id_detalhe_grupo_tarifa],17,financeiro[id_tipo_tarifa],9)</f>
        <v>0</v>
      </c>
      <c r="BN38" s="267">
        <f>SUMIFS(financeiro[valor],financeiro[IdAgente],B38,financeiro[idDet1],22,financeiro[idDet2],60,financeiro[idDet3],526,financeiro[id_grupo_tarifa],1,financeiro[id_detalhe_grupo_tarifa],7,financeiro[id_tipo_tarifa],9,financeiro[valor],"&lt;0")+SUMIFS(financeiro[valor],financeiro[IdAgente],B38,financeiro[idDet1],22,financeiro[idDet2],60,financeiro[idDet3],526,financeiro[id_grupo_tarifa],2,financeiro[id_detalhe_grupo_tarifa],11,financeiro[id_tipo_tarifa],9,financeiro[valor],"&lt;0")+SUMIFS(financeiro[valor],financeiro[IdAgente],B38,financeiro[idDet1],22,financeiro[idDet2],60,financeiro[idDet3],526,financeiro[id_grupo_tarifa],2,financeiro[id_detalhe_grupo_tarifa],8,financeiro[id_tipo_tarifa],9,financeiro[valor],"&lt;0")</f>
        <v>0</v>
      </c>
      <c r="BO38" s="267">
        <f>SUMIFS(financeiro[valor],financeiro[IdAgente],B38,financeiro[idDet1],22,financeiro[idDet2],60,financeiro[idDet3],999,financeiro[id_grupo_tarifa],4,financeiro[id_detalhe_grupo_tarifa],999,financeiro[id_tipo_tarifa],9,financeiro[valor],"&lt;0")</f>
        <v>0</v>
      </c>
      <c r="BP38" s="267">
        <f>SUMIFS(financeiro[valor],financeiro[IdAgente],B38,financeiro[idDet1],22,financeiro[idDet2],60,financeiro[idDet3],530,financeiro[valor],"&lt;0")</f>
        <v>0</v>
      </c>
      <c r="BQ38" s="267">
        <f>SUMIFS(financeiro[valor],financeiro[IdAgente],B38,financeiro[idDet1],22,financeiro[idDet2],60,financeiro[idDet3],531,financeiro[valor],"&lt;0")</f>
        <v>0</v>
      </c>
      <c r="BR38" s="267">
        <f>SUMIFS(financeiro[valor],financeiro[IdAgente],B38,financeiro[idDet1],22,financeiro[idDet2],62,financeiro[idDet3],532,financeiro[valor],"&lt;0")</f>
        <v>0</v>
      </c>
      <c r="BS38" s="267">
        <f>SUMIFS(financeiro[valor],financeiro[IdAgente],B38,financeiro[idDet1],22,financeiro[idDet2],62,financeiro[idDet3],533,financeiro[valor],"&lt;0")</f>
        <v>0</v>
      </c>
      <c r="BT38" s="267">
        <f>SUMIFS(financeiro[valor],financeiro[IdAgente],B38,financeiro[idDet1],22,financeiro[idDet2],62,financeiro[idDet3],534,financeiro[valor],"&lt;0")</f>
        <v>0</v>
      </c>
      <c r="BU38" s="4"/>
      <c r="BV38" s="4"/>
      <c r="BW38" s="210" t="s">
        <v>64</v>
      </c>
      <c r="BX38" t="str">
        <f>Efeito!B39</f>
        <v>NO SELECT</v>
      </c>
      <c r="BY38" s="267">
        <f>SUMIFS(Banco[valor],Banco[IdAgente],BX38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38" s="267">
        <f>SUMIFS(Banco[valor],Banco[IdAgente],BX38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38" s="267">
        <f>SUMIFS(Banco[valor],Banco[IdAgente],BX38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38" s="267">
        <f>SUMIFS(Banco[valor],Banco[IdAgente],BX38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38" s="267">
        <f>SUMIFS(Banco[valor],Banco[IdAgente],BX38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38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38" s="267">
        <f>SUMIFS(Banco[valor],Banco[IdAgente],BX38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38" s="267">
        <f>SUMIFS(Banco[valor],Banco[IdAgente],BX38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38" s="267">
        <f>SUMIFS(Banco[valor],Banco[IdAgente],BX38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38" s="267">
        <f>SUMIFS(Banco[valor],Banco[IdAgente],BX38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38" s="267">
        <f>SUMIFS(Banco[valor],Banco[IdAgente],BX38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38" s="267">
        <f>SUMIFS(Banco[valor],Banco[IdAgente],BX38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38" s="267">
        <f>SUMIFS(Banco[valor],Banco[IdAgente],BX38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38" s="267">
        <f>SUMIFS(Banco[valor],Banco[IdAgente],B38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38" s="267">
        <f>SUMIFS(Banco[valor],Banco[IdAgente],B38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38" s="267">
        <f>SUMIFS(Banco[valor],Banco[IdAgente],B38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  <c r="CN38" s="4"/>
    </row>
    <row r="39" spans="1:92">
      <c r="A39" t="s">
        <v>204</v>
      </c>
      <c r="B39" t="str">
        <f>Efeito!B40</f>
        <v>NO SELECT</v>
      </c>
      <c r="C39" s="267">
        <f>SUMIFS(Banco[valor],Banco[IdAgente],B39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39" s="267">
        <f>SUMIFS(Banco[valor],Banco[IdAgente],B39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39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39" s="267">
        <f>SUMIFS(Banco[valor],Banco[IdAgente],B39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39" s="267">
        <f>SUMIFS(Banco[valor],Banco[IdAgente],B39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39" s="267">
        <f>SUMIFS(Banco[valor],Banco[IdAgente],B39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39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39" s="267">
        <f>SUMIFS(Banco[valor],Banco[IdAgente],B39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39" s="267">
        <f>SUMIFS(Banco[valor],Banco[IdAgente],B39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39" s="267">
        <f>SUMIFS(Banco[valor],Banco[IdAgente],B39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39" s="267">
        <f>SUMIFS(Banco[valor],Banco[IdAgente],B39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39" s="267">
        <f>SUMIFS(Banco[valor],Banco[IdAgente],B39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39" s="267">
        <f>SUMIFS(Banco[valor],Banco[IdAgente],B39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39" s="267">
        <f>SUMIFS(Banco[valor],Banco[IdAgente],B39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39" s="267">
        <f>SUMIFS(Banco[valor],Banco[IdAgente],B39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39" s="267">
        <f t="shared" si="3"/>
        <v>0</v>
      </c>
      <c r="Q39" s="267">
        <f>SUMIFS(Banco[valor],Banco[IdAgente],B39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39" s="267">
        <f>SUMIFS(Banco[valor],Banco[IdAgente],B39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39" s="4"/>
      <c r="T39" s="4"/>
      <c r="U39" s="4"/>
      <c r="V39" s="267">
        <f>SUMIFS(financeiro[valor],financeiro[IdAgente],B39,financeiro[idDet1],22,financeiro[idDet2],60,financeiro[idDet3],526,financeiro[id_grupo_tarifa],1,financeiro[id_detalhe_grupo_tarifa],7,financeiro[id_tipo_tarifa],9,financeiro[id_subgrupo],99,financeiro[valor],"&gt;0")+SUMIFS(financeiro[valor],financeiro[IdAgente],B39,financeiro[idDet1],22,financeiro[idDet2],60,financeiro[idDet3],526,financeiro[id_grupo_tarifa],2,financeiro[id_detalhe_grupo_tarifa],11,financeiro[id_tipo_tarifa],9,financeiro[valor],"&gt;0")+SUMIFS(financeiro[valor],financeiro[IdAgente],B39,financeiro[idDet1],22,financeiro[idDet2],60,financeiro[idDet3],526,financeiro[id_grupo_tarifa],2,financeiro[id_detalhe_grupo_tarifa],9,financeiro[id_tipo_tarifa],9,financeiro[valor],"&gt;0")+SUMIFS(financeiro[valor],financeiro[IdAgente],B39,financeiro[idDet1],22,financeiro[idDet2],60,financeiro[idDet3],526,financeiro[id_grupo_tarifa],2,financeiro[id_detalhe_grupo_tarifa],8,financeiro[id_tipo_tarifa],9,financeiro[valor],"&gt;0")+SUMIFS(financeiro[valor],financeiro[IdAgente],B39,financeiro[idDet1],22,financeiro[idDet2],60,financeiro[idDet3],526,financeiro[id_grupo_tarifa],2,financeiro[id_detalhe_grupo_tarifa],10,financeiro[id_tipo_tarifa],9,financeiro[valor],"&gt;0")+SUMIFS(financeiro[valor],financeiro[IdAgente],B39,financeiro[idDet1],22,financeiro[idDet2],60,financeiro[idDet3],526,financeiro[id_grupo_tarifa],2,financeiro[id_detalhe_grupo_tarifa],24,financeiro[id_tipo_tarifa],9,financeiro[valor],"&gt;0")</f>
        <v>0</v>
      </c>
      <c r="W39" s="267">
        <f>SUMIFS(financeiro[valor],financeiro[IdAgente],B39,financeiro[idDet1],20,financeiro[idDet2],60,financeiro[idDet3],999,financeiro[id_grupo_tarifa],3,financeiro[id_detalhe_grupo_tarifa],14,financeiro[id_tipo_tarifa],9)+SUMIFS(financeiro[valor],financeiro[IdAgente],B39,financeiro[idDet1],20,financeiro[idDet2],60,financeiro[idDet3],999,financeiro[id_grupo_tarifa],3,financeiro[id_detalhe_grupo_tarifa],15,financeiro[id_tipo_tarifa],9)+SUMIFS(financeiro[valor],financeiro[IdAgente],B39,financeiro[idDet1],20,financeiro[idDet2],60,financeiro[idDet3],999,financeiro[id_grupo_tarifa],3,financeiro[id_detalhe_grupo_tarifa],16,financeiro[id_tipo_tarifa],9)+SUMIFS(financeiro[valor],financeiro[IdAgente],B39,financeiro[idDet1],20,financeiro[idDet2],60,financeiro[idDet3],999,financeiro[id_grupo_tarifa],3,financeiro[id_detalhe_grupo_tarifa],17,financeiro[id_tipo_tarifa],9)+SUMIFS(financeiro[valor],financeiro[IdAgente],B39,financeiro[idDet1],20,financeiro[idDet2],60,financeiro[idDet3],999,financeiro[id_grupo_tarifa],3,financeiro[id_detalhe_grupo_tarifa],18,financeiro[id_tipo_tarifa],9)+SUMIFS(financeiro[valor],financeiro[IdAgente],B39,financeiro[idDet1],20,financeiro[idDet2],60,financeiro[idDet3],999,financeiro[id_grupo_tarifa],3,financeiro[id_detalhe_grupo_tarifa],19,financeiro[id_tipo_tarifa],9)</f>
        <v>0</v>
      </c>
      <c r="X39" s="267">
        <f>SUMIFS(financeiro[valor],financeiro[IdAgente],B39,financeiro[idDet1],20,financeiro[idDet2],60,financeiro[idDet3],999,financeiro[id_grupo_tarifa],3,financeiro[id_detalhe_grupo_tarifa],12,financeiro[id_tipo_tarifa],9)+SUMIFS(financeiro[valor],financeiro[IdAgente],B39,financeiro[idDet1],20,financeiro[idDet2],60,financeiro[idDet3],999,financeiro[id_grupo_tarifa],4,financeiro[id_detalhe_grupo_tarifa],999,financeiro[id_tipo_tarifa],9)</f>
        <v>0</v>
      </c>
      <c r="Y39" s="267">
        <f>SUMIFS(financeiro[valor],financeiro[IdAgente],B39,financeiro[idDet1],20,financeiro[idDet2],60,financeiro[idDet3],179,financeiro[id_grupo_tarifa],99,financeiro[id_detalhe_grupo_tarifa],999,financeiro[id_tipo_tarifa],9)</f>
        <v>0</v>
      </c>
      <c r="Z39" s="267">
        <f>SUMIFS(financeiro[valor],financeiro[IdAgente],B39,financeiro[idDet1],20,financeiro[idDet2],60,financeiro[idDet3],999,financeiro[id_grupo_tarifa],2,financeiro[id_detalhe_grupo_tarifa],11,financeiro[id_tipo_tarifa],9,financeiro[valor],"&gt;0")+SUMIFS(financeiro[valor],financeiro[IdAgente],B39,financeiro[idDet1],20,financeiro[idDet2],60,financeiro[idDet3],999,financeiro[id_grupo_tarifa],2,financeiro[id_detalhe_grupo_tarifa],9,financeiro[id_tipo_tarifa],9,financeiro[valor],"&gt;0")+SUMIFS(financeiro[valor],financeiro[IdAgente],B39,financeiro[idDet1],20,financeiro[idDet2],60,financeiro[idDet3],999,financeiro[id_grupo_tarifa],2,financeiro[id_detalhe_grupo_tarifa],8,financeiro[id_tipo_tarifa],9,financeiro[valor],"&gt;0")+SUMIFS(financeiro[valor],financeiro[IdAgente],B39,financeiro[idDet1],20,financeiro[idDet2],60,financeiro[idDet3],999,financeiro[id_grupo_tarifa],2,financeiro[id_detalhe_grupo_tarifa],10,financeiro[id_tipo_tarifa],9,financeiro[valor],"&gt;0")+SUMIFS(financeiro[valor],financeiro[IdAgente],B39,financeiro[idDet1],20,financeiro[idDet2],60,financeiro[idDet3],999,financeiro[id_grupo_tarifa],2,financeiro[id_detalhe_grupo_tarifa],24,financeiro[id_tipo_tarifa],9,financeiro[valor],"&gt;0")+SUMIFS(financeiro[valor],financeiro[IdAgente],B39,financeiro[idDet1],20,financeiro[idDet2],60,financeiro[idDet3],999,financeiro[id_grupo_tarifa],2,financeiro[id_detalhe_grupo_tarifa],17,financeiro[id_tipo_tarifa],9,financeiro[valor],"&gt;0")+SUMIFS(financeiro[valor],financeiro[IdAgente],B39,financeiro[idDet1],999,financeiro[idDet2],999999,financeiro[idDet3],999,financeiro[id_grupo_tarifa],99,financeiro[id_detalhe_grupo_tarifa],999,financeiro[id_tipo_tarifa],9,financeiro[valor],"&gt;0")</f>
        <v>0</v>
      </c>
      <c r="AA39" s="267">
        <f>SUMIFS(financeiro[valor],financeiro[IdAgente],B39,financeiro[idDet1],22,financeiro[idDet2],60,financeiro[idDet3],529,financeiro[id_grupo_tarifa],1,financeiro[id_detalhe_grupo_tarifa],1,financeiro[id_tipo_tarifa],9,financeiro[valor],"&gt;0")+SUMIFS(financeiro[valor],financeiro[IdAgente],B39,financeiro[idDet1],22,financeiro[idDet2],60,financeiro[idDet3],529,financeiro[id_grupo_tarifa],1,financeiro[id_detalhe_grupo_tarifa],2,financeiro[id_tipo_tarifa],9,financeiro[valor],"&gt;0")</f>
        <v>0</v>
      </c>
      <c r="AB39" s="269"/>
      <c r="AC39" s="267">
        <f>SUMIFS(financeiro[valor],financeiro[IdAgente],B39,financeiro[idDet1],22,financeiro[idDet2],60,financeiro[idDet3],999,financeiro[id_grupo_tarifa],2,financeiro[id_detalhe_grupo_tarifa],30,financeiro[id_tipo_tarifa],9,financeiro[valor],"&gt;0")</f>
        <v>0</v>
      </c>
      <c r="AD39" s="267">
        <f>SUMIFS(financeiro[valor],financeiro[IdAgente],B39,financeiro[idDet1],22,financeiro[idDet2],60,financeiro[idDet3],178,financeiro[id_grupo_tarifa],1,financeiro[id_detalhe_grupo_tarifa],7,financeiro[id_tipo_tarifa],9)</f>
        <v>0</v>
      </c>
      <c r="AE39" s="267">
        <f>SUMIFS(financeiro[valor],financeiro[IdAgente],B39,financeiro[idDet1],22,financeiro[idDet2],60,financeiro[idDet3],242,financeiro[id_grupo_tarifa],4,financeiro[id_detalhe_grupo_tarifa],999,financeiro[id_tipo_tarifa],9)</f>
        <v>0</v>
      </c>
      <c r="AF39" s="267">
        <f>SUMIFS(financeiro[valor],financeiro[IdAgente],B39,financeiro[idDet1],22,financeiro[idDet2],60,financeiro[idDet3],525,financeiro[id_grupo_tarifa],2,financeiro[id_tipo_tarifa],9)</f>
        <v>0</v>
      </c>
      <c r="AG39" s="267">
        <f>SUMIFS(financeiro[valor],financeiro[IdAgente],B39,financeiro[idDet1],22,financeiro[idDet2],60,financeiro[idDet3],524)</f>
        <v>0</v>
      </c>
      <c r="AH39" s="269"/>
      <c r="AI39" s="267">
        <f>SUMIFS(financeiro[valor],financeiro[IdAgente],B39,financeiro[idDet1],22,financeiro[idDet2],60,financeiro[idDet3],523,financeiro[id_grupo_tarifa],2,financeiro[id_detalhe_grupo_tarifa],30,financeiro[id_tipo_tarifa],9)</f>
        <v>0</v>
      </c>
      <c r="AJ39" s="267">
        <f>SUMIFS(financeiro[valor],financeiro[IdAgente],B39,financeiro[idDet1],22,financeiro[idDet2],60,financeiro[idDet3],503,financeiro[id_grupo_tarifa],99,financeiro[id_detalhe_grupo_tarifa],999,financeiro[id_tipo_tarifa],3)</f>
        <v>0</v>
      </c>
      <c r="AK39" s="269"/>
      <c r="AL39" s="269"/>
      <c r="AM39" s="269"/>
      <c r="AN39" s="269"/>
      <c r="AO39" s="269"/>
      <c r="AP39" s="269"/>
      <c r="AQ39" s="269"/>
      <c r="AR39" s="269"/>
      <c r="AS39" s="269"/>
      <c r="AT39" s="267">
        <f>SUMIFS(financeiro[valor],financeiro[IdAgente],B39,financeiro[idDet1],22,financeiro[idDet2],60,financeiro[idDet3],235,financeiro[id_grupo_tarifa],4,financeiro[id_detalhe_grupo_tarifa],999,financeiro[id_tipo_tarifa],9)</f>
        <v>0</v>
      </c>
      <c r="AU39" s="267">
        <f>SUMIFS(financeiro[valor],financeiro[IdAgente],B39,financeiro[idDet1],22,financeiro[idDet2],60,financeiro[idDet3],512,financeiro[id_grupo_tarifa],3,financeiro[id_detalhe_grupo_tarifa],28,financeiro[id_tipo_tarifa],9)</f>
        <v>0</v>
      </c>
      <c r="AV39" s="267">
        <f>SUMIFS(financeiro[valor],financeiro[IdAgente],B39,financeiro[idDet1],22,financeiro[idDet2],60,financeiro[idDet3],241,financeiro[id_grupo_tarifa],2,financeiro[id_detalhe_grupo_tarifa],11,financeiro[id_tipo_tarifa],9)+SUMIFS(financeiro[valor],financeiro[IdAgente],B39,financeiro[idDet1],22,financeiro[idDet2],60,financeiro[idDet3],241,financeiro[id_grupo_tarifa],2,financeiro[id_detalhe_grupo_tarifa],9,financeiro[id_tipo_tarifa],9)+SUMIFS(financeiro[valor],financeiro[IdAgente],B39,financeiro[idDet1],22,financeiro[idDet2],60,financeiro[idDet3],241,financeiro[id_grupo_tarifa],2,financeiro[id_detalhe_grupo_tarifa],8,financeiro[id_tipo_tarifa],9)+SUMIFS(financeiro[valor],financeiro[IdAgente],B39,financeiro[idDet1],22,financeiro[idDet2],60,financeiro[idDet3],241,financeiro[id_grupo_tarifa],2,financeiro[id_detalhe_grupo_tarifa],10,financeiro[id_tipo_tarifa],9)+SUMIFS(financeiro[valor],financeiro[IdAgente],B39,financeiro[idDet1],22,financeiro[idDet2],60,financeiro[idDet3],241,financeiro[id_grupo_tarifa],2,financeiro[id_detalhe_grupo_tarifa],24,financeiro[id_tipo_tarifa],9)</f>
        <v>0</v>
      </c>
      <c r="AW39" s="267">
        <f>SUMIFS(financeiro[valor],financeiro[IdAgente],B39,financeiro[idDet1],22,financeiro[idDet2],60,financeiro[idDet3],241,financeiro[id_grupo_tarifa],3,financeiro[id_detalhe_grupo_tarifa],17,financeiro[id_tipo_tarifa],9)</f>
        <v>0</v>
      </c>
      <c r="AX39" s="267">
        <f>SUMIFS(financeiro[valor],financeiro[IdAgente],B39,financeiro[idDet1],22,financeiro[idDet2],60,financeiro[idDet3],240,financeiro[id_grupo_tarifa],2,financeiro[id_detalhe_grupo_tarifa],11,financeiro[id_tipo_tarifa],9)+SUMIFS(financeiro[valor],financeiro[IdAgente],B39,financeiro[idDet1],22,financeiro[idDet2],60,financeiro[idDet3],240,financeiro[id_grupo_tarifa],2,financeiro[id_detalhe_grupo_tarifa],9,financeiro[id_tipo_tarifa],9)+SUMIFS(financeiro[valor],financeiro[IdAgente],B39,financeiro[idDet1],22,financeiro[idDet2],60,financeiro[idDet3],240,financeiro[id_grupo_tarifa],2,financeiro[id_detalhe_grupo_tarifa],8,financeiro[id_tipo_tarifa],9)+SUMIFS(financeiro[valor],financeiro[IdAgente],B39,financeiro[idDet1],22,financeiro[idDet2],60,financeiro[idDet3],240,financeiro[id_grupo_tarifa],2,financeiro[id_detalhe_grupo_tarifa],10,financeiro[id_tipo_tarifa],9)+SUMIFS(financeiro[valor],financeiro[IdAgente],B39,financeiro[idDet1],22,financeiro[idDet2],60,financeiro[idDet3],240,financeiro[id_grupo_tarifa],2,financeiro[id_detalhe_grupo_tarifa],24,financeiro[id_tipo_tarifa],9)</f>
        <v>0</v>
      </c>
      <c r="AY39" s="267">
        <f>SUMIFS(financeiro[valor],financeiro[IdAgente],B39,financeiro[idDet1],22,financeiro[idDet2],60,financeiro[idDet3],106,financeiro[id_grupo_tarifa],2,financeiro[id_detalhe_grupo_tarifa],11,financeiro[id_tipo_tarifa],9)+SUMIFS(financeiro[valor],financeiro[IdAgente],B39,financeiro[idDet1],22,financeiro[idDet2],60,financeiro[idDet3],106,financeiro[id_grupo_tarifa],2,financeiro[id_detalhe_grupo_tarifa],9,financeiro[id_tipo_tarifa],9)+SUMIFS(financeiro[valor],financeiro[IdAgente],B39,financeiro[idDet1],22,financeiro[idDet2],60,financeiro[idDet3],106,financeiro[id_grupo_tarifa],2,financeiro[id_detalhe_grupo_tarifa],8,financeiro[id_tipo_tarifa],9)+SUMIFS(financeiro[valor],financeiro[IdAgente],B39,financeiro[idDet1],22,financeiro[idDet2],60,financeiro[idDet3],106,financeiro[id_grupo_tarifa],2,financeiro[id_detalhe_grupo_tarifa],10,financeiro[id_tipo_tarifa],9)+SUMIFS(financeiro[valor],financeiro[IdAgente],B39,financeiro[idDet1],22,financeiro[idDet2],60,financeiro[idDet3],106,financeiro[id_grupo_tarifa],2,financeiro[id_detalhe_grupo_tarifa],24,financeiro[id_tipo_tarifa],9)</f>
        <v>0</v>
      </c>
      <c r="AZ39" s="267">
        <f>SUMIFS(financeiro[valor],financeiro[IdAgente],B39,financeiro[idDet1],22,financeiro[idDet2],62,financeiro[idDet3],220,financeiro[id_grupo_tarifa],2,financeiro[id_detalhe_grupo_tarifa],11,financeiro[id_tipo_tarifa],9)+SUMIFS(financeiro[valor],financeiro[IdAgente],B39,financeiro[idDet1],22,financeiro[idDet2],62,financeiro[idDet3],220,financeiro[id_grupo_tarifa],2,financeiro[id_detalhe_grupo_tarifa],9,financeiro[id_tipo_tarifa],9)+SUMIFS(financeiro[valor],financeiro[IdAgente],B39,financeiro[idDet1],22,financeiro[idDet2],62,financeiro[idDet3],220,financeiro[id_grupo_tarifa],2,financeiro[id_detalhe_grupo_tarifa],8,financeiro[id_tipo_tarifa],9)+SUMIFS(financeiro[valor],financeiro[IdAgente],B39,financeiro[idDet1],22,financeiro[idDet2],62,financeiro[idDet3],220,financeiro[id_grupo_tarifa],2,financeiro[id_detalhe_grupo_tarifa],10,financeiro[id_tipo_tarifa],9)+SUMIFS(financeiro[valor],financeiro[IdAgente],B39,financeiro[idDet1],22,financeiro[idDet2],62,financeiro[idDet3],220,financeiro[id_grupo_tarifa],2,financeiro[id_detalhe_grupo_tarifa],24,financeiro[id_tipo_tarifa],9)</f>
        <v>0</v>
      </c>
      <c r="BA39" s="267">
        <f>SUMIFS(financeiro[valor],financeiro[IdAgente],B39,financeiro[idDet1],22,financeiro[idDet2],60,financeiro[idDet3],220,financeiro[id_grupo_tarifa],2,financeiro[id_detalhe_grupo_tarifa],11,financeiro[id_tipo_tarifa],9)+SUMIFS(financeiro[valor],financeiro[IdAgente],B39,financeiro[idDet1],22,financeiro[idDet2],60,financeiro[idDet3],220,financeiro[id_grupo_tarifa],2,financeiro[id_detalhe_grupo_tarifa],9,financeiro[id_tipo_tarifa],9)+SUMIFS(financeiro[valor],financeiro[IdAgente],B39,financeiro[idDet1],22,financeiro[idDet2],60,financeiro[idDet3],220,financeiro[id_grupo_tarifa],2,financeiro[id_detalhe_grupo_tarifa],8,financeiro[id_tipo_tarifa],9)+SUMIFS(financeiro[valor],financeiro[IdAgente],B39,financeiro[idDet1],22,financeiro[idDet2],60,financeiro[idDet3],220,financeiro[id_grupo_tarifa],2,financeiro[id_detalhe_grupo_tarifa],10,financeiro[id_tipo_tarifa],9)+SUMIFS(financeiro[valor],financeiro[IdAgente],B39,financeiro[idDet1],22,financeiro[idDet2],60,financeiro[idDet3],220,financeiro[id_grupo_tarifa],2,financeiro[id_detalhe_grupo_tarifa],24,financeiro[id_tipo_tarifa],9)</f>
        <v>0</v>
      </c>
      <c r="BB39" s="267">
        <f>SUMIFS(financeiro[valor],financeiro[IdAgente],B39,financeiro[idDet1],22,financeiro[idDet2],60,financeiro[idDet3],102,financeiro[id_grupo_tarifa],2,financeiro[id_detalhe_grupo_tarifa],11,financeiro[id_tipo_tarifa],9)+SUMIFS(financeiro[valor],financeiro[IdAgente],B39,financeiro[idDet1],22,financeiro[idDet2],60,financeiro[idDet3],102,financeiro[id_grupo_tarifa],2,financeiro[id_detalhe_grupo_tarifa],9,financeiro[id_tipo_tarifa],9)+SUMIFS(financeiro[valor],financeiro[IdAgente],B39,financeiro[idDet1],22,financeiro[idDet2],60,financeiro[idDet3],102,financeiro[id_grupo_tarifa],2,financeiro[id_detalhe_grupo_tarifa],8,financeiro[id_tipo_tarifa],9)+SUMIFS(financeiro[valor],financeiro[IdAgente],B39,financeiro[idDet1],22,financeiro[idDet2],60,financeiro[idDet3],102,financeiro[id_grupo_tarifa],2,financeiro[id_detalhe_grupo_tarifa],10,financeiro[id_tipo_tarifa],9)+SUMIFS(financeiro[valor],financeiro[IdAgente],B39,financeiro[idDet1],22,financeiro[idDet2],60,financeiro[idDet3],102,financeiro[id_grupo_tarifa],2,financeiro[id_detalhe_grupo_tarifa],24,financeiro[id_tipo_tarifa],9)</f>
        <v>0</v>
      </c>
      <c r="BC39" s="267">
        <f>SUMIFS(financeiro[valor],financeiro[IdAgente],B39,financeiro[idDet1],22,financeiro[idDet2],60,financeiro[idDet3],522,financeiro[valor],"&lt;0")</f>
        <v>0</v>
      </c>
      <c r="BD39" s="267">
        <f>SUMIFS(financeiro[valor],financeiro[IdAgente],B39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39" s="267">
        <f>SUMIFS(financeiro[valor],financeiro[IdAgente],B39,financeiro[id_natureza_dado],2,financeiro[id_detalhe_natureza],2,financeiro[idDet1],20,financeiro[idDet2],60,financeiro[idDet3],82,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39" s="267">
        <f>SUMIFS(financeiro[valor],financeiro[IdAgente],B39,financeiro[id_natureza_dado],2,financeiro[id_detalhe_natureza],2,financeiro[idDet1],20,financeiro[idDet2],60,financeiro[idDet3],81,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39" s="267">
        <f>SUMIFS(financeiro[valor],financeiro[IdAgente],B39,financeiro[id_natureza_dado],2,financeiro[id_detalhe_natureza],2,financeiro[idDet1],20,financeiro[idDet2],60,financeiro[idDet3],503,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39" s="267">
        <f>SUMIFS(financeiro[valor],financeiro[IdAgente],B39,financeiro[idDet1],22,financeiro[idDet2],60,financeiro[idDet3],123)</f>
        <v>0</v>
      </c>
      <c r="BI39" s="267">
        <f>SUMIFS(financeiro[valor],financeiro[IdAgente],B39,financeiro[idDet1],20,financeiro[idDet2],60,financeiro[idDet3],73)</f>
        <v>0</v>
      </c>
      <c r="BJ39" s="267">
        <f>SUMIFS(financeiro[valor],financeiro[IdAgente],B39,financeiro[idDet1],22,financeiro[idDet2],60,financeiro[idDet3],527)</f>
        <v>0</v>
      </c>
      <c r="BK39" s="267">
        <f>SUMIFS(financeiro[valor],financeiro[IdAgente],B39,financeiro[idDet1],22,financeiro[idDet2],60,financeiro[idDet3],510)</f>
        <v>0</v>
      </c>
      <c r="BL39" s="267">
        <f>SUMIFS(financeiro[valor],financeiro[IdAgente],B39,financeiro[idDet1],22,financeiro[idDet2],60,financeiro[idDet3],526,
financeiro[id_grupo_tarifa],1,financeiro[id_detalhe_grupo_tarifa],3,financeiro[id_tipo_tarifa],9,financeiro[id_subgrupo],3)</f>
        <v>0</v>
      </c>
      <c r="BM39" s="267">
        <f>SUMIFS(financeiro[valor],financeiro[IdAgente],B39,financeiro[idDet1],22,financeiro[idDet2],60,financeiro[idDet3],999,
financeiro[id_grupo_tarifa],3,financeiro[id_detalhe_grupo_tarifa],17,financeiro[id_tipo_tarifa],9)</f>
        <v>0</v>
      </c>
      <c r="BN39" s="267">
        <f>SUMIFS(financeiro[valor],financeiro[IdAgente],B39,financeiro[idDet1],22,financeiro[idDet2],60,financeiro[idDet3],526,financeiro[id_grupo_tarifa],1,financeiro[id_detalhe_grupo_tarifa],7,financeiro[id_tipo_tarifa],9,financeiro[valor],"&lt;0")+SUMIFS(financeiro[valor],financeiro[IdAgente],B39,financeiro[idDet1],22,financeiro[idDet2],60,financeiro[idDet3],526,financeiro[id_grupo_tarifa],2,financeiro[id_detalhe_grupo_tarifa],11,financeiro[id_tipo_tarifa],9,financeiro[valor],"&lt;0")+SUMIFS(financeiro[valor],financeiro[IdAgente],B39,financeiro[idDet1],22,financeiro[idDet2],60,financeiro[idDet3],526,financeiro[id_grupo_tarifa],2,financeiro[id_detalhe_grupo_tarifa],8,financeiro[id_tipo_tarifa],9,financeiro[valor],"&lt;0")</f>
        <v>0</v>
      </c>
      <c r="BO39" s="267">
        <f>SUMIFS(financeiro[valor],financeiro[IdAgente],B39,financeiro[idDet1],22,financeiro[idDet2],60,financeiro[idDet3],999,financeiro[id_grupo_tarifa],4,financeiro[id_detalhe_grupo_tarifa],999,financeiro[id_tipo_tarifa],9,financeiro[valor],"&lt;0")</f>
        <v>0</v>
      </c>
      <c r="BP39" s="267">
        <f>SUMIFS(financeiro[valor],financeiro[IdAgente],B39,financeiro[idDet1],22,financeiro[idDet2],60,financeiro[idDet3],530,financeiro[valor],"&lt;0")</f>
        <v>0</v>
      </c>
      <c r="BQ39" s="267">
        <f>SUMIFS(financeiro[valor],financeiro[IdAgente],B39,financeiro[idDet1],22,financeiro[idDet2],60,financeiro[idDet3],531,financeiro[valor],"&lt;0")</f>
        <v>0</v>
      </c>
      <c r="BR39" s="267">
        <f>SUMIFS(financeiro[valor],financeiro[IdAgente],B39,financeiro[idDet1],22,financeiro[idDet2],62,financeiro[idDet3],532,financeiro[valor],"&lt;0")</f>
        <v>0</v>
      </c>
      <c r="BS39" s="267">
        <f>SUMIFS(financeiro[valor],financeiro[IdAgente],B39,financeiro[idDet1],22,financeiro[idDet2],62,financeiro[idDet3],533,financeiro[valor],"&lt;0")</f>
        <v>0</v>
      </c>
      <c r="BT39" s="267">
        <f>SUMIFS(financeiro[valor],financeiro[IdAgente],B39,financeiro[idDet1],22,financeiro[idDet2],62,financeiro[idDet3],534,financeiro[valor],"&lt;0")</f>
        <v>0</v>
      </c>
      <c r="BU39" s="4"/>
      <c r="BV39" s="4"/>
      <c r="BW39" s="210" t="s">
        <v>204</v>
      </c>
      <c r="BX39" t="str">
        <f>Efeito!B40</f>
        <v>NO SELECT</v>
      </c>
      <c r="BY39" s="267">
        <f>SUMIFS(Banco[valor],Banco[IdAgente],BX39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39" s="267">
        <f>SUMIFS(Banco[valor],Banco[IdAgente],BX39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39" s="267">
        <f>SUMIFS(Banco[valor],Banco[IdAgente],BX39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39" s="267">
        <f>SUMIFS(Banco[valor],Banco[IdAgente],BX39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39" s="267">
        <f>SUMIFS(Banco[valor],Banco[IdAgente],BX39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39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39" s="267">
        <f>SUMIFS(Banco[valor],Banco[IdAgente],BX39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39" s="267">
        <f>SUMIFS(Banco[valor],Banco[IdAgente],BX39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39" s="267">
        <f>SUMIFS(Banco[valor],Banco[IdAgente],BX39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39" s="267">
        <f>SUMIFS(Banco[valor],Banco[IdAgente],BX39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39" s="267">
        <f>SUMIFS(Banco[valor],Banco[IdAgente],BX39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39" s="267">
        <f>SUMIFS(Banco[valor],Banco[IdAgente],BX39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39" s="267">
        <f>SUMIFS(Banco[valor],Banco[IdAgente],BX39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39" s="267">
        <f>SUMIFS(Banco[valor],Banco[IdAgente],B39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39" s="267">
        <f>SUMIFS(Banco[valor],Banco[IdAgente],B39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39" s="267">
        <f>SUMIFS(Banco[valor],Banco[IdAgente],B39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  <c r="CN39" s="4"/>
    </row>
    <row r="40" spans="1:92">
      <c r="A40" t="s">
        <v>276</v>
      </c>
      <c r="B40" t="str">
        <f>Efeito!B41</f>
        <v>NO SELECT</v>
      </c>
      <c r="C40" s="267">
        <f>SUMIFS(Banco[valor],Banco[IdAgente],B40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40" s="267">
        <f>SUMIFS(Banco[valor],Banco[IdAgente],B40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40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40" s="267">
        <f>SUMIFS(Banco[valor],Banco[IdAgente],B40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40" s="267">
        <f>SUMIFS(Banco[valor],Banco[IdAgente],B40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40" s="267">
        <f>SUMIFS(Banco[valor],Banco[IdAgente],B40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40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40" s="267">
        <f>SUMIFS(Banco[valor],Banco[IdAgente],B40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40" s="267">
        <f>SUMIFS(Banco[valor],Banco[IdAgente],B40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40" s="267">
        <f>SUMIFS(Banco[valor],Banco[IdAgente],B40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40" s="267">
        <f>SUMIFS(Banco[valor],Banco[IdAgente],B40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40" s="267">
        <f>SUMIFS(Banco[valor],Banco[IdAgente],B40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40" s="267">
        <f>SUMIFS(Banco[valor],Banco[IdAgente],B40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40" s="267">
        <f>SUMIFS(Banco[valor],Banco[IdAgente],B40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40" s="267">
        <f>SUMIFS(Banco[valor],Banco[IdAgente],B40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40" s="267">
        <f t="shared" si="3"/>
        <v>0</v>
      </c>
      <c r="Q40" s="267">
        <f>SUMIFS(Banco[valor],Banco[IdAgente],B40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40" s="267">
        <f>SUMIFS(Banco[valor],Banco[IdAgente],B40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40" s="4"/>
      <c r="T40" s="4"/>
      <c r="U40" s="4"/>
      <c r="V40" s="267">
        <f>SUMIFS(financeiro[valor],financeiro[IdAgente],B40,financeiro[idDet1],22,financeiro[idDet2],60,financeiro[idDet3],526,financeiro[id_grupo_tarifa],1,financeiro[id_detalhe_grupo_tarifa],7,financeiro[id_tipo_tarifa],9,financeiro[id_subgrupo],99,financeiro[valor],"&gt;0")+SUMIFS(financeiro[valor],financeiro[IdAgente],B40,financeiro[idDet1],22,financeiro[idDet2],60,financeiro[idDet3],526,financeiro[id_grupo_tarifa],2,financeiro[id_detalhe_grupo_tarifa],11,financeiro[id_tipo_tarifa],9,financeiro[valor],"&gt;0")+SUMIFS(financeiro[valor],financeiro[IdAgente],B40,financeiro[idDet1],22,financeiro[idDet2],60,financeiro[idDet3],526,financeiro[id_grupo_tarifa],2,financeiro[id_detalhe_grupo_tarifa],9,financeiro[id_tipo_tarifa],9,financeiro[valor],"&gt;0")+SUMIFS(financeiro[valor],financeiro[IdAgente],B40,financeiro[idDet1],22,financeiro[idDet2],60,financeiro[idDet3],526,financeiro[id_grupo_tarifa],2,financeiro[id_detalhe_grupo_tarifa],8,financeiro[id_tipo_tarifa],9,financeiro[valor],"&gt;0")+SUMIFS(financeiro[valor],financeiro[IdAgente],B40,financeiro[idDet1],22,financeiro[idDet2],60,financeiro[idDet3],526,financeiro[id_grupo_tarifa],2,financeiro[id_detalhe_grupo_tarifa],10,financeiro[id_tipo_tarifa],9,financeiro[valor],"&gt;0")+SUMIFS(financeiro[valor],financeiro[IdAgente],B40,financeiro[idDet1],22,financeiro[idDet2],60,financeiro[idDet3],526,financeiro[id_grupo_tarifa],2,financeiro[id_detalhe_grupo_tarifa],24,financeiro[id_tipo_tarifa],9,financeiro[valor],"&gt;0")</f>
        <v>0</v>
      </c>
      <c r="W40" s="267">
        <f>SUMIFS(financeiro[valor],financeiro[IdAgente],B40,financeiro[idDet1],20,financeiro[idDet2],60,financeiro[idDet3],999,financeiro[id_grupo_tarifa],3,financeiro[id_detalhe_grupo_tarifa],14,financeiro[id_tipo_tarifa],9)+SUMIFS(financeiro[valor],financeiro[IdAgente],B40,financeiro[idDet1],20,financeiro[idDet2],60,financeiro[idDet3],999,financeiro[id_grupo_tarifa],3,financeiro[id_detalhe_grupo_tarifa],15,financeiro[id_tipo_tarifa],9)+SUMIFS(financeiro[valor],financeiro[IdAgente],B40,financeiro[idDet1],20,financeiro[idDet2],60,financeiro[idDet3],999,financeiro[id_grupo_tarifa],3,financeiro[id_detalhe_grupo_tarifa],16,financeiro[id_tipo_tarifa],9)+SUMIFS(financeiro[valor],financeiro[IdAgente],B40,financeiro[idDet1],20,financeiro[idDet2],60,financeiro[idDet3],999,financeiro[id_grupo_tarifa],3,financeiro[id_detalhe_grupo_tarifa],17,financeiro[id_tipo_tarifa],9)+SUMIFS(financeiro[valor],financeiro[IdAgente],B40,financeiro[idDet1],20,financeiro[idDet2],60,financeiro[idDet3],999,financeiro[id_grupo_tarifa],3,financeiro[id_detalhe_grupo_tarifa],18,financeiro[id_tipo_tarifa],9)+SUMIFS(financeiro[valor],financeiro[IdAgente],B40,financeiro[idDet1],20,financeiro[idDet2],60,financeiro[idDet3],999,financeiro[id_grupo_tarifa],3,financeiro[id_detalhe_grupo_tarifa],19,financeiro[id_tipo_tarifa],9)</f>
        <v>0</v>
      </c>
      <c r="X40" s="267">
        <f>SUMIFS(financeiro[valor],financeiro[IdAgente],B40,financeiro[idDet1],20,financeiro[idDet2],60,financeiro[idDet3],999,financeiro[id_grupo_tarifa],3,financeiro[id_detalhe_grupo_tarifa],12,financeiro[id_tipo_tarifa],9)+SUMIFS(financeiro[valor],financeiro[IdAgente],B40,financeiro[idDet1],20,financeiro[idDet2],60,financeiro[idDet3],999,financeiro[id_grupo_tarifa],4,financeiro[id_detalhe_grupo_tarifa],999,financeiro[id_tipo_tarifa],9)</f>
        <v>0</v>
      </c>
      <c r="Y40" s="267">
        <f>SUMIFS(financeiro[valor],financeiro[IdAgente],B40,financeiro[idDet1],20,financeiro[idDet2],60,financeiro[idDet3],179,financeiro[id_grupo_tarifa],99,financeiro[id_detalhe_grupo_tarifa],999,financeiro[id_tipo_tarifa],9)</f>
        <v>0</v>
      </c>
      <c r="Z40" s="267">
        <f>SUMIFS(financeiro[valor],financeiro[IdAgente],B40,financeiro[idDet1],20,financeiro[idDet2],60,financeiro[idDet3],999,financeiro[id_grupo_tarifa],2,financeiro[id_detalhe_grupo_tarifa],11,financeiro[id_tipo_tarifa],9,financeiro[valor],"&gt;0")+SUMIFS(financeiro[valor],financeiro[IdAgente],B40,financeiro[idDet1],20,financeiro[idDet2],60,financeiro[idDet3],999,financeiro[id_grupo_tarifa],2,financeiro[id_detalhe_grupo_tarifa],9,financeiro[id_tipo_tarifa],9,financeiro[valor],"&gt;0")+SUMIFS(financeiro[valor],financeiro[IdAgente],B40,financeiro[idDet1],20,financeiro[idDet2],60,financeiro[idDet3],999,financeiro[id_grupo_tarifa],2,financeiro[id_detalhe_grupo_tarifa],8,financeiro[id_tipo_tarifa],9,financeiro[valor],"&gt;0")+SUMIFS(financeiro[valor],financeiro[IdAgente],B40,financeiro[idDet1],20,financeiro[idDet2],60,financeiro[idDet3],999,financeiro[id_grupo_tarifa],2,financeiro[id_detalhe_grupo_tarifa],10,financeiro[id_tipo_tarifa],9,financeiro[valor],"&gt;0")+SUMIFS(financeiro[valor],financeiro[IdAgente],B40,financeiro[idDet1],20,financeiro[idDet2],60,financeiro[idDet3],999,financeiro[id_grupo_tarifa],2,financeiro[id_detalhe_grupo_tarifa],24,financeiro[id_tipo_tarifa],9,financeiro[valor],"&gt;0")+SUMIFS(financeiro[valor],financeiro[IdAgente],B40,financeiro[idDet1],20,financeiro[idDet2],60,financeiro[idDet3],999,financeiro[id_grupo_tarifa],2,financeiro[id_detalhe_grupo_tarifa],17,financeiro[id_tipo_tarifa],9,financeiro[valor],"&gt;0")+SUMIFS(financeiro[valor],financeiro[IdAgente],B40,financeiro[idDet1],999,financeiro[idDet2],999999,financeiro[idDet3],999,financeiro[id_grupo_tarifa],99,financeiro[id_detalhe_grupo_tarifa],999,financeiro[id_tipo_tarifa],9,financeiro[valor],"&gt;0")</f>
        <v>0</v>
      </c>
      <c r="AA40" s="267">
        <f>SUMIFS(financeiro[valor],financeiro[IdAgente],B40,financeiro[idDet1],22,financeiro[idDet2],60,financeiro[idDet3],529,financeiro[id_grupo_tarifa],1,financeiro[id_detalhe_grupo_tarifa],1,financeiro[id_tipo_tarifa],9,financeiro[valor],"&gt;0")+SUMIFS(financeiro[valor],financeiro[IdAgente],B40,financeiro[idDet1],22,financeiro[idDet2],60,financeiro[idDet3],529,financeiro[id_grupo_tarifa],1,financeiro[id_detalhe_grupo_tarifa],2,financeiro[id_tipo_tarifa],9,financeiro[valor],"&gt;0")</f>
        <v>0</v>
      </c>
      <c r="AB40" s="269"/>
      <c r="AC40" s="267">
        <f>SUMIFS(financeiro[valor],financeiro[IdAgente],B40,financeiro[idDet1],22,financeiro[idDet2],60,financeiro[idDet3],999,financeiro[id_grupo_tarifa],2,financeiro[id_detalhe_grupo_tarifa],30,financeiro[id_tipo_tarifa],9,financeiro[valor],"&gt;0")</f>
        <v>0</v>
      </c>
      <c r="AD40" s="267">
        <f>SUMIFS(financeiro[valor],financeiro[IdAgente],B40,financeiro[idDet1],22,financeiro[idDet2],60,financeiro[idDet3],178,financeiro[id_grupo_tarifa],1,financeiro[id_detalhe_grupo_tarifa],7,financeiro[id_tipo_tarifa],9)</f>
        <v>0</v>
      </c>
      <c r="AE40" s="267">
        <f>SUMIFS(financeiro[valor],financeiro[IdAgente],B40,financeiro[idDet1],22,financeiro[idDet2],60,financeiro[idDet3],242,financeiro[id_grupo_tarifa],4,financeiro[id_detalhe_grupo_tarifa],999,financeiro[id_tipo_tarifa],9)</f>
        <v>0</v>
      </c>
      <c r="AF40" s="267">
        <f>SUMIFS(financeiro[valor],financeiro[IdAgente],B40,financeiro[idDet1],22,financeiro[idDet2],60,financeiro[idDet3],525,financeiro[id_grupo_tarifa],2,financeiro[id_tipo_tarifa],9)</f>
        <v>0</v>
      </c>
      <c r="AG40" s="267">
        <f>SUMIFS(financeiro[valor],financeiro[IdAgente],B40,financeiro[idDet1],22,financeiro[idDet2],60,financeiro[idDet3],524)</f>
        <v>0</v>
      </c>
      <c r="AH40" s="269"/>
      <c r="AI40" s="267">
        <f>SUMIFS(financeiro[valor],financeiro[IdAgente],B40,financeiro[idDet1],22,financeiro[idDet2],60,financeiro[idDet3],523,financeiro[id_grupo_tarifa],2,financeiro[id_detalhe_grupo_tarifa],30,financeiro[id_tipo_tarifa],9)</f>
        <v>0</v>
      </c>
      <c r="AJ40" s="267">
        <f>SUMIFS(financeiro[valor],financeiro[IdAgente],B40,financeiro[idDet1],22,financeiro[idDet2],60,financeiro[idDet3],503,financeiro[id_grupo_tarifa],99,financeiro[id_detalhe_grupo_tarifa],999,financeiro[id_tipo_tarifa],3)</f>
        <v>0</v>
      </c>
      <c r="AK40" s="269"/>
      <c r="AL40" s="269"/>
      <c r="AM40" s="269"/>
      <c r="AN40" s="269"/>
      <c r="AO40" s="269"/>
      <c r="AP40" s="269"/>
      <c r="AQ40" s="269"/>
      <c r="AR40" s="269"/>
      <c r="AS40" s="269"/>
      <c r="AT40" s="267">
        <f>SUMIFS(financeiro[valor],financeiro[IdAgente],B40,financeiro[idDet1],22,financeiro[idDet2],60,financeiro[idDet3],235,financeiro[id_grupo_tarifa],4,financeiro[id_detalhe_grupo_tarifa],999,financeiro[id_tipo_tarifa],9)</f>
        <v>0</v>
      </c>
      <c r="AU40" s="267">
        <f>SUMIFS(financeiro[valor],financeiro[IdAgente],B40,financeiro[idDet1],22,financeiro[idDet2],60,financeiro[idDet3],512,financeiro[id_grupo_tarifa],3,financeiro[id_detalhe_grupo_tarifa],28,financeiro[id_tipo_tarifa],9)</f>
        <v>0</v>
      </c>
      <c r="AV40" s="267">
        <f>SUMIFS(financeiro[valor],financeiro[IdAgente],B40,financeiro[idDet1],22,financeiro[idDet2],60,financeiro[idDet3],241,financeiro[id_grupo_tarifa],2,financeiro[id_detalhe_grupo_tarifa],11,financeiro[id_tipo_tarifa],9)+SUMIFS(financeiro[valor],financeiro[IdAgente],B40,financeiro[idDet1],22,financeiro[idDet2],60,financeiro[idDet3],241,financeiro[id_grupo_tarifa],2,financeiro[id_detalhe_grupo_tarifa],9,financeiro[id_tipo_tarifa],9)+SUMIFS(financeiro[valor],financeiro[IdAgente],B40,financeiro[idDet1],22,financeiro[idDet2],60,financeiro[idDet3],241,financeiro[id_grupo_tarifa],2,financeiro[id_detalhe_grupo_tarifa],8,financeiro[id_tipo_tarifa],9)+SUMIFS(financeiro[valor],financeiro[IdAgente],B40,financeiro[idDet1],22,financeiro[idDet2],60,financeiro[idDet3],241,financeiro[id_grupo_tarifa],2,financeiro[id_detalhe_grupo_tarifa],10,financeiro[id_tipo_tarifa],9)+SUMIFS(financeiro[valor],financeiro[IdAgente],B40,financeiro[idDet1],22,financeiro[idDet2],60,financeiro[idDet3],241,financeiro[id_grupo_tarifa],2,financeiro[id_detalhe_grupo_tarifa],24,financeiro[id_tipo_tarifa],9)</f>
        <v>0</v>
      </c>
      <c r="AW40" s="267">
        <f>SUMIFS(financeiro[valor],financeiro[IdAgente],B40,financeiro[idDet1],22,financeiro[idDet2],60,financeiro[idDet3],241,financeiro[id_grupo_tarifa],3,financeiro[id_detalhe_grupo_tarifa],17,financeiro[id_tipo_tarifa],9)</f>
        <v>0</v>
      </c>
      <c r="AX40" s="267">
        <f>SUMIFS(financeiro[valor],financeiro[IdAgente],B40,financeiro[idDet1],22,financeiro[idDet2],60,financeiro[idDet3],240,financeiro[id_grupo_tarifa],2,financeiro[id_detalhe_grupo_tarifa],11,financeiro[id_tipo_tarifa],9)+SUMIFS(financeiro[valor],financeiro[IdAgente],B40,financeiro[idDet1],22,financeiro[idDet2],60,financeiro[idDet3],240,financeiro[id_grupo_tarifa],2,financeiro[id_detalhe_grupo_tarifa],9,financeiro[id_tipo_tarifa],9)+SUMIFS(financeiro[valor],financeiro[IdAgente],B40,financeiro[idDet1],22,financeiro[idDet2],60,financeiro[idDet3],240,financeiro[id_grupo_tarifa],2,financeiro[id_detalhe_grupo_tarifa],8,financeiro[id_tipo_tarifa],9)+SUMIFS(financeiro[valor],financeiro[IdAgente],B40,financeiro[idDet1],22,financeiro[idDet2],60,financeiro[idDet3],240,financeiro[id_grupo_tarifa],2,financeiro[id_detalhe_grupo_tarifa],10,financeiro[id_tipo_tarifa],9)+SUMIFS(financeiro[valor],financeiro[IdAgente],B40,financeiro[idDet1],22,financeiro[idDet2],60,financeiro[idDet3],240,financeiro[id_grupo_tarifa],2,financeiro[id_detalhe_grupo_tarifa],24,financeiro[id_tipo_tarifa],9)</f>
        <v>0</v>
      </c>
      <c r="AY40" s="267">
        <f>SUMIFS(financeiro[valor],financeiro[IdAgente],B40,financeiro[idDet1],22,financeiro[idDet2],60,financeiro[idDet3],106,financeiro[id_grupo_tarifa],2,financeiro[id_detalhe_grupo_tarifa],11,financeiro[id_tipo_tarifa],9)+SUMIFS(financeiro[valor],financeiro[IdAgente],B40,financeiro[idDet1],22,financeiro[idDet2],60,financeiro[idDet3],106,financeiro[id_grupo_tarifa],2,financeiro[id_detalhe_grupo_tarifa],9,financeiro[id_tipo_tarifa],9)+SUMIFS(financeiro[valor],financeiro[IdAgente],B40,financeiro[idDet1],22,financeiro[idDet2],60,financeiro[idDet3],106,financeiro[id_grupo_tarifa],2,financeiro[id_detalhe_grupo_tarifa],8,financeiro[id_tipo_tarifa],9)+SUMIFS(financeiro[valor],financeiro[IdAgente],B40,financeiro[idDet1],22,financeiro[idDet2],60,financeiro[idDet3],106,financeiro[id_grupo_tarifa],2,financeiro[id_detalhe_grupo_tarifa],10,financeiro[id_tipo_tarifa],9)+SUMIFS(financeiro[valor],financeiro[IdAgente],B40,financeiro[idDet1],22,financeiro[idDet2],60,financeiro[idDet3],106,financeiro[id_grupo_tarifa],2,financeiro[id_detalhe_grupo_tarifa],24,financeiro[id_tipo_tarifa],9)</f>
        <v>0</v>
      </c>
      <c r="AZ40" s="267">
        <f>SUMIFS(financeiro[valor],financeiro[IdAgente],B40,financeiro[idDet1],22,financeiro[idDet2],62,financeiro[idDet3],220,financeiro[id_grupo_tarifa],2,financeiro[id_detalhe_grupo_tarifa],11,financeiro[id_tipo_tarifa],9)+SUMIFS(financeiro[valor],financeiro[IdAgente],B40,financeiro[idDet1],22,financeiro[idDet2],62,financeiro[idDet3],220,financeiro[id_grupo_tarifa],2,financeiro[id_detalhe_grupo_tarifa],9,financeiro[id_tipo_tarifa],9)+SUMIFS(financeiro[valor],financeiro[IdAgente],B40,financeiro[idDet1],22,financeiro[idDet2],62,financeiro[idDet3],220,financeiro[id_grupo_tarifa],2,financeiro[id_detalhe_grupo_tarifa],8,financeiro[id_tipo_tarifa],9)+SUMIFS(financeiro[valor],financeiro[IdAgente],B40,financeiro[idDet1],22,financeiro[idDet2],62,financeiro[idDet3],220,financeiro[id_grupo_tarifa],2,financeiro[id_detalhe_grupo_tarifa],10,financeiro[id_tipo_tarifa],9)+SUMIFS(financeiro[valor],financeiro[IdAgente],B40,financeiro[idDet1],22,financeiro[idDet2],62,financeiro[idDet3],220,financeiro[id_grupo_tarifa],2,financeiro[id_detalhe_grupo_tarifa],24,financeiro[id_tipo_tarifa],9)</f>
        <v>0</v>
      </c>
      <c r="BA40" s="267">
        <f>SUMIFS(financeiro[valor],financeiro[IdAgente],B40,financeiro[idDet1],22,financeiro[idDet2],60,financeiro[idDet3],220,financeiro[id_grupo_tarifa],2,financeiro[id_detalhe_grupo_tarifa],11,financeiro[id_tipo_tarifa],9)+SUMIFS(financeiro[valor],financeiro[IdAgente],B40,financeiro[idDet1],22,financeiro[idDet2],60,financeiro[idDet3],220,financeiro[id_grupo_tarifa],2,financeiro[id_detalhe_grupo_tarifa],9,financeiro[id_tipo_tarifa],9)+SUMIFS(financeiro[valor],financeiro[IdAgente],B40,financeiro[idDet1],22,financeiro[idDet2],60,financeiro[idDet3],220,financeiro[id_grupo_tarifa],2,financeiro[id_detalhe_grupo_tarifa],8,financeiro[id_tipo_tarifa],9)+SUMIFS(financeiro[valor],financeiro[IdAgente],B40,financeiro[idDet1],22,financeiro[idDet2],60,financeiro[idDet3],220,financeiro[id_grupo_tarifa],2,financeiro[id_detalhe_grupo_tarifa],10,financeiro[id_tipo_tarifa],9)+SUMIFS(financeiro[valor],financeiro[IdAgente],B40,financeiro[idDet1],22,financeiro[idDet2],60,financeiro[idDet3],220,financeiro[id_grupo_tarifa],2,financeiro[id_detalhe_grupo_tarifa],24,financeiro[id_tipo_tarifa],9)</f>
        <v>0</v>
      </c>
      <c r="BB40" s="267">
        <f>SUMIFS(financeiro[valor],financeiro[IdAgente],B40,financeiro[idDet1],22,financeiro[idDet2],60,financeiro[idDet3],102,financeiro[id_grupo_tarifa],2,financeiro[id_detalhe_grupo_tarifa],11,financeiro[id_tipo_tarifa],9)+SUMIFS(financeiro[valor],financeiro[IdAgente],B40,financeiro[idDet1],22,financeiro[idDet2],60,financeiro[idDet3],102,financeiro[id_grupo_tarifa],2,financeiro[id_detalhe_grupo_tarifa],9,financeiro[id_tipo_tarifa],9)+SUMIFS(financeiro[valor],financeiro[IdAgente],B40,financeiro[idDet1],22,financeiro[idDet2],60,financeiro[idDet3],102,financeiro[id_grupo_tarifa],2,financeiro[id_detalhe_grupo_tarifa],8,financeiro[id_tipo_tarifa],9)+SUMIFS(financeiro[valor],financeiro[IdAgente],B40,financeiro[idDet1],22,financeiro[idDet2],60,financeiro[idDet3],102,financeiro[id_grupo_tarifa],2,financeiro[id_detalhe_grupo_tarifa],10,financeiro[id_tipo_tarifa],9)+SUMIFS(financeiro[valor],financeiro[IdAgente],B40,financeiro[idDet1],22,financeiro[idDet2],60,financeiro[idDet3],102,financeiro[id_grupo_tarifa],2,financeiro[id_detalhe_grupo_tarifa],24,financeiro[id_tipo_tarifa],9)</f>
        <v>0</v>
      </c>
      <c r="BC40" s="267">
        <f>SUMIFS(financeiro[valor],financeiro[IdAgente],B40,financeiro[idDet1],22,financeiro[idDet2],60,financeiro[idDet3],522,financeiro[valor],"&lt;0")</f>
        <v>0</v>
      </c>
      <c r="BD40" s="267">
        <f>SUMIFS(financeiro[valor],financeiro[IdAgente],B40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40" s="267">
        <f>SUMIFS(financeiro[valor],financeiro[IdAgente],B40,financeiro[id_natureza_dado],2,financeiro[id_detalhe_natureza],2,financeiro[idDet1],20,financeiro[idDet2],60,financeiro[idDet3],82,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40" s="267">
        <f>SUMIFS(financeiro[valor],financeiro[IdAgente],B40,financeiro[id_natureza_dado],2,financeiro[id_detalhe_natureza],2,financeiro[idDet1],20,financeiro[idDet2],60,financeiro[idDet3],81,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40" s="267">
        <f>SUMIFS(financeiro[valor],financeiro[IdAgente],B40,financeiro[id_natureza_dado],2,financeiro[id_detalhe_natureza],2,financeiro[idDet1],20,financeiro[idDet2],60,financeiro[idDet3],503,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40" s="267">
        <f>SUMIFS(financeiro[valor],financeiro[IdAgente],B40,financeiro[idDet1],22,financeiro[idDet2],60,financeiro[idDet3],123)</f>
        <v>0</v>
      </c>
      <c r="BI40" s="267">
        <f>SUMIFS(financeiro[valor],financeiro[IdAgente],B40,financeiro[idDet1],20,financeiro[idDet2],60,financeiro[idDet3],73)</f>
        <v>0</v>
      </c>
      <c r="BJ40" s="267">
        <f>SUMIFS(financeiro[valor],financeiro[IdAgente],B40,financeiro[idDet1],22,financeiro[idDet2],60,financeiro[idDet3],527)</f>
        <v>0</v>
      </c>
      <c r="BK40" s="267">
        <f>SUMIFS(financeiro[valor],financeiro[IdAgente],B40,financeiro[idDet1],22,financeiro[idDet2],60,financeiro[idDet3],510)</f>
        <v>0</v>
      </c>
      <c r="BL40" s="267">
        <f>SUMIFS(financeiro[valor],financeiro[IdAgente],B40,financeiro[idDet1],22,financeiro[idDet2],60,financeiro[idDet3],526,
financeiro[id_grupo_tarifa],1,financeiro[id_detalhe_grupo_tarifa],3,financeiro[id_tipo_tarifa],9,financeiro[id_subgrupo],3)</f>
        <v>0</v>
      </c>
      <c r="BM40" s="267">
        <f>SUMIFS(financeiro[valor],financeiro[IdAgente],B40,financeiro[idDet1],22,financeiro[idDet2],60,financeiro[idDet3],999,
financeiro[id_grupo_tarifa],3,financeiro[id_detalhe_grupo_tarifa],17,financeiro[id_tipo_tarifa],9)</f>
        <v>0</v>
      </c>
      <c r="BN40" s="267">
        <f>SUMIFS(financeiro[valor],financeiro[IdAgente],B40,financeiro[idDet1],22,financeiro[idDet2],60,financeiro[idDet3],526,financeiro[id_grupo_tarifa],1,financeiro[id_detalhe_grupo_tarifa],7,financeiro[id_tipo_tarifa],9,financeiro[valor],"&lt;0")+SUMIFS(financeiro[valor],financeiro[IdAgente],B40,financeiro[idDet1],22,financeiro[idDet2],60,financeiro[idDet3],526,financeiro[id_grupo_tarifa],2,financeiro[id_detalhe_grupo_tarifa],11,financeiro[id_tipo_tarifa],9,financeiro[valor],"&lt;0")+SUMIFS(financeiro[valor],financeiro[IdAgente],B40,financeiro[idDet1],22,financeiro[idDet2],60,financeiro[idDet3],526,financeiro[id_grupo_tarifa],2,financeiro[id_detalhe_grupo_tarifa],8,financeiro[id_tipo_tarifa],9,financeiro[valor],"&lt;0")</f>
        <v>0</v>
      </c>
      <c r="BO40" s="267">
        <f>SUMIFS(financeiro[valor],financeiro[IdAgente],B40,financeiro[idDet1],22,financeiro[idDet2],60,financeiro[idDet3],999,financeiro[id_grupo_tarifa],4,financeiro[id_detalhe_grupo_tarifa],999,financeiro[id_tipo_tarifa],9,financeiro[valor],"&lt;0")</f>
        <v>0</v>
      </c>
      <c r="BP40" s="267">
        <f>SUMIFS(financeiro[valor],financeiro[IdAgente],B40,financeiro[idDet1],22,financeiro[idDet2],60,financeiro[idDet3],530,financeiro[valor],"&lt;0")</f>
        <v>0</v>
      </c>
      <c r="BQ40" s="267">
        <f>SUMIFS(financeiro[valor],financeiro[IdAgente],B40,financeiro[idDet1],22,financeiro[idDet2],60,financeiro[idDet3],531,financeiro[valor],"&lt;0")</f>
        <v>0</v>
      </c>
      <c r="BR40" s="267">
        <f>SUMIFS(financeiro[valor],financeiro[IdAgente],B40,financeiro[idDet1],22,financeiro[idDet2],62,financeiro[idDet3],532,financeiro[valor],"&lt;0")</f>
        <v>0</v>
      </c>
      <c r="BS40" s="267">
        <f>SUMIFS(financeiro[valor],financeiro[IdAgente],B40,financeiro[idDet1],22,financeiro[idDet2],62,financeiro[idDet3],533,financeiro[valor],"&lt;0")</f>
        <v>0</v>
      </c>
      <c r="BT40" s="267">
        <f>SUMIFS(financeiro[valor],financeiro[IdAgente],B40,financeiro[idDet1],22,financeiro[idDet2],62,financeiro[idDet3],534,financeiro[valor],"&lt;0")</f>
        <v>0</v>
      </c>
      <c r="BU40" s="4"/>
      <c r="BV40" s="4"/>
      <c r="BW40" s="210" t="s">
        <v>276</v>
      </c>
      <c r="BX40" t="str">
        <f>Efeito!B41</f>
        <v>NO SELECT</v>
      </c>
      <c r="BY40" s="267">
        <f>SUMIFS(Banco[valor],Banco[IdAgente],BX40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40" s="267">
        <f>SUMIFS(Banco[valor],Banco[IdAgente],BX40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40" s="267">
        <f>SUMIFS(Banco[valor],Banco[IdAgente],BX40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40" s="267">
        <f>SUMIFS(Banco[valor],Banco[IdAgente],BX40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40" s="267">
        <f>SUMIFS(Banco[valor],Banco[IdAgente],BX40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40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40" s="267">
        <f>SUMIFS(Banco[valor],Banco[IdAgente],BX40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40" s="267">
        <f>SUMIFS(Banco[valor],Banco[IdAgente],BX40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40" s="267">
        <f>SUMIFS(Banco[valor],Banco[IdAgente],BX40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40" s="267">
        <f>SUMIFS(Banco[valor],Banco[IdAgente],BX40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40" s="267">
        <f>SUMIFS(Banco[valor],Banco[IdAgente],BX40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40" s="267">
        <f>SUMIFS(Banco[valor],Banco[IdAgente],BX40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40" s="267">
        <f>SUMIFS(Banco[valor],Banco[IdAgente],BX40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40" s="267">
        <f>SUMIFS(Banco[valor],Banco[IdAgente],B40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40" s="267">
        <f>SUMIFS(Banco[valor],Banco[IdAgente],B40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40" s="267">
        <f>SUMIFS(Banco[valor],Banco[IdAgente],B40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  <c r="CN40" s="4"/>
    </row>
    <row r="41" spans="1:92">
      <c r="A41" t="s">
        <v>210</v>
      </c>
      <c r="B41" t="str">
        <f>Efeito!B42</f>
        <v>NO SELECT</v>
      </c>
      <c r="C41" s="267">
        <f>SUMIFS(Banco[valor],Banco[IdAgente],B41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41" s="267">
        <f>SUMIFS(Banco[valor],Banco[IdAgente],B41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41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41" s="267">
        <f>SUMIFS(Banco[valor],Banco[IdAgente],B41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41" s="267">
        <f>SUMIFS(Banco[valor],Banco[IdAgente],B41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41" s="267">
        <f>SUMIFS(Banco[valor],Banco[IdAgente],B41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41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41" s="267">
        <f>SUMIFS(Banco[valor],Banco[IdAgente],B41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41" s="267">
        <f>SUMIFS(Banco[valor],Banco[IdAgente],B41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41" s="267">
        <f>SUMIFS(Banco[valor],Banco[IdAgente],B41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41" s="267">
        <f>SUMIFS(Banco[valor],Banco[IdAgente],B41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41" s="267">
        <f>SUMIFS(Banco[valor],Banco[IdAgente],B41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41" s="267">
        <f>SUMIFS(Banco[valor],Banco[IdAgente],B41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41" s="267">
        <f>SUMIFS(Banco[valor],Banco[IdAgente],B41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41" s="267">
        <f>SUMIFS(Banco[valor],Banco[IdAgente],B41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41" s="267">
        <f t="shared" si="3"/>
        <v>0</v>
      </c>
      <c r="Q41" s="267">
        <f>SUMIFS(Banco[valor],Banco[IdAgente],B41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41" s="267">
        <f>SUMIFS(Banco[valor],Banco[IdAgente],B41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41" s="4"/>
      <c r="T41" s="4"/>
      <c r="U41" s="4"/>
      <c r="V41" s="267">
        <f>SUMIFS(financeiro[valor],financeiro[IdAgente],B41,financeiro[idDet1],22,financeiro[idDet2],60,financeiro[idDet3],526,financeiro[id_grupo_tarifa],1,financeiro[id_detalhe_grupo_tarifa],7,financeiro[id_tipo_tarifa],9,financeiro[id_subgrupo],99,financeiro[valor],"&gt;0")+SUMIFS(financeiro[valor],financeiro[IdAgente],B41,financeiro[idDet1],22,financeiro[idDet2],60,financeiro[idDet3],526,financeiro[id_grupo_tarifa],2,financeiro[id_detalhe_grupo_tarifa],11,financeiro[id_tipo_tarifa],9,financeiro[valor],"&gt;0")+SUMIFS(financeiro[valor],financeiro[IdAgente],B41,financeiro[idDet1],22,financeiro[idDet2],60,financeiro[idDet3],526,financeiro[id_grupo_tarifa],2,financeiro[id_detalhe_grupo_tarifa],9,financeiro[id_tipo_tarifa],9,financeiro[valor],"&gt;0")+SUMIFS(financeiro[valor],financeiro[IdAgente],B41,financeiro[idDet1],22,financeiro[idDet2],60,financeiro[idDet3],526,financeiro[id_grupo_tarifa],2,financeiro[id_detalhe_grupo_tarifa],8,financeiro[id_tipo_tarifa],9,financeiro[valor],"&gt;0")+SUMIFS(financeiro[valor],financeiro[IdAgente],B41,financeiro[idDet1],22,financeiro[idDet2],60,financeiro[idDet3],526,financeiro[id_grupo_tarifa],2,financeiro[id_detalhe_grupo_tarifa],10,financeiro[id_tipo_tarifa],9,financeiro[valor],"&gt;0")+SUMIFS(financeiro[valor],financeiro[IdAgente],B41,financeiro[idDet1],22,financeiro[idDet2],60,financeiro[idDet3],526,financeiro[id_grupo_tarifa],2,financeiro[id_detalhe_grupo_tarifa],24,financeiro[id_tipo_tarifa],9,financeiro[valor],"&gt;0")</f>
        <v>0</v>
      </c>
      <c r="W41" s="267">
        <f>SUMIFS(financeiro[valor],financeiro[IdAgente],B41,financeiro[idDet1],20,financeiro[idDet2],60,financeiro[idDet3],999,financeiro[id_grupo_tarifa],3,financeiro[id_detalhe_grupo_tarifa],14,financeiro[id_tipo_tarifa],9)+SUMIFS(financeiro[valor],financeiro[IdAgente],B41,financeiro[idDet1],20,financeiro[idDet2],60,financeiro[idDet3],999,financeiro[id_grupo_tarifa],3,financeiro[id_detalhe_grupo_tarifa],15,financeiro[id_tipo_tarifa],9)+SUMIFS(financeiro[valor],financeiro[IdAgente],B41,financeiro[idDet1],20,financeiro[idDet2],60,financeiro[idDet3],999,financeiro[id_grupo_tarifa],3,financeiro[id_detalhe_grupo_tarifa],16,financeiro[id_tipo_tarifa],9)+SUMIFS(financeiro[valor],financeiro[IdAgente],B41,financeiro[idDet1],20,financeiro[idDet2],60,financeiro[idDet3],999,financeiro[id_grupo_tarifa],3,financeiro[id_detalhe_grupo_tarifa],17,financeiro[id_tipo_tarifa],9)+SUMIFS(financeiro[valor],financeiro[IdAgente],B41,financeiro[idDet1],20,financeiro[idDet2],60,financeiro[idDet3],999,financeiro[id_grupo_tarifa],3,financeiro[id_detalhe_grupo_tarifa],18,financeiro[id_tipo_tarifa],9)+SUMIFS(financeiro[valor],financeiro[IdAgente],B41,financeiro[idDet1],20,financeiro[idDet2],60,financeiro[idDet3],999,financeiro[id_grupo_tarifa],3,financeiro[id_detalhe_grupo_tarifa],19,financeiro[id_tipo_tarifa],9)</f>
        <v>0</v>
      </c>
      <c r="X41" s="267">
        <f>SUMIFS(financeiro[valor],financeiro[IdAgente],B41,financeiro[idDet1],20,financeiro[idDet2],60,financeiro[idDet3],999,financeiro[id_grupo_tarifa],3,financeiro[id_detalhe_grupo_tarifa],12,financeiro[id_tipo_tarifa],9)+SUMIFS(financeiro[valor],financeiro[IdAgente],B41,financeiro[idDet1],20,financeiro[idDet2],60,financeiro[idDet3],999,financeiro[id_grupo_tarifa],4,financeiro[id_detalhe_grupo_tarifa],999,financeiro[id_tipo_tarifa],9)</f>
        <v>0</v>
      </c>
      <c r="Y41" s="267">
        <f>SUMIFS(financeiro[valor],financeiro[IdAgente],B41,financeiro[idDet1],20,financeiro[idDet2],60,financeiro[idDet3],179,financeiro[id_grupo_tarifa],99,financeiro[id_detalhe_grupo_tarifa],999,financeiro[id_tipo_tarifa],9)</f>
        <v>0</v>
      </c>
      <c r="Z41" s="267">
        <f>SUMIFS(financeiro[valor],financeiro[IdAgente],B41,financeiro[idDet1],20,financeiro[idDet2],60,financeiro[idDet3],999,financeiro[id_grupo_tarifa],2,financeiro[id_detalhe_grupo_tarifa],11,financeiro[id_tipo_tarifa],9,financeiro[valor],"&gt;0")+SUMIFS(financeiro[valor],financeiro[IdAgente],B41,financeiro[idDet1],20,financeiro[idDet2],60,financeiro[idDet3],999,financeiro[id_grupo_tarifa],2,financeiro[id_detalhe_grupo_tarifa],9,financeiro[id_tipo_tarifa],9,financeiro[valor],"&gt;0")+SUMIFS(financeiro[valor],financeiro[IdAgente],B41,financeiro[idDet1],20,financeiro[idDet2],60,financeiro[idDet3],999,financeiro[id_grupo_tarifa],2,financeiro[id_detalhe_grupo_tarifa],8,financeiro[id_tipo_tarifa],9,financeiro[valor],"&gt;0")+SUMIFS(financeiro[valor],financeiro[IdAgente],B41,financeiro[idDet1],20,financeiro[idDet2],60,financeiro[idDet3],999,financeiro[id_grupo_tarifa],2,financeiro[id_detalhe_grupo_tarifa],10,financeiro[id_tipo_tarifa],9,financeiro[valor],"&gt;0")+SUMIFS(financeiro[valor],financeiro[IdAgente],B41,financeiro[idDet1],20,financeiro[idDet2],60,financeiro[idDet3],999,financeiro[id_grupo_tarifa],2,financeiro[id_detalhe_grupo_tarifa],24,financeiro[id_tipo_tarifa],9,financeiro[valor],"&gt;0")+SUMIFS(financeiro[valor],financeiro[IdAgente],B41,financeiro[idDet1],20,financeiro[idDet2],60,financeiro[idDet3],999,financeiro[id_grupo_tarifa],2,financeiro[id_detalhe_grupo_tarifa],17,financeiro[id_tipo_tarifa],9,financeiro[valor],"&gt;0")+SUMIFS(financeiro[valor],financeiro[IdAgente],B41,financeiro[idDet1],999,financeiro[idDet2],999999,financeiro[idDet3],999,financeiro[id_grupo_tarifa],99,financeiro[id_detalhe_grupo_tarifa],999,financeiro[id_tipo_tarifa],9,financeiro[valor],"&gt;0")</f>
        <v>0</v>
      </c>
      <c r="AA41" s="267">
        <f>SUMIFS(financeiro[valor],financeiro[IdAgente],B41,financeiro[idDet1],22,financeiro[idDet2],60,financeiro[idDet3],529,financeiro[id_grupo_tarifa],1,financeiro[id_detalhe_grupo_tarifa],1,financeiro[id_tipo_tarifa],9,financeiro[valor],"&gt;0")+SUMIFS(financeiro[valor],financeiro[IdAgente],B41,financeiro[idDet1],22,financeiro[idDet2],60,financeiro[idDet3],529,financeiro[id_grupo_tarifa],1,financeiro[id_detalhe_grupo_tarifa],2,financeiro[id_tipo_tarifa],9,financeiro[valor],"&gt;0")</f>
        <v>0</v>
      </c>
      <c r="AB41" s="269"/>
      <c r="AC41" s="267">
        <f>SUMIFS(financeiro[valor],financeiro[IdAgente],B41,financeiro[idDet1],22,financeiro[idDet2],60,financeiro[idDet3],999,financeiro[id_grupo_tarifa],2,financeiro[id_detalhe_grupo_tarifa],30,financeiro[id_tipo_tarifa],9,financeiro[valor],"&gt;0")</f>
        <v>0</v>
      </c>
      <c r="AD41" s="267">
        <f>SUMIFS(financeiro[valor],financeiro[IdAgente],B41,financeiro[idDet1],22,financeiro[idDet2],60,financeiro[idDet3],178,financeiro[id_grupo_tarifa],1,financeiro[id_detalhe_grupo_tarifa],7,financeiro[id_tipo_tarifa],9)</f>
        <v>0</v>
      </c>
      <c r="AE41" s="267">
        <f>SUMIFS(financeiro[valor],financeiro[IdAgente],B41,financeiro[idDet1],22,financeiro[idDet2],60,financeiro[idDet3],242,financeiro[id_grupo_tarifa],4,financeiro[id_detalhe_grupo_tarifa],999,financeiro[id_tipo_tarifa],9)</f>
        <v>0</v>
      </c>
      <c r="AF41" s="267">
        <f>SUMIFS(financeiro[valor],financeiro[IdAgente],B41,financeiro[idDet1],22,financeiro[idDet2],60,financeiro[idDet3],525,financeiro[id_grupo_tarifa],2,financeiro[id_tipo_tarifa],9)</f>
        <v>0</v>
      </c>
      <c r="AG41" s="267">
        <f>SUMIFS(financeiro[valor],financeiro[IdAgente],B41,financeiro[idDet1],22,financeiro[idDet2],60,financeiro[idDet3],524)</f>
        <v>0</v>
      </c>
      <c r="AH41" s="269"/>
      <c r="AI41" s="267">
        <f>SUMIFS(financeiro[valor],financeiro[IdAgente],B41,financeiro[idDet1],22,financeiro[idDet2],60,financeiro[idDet3],523,financeiro[id_grupo_tarifa],2,financeiro[id_detalhe_grupo_tarifa],30,financeiro[id_tipo_tarifa],9)</f>
        <v>0</v>
      </c>
      <c r="AJ41" s="267">
        <f>SUMIFS(financeiro[valor],financeiro[IdAgente],B41,financeiro[idDet1],22,financeiro[idDet2],60,financeiro[idDet3],503,financeiro[id_grupo_tarifa],99,financeiro[id_detalhe_grupo_tarifa],999,financeiro[id_tipo_tarifa],3)</f>
        <v>0</v>
      </c>
      <c r="AK41" s="269"/>
      <c r="AL41" s="269"/>
      <c r="AM41" s="269"/>
      <c r="AN41" s="269"/>
      <c r="AO41" s="269"/>
      <c r="AP41" s="269"/>
      <c r="AQ41" s="269"/>
      <c r="AR41" s="269"/>
      <c r="AS41" s="269"/>
      <c r="AT41" s="267">
        <f>SUMIFS(financeiro[valor],financeiro[IdAgente],B41,financeiro[idDet1],22,financeiro[idDet2],60,financeiro[idDet3],235,financeiro[id_grupo_tarifa],4,financeiro[id_detalhe_grupo_tarifa],999,financeiro[id_tipo_tarifa],9)</f>
        <v>0</v>
      </c>
      <c r="AU41" s="267">
        <f>SUMIFS(financeiro[valor],financeiro[IdAgente],B41,financeiro[idDet1],22,financeiro[idDet2],60,financeiro[idDet3],512,financeiro[id_grupo_tarifa],3,financeiro[id_detalhe_grupo_tarifa],28,financeiro[id_tipo_tarifa],9)</f>
        <v>0</v>
      </c>
      <c r="AV41" s="267">
        <f>SUMIFS(financeiro[valor],financeiro[IdAgente],B41,financeiro[idDet1],22,financeiro[idDet2],60,financeiro[idDet3],241,financeiro[id_grupo_tarifa],2,financeiro[id_detalhe_grupo_tarifa],11,financeiro[id_tipo_tarifa],9)+SUMIFS(financeiro[valor],financeiro[IdAgente],B41,financeiro[idDet1],22,financeiro[idDet2],60,financeiro[idDet3],241,financeiro[id_grupo_tarifa],2,financeiro[id_detalhe_grupo_tarifa],9,financeiro[id_tipo_tarifa],9)+SUMIFS(financeiro[valor],financeiro[IdAgente],B41,financeiro[idDet1],22,financeiro[idDet2],60,financeiro[idDet3],241,financeiro[id_grupo_tarifa],2,financeiro[id_detalhe_grupo_tarifa],8,financeiro[id_tipo_tarifa],9)+SUMIFS(financeiro[valor],financeiro[IdAgente],B41,financeiro[idDet1],22,financeiro[idDet2],60,financeiro[idDet3],241,financeiro[id_grupo_tarifa],2,financeiro[id_detalhe_grupo_tarifa],10,financeiro[id_tipo_tarifa],9)+SUMIFS(financeiro[valor],financeiro[IdAgente],B41,financeiro[idDet1],22,financeiro[idDet2],60,financeiro[idDet3],241,financeiro[id_grupo_tarifa],2,financeiro[id_detalhe_grupo_tarifa],24,financeiro[id_tipo_tarifa],9)</f>
        <v>0</v>
      </c>
      <c r="AW41" s="267">
        <f>SUMIFS(financeiro[valor],financeiro[IdAgente],B41,financeiro[idDet1],22,financeiro[idDet2],60,financeiro[idDet3],241,financeiro[id_grupo_tarifa],3,financeiro[id_detalhe_grupo_tarifa],17,financeiro[id_tipo_tarifa],9)</f>
        <v>0</v>
      </c>
      <c r="AX41" s="267">
        <f>SUMIFS(financeiro[valor],financeiro[IdAgente],B41,financeiro[idDet1],22,financeiro[idDet2],60,financeiro[idDet3],240,financeiro[id_grupo_tarifa],2,financeiro[id_detalhe_grupo_tarifa],11,financeiro[id_tipo_tarifa],9)+SUMIFS(financeiro[valor],financeiro[IdAgente],B41,financeiro[idDet1],22,financeiro[idDet2],60,financeiro[idDet3],240,financeiro[id_grupo_tarifa],2,financeiro[id_detalhe_grupo_tarifa],9,financeiro[id_tipo_tarifa],9)+SUMIFS(financeiro[valor],financeiro[IdAgente],B41,financeiro[idDet1],22,financeiro[idDet2],60,financeiro[idDet3],240,financeiro[id_grupo_tarifa],2,financeiro[id_detalhe_grupo_tarifa],8,financeiro[id_tipo_tarifa],9)+SUMIFS(financeiro[valor],financeiro[IdAgente],B41,financeiro[idDet1],22,financeiro[idDet2],60,financeiro[idDet3],240,financeiro[id_grupo_tarifa],2,financeiro[id_detalhe_grupo_tarifa],10,financeiro[id_tipo_tarifa],9)+SUMIFS(financeiro[valor],financeiro[IdAgente],B41,financeiro[idDet1],22,financeiro[idDet2],60,financeiro[idDet3],240,financeiro[id_grupo_tarifa],2,financeiro[id_detalhe_grupo_tarifa],24,financeiro[id_tipo_tarifa],9)</f>
        <v>0</v>
      </c>
      <c r="AY41" s="267">
        <f>SUMIFS(financeiro[valor],financeiro[IdAgente],B41,financeiro[idDet1],22,financeiro[idDet2],60,financeiro[idDet3],106,financeiro[id_grupo_tarifa],2,financeiro[id_detalhe_grupo_tarifa],11,financeiro[id_tipo_tarifa],9)+SUMIFS(financeiro[valor],financeiro[IdAgente],B41,financeiro[idDet1],22,financeiro[idDet2],60,financeiro[idDet3],106,financeiro[id_grupo_tarifa],2,financeiro[id_detalhe_grupo_tarifa],9,financeiro[id_tipo_tarifa],9)+SUMIFS(financeiro[valor],financeiro[IdAgente],B41,financeiro[idDet1],22,financeiro[idDet2],60,financeiro[idDet3],106,financeiro[id_grupo_tarifa],2,financeiro[id_detalhe_grupo_tarifa],8,financeiro[id_tipo_tarifa],9)+SUMIFS(financeiro[valor],financeiro[IdAgente],B41,financeiro[idDet1],22,financeiro[idDet2],60,financeiro[idDet3],106,financeiro[id_grupo_tarifa],2,financeiro[id_detalhe_grupo_tarifa],10,financeiro[id_tipo_tarifa],9)+SUMIFS(financeiro[valor],financeiro[IdAgente],B41,financeiro[idDet1],22,financeiro[idDet2],60,financeiro[idDet3],106,financeiro[id_grupo_tarifa],2,financeiro[id_detalhe_grupo_tarifa],24,financeiro[id_tipo_tarifa],9)</f>
        <v>0</v>
      </c>
      <c r="AZ41" s="267">
        <f>SUMIFS(financeiro[valor],financeiro[IdAgente],B41,financeiro[idDet1],22,financeiro[idDet2],62,financeiro[idDet3],220,financeiro[id_grupo_tarifa],2,financeiro[id_detalhe_grupo_tarifa],11,financeiro[id_tipo_tarifa],9)+SUMIFS(financeiro[valor],financeiro[IdAgente],B41,financeiro[idDet1],22,financeiro[idDet2],62,financeiro[idDet3],220,financeiro[id_grupo_tarifa],2,financeiro[id_detalhe_grupo_tarifa],9,financeiro[id_tipo_tarifa],9)+SUMIFS(financeiro[valor],financeiro[IdAgente],B41,financeiro[idDet1],22,financeiro[idDet2],62,financeiro[idDet3],220,financeiro[id_grupo_tarifa],2,financeiro[id_detalhe_grupo_tarifa],8,financeiro[id_tipo_tarifa],9)+SUMIFS(financeiro[valor],financeiro[IdAgente],B41,financeiro[idDet1],22,financeiro[idDet2],62,financeiro[idDet3],220,financeiro[id_grupo_tarifa],2,financeiro[id_detalhe_grupo_tarifa],10,financeiro[id_tipo_tarifa],9)+SUMIFS(financeiro[valor],financeiro[IdAgente],B41,financeiro[idDet1],22,financeiro[idDet2],62,financeiro[idDet3],220,financeiro[id_grupo_tarifa],2,financeiro[id_detalhe_grupo_tarifa],24,financeiro[id_tipo_tarifa],9)</f>
        <v>0</v>
      </c>
      <c r="BA41" s="267">
        <f>SUMIFS(financeiro[valor],financeiro[IdAgente],B41,financeiro[idDet1],22,financeiro[idDet2],60,financeiro[idDet3],220,financeiro[id_grupo_tarifa],2,financeiro[id_detalhe_grupo_tarifa],11,financeiro[id_tipo_tarifa],9)+SUMIFS(financeiro[valor],financeiro[IdAgente],B41,financeiro[idDet1],22,financeiro[idDet2],60,financeiro[idDet3],220,financeiro[id_grupo_tarifa],2,financeiro[id_detalhe_grupo_tarifa],9,financeiro[id_tipo_tarifa],9)+SUMIFS(financeiro[valor],financeiro[IdAgente],B41,financeiro[idDet1],22,financeiro[idDet2],60,financeiro[idDet3],220,financeiro[id_grupo_tarifa],2,financeiro[id_detalhe_grupo_tarifa],8,financeiro[id_tipo_tarifa],9)+SUMIFS(financeiro[valor],financeiro[IdAgente],B41,financeiro[idDet1],22,financeiro[idDet2],60,financeiro[idDet3],220,financeiro[id_grupo_tarifa],2,financeiro[id_detalhe_grupo_tarifa],10,financeiro[id_tipo_tarifa],9)+SUMIFS(financeiro[valor],financeiro[IdAgente],B41,financeiro[idDet1],22,financeiro[idDet2],60,financeiro[idDet3],220,financeiro[id_grupo_tarifa],2,financeiro[id_detalhe_grupo_tarifa],24,financeiro[id_tipo_tarifa],9)</f>
        <v>0</v>
      </c>
      <c r="BB41" s="267">
        <f>SUMIFS(financeiro[valor],financeiro[IdAgente],B41,financeiro[idDet1],22,financeiro[idDet2],60,financeiro[idDet3],102,financeiro[id_grupo_tarifa],2,financeiro[id_detalhe_grupo_tarifa],11,financeiro[id_tipo_tarifa],9)+SUMIFS(financeiro[valor],financeiro[IdAgente],B41,financeiro[idDet1],22,financeiro[idDet2],60,financeiro[idDet3],102,financeiro[id_grupo_tarifa],2,financeiro[id_detalhe_grupo_tarifa],9,financeiro[id_tipo_tarifa],9)+SUMIFS(financeiro[valor],financeiro[IdAgente],B41,financeiro[idDet1],22,financeiro[idDet2],60,financeiro[idDet3],102,financeiro[id_grupo_tarifa],2,financeiro[id_detalhe_grupo_tarifa],8,financeiro[id_tipo_tarifa],9)+SUMIFS(financeiro[valor],financeiro[IdAgente],B41,financeiro[idDet1],22,financeiro[idDet2],60,financeiro[idDet3],102,financeiro[id_grupo_tarifa],2,financeiro[id_detalhe_grupo_tarifa],10,financeiro[id_tipo_tarifa],9)+SUMIFS(financeiro[valor],financeiro[IdAgente],B41,financeiro[idDet1],22,financeiro[idDet2],60,financeiro[idDet3],102,financeiro[id_grupo_tarifa],2,financeiro[id_detalhe_grupo_tarifa],24,financeiro[id_tipo_tarifa],9)</f>
        <v>0</v>
      </c>
      <c r="BC41" s="267">
        <f>SUMIFS(financeiro[valor],financeiro[IdAgente],B41,financeiro[idDet1],22,financeiro[idDet2],60,financeiro[idDet3],522,financeiro[valor],"&lt;0")</f>
        <v>0</v>
      </c>
      <c r="BD41" s="267">
        <f>SUMIFS(financeiro[valor],financeiro[IdAgente],B41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41" s="267">
        <f>SUMIFS(financeiro[valor],financeiro[IdAgente],B41,financeiro[id_natureza_dado],2,financeiro[id_detalhe_natureza],2,financeiro[idDet1],20,financeiro[idDet2],60,financeiro[idDet3],82,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41" s="267">
        <f>SUMIFS(financeiro[valor],financeiro[IdAgente],B41,financeiro[id_natureza_dado],2,financeiro[id_detalhe_natureza],2,financeiro[idDet1],20,financeiro[idDet2],60,financeiro[idDet3],81,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41" s="267">
        <f>SUMIFS(financeiro[valor],financeiro[IdAgente],B41,financeiro[id_natureza_dado],2,financeiro[id_detalhe_natureza],2,financeiro[idDet1],20,financeiro[idDet2],60,financeiro[idDet3],503,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41" s="267">
        <f>SUMIFS(financeiro[valor],financeiro[IdAgente],B41,financeiro[idDet1],22,financeiro[idDet2],60,financeiro[idDet3],123)</f>
        <v>0</v>
      </c>
      <c r="BI41" s="267">
        <f>SUMIFS(financeiro[valor],financeiro[IdAgente],B41,financeiro[idDet1],20,financeiro[idDet2],60,financeiro[idDet3],73)</f>
        <v>0</v>
      </c>
      <c r="BJ41" s="267">
        <f>SUMIFS(financeiro[valor],financeiro[IdAgente],B41,financeiro[idDet1],22,financeiro[idDet2],60,financeiro[idDet3],527)</f>
        <v>0</v>
      </c>
      <c r="BK41" s="267">
        <f>SUMIFS(financeiro[valor],financeiro[IdAgente],B41,financeiro[idDet1],22,financeiro[idDet2],60,financeiro[idDet3],510)</f>
        <v>0</v>
      </c>
      <c r="BL41" s="267">
        <f>SUMIFS(financeiro[valor],financeiro[IdAgente],B41,financeiro[idDet1],22,financeiro[idDet2],60,financeiro[idDet3],526,
financeiro[id_grupo_tarifa],1,financeiro[id_detalhe_grupo_tarifa],3,financeiro[id_tipo_tarifa],9,financeiro[id_subgrupo],3)</f>
        <v>0</v>
      </c>
      <c r="BM41" s="267">
        <f>SUMIFS(financeiro[valor],financeiro[IdAgente],B41,financeiro[idDet1],22,financeiro[idDet2],60,financeiro[idDet3],999,
financeiro[id_grupo_tarifa],3,financeiro[id_detalhe_grupo_tarifa],17,financeiro[id_tipo_tarifa],9)</f>
        <v>0</v>
      </c>
      <c r="BN41" s="267">
        <f>SUMIFS(financeiro[valor],financeiro[IdAgente],B41,financeiro[idDet1],22,financeiro[idDet2],60,financeiro[idDet3],526,financeiro[id_grupo_tarifa],1,financeiro[id_detalhe_grupo_tarifa],7,financeiro[id_tipo_tarifa],9,financeiro[valor],"&lt;0")+SUMIFS(financeiro[valor],financeiro[IdAgente],B41,financeiro[idDet1],22,financeiro[idDet2],60,financeiro[idDet3],526,financeiro[id_grupo_tarifa],2,financeiro[id_detalhe_grupo_tarifa],11,financeiro[id_tipo_tarifa],9,financeiro[valor],"&lt;0")+SUMIFS(financeiro[valor],financeiro[IdAgente],B41,financeiro[idDet1],22,financeiro[idDet2],60,financeiro[idDet3],526,financeiro[id_grupo_tarifa],2,financeiro[id_detalhe_grupo_tarifa],8,financeiro[id_tipo_tarifa],9,financeiro[valor],"&lt;0")</f>
        <v>0</v>
      </c>
      <c r="BO41" s="267">
        <f>SUMIFS(financeiro[valor],financeiro[IdAgente],B41,financeiro[idDet1],22,financeiro[idDet2],60,financeiro[idDet3],999,financeiro[id_grupo_tarifa],4,financeiro[id_detalhe_grupo_tarifa],999,financeiro[id_tipo_tarifa],9,financeiro[valor],"&lt;0")</f>
        <v>0</v>
      </c>
      <c r="BP41" s="267">
        <f>SUMIFS(financeiro[valor],financeiro[IdAgente],B41,financeiro[idDet1],22,financeiro[idDet2],60,financeiro[idDet3],530,financeiro[valor],"&lt;0")</f>
        <v>0</v>
      </c>
      <c r="BQ41" s="267">
        <f>SUMIFS(financeiro[valor],financeiro[IdAgente],B41,financeiro[idDet1],22,financeiro[idDet2],60,financeiro[idDet3],531,financeiro[valor],"&lt;0")</f>
        <v>0</v>
      </c>
      <c r="BR41" s="267">
        <f>SUMIFS(financeiro[valor],financeiro[IdAgente],B41,financeiro[idDet1],22,financeiro[idDet2],62,financeiro[idDet3],532,financeiro[valor],"&lt;0")</f>
        <v>0</v>
      </c>
      <c r="BS41" s="267">
        <f>SUMIFS(financeiro[valor],financeiro[IdAgente],B41,financeiro[idDet1],22,financeiro[idDet2],62,financeiro[idDet3],533,financeiro[valor],"&lt;0")</f>
        <v>0</v>
      </c>
      <c r="BT41" s="267">
        <f>SUMIFS(financeiro[valor],financeiro[IdAgente],B41,financeiro[idDet1],22,financeiro[idDet2],62,financeiro[idDet3],534,financeiro[valor],"&lt;0")</f>
        <v>0</v>
      </c>
      <c r="BU41" s="4"/>
      <c r="BV41" s="4"/>
      <c r="BW41" s="210" t="s">
        <v>210</v>
      </c>
      <c r="BX41" t="str">
        <f>Efeito!B42</f>
        <v>NO SELECT</v>
      </c>
      <c r="BY41" s="267">
        <f>SUMIFS(Banco[valor],Banco[IdAgente],BX41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41" s="267">
        <f>SUMIFS(Banco[valor],Banco[IdAgente],BX41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41" s="267">
        <f>SUMIFS(Banco[valor],Banco[IdAgente],BX41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41" s="267">
        <f>SUMIFS(Banco[valor],Banco[IdAgente],BX41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41" s="267">
        <f>SUMIFS(Banco[valor],Banco[IdAgente],BX41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41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41" s="267">
        <f>SUMIFS(Banco[valor],Banco[IdAgente],BX41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41" s="267">
        <f>SUMIFS(Banco[valor],Banco[IdAgente],BX41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41" s="267">
        <f>SUMIFS(Banco[valor],Banco[IdAgente],BX41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41" s="267">
        <f>SUMIFS(Banco[valor],Banco[IdAgente],BX41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41" s="267">
        <f>SUMIFS(Banco[valor],Banco[IdAgente],BX41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41" s="267">
        <f>SUMIFS(Banco[valor],Banco[IdAgente],BX41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41" s="267">
        <f>SUMIFS(Banco[valor],Banco[IdAgente],BX41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41" s="267">
        <f>SUMIFS(Banco[valor],Banco[IdAgente],B41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41" s="267">
        <f>SUMIFS(Banco[valor],Banco[IdAgente],B41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41" s="267">
        <f>SUMIFS(Banco[valor],Banco[IdAgente],B41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  <c r="CN41" s="4"/>
    </row>
    <row r="42" spans="1:92">
      <c r="A42" t="s">
        <v>213</v>
      </c>
      <c r="B42" t="str">
        <f>Efeito!B43</f>
        <v>NO SELECT</v>
      </c>
      <c r="C42" s="267">
        <f>SUMIFS(Banco[valor],Banco[IdAgente],B42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42" s="267">
        <f>SUMIFS(Banco[valor],Banco[IdAgente],B42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42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42" s="267">
        <f>SUMIFS(Banco[valor],Banco[IdAgente],B42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42" s="267">
        <f>SUMIFS(Banco[valor],Banco[IdAgente],B42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42" s="267">
        <f>SUMIFS(Banco[valor],Banco[IdAgente],B42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42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42" s="267">
        <f>SUMIFS(Banco[valor],Banco[IdAgente],B42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42" s="267">
        <f>SUMIFS(Banco[valor],Banco[IdAgente],B42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42" s="267">
        <f>SUMIFS(Banco[valor],Banco[IdAgente],B42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42" s="267">
        <f>SUMIFS(Banco[valor],Banco[IdAgente],B42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42" s="267">
        <f>SUMIFS(Banco[valor],Banco[IdAgente],B42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42" s="267">
        <f>SUMIFS(Banco[valor],Banco[IdAgente],B42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42" s="267">
        <f>SUMIFS(Banco[valor],Banco[IdAgente],B42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42" s="267">
        <f>SUMIFS(Banco[valor],Banco[IdAgente],B42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42" s="267">
        <f t="shared" si="3"/>
        <v>0</v>
      </c>
      <c r="Q42" s="267">
        <f>SUMIFS(Banco[valor],Banco[IdAgente],B42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42" s="267">
        <f>SUMIFS(Banco[valor],Banco[IdAgente],B42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42" s="4"/>
      <c r="T42" s="4"/>
      <c r="U42" s="4"/>
      <c r="V42" s="267">
        <f>SUMIFS(financeiro[valor],financeiro[IdAgente],B42,financeiro[idDet1],22,financeiro[idDet2],60,financeiro[idDet3],526,financeiro[id_grupo_tarifa],1,financeiro[id_detalhe_grupo_tarifa],7,financeiro[id_tipo_tarifa],9,financeiro[id_subgrupo],99,financeiro[valor],"&gt;0")+SUMIFS(financeiro[valor],financeiro[IdAgente],B42,financeiro[idDet1],22,financeiro[idDet2],60,financeiro[idDet3],526,financeiro[id_grupo_tarifa],2,financeiro[id_detalhe_grupo_tarifa],11,financeiro[id_tipo_tarifa],9,financeiro[valor],"&gt;0")+SUMIFS(financeiro[valor],financeiro[IdAgente],B42,financeiro[idDet1],22,financeiro[idDet2],60,financeiro[idDet3],526,financeiro[id_grupo_tarifa],2,financeiro[id_detalhe_grupo_tarifa],9,financeiro[id_tipo_tarifa],9,financeiro[valor],"&gt;0")+SUMIFS(financeiro[valor],financeiro[IdAgente],B42,financeiro[idDet1],22,financeiro[idDet2],60,financeiro[idDet3],526,financeiro[id_grupo_tarifa],2,financeiro[id_detalhe_grupo_tarifa],8,financeiro[id_tipo_tarifa],9,financeiro[valor],"&gt;0")+SUMIFS(financeiro[valor],financeiro[IdAgente],B42,financeiro[idDet1],22,financeiro[idDet2],60,financeiro[idDet3],526,financeiro[id_grupo_tarifa],2,financeiro[id_detalhe_grupo_tarifa],10,financeiro[id_tipo_tarifa],9,financeiro[valor],"&gt;0")+SUMIFS(financeiro[valor],financeiro[IdAgente],B42,financeiro[idDet1],22,financeiro[idDet2],60,financeiro[idDet3],526,financeiro[id_grupo_tarifa],2,financeiro[id_detalhe_grupo_tarifa],24,financeiro[id_tipo_tarifa],9,financeiro[valor],"&gt;0")</f>
        <v>0</v>
      </c>
      <c r="W42" s="267">
        <f>SUMIFS(financeiro[valor],financeiro[IdAgente],B42,financeiro[idDet1],20,financeiro[idDet2],60,financeiro[idDet3],999,financeiro[id_grupo_tarifa],3,financeiro[id_detalhe_grupo_tarifa],14,financeiro[id_tipo_tarifa],9)+SUMIFS(financeiro[valor],financeiro[IdAgente],B42,financeiro[idDet1],20,financeiro[idDet2],60,financeiro[idDet3],999,financeiro[id_grupo_tarifa],3,financeiro[id_detalhe_grupo_tarifa],15,financeiro[id_tipo_tarifa],9)+SUMIFS(financeiro[valor],financeiro[IdAgente],B42,financeiro[idDet1],20,financeiro[idDet2],60,financeiro[idDet3],999,financeiro[id_grupo_tarifa],3,financeiro[id_detalhe_grupo_tarifa],16,financeiro[id_tipo_tarifa],9)+SUMIFS(financeiro[valor],financeiro[IdAgente],B42,financeiro[idDet1],20,financeiro[idDet2],60,financeiro[idDet3],999,financeiro[id_grupo_tarifa],3,financeiro[id_detalhe_grupo_tarifa],17,financeiro[id_tipo_tarifa],9)+SUMIFS(financeiro[valor],financeiro[IdAgente],B42,financeiro[idDet1],20,financeiro[idDet2],60,financeiro[idDet3],999,financeiro[id_grupo_tarifa],3,financeiro[id_detalhe_grupo_tarifa],18,financeiro[id_tipo_tarifa],9)+SUMIFS(financeiro[valor],financeiro[IdAgente],B42,financeiro[idDet1],20,financeiro[idDet2],60,financeiro[idDet3],999,financeiro[id_grupo_tarifa],3,financeiro[id_detalhe_grupo_tarifa],19,financeiro[id_tipo_tarifa],9)</f>
        <v>0</v>
      </c>
      <c r="X42" s="267">
        <f>SUMIFS(financeiro[valor],financeiro[IdAgente],B42,financeiro[idDet1],20,financeiro[idDet2],60,financeiro[idDet3],999,financeiro[id_grupo_tarifa],3,financeiro[id_detalhe_grupo_tarifa],12,financeiro[id_tipo_tarifa],9)+SUMIFS(financeiro[valor],financeiro[IdAgente],B42,financeiro[idDet1],20,financeiro[idDet2],60,financeiro[idDet3],999,financeiro[id_grupo_tarifa],4,financeiro[id_detalhe_grupo_tarifa],999,financeiro[id_tipo_tarifa],9)</f>
        <v>0</v>
      </c>
      <c r="Y42" s="267">
        <f>SUMIFS(financeiro[valor],financeiro[IdAgente],B42,financeiro[idDet1],20,financeiro[idDet2],60,financeiro[idDet3],179,financeiro[id_grupo_tarifa],99,financeiro[id_detalhe_grupo_tarifa],999,financeiro[id_tipo_tarifa],9)</f>
        <v>0</v>
      </c>
      <c r="Z42" s="267">
        <f>SUMIFS(financeiro[valor],financeiro[IdAgente],B42,financeiro[idDet1],20,financeiro[idDet2],60,financeiro[idDet3],999,financeiro[id_grupo_tarifa],2,financeiro[id_detalhe_grupo_tarifa],11,financeiro[id_tipo_tarifa],9,financeiro[valor],"&gt;0")+SUMIFS(financeiro[valor],financeiro[IdAgente],B42,financeiro[idDet1],20,financeiro[idDet2],60,financeiro[idDet3],999,financeiro[id_grupo_tarifa],2,financeiro[id_detalhe_grupo_tarifa],9,financeiro[id_tipo_tarifa],9,financeiro[valor],"&gt;0")+SUMIFS(financeiro[valor],financeiro[IdAgente],B42,financeiro[idDet1],20,financeiro[idDet2],60,financeiro[idDet3],999,financeiro[id_grupo_tarifa],2,financeiro[id_detalhe_grupo_tarifa],8,financeiro[id_tipo_tarifa],9,financeiro[valor],"&gt;0")+SUMIFS(financeiro[valor],financeiro[IdAgente],B42,financeiro[idDet1],20,financeiro[idDet2],60,financeiro[idDet3],999,financeiro[id_grupo_tarifa],2,financeiro[id_detalhe_grupo_tarifa],10,financeiro[id_tipo_tarifa],9,financeiro[valor],"&gt;0")+SUMIFS(financeiro[valor],financeiro[IdAgente],B42,financeiro[idDet1],20,financeiro[idDet2],60,financeiro[idDet3],999,financeiro[id_grupo_tarifa],2,financeiro[id_detalhe_grupo_tarifa],24,financeiro[id_tipo_tarifa],9,financeiro[valor],"&gt;0")+SUMIFS(financeiro[valor],financeiro[IdAgente],B42,financeiro[idDet1],20,financeiro[idDet2],60,financeiro[idDet3],999,financeiro[id_grupo_tarifa],2,financeiro[id_detalhe_grupo_tarifa],17,financeiro[id_tipo_tarifa],9,financeiro[valor],"&gt;0")+SUMIFS(financeiro[valor],financeiro[IdAgente],B42,financeiro[idDet1],999,financeiro[idDet2],999999,financeiro[idDet3],999,financeiro[id_grupo_tarifa],99,financeiro[id_detalhe_grupo_tarifa],999,financeiro[id_tipo_tarifa],9,financeiro[valor],"&gt;0")</f>
        <v>0</v>
      </c>
      <c r="AA42" s="267">
        <f>SUMIFS(financeiro[valor],financeiro[IdAgente],B42,financeiro[idDet1],22,financeiro[idDet2],60,financeiro[idDet3],529,financeiro[id_grupo_tarifa],1,financeiro[id_detalhe_grupo_tarifa],1,financeiro[id_tipo_tarifa],9,financeiro[valor],"&gt;0")+SUMIFS(financeiro[valor],financeiro[IdAgente],B42,financeiro[idDet1],22,financeiro[idDet2],60,financeiro[idDet3],529,financeiro[id_grupo_tarifa],1,financeiro[id_detalhe_grupo_tarifa],2,financeiro[id_tipo_tarifa],9,financeiro[valor],"&gt;0")</f>
        <v>0</v>
      </c>
      <c r="AB42" s="269"/>
      <c r="AC42" s="267">
        <f>SUMIFS(financeiro[valor],financeiro[IdAgente],B42,financeiro[idDet1],22,financeiro[idDet2],60,financeiro[idDet3],999,financeiro[id_grupo_tarifa],2,financeiro[id_detalhe_grupo_tarifa],30,financeiro[id_tipo_tarifa],9,financeiro[valor],"&gt;0")</f>
        <v>0</v>
      </c>
      <c r="AD42" s="267">
        <f>SUMIFS(financeiro[valor],financeiro[IdAgente],B42,financeiro[idDet1],22,financeiro[idDet2],60,financeiro[idDet3],178,financeiro[id_grupo_tarifa],1,financeiro[id_detalhe_grupo_tarifa],7,financeiro[id_tipo_tarifa],9)</f>
        <v>0</v>
      </c>
      <c r="AE42" s="267">
        <f>SUMIFS(financeiro[valor],financeiro[IdAgente],B42,financeiro[idDet1],22,financeiro[idDet2],60,financeiro[idDet3],242,financeiro[id_grupo_tarifa],4,financeiro[id_detalhe_grupo_tarifa],999,financeiro[id_tipo_tarifa],9)</f>
        <v>0</v>
      </c>
      <c r="AF42" s="267">
        <f>SUMIFS(financeiro[valor],financeiro[IdAgente],B42,financeiro[idDet1],22,financeiro[idDet2],60,financeiro[idDet3],525,financeiro[id_grupo_tarifa],2,financeiro[id_tipo_tarifa],9)</f>
        <v>0</v>
      </c>
      <c r="AG42" s="267">
        <f>SUMIFS(financeiro[valor],financeiro[IdAgente],B42,financeiro[idDet1],22,financeiro[idDet2],60,financeiro[idDet3],524)</f>
        <v>0</v>
      </c>
      <c r="AH42" s="269"/>
      <c r="AI42" s="267">
        <f>SUMIFS(financeiro[valor],financeiro[IdAgente],B42,financeiro[idDet1],22,financeiro[idDet2],60,financeiro[idDet3],523,financeiro[id_grupo_tarifa],2,financeiro[id_detalhe_grupo_tarifa],30,financeiro[id_tipo_tarifa],9)</f>
        <v>0</v>
      </c>
      <c r="AJ42" s="267">
        <f>SUMIFS(financeiro[valor],financeiro[IdAgente],B42,financeiro[idDet1],22,financeiro[idDet2],60,financeiro[idDet3],503,financeiro[id_grupo_tarifa],99,financeiro[id_detalhe_grupo_tarifa],999,financeiro[id_tipo_tarifa],3)</f>
        <v>0</v>
      </c>
      <c r="AK42" s="269"/>
      <c r="AL42" s="269"/>
      <c r="AM42" s="269"/>
      <c r="AN42" s="269"/>
      <c r="AO42" s="269"/>
      <c r="AP42" s="269"/>
      <c r="AQ42" s="269"/>
      <c r="AR42" s="269"/>
      <c r="AS42" s="269"/>
      <c r="AT42" s="267">
        <f>SUMIFS(financeiro[valor],financeiro[IdAgente],B42,financeiro[idDet1],22,financeiro[idDet2],60,financeiro[idDet3],235,financeiro[id_grupo_tarifa],4,financeiro[id_detalhe_grupo_tarifa],999,financeiro[id_tipo_tarifa],9)</f>
        <v>0</v>
      </c>
      <c r="AU42" s="267">
        <f>SUMIFS(financeiro[valor],financeiro[IdAgente],B42,financeiro[idDet1],22,financeiro[idDet2],60,financeiro[idDet3],512,financeiro[id_grupo_tarifa],3,financeiro[id_detalhe_grupo_tarifa],28,financeiro[id_tipo_tarifa],9)</f>
        <v>0</v>
      </c>
      <c r="AV42" s="267">
        <f>SUMIFS(financeiro[valor],financeiro[IdAgente],B42,financeiro[idDet1],22,financeiro[idDet2],60,financeiro[idDet3],241,financeiro[id_grupo_tarifa],2,financeiro[id_detalhe_grupo_tarifa],11,financeiro[id_tipo_tarifa],9)+SUMIFS(financeiro[valor],financeiro[IdAgente],B42,financeiro[idDet1],22,financeiro[idDet2],60,financeiro[idDet3],241,financeiro[id_grupo_tarifa],2,financeiro[id_detalhe_grupo_tarifa],9,financeiro[id_tipo_tarifa],9)+SUMIFS(financeiro[valor],financeiro[IdAgente],B42,financeiro[idDet1],22,financeiro[idDet2],60,financeiro[idDet3],241,financeiro[id_grupo_tarifa],2,financeiro[id_detalhe_grupo_tarifa],8,financeiro[id_tipo_tarifa],9)+SUMIFS(financeiro[valor],financeiro[IdAgente],B42,financeiro[idDet1],22,financeiro[idDet2],60,financeiro[idDet3],241,financeiro[id_grupo_tarifa],2,financeiro[id_detalhe_grupo_tarifa],10,financeiro[id_tipo_tarifa],9)+SUMIFS(financeiro[valor],financeiro[IdAgente],B42,financeiro[idDet1],22,financeiro[idDet2],60,financeiro[idDet3],241,financeiro[id_grupo_tarifa],2,financeiro[id_detalhe_grupo_tarifa],24,financeiro[id_tipo_tarifa],9)</f>
        <v>0</v>
      </c>
      <c r="AW42" s="267">
        <f>SUMIFS(financeiro[valor],financeiro[IdAgente],B42,financeiro[idDet1],22,financeiro[idDet2],60,financeiro[idDet3],241,financeiro[id_grupo_tarifa],3,financeiro[id_detalhe_grupo_tarifa],17,financeiro[id_tipo_tarifa],9)</f>
        <v>0</v>
      </c>
      <c r="AX42" s="267">
        <f>SUMIFS(financeiro[valor],financeiro[IdAgente],B42,financeiro[idDet1],22,financeiro[idDet2],60,financeiro[idDet3],240,financeiro[id_grupo_tarifa],2,financeiro[id_detalhe_grupo_tarifa],11,financeiro[id_tipo_tarifa],9)+SUMIFS(financeiro[valor],financeiro[IdAgente],B42,financeiro[idDet1],22,financeiro[idDet2],60,financeiro[idDet3],240,financeiro[id_grupo_tarifa],2,financeiro[id_detalhe_grupo_tarifa],9,financeiro[id_tipo_tarifa],9)+SUMIFS(financeiro[valor],financeiro[IdAgente],B42,financeiro[idDet1],22,financeiro[idDet2],60,financeiro[idDet3],240,financeiro[id_grupo_tarifa],2,financeiro[id_detalhe_grupo_tarifa],8,financeiro[id_tipo_tarifa],9)+SUMIFS(financeiro[valor],financeiro[IdAgente],B42,financeiro[idDet1],22,financeiro[idDet2],60,financeiro[idDet3],240,financeiro[id_grupo_tarifa],2,financeiro[id_detalhe_grupo_tarifa],10,financeiro[id_tipo_tarifa],9)+SUMIFS(financeiro[valor],financeiro[IdAgente],B42,financeiro[idDet1],22,financeiro[idDet2],60,financeiro[idDet3],240,financeiro[id_grupo_tarifa],2,financeiro[id_detalhe_grupo_tarifa],24,financeiro[id_tipo_tarifa],9)</f>
        <v>0</v>
      </c>
      <c r="AY42" s="267">
        <f>SUMIFS(financeiro[valor],financeiro[IdAgente],B42,financeiro[idDet1],22,financeiro[idDet2],60,financeiro[idDet3],106,financeiro[id_grupo_tarifa],2,financeiro[id_detalhe_grupo_tarifa],11,financeiro[id_tipo_tarifa],9)+SUMIFS(financeiro[valor],financeiro[IdAgente],B42,financeiro[idDet1],22,financeiro[idDet2],60,financeiro[idDet3],106,financeiro[id_grupo_tarifa],2,financeiro[id_detalhe_grupo_tarifa],9,financeiro[id_tipo_tarifa],9)+SUMIFS(financeiro[valor],financeiro[IdAgente],B42,financeiro[idDet1],22,financeiro[idDet2],60,financeiro[idDet3],106,financeiro[id_grupo_tarifa],2,financeiro[id_detalhe_grupo_tarifa],8,financeiro[id_tipo_tarifa],9)+SUMIFS(financeiro[valor],financeiro[IdAgente],B42,financeiro[idDet1],22,financeiro[idDet2],60,financeiro[idDet3],106,financeiro[id_grupo_tarifa],2,financeiro[id_detalhe_grupo_tarifa],10,financeiro[id_tipo_tarifa],9)+SUMIFS(financeiro[valor],financeiro[IdAgente],B42,financeiro[idDet1],22,financeiro[idDet2],60,financeiro[idDet3],106,financeiro[id_grupo_tarifa],2,financeiro[id_detalhe_grupo_tarifa],24,financeiro[id_tipo_tarifa],9)</f>
        <v>0</v>
      </c>
      <c r="AZ42" s="267">
        <f>SUMIFS(financeiro[valor],financeiro[IdAgente],B42,financeiro[idDet1],22,financeiro[idDet2],62,financeiro[idDet3],220,financeiro[id_grupo_tarifa],2,financeiro[id_detalhe_grupo_tarifa],11,financeiro[id_tipo_tarifa],9)+SUMIFS(financeiro[valor],financeiro[IdAgente],B42,financeiro[idDet1],22,financeiro[idDet2],62,financeiro[idDet3],220,financeiro[id_grupo_tarifa],2,financeiro[id_detalhe_grupo_tarifa],9,financeiro[id_tipo_tarifa],9)+SUMIFS(financeiro[valor],financeiro[IdAgente],B42,financeiro[idDet1],22,financeiro[idDet2],62,financeiro[idDet3],220,financeiro[id_grupo_tarifa],2,financeiro[id_detalhe_grupo_tarifa],8,financeiro[id_tipo_tarifa],9)+SUMIFS(financeiro[valor],financeiro[IdAgente],B42,financeiro[idDet1],22,financeiro[idDet2],62,financeiro[idDet3],220,financeiro[id_grupo_tarifa],2,financeiro[id_detalhe_grupo_tarifa],10,financeiro[id_tipo_tarifa],9)+SUMIFS(financeiro[valor],financeiro[IdAgente],B42,financeiro[idDet1],22,financeiro[idDet2],62,financeiro[idDet3],220,financeiro[id_grupo_tarifa],2,financeiro[id_detalhe_grupo_tarifa],24,financeiro[id_tipo_tarifa],9)</f>
        <v>0</v>
      </c>
      <c r="BA42" s="267">
        <f>SUMIFS(financeiro[valor],financeiro[IdAgente],B42,financeiro[idDet1],22,financeiro[idDet2],60,financeiro[idDet3],220,financeiro[id_grupo_tarifa],2,financeiro[id_detalhe_grupo_tarifa],11,financeiro[id_tipo_tarifa],9)+SUMIFS(financeiro[valor],financeiro[IdAgente],B42,financeiro[idDet1],22,financeiro[idDet2],60,financeiro[idDet3],220,financeiro[id_grupo_tarifa],2,financeiro[id_detalhe_grupo_tarifa],9,financeiro[id_tipo_tarifa],9)+SUMIFS(financeiro[valor],financeiro[IdAgente],B42,financeiro[idDet1],22,financeiro[idDet2],60,financeiro[idDet3],220,financeiro[id_grupo_tarifa],2,financeiro[id_detalhe_grupo_tarifa],8,financeiro[id_tipo_tarifa],9)+SUMIFS(financeiro[valor],financeiro[IdAgente],B42,financeiro[idDet1],22,financeiro[idDet2],60,financeiro[idDet3],220,financeiro[id_grupo_tarifa],2,financeiro[id_detalhe_grupo_tarifa],10,financeiro[id_tipo_tarifa],9)+SUMIFS(financeiro[valor],financeiro[IdAgente],B42,financeiro[idDet1],22,financeiro[idDet2],60,financeiro[idDet3],220,financeiro[id_grupo_tarifa],2,financeiro[id_detalhe_grupo_tarifa],24,financeiro[id_tipo_tarifa],9)</f>
        <v>0</v>
      </c>
      <c r="BB42" s="267">
        <f>SUMIFS(financeiro[valor],financeiro[IdAgente],B42,financeiro[idDet1],22,financeiro[idDet2],60,financeiro[idDet3],102,financeiro[id_grupo_tarifa],2,financeiro[id_detalhe_grupo_tarifa],11,financeiro[id_tipo_tarifa],9)+SUMIFS(financeiro[valor],financeiro[IdAgente],B42,financeiro[idDet1],22,financeiro[idDet2],60,financeiro[idDet3],102,financeiro[id_grupo_tarifa],2,financeiro[id_detalhe_grupo_tarifa],9,financeiro[id_tipo_tarifa],9)+SUMIFS(financeiro[valor],financeiro[IdAgente],B42,financeiro[idDet1],22,financeiro[idDet2],60,financeiro[idDet3],102,financeiro[id_grupo_tarifa],2,financeiro[id_detalhe_grupo_tarifa],8,financeiro[id_tipo_tarifa],9)+SUMIFS(financeiro[valor],financeiro[IdAgente],B42,financeiro[idDet1],22,financeiro[idDet2],60,financeiro[idDet3],102,financeiro[id_grupo_tarifa],2,financeiro[id_detalhe_grupo_tarifa],10,financeiro[id_tipo_tarifa],9)+SUMIFS(financeiro[valor],financeiro[IdAgente],B42,financeiro[idDet1],22,financeiro[idDet2],60,financeiro[idDet3],102,financeiro[id_grupo_tarifa],2,financeiro[id_detalhe_grupo_tarifa],24,financeiro[id_tipo_tarifa],9)</f>
        <v>0</v>
      </c>
      <c r="BC42" s="267">
        <f>SUMIFS(financeiro[valor],financeiro[IdAgente],B42,financeiro[idDet1],22,financeiro[idDet2],60,financeiro[idDet3],522,financeiro[valor],"&lt;0")</f>
        <v>0</v>
      </c>
      <c r="BD42" s="267">
        <f>SUMIFS(financeiro[valor],financeiro[IdAgente],B42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42" s="267">
        <f>SUMIFS(financeiro[valor],financeiro[IdAgente],B42,financeiro[id_natureza_dado],2,financeiro[id_detalhe_natureza],2,financeiro[idDet1],20,financeiro[idDet2],60,financeiro[idDet3],82,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42" s="267">
        <f>SUMIFS(financeiro[valor],financeiro[IdAgente],B42,financeiro[id_natureza_dado],2,financeiro[id_detalhe_natureza],2,financeiro[idDet1],20,financeiro[idDet2],60,financeiro[idDet3],81,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42" s="267">
        <f>SUMIFS(financeiro[valor],financeiro[IdAgente],B42,financeiro[id_natureza_dado],2,financeiro[id_detalhe_natureza],2,financeiro[idDet1],20,financeiro[idDet2],60,financeiro[idDet3],503,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42" s="267">
        <f>SUMIFS(financeiro[valor],financeiro[IdAgente],B42,financeiro[idDet1],22,financeiro[idDet2],60,financeiro[idDet3],123)</f>
        <v>0</v>
      </c>
      <c r="BI42" s="267">
        <f>SUMIFS(financeiro[valor],financeiro[IdAgente],B42,financeiro[idDet1],20,financeiro[idDet2],60,financeiro[idDet3],73)</f>
        <v>0</v>
      </c>
      <c r="BJ42" s="267">
        <f>SUMIFS(financeiro[valor],financeiro[IdAgente],B42,financeiro[idDet1],22,financeiro[idDet2],60,financeiro[idDet3],527)</f>
        <v>0</v>
      </c>
      <c r="BK42" s="267">
        <f>SUMIFS(financeiro[valor],financeiro[IdAgente],B42,financeiro[idDet1],22,financeiro[idDet2],60,financeiro[idDet3],510)</f>
        <v>0</v>
      </c>
      <c r="BL42" s="267">
        <f>SUMIFS(financeiro[valor],financeiro[IdAgente],B42,financeiro[idDet1],22,financeiro[idDet2],60,financeiro[idDet3],526,
financeiro[id_grupo_tarifa],1,financeiro[id_detalhe_grupo_tarifa],3,financeiro[id_tipo_tarifa],9,financeiro[id_subgrupo],3)</f>
        <v>0</v>
      </c>
      <c r="BM42" s="267">
        <f>SUMIFS(financeiro[valor],financeiro[IdAgente],B42,financeiro[idDet1],22,financeiro[idDet2],60,financeiro[idDet3],999,
financeiro[id_grupo_tarifa],3,financeiro[id_detalhe_grupo_tarifa],17,financeiro[id_tipo_tarifa],9)</f>
        <v>0</v>
      </c>
      <c r="BN42" s="267">
        <f>SUMIFS(financeiro[valor],financeiro[IdAgente],B42,financeiro[idDet1],22,financeiro[idDet2],60,financeiro[idDet3],526,financeiro[id_grupo_tarifa],1,financeiro[id_detalhe_grupo_tarifa],7,financeiro[id_tipo_tarifa],9,financeiro[valor],"&lt;0")+SUMIFS(financeiro[valor],financeiro[IdAgente],B42,financeiro[idDet1],22,financeiro[idDet2],60,financeiro[idDet3],526,financeiro[id_grupo_tarifa],2,financeiro[id_detalhe_grupo_tarifa],11,financeiro[id_tipo_tarifa],9,financeiro[valor],"&lt;0")+SUMIFS(financeiro[valor],financeiro[IdAgente],B42,financeiro[idDet1],22,financeiro[idDet2],60,financeiro[idDet3],526,financeiro[id_grupo_tarifa],2,financeiro[id_detalhe_grupo_tarifa],8,financeiro[id_tipo_tarifa],9,financeiro[valor],"&lt;0")</f>
        <v>0</v>
      </c>
      <c r="BO42" s="267">
        <f>SUMIFS(financeiro[valor],financeiro[IdAgente],B42,financeiro[idDet1],22,financeiro[idDet2],60,financeiro[idDet3],999,financeiro[id_grupo_tarifa],4,financeiro[id_detalhe_grupo_tarifa],999,financeiro[id_tipo_tarifa],9,financeiro[valor],"&lt;0")</f>
        <v>0</v>
      </c>
      <c r="BP42" s="267">
        <f>SUMIFS(financeiro[valor],financeiro[IdAgente],B42,financeiro[idDet1],22,financeiro[idDet2],60,financeiro[idDet3],530,financeiro[valor],"&lt;0")</f>
        <v>0</v>
      </c>
      <c r="BQ42" s="267">
        <f>SUMIFS(financeiro[valor],financeiro[IdAgente],B42,financeiro[idDet1],22,financeiro[idDet2],60,financeiro[idDet3],531,financeiro[valor],"&lt;0")</f>
        <v>0</v>
      </c>
      <c r="BR42" s="267">
        <f>SUMIFS(financeiro[valor],financeiro[IdAgente],B42,financeiro[idDet1],22,financeiro[idDet2],62,financeiro[idDet3],532,financeiro[valor],"&lt;0")</f>
        <v>0</v>
      </c>
      <c r="BS42" s="267">
        <f>SUMIFS(financeiro[valor],financeiro[IdAgente],B42,financeiro[idDet1],22,financeiro[idDet2],62,financeiro[idDet3],533,financeiro[valor],"&lt;0")</f>
        <v>0</v>
      </c>
      <c r="BT42" s="267">
        <f>SUMIFS(financeiro[valor],financeiro[IdAgente],B42,financeiro[idDet1],22,financeiro[idDet2],62,financeiro[idDet3],534,financeiro[valor],"&lt;0")</f>
        <v>0</v>
      </c>
      <c r="BU42" s="4"/>
      <c r="BV42" s="4"/>
      <c r="BW42" s="210" t="s">
        <v>213</v>
      </c>
      <c r="BX42" t="str">
        <f>Efeito!B43</f>
        <v>NO SELECT</v>
      </c>
      <c r="BY42" s="267">
        <f>SUMIFS(Banco[valor],Banco[IdAgente],BX42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42" s="267">
        <f>SUMIFS(Banco[valor],Banco[IdAgente],BX42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42" s="267">
        <f>SUMIFS(Banco[valor],Banco[IdAgente],BX42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42" s="267">
        <f>SUMIFS(Banco[valor],Banco[IdAgente],BX42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42" s="267">
        <f>SUMIFS(Banco[valor],Banco[IdAgente],BX42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42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42" s="267">
        <f>SUMIFS(Banco[valor],Banco[IdAgente],BX42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42" s="267">
        <f>SUMIFS(Banco[valor],Banco[IdAgente],BX42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42" s="267">
        <f>SUMIFS(Banco[valor],Banco[IdAgente],BX42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42" s="267">
        <f>SUMIFS(Banco[valor],Banco[IdAgente],BX42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42" s="267">
        <f>SUMIFS(Banco[valor],Banco[IdAgente],BX42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42" s="267">
        <f>SUMIFS(Banco[valor],Banco[IdAgente],BX42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42" s="267">
        <f>SUMIFS(Banco[valor],Banco[IdAgente],BX42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42" s="267">
        <f>SUMIFS(Banco[valor],Banco[IdAgente],B42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42" s="267">
        <f>SUMIFS(Banco[valor],Banco[IdAgente],B42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42" s="267">
        <f>SUMIFS(Banco[valor],Banco[IdAgente],B42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  <c r="CN42" s="4"/>
    </row>
    <row r="43" spans="1:92">
      <c r="A43" t="s">
        <v>215</v>
      </c>
      <c r="B43" t="str">
        <f>Efeito!B44</f>
        <v>NO SELECT</v>
      </c>
      <c r="C43" s="267">
        <f>SUMIFS(Banco[valor],Banco[IdAgente],B43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43" s="267">
        <f>SUMIFS(Banco[valor],Banco[IdAgente],B43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43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43" s="267">
        <f>SUMIFS(Banco[valor],Banco[IdAgente],B43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43" s="267">
        <f>SUMIFS(Banco[valor],Banco[IdAgente],B43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43" s="267">
        <f>SUMIFS(Banco[valor],Banco[IdAgente],B43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43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43" s="267">
        <f>SUMIFS(Banco[valor],Banco[IdAgente],B43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43" s="267">
        <f>SUMIFS(Banco[valor],Banco[IdAgente],B43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43" s="267">
        <f>SUMIFS(Banco[valor],Banco[IdAgente],B43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43" s="267">
        <f>SUMIFS(Banco[valor],Banco[IdAgente],B43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43" s="267">
        <f>SUMIFS(Banco[valor],Banco[IdAgente],B43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43" s="267">
        <f>SUMIFS(Banco[valor],Banco[IdAgente],B43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43" s="267">
        <f>SUMIFS(Banco[valor],Banco[IdAgente],B43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43" s="267">
        <f>SUMIFS(Banco[valor],Banco[IdAgente],B43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43" s="267">
        <f t="shared" si="3"/>
        <v>0</v>
      </c>
      <c r="Q43" s="267">
        <f>SUMIFS(Banco[valor],Banco[IdAgente],B43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43" s="267">
        <f>SUMIFS(Banco[valor],Banco[IdAgente],B43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43" s="4"/>
      <c r="T43" s="4"/>
      <c r="U43" s="4"/>
      <c r="V43" s="267">
        <f>SUMIFS(financeiro[valor],financeiro[IdAgente],B43,financeiro[idDet1],22,financeiro[idDet2],60,financeiro[idDet3],526,financeiro[id_grupo_tarifa],1,financeiro[id_detalhe_grupo_tarifa],7,financeiro[id_tipo_tarifa],9,financeiro[id_subgrupo],99,financeiro[valor],"&gt;0")+SUMIFS(financeiro[valor],financeiro[IdAgente],B43,financeiro[idDet1],22,financeiro[idDet2],60,financeiro[idDet3],526,financeiro[id_grupo_tarifa],2,financeiro[id_detalhe_grupo_tarifa],11,financeiro[id_tipo_tarifa],9,financeiro[valor],"&gt;0")+SUMIFS(financeiro[valor],financeiro[IdAgente],B43,financeiro[idDet1],22,financeiro[idDet2],60,financeiro[idDet3],526,financeiro[id_grupo_tarifa],2,financeiro[id_detalhe_grupo_tarifa],9,financeiro[id_tipo_tarifa],9,financeiro[valor],"&gt;0")+SUMIFS(financeiro[valor],financeiro[IdAgente],B43,financeiro[idDet1],22,financeiro[idDet2],60,financeiro[idDet3],526,financeiro[id_grupo_tarifa],2,financeiro[id_detalhe_grupo_tarifa],8,financeiro[id_tipo_tarifa],9,financeiro[valor],"&gt;0")+SUMIFS(financeiro[valor],financeiro[IdAgente],B43,financeiro[idDet1],22,financeiro[idDet2],60,financeiro[idDet3],526,financeiro[id_grupo_tarifa],2,financeiro[id_detalhe_grupo_tarifa],10,financeiro[id_tipo_tarifa],9,financeiro[valor],"&gt;0")+SUMIFS(financeiro[valor],financeiro[IdAgente],B43,financeiro[idDet1],22,financeiro[idDet2],60,financeiro[idDet3],526,financeiro[id_grupo_tarifa],2,financeiro[id_detalhe_grupo_tarifa],24,financeiro[id_tipo_tarifa],9,financeiro[valor],"&gt;0")</f>
        <v>0</v>
      </c>
      <c r="W43" s="267">
        <f>SUMIFS(financeiro[valor],financeiro[IdAgente],B43,financeiro[idDet1],20,financeiro[idDet2],60,financeiro[idDet3],999,financeiro[id_grupo_tarifa],3,financeiro[id_detalhe_grupo_tarifa],14,financeiro[id_tipo_tarifa],9)+SUMIFS(financeiro[valor],financeiro[IdAgente],B43,financeiro[idDet1],20,financeiro[idDet2],60,financeiro[idDet3],999,financeiro[id_grupo_tarifa],3,financeiro[id_detalhe_grupo_tarifa],15,financeiro[id_tipo_tarifa],9)+SUMIFS(financeiro[valor],financeiro[IdAgente],B43,financeiro[idDet1],20,financeiro[idDet2],60,financeiro[idDet3],999,financeiro[id_grupo_tarifa],3,financeiro[id_detalhe_grupo_tarifa],16,financeiro[id_tipo_tarifa],9)+SUMIFS(financeiro[valor],financeiro[IdAgente],B43,financeiro[idDet1],20,financeiro[idDet2],60,financeiro[idDet3],999,financeiro[id_grupo_tarifa],3,financeiro[id_detalhe_grupo_tarifa],17,financeiro[id_tipo_tarifa],9)+SUMIFS(financeiro[valor],financeiro[IdAgente],B43,financeiro[idDet1],20,financeiro[idDet2],60,financeiro[idDet3],999,financeiro[id_grupo_tarifa],3,financeiro[id_detalhe_grupo_tarifa],18,financeiro[id_tipo_tarifa],9)+SUMIFS(financeiro[valor],financeiro[IdAgente],B43,financeiro[idDet1],20,financeiro[idDet2],60,financeiro[idDet3],999,financeiro[id_grupo_tarifa],3,financeiro[id_detalhe_grupo_tarifa],19,financeiro[id_tipo_tarifa],9)</f>
        <v>0</v>
      </c>
      <c r="X43" s="267">
        <f>SUMIFS(financeiro[valor],financeiro[IdAgente],B43,financeiro[idDet1],20,financeiro[idDet2],60,financeiro[idDet3],999,financeiro[id_grupo_tarifa],3,financeiro[id_detalhe_grupo_tarifa],12,financeiro[id_tipo_tarifa],9)+SUMIFS(financeiro[valor],financeiro[IdAgente],B43,financeiro[idDet1],20,financeiro[idDet2],60,financeiro[idDet3],999,financeiro[id_grupo_tarifa],4,financeiro[id_detalhe_grupo_tarifa],999,financeiro[id_tipo_tarifa],9)</f>
        <v>0</v>
      </c>
      <c r="Y43" s="267">
        <f>SUMIFS(financeiro[valor],financeiro[IdAgente],B43,financeiro[idDet1],20,financeiro[idDet2],60,financeiro[idDet3],179,financeiro[id_grupo_tarifa],99,financeiro[id_detalhe_grupo_tarifa],999,financeiro[id_tipo_tarifa],9)</f>
        <v>0</v>
      </c>
      <c r="Z43" s="267">
        <f>SUMIFS(financeiro[valor],financeiro[IdAgente],B43,financeiro[idDet1],20,financeiro[idDet2],60,financeiro[idDet3],999,financeiro[id_grupo_tarifa],2,financeiro[id_detalhe_grupo_tarifa],11,financeiro[id_tipo_tarifa],9,financeiro[valor],"&gt;0")+SUMIFS(financeiro[valor],financeiro[IdAgente],B43,financeiro[idDet1],20,financeiro[idDet2],60,financeiro[idDet3],999,financeiro[id_grupo_tarifa],2,financeiro[id_detalhe_grupo_tarifa],9,financeiro[id_tipo_tarifa],9,financeiro[valor],"&gt;0")+SUMIFS(financeiro[valor],financeiro[IdAgente],B43,financeiro[idDet1],20,financeiro[idDet2],60,financeiro[idDet3],999,financeiro[id_grupo_tarifa],2,financeiro[id_detalhe_grupo_tarifa],8,financeiro[id_tipo_tarifa],9,financeiro[valor],"&gt;0")+SUMIFS(financeiro[valor],financeiro[IdAgente],B43,financeiro[idDet1],20,financeiro[idDet2],60,financeiro[idDet3],999,financeiro[id_grupo_tarifa],2,financeiro[id_detalhe_grupo_tarifa],10,financeiro[id_tipo_tarifa],9,financeiro[valor],"&gt;0")+SUMIFS(financeiro[valor],financeiro[IdAgente],B43,financeiro[idDet1],20,financeiro[idDet2],60,financeiro[idDet3],999,financeiro[id_grupo_tarifa],2,financeiro[id_detalhe_grupo_tarifa],24,financeiro[id_tipo_tarifa],9,financeiro[valor],"&gt;0")+SUMIFS(financeiro[valor],financeiro[IdAgente],B43,financeiro[idDet1],20,financeiro[idDet2],60,financeiro[idDet3],999,financeiro[id_grupo_tarifa],2,financeiro[id_detalhe_grupo_tarifa],17,financeiro[id_tipo_tarifa],9,financeiro[valor],"&gt;0")+SUMIFS(financeiro[valor],financeiro[IdAgente],B43,financeiro[idDet1],999,financeiro[idDet2],999999,financeiro[idDet3],999,financeiro[id_grupo_tarifa],99,financeiro[id_detalhe_grupo_tarifa],999,financeiro[id_tipo_tarifa],9,financeiro[valor],"&gt;0")</f>
        <v>0</v>
      </c>
      <c r="AA43" s="267">
        <f>SUMIFS(financeiro[valor],financeiro[IdAgente],B43,financeiro[idDet1],22,financeiro[idDet2],60,financeiro[idDet3],529,financeiro[id_grupo_tarifa],1,financeiro[id_detalhe_grupo_tarifa],1,financeiro[id_tipo_tarifa],9,financeiro[valor],"&gt;0")+SUMIFS(financeiro[valor],financeiro[IdAgente],B43,financeiro[idDet1],22,financeiro[idDet2],60,financeiro[idDet3],529,financeiro[id_grupo_tarifa],1,financeiro[id_detalhe_grupo_tarifa],2,financeiro[id_tipo_tarifa],9,financeiro[valor],"&gt;0")</f>
        <v>0</v>
      </c>
      <c r="AB43" s="269"/>
      <c r="AC43" s="267">
        <f>SUMIFS(financeiro[valor],financeiro[IdAgente],B43,financeiro[idDet1],22,financeiro[idDet2],60,financeiro[idDet3],999,financeiro[id_grupo_tarifa],2,financeiro[id_detalhe_grupo_tarifa],30,financeiro[id_tipo_tarifa],9,financeiro[valor],"&gt;0")</f>
        <v>0</v>
      </c>
      <c r="AD43" s="267">
        <f>SUMIFS(financeiro[valor],financeiro[IdAgente],B43,financeiro[idDet1],22,financeiro[idDet2],60,financeiro[idDet3],178,financeiro[id_grupo_tarifa],1,financeiro[id_detalhe_grupo_tarifa],7,financeiro[id_tipo_tarifa],9)</f>
        <v>0</v>
      </c>
      <c r="AE43" s="267">
        <f>SUMIFS(financeiro[valor],financeiro[IdAgente],B43,financeiro[idDet1],22,financeiro[idDet2],60,financeiro[idDet3],242,financeiro[id_grupo_tarifa],4,financeiro[id_detalhe_grupo_tarifa],999,financeiro[id_tipo_tarifa],9)</f>
        <v>0</v>
      </c>
      <c r="AF43" s="267">
        <f>SUMIFS(financeiro[valor],financeiro[IdAgente],B43,financeiro[idDet1],22,financeiro[idDet2],60,financeiro[idDet3],525,financeiro[id_grupo_tarifa],2,financeiro[id_tipo_tarifa],9)</f>
        <v>0</v>
      </c>
      <c r="AG43" s="267">
        <f>SUMIFS(financeiro[valor],financeiro[IdAgente],B43,financeiro[idDet1],22,financeiro[idDet2],60,financeiro[idDet3],524)</f>
        <v>0</v>
      </c>
      <c r="AH43" s="269"/>
      <c r="AI43" s="267">
        <f>SUMIFS(financeiro[valor],financeiro[IdAgente],B43,financeiro[idDet1],22,financeiro[idDet2],60,financeiro[idDet3],523,financeiro[id_grupo_tarifa],2,financeiro[id_detalhe_grupo_tarifa],30,financeiro[id_tipo_tarifa],9)</f>
        <v>0</v>
      </c>
      <c r="AJ43" s="267">
        <f>SUMIFS(financeiro[valor],financeiro[IdAgente],B43,financeiro[idDet1],22,financeiro[idDet2],60,financeiro[idDet3],503,financeiro[id_grupo_tarifa],99,financeiro[id_detalhe_grupo_tarifa],999,financeiro[id_tipo_tarifa],3)</f>
        <v>0</v>
      </c>
      <c r="AK43" s="269"/>
      <c r="AL43" s="269"/>
      <c r="AM43" s="269"/>
      <c r="AN43" s="269"/>
      <c r="AO43" s="269"/>
      <c r="AP43" s="269"/>
      <c r="AQ43" s="269"/>
      <c r="AR43" s="269"/>
      <c r="AS43" s="269"/>
      <c r="AT43" s="267">
        <f>SUMIFS(financeiro[valor],financeiro[IdAgente],B43,financeiro[idDet1],22,financeiro[idDet2],60,financeiro[idDet3],235,financeiro[id_grupo_tarifa],4,financeiro[id_detalhe_grupo_tarifa],999,financeiro[id_tipo_tarifa],9)</f>
        <v>0</v>
      </c>
      <c r="AU43" s="267">
        <f>SUMIFS(financeiro[valor],financeiro[IdAgente],B43,financeiro[idDet1],22,financeiro[idDet2],60,financeiro[idDet3],512,financeiro[id_grupo_tarifa],3,financeiro[id_detalhe_grupo_tarifa],28,financeiro[id_tipo_tarifa],9)</f>
        <v>0</v>
      </c>
      <c r="AV43" s="267">
        <f>SUMIFS(financeiro[valor],financeiro[IdAgente],B43,financeiro[idDet1],22,financeiro[idDet2],60,financeiro[idDet3],241,financeiro[id_grupo_tarifa],2,financeiro[id_detalhe_grupo_tarifa],11,financeiro[id_tipo_tarifa],9)+SUMIFS(financeiro[valor],financeiro[IdAgente],B43,financeiro[idDet1],22,financeiro[idDet2],60,financeiro[idDet3],241,financeiro[id_grupo_tarifa],2,financeiro[id_detalhe_grupo_tarifa],9,financeiro[id_tipo_tarifa],9)+SUMIFS(financeiro[valor],financeiro[IdAgente],B43,financeiro[idDet1],22,financeiro[idDet2],60,financeiro[idDet3],241,financeiro[id_grupo_tarifa],2,financeiro[id_detalhe_grupo_tarifa],8,financeiro[id_tipo_tarifa],9)+SUMIFS(financeiro[valor],financeiro[IdAgente],B43,financeiro[idDet1],22,financeiro[idDet2],60,financeiro[idDet3],241,financeiro[id_grupo_tarifa],2,financeiro[id_detalhe_grupo_tarifa],10,financeiro[id_tipo_tarifa],9)+SUMIFS(financeiro[valor],financeiro[IdAgente],B43,financeiro[idDet1],22,financeiro[idDet2],60,financeiro[idDet3],241,financeiro[id_grupo_tarifa],2,financeiro[id_detalhe_grupo_tarifa],24,financeiro[id_tipo_tarifa],9)</f>
        <v>0</v>
      </c>
      <c r="AW43" s="267">
        <f>SUMIFS(financeiro[valor],financeiro[IdAgente],B43,financeiro[idDet1],22,financeiro[idDet2],60,financeiro[idDet3],241,financeiro[id_grupo_tarifa],3,financeiro[id_detalhe_grupo_tarifa],17,financeiro[id_tipo_tarifa],9)</f>
        <v>0</v>
      </c>
      <c r="AX43" s="267">
        <f>SUMIFS(financeiro[valor],financeiro[IdAgente],B43,financeiro[idDet1],22,financeiro[idDet2],60,financeiro[idDet3],240,financeiro[id_grupo_tarifa],2,financeiro[id_detalhe_grupo_tarifa],11,financeiro[id_tipo_tarifa],9)+SUMIFS(financeiro[valor],financeiro[IdAgente],B43,financeiro[idDet1],22,financeiro[idDet2],60,financeiro[idDet3],240,financeiro[id_grupo_tarifa],2,financeiro[id_detalhe_grupo_tarifa],9,financeiro[id_tipo_tarifa],9)+SUMIFS(financeiro[valor],financeiro[IdAgente],B43,financeiro[idDet1],22,financeiro[idDet2],60,financeiro[idDet3],240,financeiro[id_grupo_tarifa],2,financeiro[id_detalhe_grupo_tarifa],8,financeiro[id_tipo_tarifa],9)+SUMIFS(financeiro[valor],financeiro[IdAgente],B43,financeiro[idDet1],22,financeiro[idDet2],60,financeiro[idDet3],240,financeiro[id_grupo_tarifa],2,financeiro[id_detalhe_grupo_tarifa],10,financeiro[id_tipo_tarifa],9)+SUMIFS(financeiro[valor],financeiro[IdAgente],B43,financeiro[idDet1],22,financeiro[idDet2],60,financeiro[idDet3],240,financeiro[id_grupo_tarifa],2,financeiro[id_detalhe_grupo_tarifa],24,financeiro[id_tipo_tarifa],9)</f>
        <v>0</v>
      </c>
      <c r="AY43" s="267">
        <f>SUMIFS(financeiro[valor],financeiro[IdAgente],B43,financeiro[idDet1],22,financeiro[idDet2],60,financeiro[idDet3],106,financeiro[id_grupo_tarifa],2,financeiro[id_detalhe_grupo_tarifa],11,financeiro[id_tipo_tarifa],9)+SUMIFS(financeiro[valor],financeiro[IdAgente],B43,financeiro[idDet1],22,financeiro[idDet2],60,financeiro[idDet3],106,financeiro[id_grupo_tarifa],2,financeiro[id_detalhe_grupo_tarifa],9,financeiro[id_tipo_tarifa],9)+SUMIFS(financeiro[valor],financeiro[IdAgente],B43,financeiro[idDet1],22,financeiro[idDet2],60,financeiro[idDet3],106,financeiro[id_grupo_tarifa],2,financeiro[id_detalhe_grupo_tarifa],8,financeiro[id_tipo_tarifa],9)+SUMIFS(financeiro[valor],financeiro[IdAgente],B43,financeiro[idDet1],22,financeiro[idDet2],60,financeiro[idDet3],106,financeiro[id_grupo_tarifa],2,financeiro[id_detalhe_grupo_tarifa],10,financeiro[id_tipo_tarifa],9)+SUMIFS(financeiro[valor],financeiro[IdAgente],B43,financeiro[idDet1],22,financeiro[idDet2],60,financeiro[idDet3],106,financeiro[id_grupo_tarifa],2,financeiro[id_detalhe_grupo_tarifa],24,financeiro[id_tipo_tarifa],9)</f>
        <v>0</v>
      </c>
      <c r="AZ43" s="267">
        <f>SUMIFS(financeiro[valor],financeiro[IdAgente],B43,financeiro[idDet1],22,financeiro[idDet2],62,financeiro[idDet3],220,financeiro[id_grupo_tarifa],2,financeiro[id_detalhe_grupo_tarifa],11,financeiro[id_tipo_tarifa],9)+SUMIFS(financeiro[valor],financeiro[IdAgente],B43,financeiro[idDet1],22,financeiro[idDet2],62,financeiro[idDet3],220,financeiro[id_grupo_tarifa],2,financeiro[id_detalhe_grupo_tarifa],9,financeiro[id_tipo_tarifa],9)+SUMIFS(financeiro[valor],financeiro[IdAgente],B43,financeiro[idDet1],22,financeiro[idDet2],62,financeiro[idDet3],220,financeiro[id_grupo_tarifa],2,financeiro[id_detalhe_grupo_tarifa],8,financeiro[id_tipo_tarifa],9)+SUMIFS(financeiro[valor],financeiro[IdAgente],B43,financeiro[idDet1],22,financeiro[idDet2],62,financeiro[idDet3],220,financeiro[id_grupo_tarifa],2,financeiro[id_detalhe_grupo_tarifa],10,financeiro[id_tipo_tarifa],9)+SUMIFS(financeiro[valor],financeiro[IdAgente],B43,financeiro[idDet1],22,financeiro[idDet2],62,financeiro[idDet3],220,financeiro[id_grupo_tarifa],2,financeiro[id_detalhe_grupo_tarifa],24,financeiro[id_tipo_tarifa],9)</f>
        <v>0</v>
      </c>
      <c r="BA43" s="267">
        <f>SUMIFS(financeiro[valor],financeiro[IdAgente],B43,financeiro[idDet1],22,financeiro[idDet2],60,financeiro[idDet3],220,financeiro[id_grupo_tarifa],2,financeiro[id_detalhe_grupo_tarifa],11,financeiro[id_tipo_tarifa],9)+SUMIFS(financeiro[valor],financeiro[IdAgente],B43,financeiro[idDet1],22,financeiro[idDet2],60,financeiro[idDet3],220,financeiro[id_grupo_tarifa],2,financeiro[id_detalhe_grupo_tarifa],9,financeiro[id_tipo_tarifa],9)+SUMIFS(financeiro[valor],financeiro[IdAgente],B43,financeiro[idDet1],22,financeiro[idDet2],60,financeiro[idDet3],220,financeiro[id_grupo_tarifa],2,financeiro[id_detalhe_grupo_tarifa],8,financeiro[id_tipo_tarifa],9)+SUMIFS(financeiro[valor],financeiro[IdAgente],B43,financeiro[idDet1],22,financeiro[idDet2],60,financeiro[idDet3],220,financeiro[id_grupo_tarifa],2,financeiro[id_detalhe_grupo_tarifa],10,financeiro[id_tipo_tarifa],9)+SUMIFS(financeiro[valor],financeiro[IdAgente],B43,financeiro[idDet1],22,financeiro[idDet2],60,financeiro[idDet3],220,financeiro[id_grupo_tarifa],2,financeiro[id_detalhe_grupo_tarifa],24,financeiro[id_tipo_tarifa],9)</f>
        <v>0</v>
      </c>
      <c r="BB43" s="267">
        <f>SUMIFS(financeiro[valor],financeiro[IdAgente],B43,financeiro[idDet1],22,financeiro[idDet2],60,financeiro[idDet3],102,financeiro[id_grupo_tarifa],2,financeiro[id_detalhe_grupo_tarifa],11,financeiro[id_tipo_tarifa],9)+SUMIFS(financeiro[valor],financeiro[IdAgente],B43,financeiro[idDet1],22,financeiro[idDet2],60,financeiro[idDet3],102,financeiro[id_grupo_tarifa],2,financeiro[id_detalhe_grupo_tarifa],9,financeiro[id_tipo_tarifa],9)+SUMIFS(financeiro[valor],financeiro[IdAgente],B43,financeiro[idDet1],22,financeiro[idDet2],60,financeiro[idDet3],102,financeiro[id_grupo_tarifa],2,financeiro[id_detalhe_grupo_tarifa],8,financeiro[id_tipo_tarifa],9)+SUMIFS(financeiro[valor],financeiro[IdAgente],B43,financeiro[idDet1],22,financeiro[idDet2],60,financeiro[idDet3],102,financeiro[id_grupo_tarifa],2,financeiro[id_detalhe_grupo_tarifa],10,financeiro[id_tipo_tarifa],9)+SUMIFS(financeiro[valor],financeiro[IdAgente],B43,financeiro[idDet1],22,financeiro[idDet2],60,financeiro[idDet3],102,financeiro[id_grupo_tarifa],2,financeiro[id_detalhe_grupo_tarifa],24,financeiro[id_tipo_tarifa],9)</f>
        <v>0</v>
      </c>
      <c r="BC43" s="267">
        <f>SUMIFS(financeiro[valor],financeiro[IdAgente],B43,financeiro[idDet1],22,financeiro[idDet2],60,financeiro[idDet3],522,financeiro[valor],"&lt;0")</f>
        <v>0</v>
      </c>
      <c r="BD43" s="267">
        <f>SUMIFS(financeiro[valor],financeiro[IdAgente],B43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43" s="267">
        <f>SUMIFS(financeiro[valor],financeiro[IdAgente],B43,financeiro[id_natureza_dado],2,financeiro[id_detalhe_natureza],2,financeiro[idDet1],20,financeiro[idDet2],60,financeiro[idDet3],82,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43" s="267">
        <f>SUMIFS(financeiro[valor],financeiro[IdAgente],B43,financeiro[id_natureza_dado],2,financeiro[id_detalhe_natureza],2,financeiro[idDet1],20,financeiro[idDet2],60,financeiro[idDet3],81,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43" s="267">
        <f>SUMIFS(financeiro[valor],financeiro[IdAgente],B43,financeiro[id_natureza_dado],2,financeiro[id_detalhe_natureza],2,financeiro[idDet1],20,financeiro[idDet2],60,financeiro[idDet3],503,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43" s="267">
        <f>SUMIFS(financeiro[valor],financeiro[IdAgente],B43,financeiro[idDet1],22,financeiro[idDet2],60,financeiro[idDet3],123)</f>
        <v>0</v>
      </c>
      <c r="BI43" s="267">
        <f>SUMIFS(financeiro[valor],financeiro[IdAgente],B43,financeiro[idDet1],20,financeiro[idDet2],60,financeiro[idDet3],73)</f>
        <v>0</v>
      </c>
      <c r="BJ43" s="267">
        <f>SUMIFS(financeiro[valor],financeiro[IdAgente],B43,financeiro[idDet1],22,financeiro[idDet2],60,financeiro[idDet3],527)</f>
        <v>0</v>
      </c>
      <c r="BK43" s="267">
        <f>SUMIFS(financeiro[valor],financeiro[IdAgente],B43,financeiro[idDet1],22,financeiro[idDet2],60,financeiro[idDet3],510)</f>
        <v>0</v>
      </c>
      <c r="BL43" s="267">
        <f>SUMIFS(financeiro[valor],financeiro[IdAgente],B43,financeiro[idDet1],22,financeiro[idDet2],60,financeiro[idDet3],526,
financeiro[id_grupo_tarifa],1,financeiro[id_detalhe_grupo_tarifa],3,financeiro[id_tipo_tarifa],9,financeiro[id_subgrupo],3)</f>
        <v>0</v>
      </c>
      <c r="BM43" s="267">
        <f>SUMIFS(financeiro[valor],financeiro[IdAgente],B43,financeiro[idDet1],22,financeiro[idDet2],60,financeiro[idDet3],999,
financeiro[id_grupo_tarifa],3,financeiro[id_detalhe_grupo_tarifa],17,financeiro[id_tipo_tarifa],9)</f>
        <v>0</v>
      </c>
      <c r="BN43" s="267">
        <f>SUMIFS(financeiro[valor],financeiro[IdAgente],B43,financeiro[idDet1],22,financeiro[idDet2],60,financeiro[idDet3],526,financeiro[id_grupo_tarifa],1,financeiro[id_detalhe_grupo_tarifa],7,financeiro[id_tipo_tarifa],9,financeiro[valor],"&lt;0")+SUMIFS(financeiro[valor],financeiro[IdAgente],B43,financeiro[idDet1],22,financeiro[idDet2],60,financeiro[idDet3],526,financeiro[id_grupo_tarifa],2,financeiro[id_detalhe_grupo_tarifa],11,financeiro[id_tipo_tarifa],9,financeiro[valor],"&lt;0")+SUMIFS(financeiro[valor],financeiro[IdAgente],B43,financeiro[idDet1],22,financeiro[idDet2],60,financeiro[idDet3],526,financeiro[id_grupo_tarifa],2,financeiro[id_detalhe_grupo_tarifa],8,financeiro[id_tipo_tarifa],9,financeiro[valor],"&lt;0")</f>
        <v>0</v>
      </c>
      <c r="BO43" s="267">
        <f>SUMIFS(financeiro[valor],financeiro[IdAgente],B43,financeiro[idDet1],22,financeiro[idDet2],60,financeiro[idDet3],999,financeiro[id_grupo_tarifa],4,financeiro[id_detalhe_grupo_tarifa],999,financeiro[id_tipo_tarifa],9,financeiro[valor],"&lt;0")</f>
        <v>0</v>
      </c>
      <c r="BP43" s="267">
        <f>SUMIFS(financeiro[valor],financeiro[IdAgente],B43,financeiro[idDet1],22,financeiro[idDet2],60,financeiro[idDet3],530,financeiro[valor],"&lt;0")</f>
        <v>0</v>
      </c>
      <c r="BQ43" s="267">
        <f>SUMIFS(financeiro[valor],financeiro[IdAgente],B43,financeiro[idDet1],22,financeiro[idDet2],60,financeiro[idDet3],531,financeiro[valor],"&lt;0")</f>
        <v>0</v>
      </c>
      <c r="BR43" s="267">
        <f>SUMIFS(financeiro[valor],financeiro[IdAgente],B43,financeiro[idDet1],22,financeiro[idDet2],62,financeiro[idDet3],532,financeiro[valor],"&lt;0")</f>
        <v>0</v>
      </c>
      <c r="BS43" s="267">
        <f>SUMIFS(financeiro[valor],financeiro[IdAgente],B43,financeiro[idDet1],22,financeiro[idDet2],62,financeiro[idDet3],533,financeiro[valor],"&lt;0")</f>
        <v>0</v>
      </c>
      <c r="BT43" s="267">
        <f>SUMIFS(financeiro[valor],financeiro[IdAgente],B43,financeiro[idDet1],22,financeiro[idDet2],62,financeiro[idDet3],534,financeiro[valor],"&lt;0")</f>
        <v>0</v>
      </c>
      <c r="BW43" s="210" t="s">
        <v>215</v>
      </c>
      <c r="BX43" t="str">
        <f>Efeito!B44</f>
        <v>NO SELECT</v>
      </c>
      <c r="BY43" s="267">
        <f>SUMIFS(Banco[valor],Banco[IdAgente],BX43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43" s="267">
        <f>SUMIFS(Banco[valor],Banco[IdAgente],BX43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43" s="267">
        <f>SUMIFS(Banco[valor],Banco[IdAgente],BX43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43" s="267">
        <f>SUMIFS(Banco[valor],Banco[IdAgente],BX43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43" s="267">
        <f>SUMIFS(Banco[valor],Banco[IdAgente],BX43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43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43" s="267">
        <f>SUMIFS(Banco[valor],Banco[IdAgente],BX43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43" s="267">
        <f>SUMIFS(Banco[valor],Banco[IdAgente],BX43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43" s="267">
        <f>SUMIFS(Banco[valor],Banco[IdAgente],BX43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43" s="267">
        <f>SUMIFS(Banco[valor],Banco[IdAgente],BX43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43" s="267">
        <f>SUMIFS(Banco[valor],Banco[IdAgente],BX43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43" s="267">
        <f>SUMIFS(Banco[valor],Banco[IdAgente],BX43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43" s="267">
        <f>SUMIFS(Banco[valor],Banco[IdAgente],BX43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43" s="267">
        <f>SUMIFS(Banco[valor],Banco[IdAgente],B43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43" s="267">
        <f>SUMIFS(Banco[valor],Banco[IdAgente],B43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43" s="267">
        <f>SUMIFS(Banco[valor],Banco[IdAgente],B43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44" spans="1:92">
      <c r="A44" t="s">
        <v>217</v>
      </c>
      <c r="B44" t="str">
        <f>Efeito!B45</f>
        <v>NO SELECT</v>
      </c>
      <c r="C44" s="267">
        <f>SUMIFS(Banco[valor],Banco[IdAgente],B44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44" s="267">
        <f>SUMIFS(Banco[valor],Banco[IdAgente],B44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44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44" s="267">
        <f>SUMIFS(Banco[valor],Banco[IdAgente],B44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44" s="267">
        <f>SUMIFS(Banco[valor],Banco[IdAgente],B44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44" s="267">
        <f>SUMIFS(Banco[valor],Banco[IdAgente],B44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44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44" s="267">
        <f>SUMIFS(Banco[valor],Banco[IdAgente],B44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44" s="267">
        <f>SUMIFS(Banco[valor],Banco[IdAgente],B44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44" s="267">
        <f>SUMIFS(Banco[valor],Banco[IdAgente],B44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44" s="267">
        <f>SUMIFS(Banco[valor],Banco[IdAgente],B44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44" s="267">
        <f>SUMIFS(Banco[valor],Banco[IdAgente],B44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44" s="267">
        <f>SUMIFS(Banco[valor],Banco[IdAgente],B44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44" s="267">
        <f>SUMIFS(Banco[valor],Banco[IdAgente],B44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44" s="267">
        <f>SUMIFS(Banco[valor],Banco[IdAgente],B44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44" s="267">
        <f t="shared" si="3"/>
        <v>0</v>
      </c>
      <c r="Q44" s="267">
        <f>SUMIFS(Banco[valor],Banco[IdAgente],B44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44" s="267">
        <f>SUMIFS(Banco[valor],Banco[IdAgente],B44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44" s="4"/>
      <c r="T44" s="4"/>
      <c r="U44" s="4"/>
      <c r="V44" s="267">
        <f>SUMIFS(financeiro[valor],financeiro[IdAgente],B44,financeiro[idDet1],22,financeiro[idDet2],60,financeiro[idDet3],526,financeiro[id_grupo_tarifa],1,financeiro[id_detalhe_grupo_tarifa],7,financeiro[id_tipo_tarifa],9,financeiro[id_subgrupo],99,financeiro[valor],"&gt;0")+SUMIFS(financeiro[valor],financeiro[IdAgente],B44,financeiro[idDet1],22,financeiro[idDet2],60,financeiro[idDet3],526,financeiro[id_grupo_tarifa],2,financeiro[id_detalhe_grupo_tarifa],11,financeiro[id_tipo_tarifa],9,financeiro[valor],"&gt;0")+SUMIFS(financeiro[valor],financeiro[IdAgente],B44,financeiro[idDet1],22,financeiro[idDet2],60,financeiro[idDet3],526,financeiro[id_grupo_tarifa],2,financeiro[id_detalhe_grupo_tarifa],9,financeiro[id_tipo_tarifa],9,financeiro[valor],"&gt;0")+SUMIFS(financeiro[valor],financeiro[IdAgente],B44,financeiro[idDet1],22,financeiro[idDet2],60,financeiro[idDet3],526,financeiro[id_grupo_tarifa],2,financeiro[id_detalhe_grupo_tarifa],8,financeiro[id_tipo_tarifa],9,financeiro[valor],"&gt;0")+SUMIFS(financeiro[valor],financeiro[IdAgente],B44,financeiro[idDet1],22,financeiro[idDet2],60,financeiro[idDet3],526,financeiro[id_grupo_tarifa],2,financeiro[id_detalhe_grupo_tarifa],10,financeiro[id_tipo_tarifa],9,financeiro[valor],"&gt;0")+SUMIFS(financeiro[valor],financeiro[IdAgente],B44,financeiro[idDet1],22,financeiro[idDet2],60,financeiro[idDet3],526,financeiro[id_grupo_tarifa],2,financeiro[id_detalhe_grupo_tarifa],24,financeiro[id_tipo_tarifa],9,financeiro[valor],"&gt;0")</f>
        <v>0</v>
      </c>
      <c r="W44" s="267">
        <f>SUMIFS(financeiro[valor],financeiro[IdAgente],B44,financeiro[idDet1],20,financeiro[idDet2],60,financeiro[idDet3],999,financeiro[id_grupo_tarifa],3,financeiro[id_detalhe_grupo_tarifa],14,financeiro[id_tipo_tarifa],9)+SUMIFS(financeiro[valor],financeiro[IdAgente],B44,financeiro[idDet1],20,financeiro[idDet2],60,financeiro[idDet3],999,financeiro[id_grupo_tarifa],3,financeiro[id_detalhe_grupo_tarifa],15,financeiro[id_tipo_tarifa],9)+SUMIFS(financeiro[valor],financeiro[IdAgente],B44,financeiro[idDet1],20,financeiro[idDet2],60,financeiro[idDet3],999,financeiro[id_grupo_tarifa],3,financeiro[id_detalhe_grupo_tarifa],16,financeiro[id_tipo_tarifa],9)+SUMIFS(financeiro[valor],financeiro[IdAgente],B44,financeiro[idDet1],20,financeiro[idDet2],60,financeiro[idDet3],999,financeiro[id_grupo_tarifa],3,financeiro[id_detalhe_grupo_tarifa],17,financeiro[id_tipo_tarifa],9)+SUMIFS(financeiro[valor],financeiro[IdAgente],B44,financeiro[idDet1],20,financeiro[idDet2],60,financeiro[idDet3],999,financeiro[id_grupo_tarifa],3,financeiro[id_detalhe_grupo_tarifa],18,financeiro[id_tipo_tarifa],9)+SUMIFS(financeiro[valor],financeiro[IdAgente],B44,financeiro[idDet1],20,financeiro[idDet2],60,financeiro[idDet3],999,financeiro[id_grupo_tarifa],3,financeiro[id_detalhe_grupo_tarifa],19,financeiro[id_tipo_tarifa],9)</f>
        <v>0</v>
      </c>
      <c r="X44" s="267">
        <f>SUMIFS(financeiro[valor],financeiro[IdAgente],B44,financeiro[idDet1],20,financeiro[idDet2],60,financeiro[idDet3],999,financeiro[id_grupo_tarifa],3,financeiro[id_detalhe_grupo_tarifa],12,financeiro[id_tipo_tarifa],9)+SUMIFS(financeiro[valor],financeiro[IdAgente],B44,financeiro[idDet1],20,financeiro[idDet2],60,financeiro[idDet3],999,financeiro[id_grupo_tarifa],4,financeiro[id_detalhe_grupo_tarifa],999,financeiro[id_tipo_tarifa],9)</f>
        <v>0</v>
      </c>
      <c r="Y44" s="267">
        <f>SUMIFS(financeiro[valor],financeiro[IdAgente],B44,financeiro[idDet1],20,financeiro[idDet2],60,financeiro[idDet3],179,financeiro[id_grupo_tarifa],99,financeiro[id_detalhe_grupo_tarifa],999,financeiro[id_tipo_tarifa],9)</f>
        <v>0</v>
      </c>
      <c r="Z44" s="267">
        <f>SUMIFS(financeiro[valor],financeiro[IdAgente],B44,financeiro[idDet1],20,financeiro[idDet2],60,financeiro[idDet3],999,financeiro[id_grupo_tarifa],2,financeiro[id_detalhe_grupo_tarifa],11,financeiro[id_tipo_tarifa],9,financeiro[valor],"&gt;0")+SUMIFS(financeiro[valor],financeiro[IdAgente],B44,financeiro[idDet1],20,financeiro[idDet2],60,financeiro[idDet3],999,financeiro[id_grupo_tarifa],2,financeiro[id_detalhe_grupo_tarifa],9,financeiro[id_tipo_tarifa],9,financeiro[valor],"&gt;0")+SUMIFS(financeiro[valor],financeiro[IdAgente],B44,financeiro[idDet1],20,financeiro[idDet2],60,financeiro[idDet3],999,financeiro[id_grupo_tarifa],2,financeiro[id_detalhe_grupo_tarifa],8,financeiro[id_tipo_tarifa],9,financeiro[valor],"&gt;0")+SUMIFS(financeiro[valor],financeiro[IdAgente],B44,financeiro[idDet1],20,financeiro[idDet2],60,financeiro[idDet3],999,financeiro[id_grupo_tarifa],2,financeiro[id_detalhe_grupo_tarifa],10,financeiro[id_tipo_tarifa],9,financeiro[valor],"&gt;0")+SUMIFS(financeiro[valor],financeiro[IdAgente],B44,financeiro[idDet1],20,financeiro[idDet2],60,financeiro[idDet3],999,financeiro[id_grupo_tarifa],2,financeiro[id_detalhe_grupo_tarifa],24,financeiro[id_tipo_tarifa],9,financeiro[valor],"&gt;0")+SUMIFS(financeiro[valor],financeiro[IdAgente],B44,financeiro[idDet1],20,financeiro[idDet2],60,financeiro[idDet3],999,financeiro[id_grupo_tarifa],2,financeiro[id_detalhe_grupo_tarifa],17,financeiro[id_tipo_tarifa],9,financeiro[valor],"&gt;0")+SUMIFS(financeiro[valor],financeiro[IdAgente],B44,financeiro[idDet1],999,financeiro[idDet2],999999,financeiro[idDet3],999,financeiro[id_grupo_tarifa],99,financeiro[id_detalhe_grupo_tarifa],999,financeiro[id_tipo_tarifa],9,financeiro[valor],"&gt;0")</f>
        <v>0</v>
      </c>
      <c r="AA44" s="267">
        <f>SUMIFS(financeiro[valor],financeiro[IdAgente],B44,financeiro[idDet1],22,financeiro[idDet2],60,financeiro[idDet3],529,financeiro[id_grupo_tarifa],1,financeiro[id_detalhe_grupo_tarifa],1,financeiro[id_tipo_tarifa],9,financeiro[valor],"&gt;0")+SUMIFS(financeiro[valor],financeiro[IdAgente],B44,financeiro[idDet1],22,financeiro[idDet2],60,financeiro[idDet3],529,financeiro[id_grupo_tarifa],1,financeiro[id_detalhe_grupo_tarifa],2,financeiro[id_tipo_tarifa],9,financeiro[valor],"&gt;0")</f>
        <v>0</v>
      </c>
      <c r="AB44" s="269"/>
      <c r="AC44" s="267">
        <f>SUMIFS(financeiro[valor],financeiro[IdAgente],B44,financeiro[idDet1],22,financeiro[idDet2],60,financeiro[idDet3],999,financeiro[id_grupo_tarifa],2,financeiro[id_detalhe_grupo_tarifa],30,financeiro[id_tipo_tarifa],9,financeiro[valor],"&gt;0")</f>
        <v>0</v>
      </c>
      <c r="AD44" s="267">
        <f>SUMIFS(financeiro[valor],financeiro[IdAgente],B44,financeiro[idDet1],22,financeiro[idDet2],60,financeiro[idDet3],178,financeiro[id_grupo_tarifa],1,financeiro[id_detalhe_grupo_tarifa],7,financeiro[id_tipo_tarifa],9)</f>
        <v>0</v>
      </c>
      <c r="AE44" s="267">
        <f>SUMIFS(financeiro[valor],financeiro[IdAgente],B44,financeiro[idDet1],22,financeiro[idDet2],60,financeiro[idDet3],242,financeiro[id_grupo_tarifa],4,financeiro[id_detalhe_grupo_tarifa],999,financeiro[id_tipo_tarifa],9)</f>
        <v>0</v>
      </c>
      <c r="AF44" s="267">
        <f>SUMIFS(financeiro[valor],financeiro[IdAgente],B44,financeiro[idDet1],22,financeiro[idDet2],60,financeiro[idDet3],525,financeiro[id_grupo_tarifa],2,financeiro[id_tipo_tarifa],9)</f>
        <v>0</v>
      </c>
      <c r="AG44" s="267">
        <f>SUMIFS(financeiro[valor],financeiro[IdAgente],B44,financeiro[idDet1],22,financeiro[idDet2],60,financeiro[idDet3],524)</f>
        <v>0</v>
      </c>
      <c r="AH44" s="269"/>
      <c r="AI44" s="267">
        <f>SUMIFS(financeiro[valor],financeiro[IdAgente],B44,financeiro[idDet1],22,financeiro[idDet2],60,financeiro[idDet3],523,financeiro[id_grupo_tarifa],2,financeiro[id_detalhe_grupo_tarifa],30,financeiro[id_tipo_tarifa],9)</f>
        <v>0</v>
      </c>
      <c r="AJ44" s="267">
        <f>SUMIFS(financeiro[valor],financeiro[IdAgente],B44,financeiro[idDet1],22,financeiro[idDet2],60,financeiro[idDet3],503,financeiro[id_grupo_tarifa],99,financeiro[id_detalhe_grupo_tarifa],999,financeiro[id_tipo_tarifa],3)</f>
        <v>0</v>
      </c>
      <c r="AK44" s="269"/>
      <c r="AL44" s="269"/>
      <c r="AM44" s="269"/>
      <c r="AN44" s="269"/>
      <c r="AO44" s="269"/>
      <c r="AP44" s="269"/>
      <c r="AQ44" s="269"/>
      <c r="AR44" s="269"/>
      <c r="AS44" s="269"/>
      <c r="AT44" s="267">
        <f>SUMIFS(financeiro[valor],financeiro[IdAgente],B44,financeiro[idDet1],22,financeiro[idDet2],60,financeiro[idDet3],235,financeiro[id_grupo_tarifa],4,financeiro[id_detalhe_grupo_tarifa],999,financeiro[id_tipo_tarifa],9)</f>
        <v>0</v>
      </c>
      <c r="AU44" s="267">
        <f>SUMIFS(financeiro[valor],financeiro[IdAgente],B44,financeiro[idDet1],22,financeiro[idDet2],60,financeiro[idDet3],512,financeiro[id_grupo_tarifa],3,financeiro[id_detalhe_grupo_tarifa],28,financeiro[id_tipo_tarifa],9)</f>
        <v>0</v>
      </c>
      <c r="AV44" s="267">
        <f>SUMIFS(financeiro[valor],financeiro[IdAgente],B44,financeiro[idDet1],22,financeiro[idDet2],60,financeiro[idDet3],241,financeiro[id_grupo_tarifa],2,financeiro[id_detalhe_grupo_tarifa],11,financeiro[id_tipo_tarifa],9)+SUMIFS(financeiro[valor],financeiro[IdAgente],B44,financeiro[idDet1],22,financeiro[idDet2],60,financeiro[idDet3],241,financeiro[id_grupo_tarifa],2,financeiro[id_detalhe_grupo_tarifa],9,financeiro[id_tipo_tarifa],9)+SUMIFS(financeiro[valor],financeiro[IdAgente],B44,financeiro[idDet1],22,financeiro[idDet2],60,financeiro[idDet3],241,financeiro[id_grupo_tarifa],2,financeiro[id_detalhe_grupo_tarifa],8,financeiro[id_tipo_tarifa],9)+SUMIFS(financeiro[valor],financeiro[IdAgente],B44,financeiro[idDet1],22,financeiro[idDet2],60,financeiro[idDet3],241,financeiro[id_grupo_tarifa],2,financeiro[id_detalhe_grupo_tarifa],10,financeiro[id_tipo_tarifa],9)+SUMIFS(financeiro[valor],financeiro[IdAgente],B44,financeiro[idDet1],22,financeiro[idDet2],60,financeiro[idDet3],241,financeiro[id_grupo_tarifa],2,financeiro[id_detalhe_grupo_tarifa],24,financeiro[id_tipo_tarifa],9)</f>
        <v>0</v>
      </c>
      <c r="AW44" s="267">
        <f>SUMIFS(financeiro[valor],financeiro[IdAgente],B44,financeiro[idDet1],22,financeiro[idDet2],60,financeiro[idDet3],241,financeiro[id_grupo_tarifa],3,financeiro[id_detalhe_grupo_tarifa],17,financeiro[id_tipo_tarifa],9)</f>
        <v>0</v>
      </c>
      <c r="AX44" s="267">
        <f>SUMIFS(financeiro[valor],financeiro[IdAgente],B44,financeiro[idDet1],22,financeiro[idDet2],60,financeiro[idDet3],240,financeiro[id_grupo_tarifa],2,financeiro[id_detalhe_grupo_tarifa],11,financeiro[id_tipo_tarifa],9)+SUMIFS(financeiro[valor],financeiro[IdAgente],B44,financeiro[idDet1],22,financeiro[idDet2],60,financeiro[idDet3],240,financeiro[id_grupo_tarifa],2,financeiro[id_detalhe_grupo_tarifa],9,financeiro[id_tipo_tarifa],9)+SUMIFS(financeiro[valor],financeiro[IdAgente],B44,financeiro[idDet1],22,financeiro[idDet2],60,financeiro[idDet3],240,financeiro[id_grupo_tarifa],2,financeiro[id_detalhe_grupo_tarifa],8,financeiro[id_tipo_tarifa],9)+SUMIFS(financeiro[valor],financeiro[IdAgente],B44,financeiro[idDet1],22,financeiro[idDet2],60,financeiro[idDet3],240,financeiro[id_grupo_tarifa],2,financeiro[id_detalhe_grupo_tarifa],10,financeiro[id_tipo_tarifa],9)+SUMIFS(financeiro[valor],financeiro[IdAgente],B44,financeiro[idDet1],22,financeiro[idDet2],60,financeiro[idDet3],240,financeiro[id_grupo_tarifa],2,financeiro[id_detalhe_grupo_tarifa],24,financeiro[id_tipo_tarifa],9)</f>
        <v>0</v>
      </c>
      <c r="AY44" s="267">
        <f>SUMIFS(financeiro[valor],financeiro[IdAgente],B44,financeiro[idDet1],22,financeiro[idDet2],60,financeiro[idDet3],106,financeiro[id_grupo_tarifa],2,financeiro[id_detalhe_grupo_tarifa],11,financeiro[id_tipo_tarifa],9)+SUMIFS(financeiro[valor],financeiro[IdAgente],B44,financeiro[idDet1],22,financeiro[idDet2],60,financeiro[idDet3],106,financeiro[id_grupo_tarifa],2,financeiro[id_detalhe_grupo_tarifa],9,financeiro[id_tipo_tarifa],9)+SUMIFS(financeiro[valor],financeiro[IdAgente],B44,financeiro[idDet1],22,financeiro[idDet2],60,financeiro[idDet3],106,financeiro[id_grupo_tarifa],2,financeiro[id_detalhe_grupo_tarifa],8,financeiro[id_tipo_tarifa],9)+SUMIFS(financeiro[valor],financeiro[IdAgente],B44,financeiro[idDet1],22,financeiro[idDet2],60,financeiro[idDet3],106,financeiro[id_grupo_tarifa],2,financeiro[id_detalhe_grupo_tarifa],10,financeiro[id_tipo_tarifa],9)+SUMIFS(financeiro[valor],financeiro[IdAgente],B44,financeiro[idDet1],22,financeiro[idDet2],60,financeiro[idDet3],106,financeiro[id_grupo_tarifa],2,financeiro[id_detalhe_grupo_tarifa],24,financeiro[id_tipo_tarifa],9)</f>
        <v>0</v>
      </c>
      <c r="AZ44" s="267">
        <f>SUMIFS(financeiro[valor],financeiro[IdAgente],B44,financeiro[idDet1],22,financeiro[idDet2],62,financeiro[idDet3],220,financeiro[id_grupo_tarifa],2,financeiro[id_detalhe_grupo_tarifa],11,financeiro[id_tipo_tarifa],9)+SUMIFS(financeiro[valor],financeiro[IdAgente],B44,financeiro[idDet1],22,financeiro[idDet2],62,financeiro[idDet3],220,financeiro[id_grupo_tarifa],2,financeiro[id_detalhe_grupo_tarifa],9,financeiro[id_tipo_tarifa],9)+SUMIFS(financeiro[valor],financeiro[IdAgente],B44,financeiro[idDet1],22,financeiro[idDet2],62,financeiro[idDet3],220,financeiro[id_grupo_tarifa],2,financeiro[id_detalhe_grupo_tarifa],8,financeiro[id_tipo_tarifa],9)+SUMIFS(financeiro[valor],financeiro[IdAgente],B44,financeiro[idDet1],22,financeiro[idDet2],62,financeiro[idDet3],220,financeiro[id_grupo_tarifa],2,financeiro[id_detalhe_grupo_tarifa],10,financeiro[id_tipo_tarifa],9)+SUMIFS(financeiro[valor],financeiro[IdAgente],B44,financeiro[idDet1],22,financeiro[idDet2],62,financeiro[idDet3],220,financeiro[id_grupo_tarifa],2,financeiro[id_detalhe_grupo_tarifa],24,financeiro[id_tipo_tarifa],9)</f>
        <v>0</v>
      </c>
      <c r="BA44" s="267">
        <f>SUMIFS(financeiro[valor],financeiro[IdAgente],B44,financeiro[idDet1],22,financeiro[idDet2],60,financeiro[idDet3],220,financeiro[id_grupo_tarifa],2,financeiro[id_detalhe_grupo_tarifa],11,financeiro[id_tipo_tarifa],9)+SUMIFS(financeiro[valor],financeiro[IdAgente],B44,financeiro[idDet1],22,financeiro[idDet2],60,financeiro[idDet3],220,financeiro[id_grupo_tarifa],2,financeiro[id_detalhe_grupo_tarifa],9,financeiro[id_tipo_tarifa],9)+SUMIFS(financeiro[valor],financeiro[IdAgente],B44,financeiro[idDet1],22,financeiro[idDet2],60,financeiro[idDet3],220,financeiro[id_grupo_tarifa],2,financeiro[id_detalhe_grupo_tarifa],8,financeiro[id_tipo_tarifa],9)+SUMIFS(financeiro[valor],financeiro[IdAgente],B44,financeiro[idDet1],22,financeiro[idDet2],60,financeiro[idDet3],220,financeiro[id_grupo_tarifa],2,financeiro[id_detalhe_grupo_tarifa],10,financeiro[id_tipo_tarifa],9)+SUMIFS(financeiro[valor],financeiro[IdAgente],B44,financeiro[idDet1],22,financeiro[idDet2],60,financeiro[idDet3],220,financeiro[id_grupo_tarifa],2,financeiro[id_detalhe_grupo_tarifa],24,financeiro[id_tipo_tarifa],9)</f>
        <v>0</v>
      </c>
      <c r="BB44" s="267">
        <f>SUMIFS(financeiro[valor],financeiro[IdAgente],B44,financeiro[idDet1],22,financeiro[idDet2],60,financeiro[idDet3],102,financeiro[id_grupo_tarifa],2,financeiro[id_detalhe_grupo_tarifa],11,financeiro[id_tipo_tarifa],9)+SUMIFS(financeiro[valor],financeiro[IdAgente],B44,financeiro[idDet1],22,financeiro[idDet2],60,financeiro[idDet3],102,financeiro[id_grupo_tarifa],2,financeiro[id_detalhe_grupo_tarifa],9,financeiro[id_tipo_tarifa],9)+SUMIFS(financeiro[valor],financeiro[IdAgente],B44,financeiro[idDet1],22,financeiro[idDet2],60,financeiro[idDet3],102,financeiro[id_grupo_tarifa],2,financeiro[id_detalhe_grupo_tarifa],8,financeiro[id_tipo_tarifa],9)+SUMIFS(financeiro[valor],financeiro[IdAgente],B44,financeiro[idDet1],22,financeiro[idDet2],60,financeiro[idDet3],102,financeiro[id_grupo_tarifa],2,financeiro[id_detalhe_grupo_tarifa],10,financeiro[id_tipo_tarifa],9)+SUMIFS(financeiro[valor],financeiro[IdAgente],B44,financeiro[idDet1],22,financeiro[idDet2],60,financeiro[idDet3],102,financeiro[id_grupo_tarifa],2,financeiro[id_detalhe_grupo_tarifa],24,financeiro[id_tipo_tarifa],9)</f>
        <v>0</v>
      </c>
      <c r="BC44" s="267">
        <f>SUMIFS(financeiro[valor],financeiro[IdAgente],B44,financeiro[idDet1],22,financeiro[idDet2],60,financeiro[idDet3],522,financeiro[valor],"&lt;0")</f>
        <v>0</v>
      </c>
      <c r="BD44" s="267">
        <f>SUMIFS(financeiro[valor],financeiro[IdAgente],B44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44" s="267">
        <f>SUMIFS(financeiro[valor],financeiro[IdAgente],B44,financeiro[id_natureza_dado],2,financeiro[id_detalhe_natureza],2,financeiro[idDet1],20,financeiro[idDet2],60,financeiro[idDet3],82,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44" s="267">
        <f>SUMIFS(financeiro[valor],financeiro[IdAgente],B44,financeiro[id_natureza_dado],2,financeiro[id_detalhe_natureza],2,financeiro[idDet1],20,financeiro[idDet2],60,financeiro[idDet3],81,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44" s="267">
        <f>SUMIFS(financeiro[valor],financeiro[IdAgente],B44,financeiro[id_natureza_dado],2,financeiro[id_detalhe_natureza],2,financeiro[idDet1],20,financeiro[idDet2],60,financeiro[idDet3],503,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44" s="267">
        <f>SUMIFS(financeiro[valor],financeiro[IdAgente],B44,financeiro[idDet1],22,financeiro[idDet2],60,financeiro[idDet3],123)</f>
        <v>0</v>
      </c>
      <c r="BI44" s="267">
        <f>SUMIFS(financeiro[valor],financeiro[IdAgente],B44,financeiro[idDet1],20,financeiro[idDet2],60,financeiro[idDet3],73)</f>
        <v>0</v>
      </c>
      <c r="BJ44" s="267">
        <f>SUMIFS(financeiro[valor],financeiro[IdAgente],B44,financeiro[idDet1],22,financeiro[idDet2],60,financeiro[idDet3],527)</f>
        <v>0</v>
      </c>
      <c r="BK44" s="267">
        <f>SUMIFS(financeiro[valor],financeiro[IdAgente],B44,financeiro[idDet1],22,financeiro[idDet2],60,financeiro[idDet3],510)</f>
        <v>0</v>
      </c>
      <c r="BL44" s="267">
        <f>SUMIFS(financeiro[valor],financeiro[IdAgente],B44,financeiro[idDet1],22,financeiro[idDet2],60,financeiro[idDet3],526,
financeiro[id_grupo_tarifa],1,financeiro[id_detalhe_grupo_tarifa],3,financeiro[id_tipo_tarifa],9,financeiro[id_subgrupo],3)</f>
        <v>0</v>
      </c>
      <c r="BM44" s="267">
        <f>SUMIFS(financeiro[valor],financeiro[IdAgente],B44,financeiro[idDet1],22,financeiro[idDet2],60,financeiro[idDet3],999,
financeiro[id_grupo_tarifa],3,financeiro[id_detalhe_grupo_tarifa],17,financeiro[id_tipo_tarifa],9)</f>
        <v>0</v>
      </c>
      <c r="BN44" s="267">
        <f>SUMIFS(financeiro[valor],financeiro[IdAgente],B44,financeiro[idDet1],22,financeiro[idDet2],60,financeiro[idDet3],526,financeiro[id_grupo_tarifa],1,financeiro[id_detalhe_grupo_tarifa],7,financeiro[id_tipo_tarifa],9,financeiro[valor],"&lt;0")+SUMIFS(financeiro[valor],financeiro[IdAgente],B44,financeiro[idDet1],22,financeiro[idDet2],60,financeiro[idDet3],526,financeiro[id_grupo_tarifa],2,financeiro[id_detalhe_grupo_tarifa],11,financeiro[id_tipo_tarifa],9,financeiro[valor],"&lt;0")+SUMIFS(financeiro[valor],financeiro[IdAgente],B44,financeiro[idDet1],22,financeiro[idDet2],60,financeiro[idDet3],526,financeiro[id_grupo_tarifa],2,financeiro[id_detalhe_grupo_tarifa],8,financeiro[id_tipo_tarifa],9,financeiro[valor],"&lt;0")</f>
        <v>0</v>
      </c>
      <c r="BO44" s="267">
        <f>SUMIFS(financeiro[valor],financeiro[IdAgente],B44,financeiro[idDet1],22,financeiro[idDet2],60,financeiro[idDet3],999,financeiro[id_grupo_tarifa],4,financeiro[id_detalhe_grupo_tarifa],999,financeiro[id_tipo_tarifa],9,financeiro[valor],"&lt;0")</f>
        <v>0</v>
      </c>
      <c r="BP44" s="267">
        <f>SUMIFS(financeiro[valor],financeiro[IdAgente],B44,financeiro[idDet1],22,financeiro[idDet2],60,financeiro[idDet3],530,financeiro[valor],"&lt;0")</f>
        <v>0</v>
      </c>
      <c r="BQ44" s="267">
        <f>SUMIFS(financeiro[valor],financeiro[IdAgente],B44,financeiro[idDet1],22,financeiro[idDet2],60,financeiro[idDet3],531,financeiro[valor],"&lt;0")</f>
        <v>0</v>
      </c>
      <c r="BR44" s="267">
        <f>SUMIFS(financeiro[valor],financeiro[IdAgente],B44,financeiro[idDet1],22,financeiro[idDet2],62,financeiro[idDet3],532,financeiro[valor],"&lt;0")</f>
        <v>0</v>
      </c>
      <c r="BS44" s="267">
        <f>SUMIFS(financeiro[valor],financeiro[IdAgente],B44,financeiro[idDet1],22,financeiro[idDet2],62,financeiro[idDet3],533,financeiro[valor],"&lt;0")</f>
        <v>0</v>
      </c>
      <c r="BT44" s="267">
        <f>SUMIFS(financeiro[valor],financeiro[IdAgente],B44,financeiro[idDet1],22,financeiro[idDet2],62,financeiro[idDet3],534,financeiro[valor],"&lt;0")</f>
        <v>0</v>
      </c>
      <c r="BW44" s="210" t="s">
        <v>217</v>
      </c>
      <c r="BX44" t="str">
        <f>Efeito!B45</f>
        <v>NO SELECT</v>
      </c>
      <c r="BY44" s="267">
        <f>SUMIFS(Banco[valor],Banco[IdAgente],BX44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44" s="267">
        <f>SUMIFS(Banco[valor],Banco[IdAgente],BX44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44" s="267">
        <f>SUMIFS(Banco[valor],Banco[IdAgente],BX44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44" s="267">
        <f>SUMIFS(Banco[valor],Banco[IdAgente],BX44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44" s="267">
        <f>SUMIFS(Banco[valor],Banco[IdAgente],BX44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44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44" s="267">
        <f>SUMIFS(Banco[valor],Banco[IdAgente],BX44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44" s="267">
        <f>SUMIFS(Banco[valor],Banco[IdAgente],BX44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44" s="267">
        <f>SUMIFS(Banco[valor],Banco[IdAgente],BX44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44" s="267">
        <f>SUMIFS(Banco[valor],Banco[IdAgente],BX44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44" s="267">
        <f>SUMIFS(Banco[valor],Banco[IdAgente],BX44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44" s="267">
        <f>SUMIFS(Banco[valor],Banco[IdAgente],BX44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44" s="267">
        <f>SUMIFS(Banco[valor],Banco[IdAgente],BX44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44" s="267">
        <f>SUMIFS(Banco[valor],Banco[IdAgente],B44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44" s="267">
        <f>SUMIFS(Banco[valor],Banco[IdAgente],B44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44" s="267">
        <f>SUMIFS(Banco[valor],Banco[IdAgente],B44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45" spans="1:92">
      <c r="A45" t="s">
        <v>219</v>
      </c>
      <c r="B45" t="str">
        <f>Efeito!B46</f>
        <v>NO SELECT</v>
      </c>
      <c r="C45" s="267">
        <f>SUMIFS(Banco[valor],Banco[IdAgente],B45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45" s="267">
        <f>SUMIFS(Banco[valor],Banco[IdAgente],B45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45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45" s="267">
        <f>SUMIFS(Banco[valor],Banco[IdAgente],B45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45" s="267">
        <f>SUMIFS(Banco[valor],Banco[IdAgente],B45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45" s="267">
        <f>SUMIFS(Banco[valor],Banco[IdAgente],B45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45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45" s="267">
        <f>SUMIFS(Banco[valor],Banco[IdAgente],B45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45" s="267">
        <f>SUMIFS(Banco[valor],Banco[IdAgente],B45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45" s="267">
        <f>SUMIFS(Banco[valor],Banco[IdAgente],B45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45" s="267">
        <f>SUMIFS(Banco[valor],Banco[IdAgente],B45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45" s="267">
        <f>SUMIFS(Banco[valor],Banco[IdAgente],B45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45" s="267">
        <f>SUMIFS(Banco[valor],Banco[IdAgente],B45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45" s="267">
        <f>SUMIFS(Banco[valor],Banco[IdAgente],B45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45" s="267">
        <f>SUMIFS(Banco[valor],Banco[IdAgente],B45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45" s="267">
        <f t="shared" si="3"/>
        <v>0</v>
      </c>
      <c r="Q45" s="267">
        <f>SUMIFS(Banco[valor],Banco[IdAgente],B45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45" s="267">
        <f>SUMIFS(Banco[valor],Banco[IdAgente],B45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45" s="4"/>
      <c r="T45" s="4"/>
      <c r="U45" s="4"/>
      <c r="V45" s="267">
        <f>SUMIFS(financeiro[valor],financeiro[IdAgente],B45,financeiro[idDet1],22,financeiro[idDet2],60,financeiro[idDet3],526,financeiro[id_grupo_tarifa],1,financeiro[id_detalhe_grupo_tarifa],7,financeiro[id_tipo_tarifa],9,financeiro[id_subgrupo],99,financeiro[valor],"&gt;0")+SUMIFS(financeiro[valor],financeiro[IdAgente],B45,financeiro[idDet1],22,financeiro[idDet2],60,financeiro[idDet3],526,financeiro[id_grupo_tarifa],2,financeiro[id_detalhe_grupo_tarifa],11,financeiro[id_tipo_tarifa],9,financeiro[valor],"&gt;0")+SUMIFS(financeiro[valor],financeiro[IdAgente],B45,financeiro[idDet1],22,financeiro[idDet2],60,financeiro[idDet3],526,financeiro[id_grupo_tarifa],2,financeiro[id_detalhe_grupo_tarifa],9,financeiro[id_tipo_tarifa],9,financeiro[valor],"&gt;0")+SUMIFS(financeiro[valor],financeiro[IdAgente],B45,financeiro[idDet1],22,financeiro[idDet2],60,financeiro[idDet3],526,financeiro[id_grupo_tarifa],2,financeiro[id_detalhe_grupo_tarifa],8,financeiro[id_tipo_tarifa],9,financeiro[valor],"&gt;0")+SUMIFS(financeiro[valor],financeiro[IdAgente],B45,financeiro[idDet1],22,financeiro[idDet2],60,financeiro[idDet3],526,financeiro[id_grupo_tarifa],2,financeiro[id_detalhe_grupo_tarifa],10,financeiro[id_tipo_tarifa],9,financeiro[valor],"&gt;0")+SUMIFS(financeiro[valor],financeiro[IdAgente],B45,financeiro[idDet1],22,financeiro[idDet2],60,financeiro[idDet3],526,financeiro[id_grupo_tarifa],2,financeiro[id_detalhe_grupo_tarifa],24,financeiro[id_tipo_tarifa],9,financeiro[valor],"&gt;0")</f>
        <v>0</v>
      </c>
      <c r="W45" s="267">
        <f>SUMIFS(financeiro[valor],financeiro[IdAgente],B45,financeiro[idDet1],20,financeiro[idDet2],60,financeiro[idDet3],999,financeiro[id_grupo_tarifa],3,financeiro[id_detalhe_grupo_tarifa],14,financeiro[id_tipo_tarifa],9)+SUMIFS(financeiro[valor],financeiro[IdAgente],B45,financeiro[idDet1],20,financeiro[idDet2],60,financeiro[idDet3],999,financeiro[id_grupo_tarifa],3,financeiro[id_detalhe_grupo_tarifa],15,financeiro[id_tipo_tarifa],9)+SUMIFS(financeiro[valor],financeiro[IdAgente],B45,financeiro[idDet1],20,financeiro[idDet2],60,financeiro[idDet3],999,financeiro[id_grupo_tarifa],3,financeiro[id_detalhe_grupo_tarifa],16,financeiro[id_tipo_tarifa],9)+SUMIFS(financeiro[valor],financeiro[IdAgente],B45,financeiro[idDet1],20,financeiro[idDet2],60,financeiro[idDet3],999,financeiro[id_grupo_tarifa],3,financeiro[id_detalhe_grupo_tarifa],17,financeiro[id_tipo_tarifa],9)+SUMIFS(financeiro[valor],financeiro[IdAgente],B45,financeiro[idDet1],20,financeiro[idDet2],60,financeiro[idDet3],999,financeiro[id_grupo_tarifa],3,financeiro[id_detalhe_grupo_tarifa],18,financeiro[id_tipo_tarifa],9)+SUMIFS(financeiro[valor],financeiro[IdAgente],B45,financeiro[idDet1],20,financeiro[idDet2],60,financeiro[idDet3],999,financeiro[id_grupo_tarifa],3,financeiro[id_detalhe_grupo_tarifa],19,financeiro[id_tipo_tarifa],9)</f>
        <v>0</v>
      </c>
      <c r="X45" s="267">
        <f>SUMIFS(financeiro[valor],financeiro[IdAgente],B45,financeiro[idDet1],20,financeiro[idDet2],60,financeiro[idDet3],999,financeiro[id_grupo_tarifa],3,financeiro[id_detalhe_grupo_tarifa],12,financeiro[id_tipo_tarifa],9)+SUMIFS(financeiro[valor],financeiro[IdAgente],B45,financeiro[idDet1],20,financeiro[idDet2],60,financeiro[idDet3],999,financeiro[id_grupo_tarifa],4,financeiro[id_detalhe_grupo_tarifa],999,financeiro[id_tipo_tarifa],9)</f>
        <v>0</v>
      </c>
      <c r="Y45" s="267">
        <f>SUMIFS(financeiro[valor],financeiro[IdAgente],B45,financeiro[idDet1],20,financeiro[idDet2],60,financeiro[idDet3],179,financeiro[id_grupo_tarifa],99,financeiro[id_detalhe_grupo_tarifa],999,financeiro[id_tipo_tarifa],9)</f>
        <v>0</v>
      </c>
      <c r="Z45" s="267">
        <f>SUMIFS(financeiro[valor],financeiro[IdAgente],B45,financeiro[idDet1],20,financeiro[idDet2],60,financeiro[idDet3],999,financeiro[id_grupo_tarifa],2,financeiro[id_detalhe_grupo_tarifa],11,financeiro[id_tipo_tarifa],9,financeiro[valor],"&gt;0")+SUMIFS(financeiro[valor],financeiro[IdAgente],B45,financeiro[idDet1],20,financeiro[idDet2],60,financeiro[idDet3],999,financeiro[id_grupo_tarifa],2,financeiro[id_detalhe_grupo_tarifa],9,financeiro[id_tipo_tarifa],9,financeiro[valor],"&gt;0")+SUMIFS(financeiro[valor],financeiro[IdAgente],B45,financeiro[idDet1],20,financeiro[idDet2],60,financeiro[idDet3],999,financeiro[id_grupo_tarifa],2,financeiro[id_detalhe_grupo_tarifa],8,financeiro[id_tipo_tarifa],9,financeiro[valor],"&gt;0")+SUMIFS(financeiro[valor],financeiro[IdAgente],B45,financeiro[idDet1],20,financeiro[idDet2],60,financeiro[idDet3],999,financeiro[id_grupo_tarifa],2,financeiro[id_detalhe_grupo_tarifa],10,financeiro[id_tipo_tarifa],9,financeiro[valor],"&gt;0")+SUMIFS(financeiro[valor],financeiro[IdAgente],B45,financeiro[idDet1],20,financeiro[idDet2],60,financeiro[idDet3],999,financeiro[id_grupo_tarifa],2,financeiro[id_detalhe_grupo_tarifa],24,financeiro[id_tipo_tarifa],9,financeiro[valor],"&gt;0")+SUMIFS(financeiro[valor],financeiro[IdAgente],B45,financeiro[idDet1],20,financeiro[idDet2],60,financeiro[idDet3],999,financeiro[id_grupo_tarifa],2,financeiro[id_detalhe_grupo_tarifa],17,financeiro[id_tipo_tarifa],9,financeiro[valor],"&gt;0")+SUMIFS(financeiro[valor],financeiro[IdAgente],B45,financeiro[idDet1],999,financeiro[idDet2],999999,financeiro[idDet3],999,financeiro[id_grupo_tarifa],99,financeiro[id_detalhe_grupo_tarifa],999,financeiro[id_tipo_tarifa],9,financeiro[valor],"&gt;0")</f>
        <v>0</v>
      </c>
      <c r="AA45" s="267">
        <f>SUMIFS(financeiro[valor],financeiro[IdAgente],B45,financeiro[idDet1],22,financeiro[idDet2],60,financeiro[idDet3],529,financeiro[id_grupo_tarifa],1,financeiro[id_detalhe_grupo_tarifa],1,financeiro[id_tipo_tarifa],9,financeiro[valor],"&gt;0")+SUMIFS(financeiro[valor],financeiro[IdAgente],B45,financeiro[idDet1],22,financeiro[idDet2],60,financeiro[idDet3],529,financeiro[id_grupo_tarifa],1,financeiro[id_detalhe_grupo_tarifa],2,financeiro[id_tipo_tarifa],9,financeiro[valor],"&gt;0")</f>
        <v>0</v>
      </c>
      <c r="AB45" s="269"/>
      <c r="AC45" s="267">
        <f>SUMIFS(financeiro[valor],financeiro[IdAgente],B45,financeiro[idDet1],22,financeiro[idDet2],60,financeiro[idDet3],999,financeiro[id_grupo_tarifa],2,financeiro[id_detalhe_grupo_tarifa],30,financeiro[id_tipo_tarifa],9,financeiro[valor],"&gt;0")</f>
        <v>0</v>
      </c>
      <c r="AD45" s="267">
        <f>SUMIFS(financeiro[valor],financeiro[IdAgente],B45,financeiro[idDet1],22,financeiro[idDet2],60,financeiro[idDet3],178,financeiro[id_grupo_tarifa],1,financeiro[id_detalhe_grupo_tarifa],7,financeiro[id_tipo_tarifa],9)</f>
        <v>0</v>
      </c>
      <c r="AE45" s="267">
        <f>SUMIFS(financeiro[valor],financeiro[IdAgente],B45,financeiro[idDet1],22,financeiro[idDet2],60,financeiro[idDet3],242,financeiro[id_grupo_tarifa],4,financeiro[id_detalhe_grupo_tarifa],999,financeiro[id_tipo_tarifa],9)</f>
        <v>0</v>
      </c>
      <c r="AF45" s="267">
        <f>SUMIFS(financeiro[valor],financeiro[IdAgente],B45,financeiro[idDet1],22,financeiro[idDet2],60,financeiro[idDet3],525,financeiro[id_grupo_tarifa],2,financeiro[id_tipo_tarifa],9)</f>
        <v>0</v>
      </c>
      <c r="AG45" s="267">
        <f>SUMIFS(financeiro[valor],financeiro[IdAgente],B45,financeiro[idDet1],22,financeiro[idDet2],60,financeiro[idDet3],524)</f>
        <v>0</v>
      </c>
      <c r="AH45" s="269"/>
      <c r="AI45" s="267">
        <f>SUMIFS(financeiro[valor],financeiro[IdAgente],B45,financeiro[idDet1],22,financeiro[idDet2],60,financeiro[idDet3],523,financeiro[id_grupo_tarifa],2,financeiro[id_detalhe_grupo_tarifa],30,financeiro[id_tipo_tarifa],9)</f>
        <v>0</v>
      </c>
      <c r="AJ45" s="267">
        <f>SUMIFS(financeiro[valor],financeiro[IdAgente],B45,financeiro[idDet1],22,financeiro[idDet2],60,financeiro[idDet3],503,financeiro[id_grupo_tarifa],99,financeiro[id_detalhe_grupo_tarifa],999,financeiro[id_tipo_tarifa],3)</f>
        <v>0</v>
      </c>
      <c r="AK45" s="269"/>
      <c r="AL45" s="269"/>
      <c r="AM45" s="269"/>
      <c r="AN45" s="269"/>
      <c r="AO45" s="269"/>
      <c r="AP45" s="269"/>
      <c r="AQ45" s="269"/>
      <c r="AR45" s="269"/>
      <c r="AS45" s="269"/>
      <c r="AT45" s="267">
        <f>SUMIFS(financeiro[valor],financeiro[IdAgente],B45,financeiro[idDet1],22,financeiro[idDet2],60,financeiro[idDet3],235,financeiro[id_grupo_tarifa],4,financeiro[id_detalhe_grupo_tarifa],999,financeiro[id_tipo_tarifa],9)</f>
        <v>0</v>
      </c>
      <c r="AU45" s="267">
        <f>SUMIFS(financeiro[valor],financeiro[IdAgente],B45,financeiro[idDet1],22,financeiro[idDet2],60,financeiro[idDet3],512,financeiro[id_grupo_tarifa],3,financeiro[id_detalhe_grupo_tarifa],28,financeiro[id_tipo_tarifa],9)</f>
        <v>0</v>
      </c>
      <c r="AV45" s="267">
        <f>SUMIFS(financeiro[valor],financeiro[IdAgente],B45,financeiro[idDet1],22,financeiro[idDet2],60,financeiro[idDet3],241,financeiro[id_grupo_tarifa],2,financeiro[id_detalhe_grupo_tarifa],11,financeiro[id_tipo_tarifa],9)+SUMIFS(financeiro[valor],financeiro[IdAgente],B45,financeiro[idDet1],22,financeiro[idDet2],60,financeiro[idDet3],241,financeiro[id_grupo_tarifa],2,financeiro[id_detalhe_grupo_tarifa],9,financeiro[id_tipo_tarifa],9)+SUMIFS(financeiro[valor],financeiro[IdAgente],B45,financeiro[idDet1],22,financeiro[idDet2],60,financeiro[idDet3],241,financeiro[id_grupo_tarifa],2,financeiro[id_detalhe_grupo_tarifa],8,financeiro[id_tipo_tarifa],9)+SUMIFS(financeiro[valor],financeiro[IdAgente],B45,financeiro[idDet1],22,financeiro[idDet2],60,financeiro[idDet3],241,financeiro[id_grupo_tarifa],2,financeiro[id_detalhe_grupo_tarifa],10,financeiro[id_tipo_tarifa],9)+SUMIFS(financeiro[valor],financeiro[IdAgente],B45,financeiro[idDet1],22,financeiro[idDet2],60,financeiro[idDet3],241,financeiro[id_grupo_tarifa],2,financeiro[id_detalhe_grupo_tarifa],24,financeiro[id_tipo_tarifa],9)</f>
        <v>0</v>
      </c>
      <c r="AW45" s="267">
        <f>SUMIFS(financeiro[valor],financeiro[IdAgente],B45,financeiro[idDet1],22,financeiro[idDet2],60,financeiro[idDet3],241,financeiro[id_grupo_tarifa],3,financeiro[id_detalhe_grupo_tarifa],17,financeiro[id_tipo_tarifa],9)</f>
        <v>0</v>
      </c>
      <c r="AX45" s="267">
        <f>SUMIFS(financeiro[valor],financeiro[IdAgente],B45,financeiro[idDet1],22,financeiro[idDet2],60,financeiro[idDet3],240,financeiro[id_grupo_tarifa],2,financeiro[id_detalhe_grupo_tarifa],11,financeiro[id_tipo_tarifa],9)+SUMIFS(financeiro[valor],financeiro[IdAgente],B45,financeiro[idDet1],22,financeiro[idDet2],60,financeiro[idDet3],240,financeiro[id_grupo_tarifa],2,financeiro[id_detalhe_grupo_tarifa],9,financeiro[id_tipo_tarifa],9)+SUMIFS(financeiro[valor],financeiro[IdAgente],B45,financeiro[idDet1],22,financeiro[idDet2],60,financeiro[idDet3],240,financeiro[id_grupo_tarifa],2,financeiro[id_detalhe_grupo_tarifa],8,financeiro[id_tipo_tarifa],9)+SUMIFS(financeiro[valor],financeiro[IdAgente],B45,financeiro[idDet1],22,financeiro[idDet2],60,financeiro[idDet3],240,financeiro[id_grupo_tarifa],2,financeiro[id_detalhe_grupo_tarifa],10,financeiro[id_tipo_tarifa],9)+SUMIFS(financeiro[valor],financeiro[IdAgente],B45,financeiro[idDet1],22,financeiro[idDet2],60,financeiro[idDet3],240,financeiro[id_grupo_tarifa],2,financeiro[id_detalhe_grupo_tarifa],24,financeiro[id_tipo_tarifa],9)</f>
        <v>0</v>
      </c>
      <c r="AY45" s="267">
        <f>SUMIFS(financeiro[valor],financeiro[IdAgente],B45,financeiro[idDet1],22,financeiro[idDet2],60,financeiro[idDet3],106,financeiro[id_grupo_tarifa],2,financeiro[id_detalhe_grupo_tarifa],11,financeiro[id_tipo_tarifa],9)+SUMIFS(financeiro[valor],financeiro[IdAgente],B45,financeiro[idDet1],22,financeiro[idDet2],60,financeiro[idDet3],106,financeiro[id_grupo_tarifa],2,financeiro[id_detalhe_grupo_tarifa],9,financeiro[id_tipo_tarifa],9)+SUMIFS(financeiro[valor],financeiro[IdAgente],B45,financeiro[idDet1],22,financeiro[idDet2],60,financeiro[idDet3],106,financeiro[id_grupo_tarifa],2,financeiro[id_detalhe_grupo_tarifa],8,financeiro[id_tipo_tarifa],9)+SUMIFS(financeiro[valor],financeiro[IdAgente],B45,financeiro[idDet1],22,financeiro[idDet2],60,financeiro[idDet3],106,financeiro[id_grupo_tarifa],2,financeiro[id_detalhe_grupo_tarifa],10,financeiro[id_tipo_tarifa],9)+SUMIFS(financeiro[valor],financeiro[IdAgente],B45,financeiro[idDet1],22,financeiro[idDet2],60,financeiro[idDet3],106,financeiro[id_grupo_tarifa],2,financeiro[id_detalhe_grupo_tarifa],24,financeiro[id_tipo_tarifa],9)</f>
        <v>0</v>
      </c>
      <c r="AZ45" s="267">
        <f>SUMIFS(financeiro[valor],financeiro[IdAgente],B45,financeiro[idDet1],22,financeiro[idDet2],62,financeiro[idDet3],220,financeiro[id_grupo_tarifa],2,financeiro[id_detalhe_grupo_tarifa],11,financeiro[id_tipo_tarifa],9)+SUMIFS(financeiro[valor],financeiro[IdAgente],B45,financeiro[idDet1],22,financeiro[idDet2],62,financeiro[idDet3],220,financeiro[id_grupo_tarifa],2,financeiro[id_detalhe_grupo_tarifa],9,financeiro[id_tipo_tarifa],9)+SUMIFS(financeiro[valor],financeiro[IdAgente],B45,financeiro[idDet1],22,financeiro[idDet2],62,financeiro[idDet3],220,financeiro[id_grupo_tarifa],2,financeiro[id_detalhe_grupo_tarifa],8,financeiro[id_tipo_tarifa],9)+SUMIFS(financeiro[valor],financeiro[IdAgente],B45,financeiro[idDet1],22,financeiro[idDet2],62,financeiro[idDet3],220,financeiro[id_grupo_tarifa],2,financeiro[id_detalhe_grupo_tarifa],10,financeiro[id_tipo_tarifa],9)+SUMIFS(financeiro[valor],financeiro[IdAgente],B45,financeiro[idDet1],22,financeiro[idDet2],62,financeiro[idDet3],220,financeiro[id_grupo_tarifa],2,financeiro[id_detalhe_grupo_tarifa],24,financeiro[id_tipo_tarifa],9)</f>
        <v>0</v>
      </c>
      <c r="BA45" s="267">
        <f>SUMIFS(financeiro[valor],financeiro[IdAgente],B45,financeiro[idDet1],22,financeiro[idDet2],60,financeiro[idDet3],220,financeiro[id_grupo_tarifa],2,financeiro[id_detalhe_grupo_tarifa],11,financeiro[id_tipo_tarifa],9)+SUMIFS(financeiro[valor],financeiro[IdAgente],B45,financeiro[idDet1],22,financeiro[idDet2],60,financeiro[idDet3],220,financeiro[id_grupo_tarifa],2,financeiro[id_detalhe_grupo_tarifa],9,financeiro[id_tipo_tarifa],9)+SUMIFS(financeiro[valor],financeiro[IdAgente],B45,financeiro[idDet1],22,financeiro[idDet2],60,financeiro[idDet3],220,financeiro[id_grupo_tarifa],2,financeiro[id_detalhe_grupo_tarifa],8,financeiro[id_tipo_tarifa],9)+SUMIFS(financeiro[valor],financeiro[IdAgente],B45,financeiro[idDet1],22,financeiro[idDet2],60,financeiro[idDet3],220,financeiro[id_grupo_tarifa],2,financeiro[id_detalhe_grupo_tarifa],10,financeiro[id_tipo_tarifa],9)+SUMIFS(financeiro[valor],financeiro[IdAgente],B45,financeiro[idDet1],22,financeiro[idDet2],60,financeiro[idDet3],220,financeiro[id_grupo_tarifa],2,financeiro[id_detalhe_grupo_tarifa],24,financeiro[id_tipo_tarifa],9)</f>
        <v>0</v>
      </c>
      <c r="BB45" s="267">
        <f>SUMIFS(financeiro[valor],financeiro[IdAgente],B45,financeiro[idDet1],22,financeiro[idDet2],60,financeiro[idDet3],102,financeiro[id_grupo_tarifa],2,financeiro[id_detalhe_grupo_tarifa],11,financeiro[id_tipo_tarifa],9)+SUMIFS(financeiro[valor],financeiro[IdAgente],B45,financeiro[idDet1],22,financeiro[idDet2],60,financeiro[idDet3],102,financeiro[id_grupo_tarifa],2,financeiro[id_detalhe_grupo_tarifa],9,financeiro[id_tipo_tarifa],9)+SUMIFS(financeiro[valor],financeiro[IdAgente],B45,financeiro[idDet1],22,financeiro[idDet2],60,financeiro[idDet3],102,financeiro[id_grupo_tarifa],2,financeiro[id_detalhe_grupo_tarifa],8,financeiro[id_tipo_tarifa],9)+SUMIFS(financeiro[valor],financeiro[IdAgente],B45,financeiro[idDet1],22,financeiro[idDet2],60,financeiro[idDet3],102,financeiro[id_grupo_tarifa],2,financeiro[id_detalhe_grupo_tarifa],10,financeiro[id_tipo_tarifa],9)+SUMIFS(financeiro[valor],financeiro[IdAgente],B45,financeiro[idDet1],22,financeiro[idDet2],60,financeiro[idDet3],102,financeiro[id_grupo_tarifa],2,financeiro[id_detalhe_grupo_tarifa],24,financeiro[id_tipo_tarifa],9)</f>
        <v>0</v>
      </c>
      <c r="BC45" s="267">
        <f>SUMIFS(financeiro[valor],financeiro[IdAgente],B45,financeiro[idDet1],22,financeiro[idDet2],60,financeiro[idDet3],522,financeiro[valor],"&lt;0")</f>
        <v>0</v>
      </c>
      <c r="BD45" s="267">
        <f>SUMIFS(financeiro[valor],financeiro[IdAgente],B45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45" s="267">
        <f>SUMIFS(financeiro[valor],financeiro[IdAgente],B45,financeiro[id_natureza_dado],2,financeiro[id_detalhe_natureza],2,financeiro[idDet1],20,financeiro[idDet2],60,financeiro[idDet3],82,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45" s="267">
        <f>SUMIFS(financeiro[valor],financeiro[IdAgente],B45,financeiro[id_natureza_dado],2,financeiro[id_detalhe_natureza],2,financeiro[idDet1],20,financeiro[idDet2],60,financeiro[idDet3],81,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45" s="267">
        <f>SUMIFS(financeiro[valor],financeiro[IdAgente],B45,financeiro[id_natureza_dado],2,financeiro[id_detalhe_natureza],2,financeiro[idDet1],20,financeiro[idDet2],60,financeiro[idDet3],503,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45" s="267">
        <f>SUMIFS(financeiro[valor],financeiro[IdAgente],B45,financeiro[idDet1],22,financeiro[idDet2],60,financeiro[idDet3],123)</f>
        <v>0</v>
      </c>
      <c r="BI45" s="267">
        <f>SUMIFS(financeiro[valor],financeiro[IdAgente],B45,financeiro[idDet1],20,financeiro[idDet2],60,financeiro[idDet3],73)</f>
        <v>0</v>
      </c>
      <c r="BJ45" s="267">
        <f>SUMIFS(financeiro[valor],financeiro[IdAgente],B45,financeiro[idDet1],22,financeiro[idDet2],60,financeiro[idDet3],527)</f>
        <v>0</v>
      </c>
      <c r="BK45" s="267">
        <f>SUMIFS(financeiro[valor],financeiro[IdAgente],B45,financeiro[idDet1],22,financeiro[idDet2],60,financeiro[idDet3],510)</f>
        <v>0</v>
      </c>
      <c r="BL45" s="267">
        <f>SUMIFS(financeiro[valor],financeiro[IdAgente],B45,financeiro[idDet1],22,financeiro[idDet2],60,financeiro[idDet3],526,
financeiro[id_grupo_tarifa],1,financeiro[id_detalhe_grupo_tarifa],3,financeiro[id_tipo_tarifa],9,financeiro[id_subgrupo],3)</f>
        <v>0</v>
      </c>
      <c r="BM45" s="267">
        <f>SUMIFS(financeiro[valor],financeiro[IdAgente],B45,financeiro[idDet1],22,financeiro[idDet2],60,financeiro[idDet3],999,
financeiro[id_grupo_tarifa],3,financeiro[id_detalhe_grupo_tarifa],17,financeiro[id_tipo_tarifa],9)</f>
        <v>0</v>
      </c>
      <c r="BN45" s="267">
        <f>SUMIFS(financeiro[valor],financeiro[IdAgente],B45,financeiro[idDet1],22,financeiro[idDet2],60,financeiro[idDet3],526,financeiro[id_grupo_tarifa],1,financeiro[id_detalhe_grupo_tarifa],7,financeiro[id_tipo_tarifa],9,financeiro[valor],"&lt;0")+SUMIFS(financeiro[valor],financeiro[IdAgente],B45,financeiro[idDet1],22,financeiro[idDet2],60,financeiro[idDet3],526,financeiro[id_grupo_tarifa],2,financeiro[id_detalhe_grupo_tarifa],11,financeiro[id_tipo_tarifa],9,financeiro[valor],"&lt;0")+SUMIFS(financeiro[valor],financeiro[IdAgente],B45,financeiro[idDet1],22,financeiro[idDet2],60,financeiro[idDet3],526,financeiro[id_grupo_tarifa],2,financeiro[id_detalhe_grupo_tarifa],8,financeiro[id_tipo_tarifa],9,financeiro[valor],"&lt;0")</f>
        <v>0</v>
      </c>
      <c r="BO45" s="267">
        <f>SUMIFS(financeiro[valor],financeiro[IdAgente],B45,financeiro[idDet1],22,financeiro[idDet2],60,financeiro[idDet3],999,financeiro[id_grupo_tarifa],4,financeiro[id_detalhe_grupo_tarifa],999,financeiro[id_tipo_tarifa],9,financeiro[valor],"&lt;0")</f>
        <v>0</v>
      </c>
      <c r="BP45" s="267">
        <f>SUMIFS(financeiro[valor],financeiro[IdAgente],B45,financeiro[idDet1],22,financeiro[idDet2],60,financeiro[idDet3],530,financeiro[valor],"&lt;0")</f>
        <v>0</v>
      </c>
      <c r="BQ45" s="267">
        <f>SUMIFS(financeiro[valor],financeiro[IdAgente],B45,financeiro[idDet1],22,financeiro[idDet2],60,financeiro[idDet3],531,financeiro[valor],"&lt;0")</f>
        <v>0</v>
      </c>
      <c r="BR45" s="267">
        <f>SUMIFS(financeiro[valor],financeiro[IdAgente],B45,financeiro[idDet1],22,financeiro[idDet2],62,financeiro[idDet3],532,financeiro[valor],"&lt;0")</f>
        <v>0</v>
      </c>
      <c r="BS45" s="267">
        <f>SUMIFS(financeiro[valor],financeiro[IdAgente],B45,financeiro[idDet1],22,financeiro[idDet2],62,financeiro[idDet3],533,financeiro[valor],"&lt;0")</f>
        <v>0</v>
      </c>
      <c r="BT45" s="267">
        <f>SUMIFS(financeiro[valor],financeiro[IdAgente],B45,financeiro[idDet1],22,financeiro[idDet2],62,financeiro[idDet3],534,financeiro[valor],"&lt;0")</f>
        <v>0</v>
      </c>
      <c r="BW45" s="210" t="s">
        <v>219</v>
      </c>
      <c r="BX45" t="str">
        <f>Efeito!B46</f>
        <v>NO SELECT</v>
      </c>
      <c r="BY45" s="267">
        <f>SUMIFS(Banco[valor],Banco[IdAgente],BX45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45" s="267">
        <f>SUMIFS(Banco[valor],Banco[IdAgente],BX45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45" s="267">
        <f>SUMIFS(Banco[valor],Banco[IdAgente],BX45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45" s="267">
        <f>SUMIFS(Banco[valor],Banco[IdAgente],BX45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45" s="267">
        <f>SUMIFS(Banco[valor],Banco[IdAgente],BX45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45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45" s="267">
        <f>SUMIFS(Banco[valor],Banco[IdAgente],BX45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45" s="267">
        <f>SUMIFS(Banco[valor],Banco[IdAgente],BX45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45" s="267">
        <f>SUMIFS(Banco[valor],Banco[IdAgente],BX45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45" s="267">
        <f>SUMIFS(Banco[valor],Banco[IdAgente],BX45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45" s="267">
        <f>SUMIFS(Banco[valor],Banco[IdAgente],BX45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45" s="267">
        <f>SUMIFS(Banco[valor],Banco[IdAgente],BX45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45" s="267">
        <f>SUMIFS(Banco[valor],Banco[IdAgente],BX45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45" s="267">
        <f>SUMIFS(Banco[valor],Banco[IdAgente],B45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45" s="267">
        <f>SUMIFS(Banco[valor],Banco[IdAgente],B45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45" s="267">
        <f>SUMIFS(Banco[valor],Banco[IdAgente],B45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46" spans="1:92">
      <c r="A46" t="s">
        <v>221</v>
      </c>
      <c r="B46" t="str">
        <f>Efeito!B47</f>
        <v>NO SELECT</v>
      </c>
      <c r="C46" s="267">
        <f>SUMIFS(Banco[valor],Banco[IdAgente],B46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46" s="267">
        <f>SUMIFS(Banco[valor],Banco[IdAgente],B46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46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46" s="267">
        <f>SUMIFS(Banco[valor],Banco[IdAgente],B46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46" s="267">
        <f>SUMIFS(Banco[valor],Banco[IdAgente],B46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46" s="267">
        <f>SUMIFS(Banco[valor],Banco[IdAgente],B46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46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46" s="267">
        <f>SUMIFS(Banco[valor],Banco[IdAgente],B46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46" s="267">
        <f>SUMIFS(Banco[valor],Banco[IdAgente],B46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46" s="267">
        <f>SUMIFS(Banco[valor],Banco[IdAgente],B46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46" s="267">
        <f>SUMIFS(Banco[valor],Banco[IdAgente],B46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46" s="267">
        <f>SUMIFS(Banco[valor],Banco[IdAgente],B46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46" s="267">
        <f>SUMIFS(Banco[valor],Banco[IdAgente],B46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46" s="267">
        <f>SUMIFS(Banco[valor],Banco[IdAgente],B46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46" s="267">
        <f>SUMIFS(Banco[valor],Banco[IdAgente],B46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46" s="267">
        <f t="shared" si="3"/>
        <v>0</v>
      </c>
      <c r="Q46" s="267">
        <f>SUMIFS(Banco[valor],Banco[IdAgente],B46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46" s="267">
        <f>SUMIFS(Banco[valor],Banco[IdAgente],B46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46" s="4"/>
      <c r="T46" s="4"/>
      <c r="U46" s="4"/>
      <c r="V46" s="267">
        <f>SUMIFS(financeiro[valor],financeiro[IdAgente],B46,financeiro[idDet1],22,financeiro[idDet2],60,financeiro[idDet3],526,financeiro[id_grupo_tarifa],1,financeiro[id_detalhe_grupo_tarifa],7,financeiro[id_tipo_tarifa],9,financeiro[id_subgrupo],99,financeiro[valor],"&gt;0")+SUMIFS(financeiro[valor],financeiro[IdAgente],B46,financeiro[idDet1],22,financeiro[idDet2],60,financeiro[idDet3],526,financeiro[id_grupo_tarifa],2,financeiro[id_detalhe_grupo_tarifa],11,financeiro[id_tipo_tarifa],9,financeiro[valor],"&gt;0")+SUMIFS(financeiro[valor],financeiro[IdAgente],B46,financeiro[idDet1],22,financeiro[idDet2],60,financeiro[idDet3],526,financeiro[id_grupo_tarifa],2,financeiro[id_detalhe_grupo_tarifa],9,financeiro[id_tipo_tarifa],9,financeiro[valor],"&gt;0")+SUMIFS(financeiro[valor],financeiro[IdAgente],B46,financeiro[idDet1],22,financeiro[idDet2],60,financeiro[idDet3],526,financeiro[id_grupo_tarifa],2,financeiro[id_detalhe_grupo_tarifa],8,financeiro[id_tipo_tarifa],9,financeiro[valor],"&gt;0")+SUMIFS(financeiro[valor],financeiro[IdAgente],B46,financeiro[idDet1],22,financeiro[idDet2],60,financeiro[idDet3],526,financeiro[id_grupo_tarifa],2,financeiro[id_detalhe_grupo_tarifa],10,financeiro[id_tipo_tarifa],9,financeiro[valor],"&gt;0")+SUMIFS(financeiro[valor],financeiro[IdAgente],B46,financeiro[idDet1],22,financeiro[idDet2],60,financeiro[idDet3],526,financeiro[id_grupo_tarifa],2,financeiro[id_detalhe_grupo_tarifa],24,financeiro[id_tipo_tarifa],9,financeiro[valor],"&gt;0")</f>
        <v>0</v>
      </c>
      <c r="W46" s="267">
        <f>SUMIFS(financeiro[valor],financeiro[IdAgente],B46,financeiro[idDet1],20,financeiro[idDet2],60,financeiro[idDet3],999,financeiro[id_grupo_tarifa],3,financeiro[id_detalhe_grupo_tarifa],14,financeiro[id_tipo_tarifa],9)+SUMIFS(financeiro[valor],financeiro[IdAgente],B46,financeiro[idDet1],20,financeiro[idDet2],60,financeiro[idDet3],999,financeiro[id_grupo_tarifa],3,financeiro[id_detalhe_grupo_tarifa],15,financeiro[id_tipo_tarifa],9)+SUMIFS(financeiro[valor],financeiro[IdAgente],B46,financeiro[idDet1],20,financeiro[idDet2],60,financeiro[idDet3],999,financeiro[id_grupo_tarifa],3,financeiro[id_detalhe_grupo_tarifa],16,financeiro[id_tipo_tarifa],9)+SUMIFS(financeiro[valor],financeiro[IdAgente],B46,financeiro[idDet1],20,financeiro[idDet2],60,financeiro[idDet3],999,financeiro[id_grupo_tarifa],3,financeiro[id_detalhe_grupo_tarifa],17,financeiro[id_tipo_tarifa],9)+SUMIFS(financeiro[valor],financeiro[IdAgente],B46,financeiro[idDet1],20,financeiro[idDet2],60,financeiro[idDet3],999,financeiro[id_grupo_tarifa],3,financeiro[id_detalhe_grupo_tarifa],18,financeiro[id_tipo_tarifa],9)+SUMIFS(financeiro[valor],financeiro[IdAgente],B46,financeiro[idDet1],20,financeiro[idDet2],60,financeiro[idDet3],999,financeiro[id_grupo_tarifa],3,financeiro[id_detalhe_grupo_tarifa],19,financeiro[id_tipo_tarifa],9)</f>
        <v>0</v>
      </c>
      <c r="X46" s="267">
        <f>SUMIFS(financeiro[valor],financeiro[IdAgente],B46,financeiro[idDet1],20,financeiro[idDet2],60,financeiro[idDet3],999,financeiro[id_grupo_tarifa],3,financeiro[id_detalhe_grupo_tarifa],12,financeiro[id_tipo_tarifa],9)+SUMIFS(financeiro[valor],financeiro[IdAgente],B46,financeiro[idDet1],20,financeiro[idDet2],60,financeiro[idDet3],999,financeiro[id_grupo_tarifa],4,financeiro[id_detalhe_grupo_tarifa],999,financeiro[id_tipo_tarifa],9)</f>
        <v>0</v>
      </c>
      <c r="Y46" s="267">
        <f>SUMIFS(financeiro[valor],financeiro[IdAgente],B46,financeiro[idDet1],20,financeiro[idDet2],60,financeiro[idDet3],179,financeiro[id_grupo_tarifa],99,financeiro[id_detalhe_grupo_tarifa],999,financeiro[id_tipo_tarifa],9)</f>
        <v>0</v>
      </c>
      <c r="Z46" s="267">
        <f>SUMIFS(financeiro[valor],financeiro[IdAgente],B46,financeiro[idDet1],20,financeiro[idDet2],60,financeiro[idDet3],999,financeiro[id_grupo_tarifa],2,financeiro[id_detalhe_grupo_tarifa],11,financeiro[id_tipo_tarifa],9,financeiro[valor],"&gt;0")+SUMIFS(financeiro[valor],financeiro[IdAgente],B46,financeiro[idDet1],20,financeiro[idDet2],60,financeiro[idDet3],999,financeiro[id_grupo_tarifa],2,financeiro[id_detalhe_grupo_tarifa],9,financeiro[id_tipo_tarifa],9,financeiro[valor],"&gt;0")+SUMIFS(financeiro[valor],financeiro[IdAgente],B46,financeiro[idDet1],20,financeiro[idDet2],60,financeiro[idDet3],999,financeiro[id_grupo_tarifa],2,financeiro[id_detalhe_grupo_tarifa],8,financeiro[id_tipo_tarifa],9,financeiro[valor],"&gt;0")+SUMIFS(financeiro[valor],financeiro[IdAgente],B46,financeiro[idDet1],20,financeiro[idDet2],60,financeiro[idDet3],999,financeiro[id_grupo_tarifa],2,financeiro[id_detalhe_grupo_tarifa],10,financeiro[id_tipo_tarifa],9,financeiro[valor],"&gt;0")+SUMIFS(financeiro[valor],financeiro[IdAgente],B46,financeiro[idDet1],20,financeiro[idDet2],60,financeiro[idDet3],999,financeiro[id_grupo_tarifa],2,financeiro[id_detalhe_grupo_tarifa],24,financeiro[id_tipo_tarifa],9,financeiro[valor],"&gt;0")+SUMIFS(financeiro[valor],financeiro[IdAgente],B46,financeiro[idDet1],20,financeiro[idDet2],60,financeiro[idDet3],999,financeiro[id_grupo_tarifa],2,financeiro[id_detalhe_grupo_tarifa],17,financeiro[id_tipo_tarifa],9,financeiro[valor],"&gt;0")+SUMIFS(financeiro[valor],financeiro[IdAgente],B46,financeiro[idDet1],999,financeiro[idDet2],999999,financeiro[idDet3],999,financeiro[id_grupo_tarifa],99,financeiro[id_detalhe_grupo_tarifa],999,financeiro[id_tipo_tarifa],9,financeiro[valor],"&gt;0")</f>
        <v>0</v>
      </c>
      <c r="AA46" s="267">
        <f>SUMIFS(financeiro[valor],financeiro[IdAgente],B46,financeiro[idDet1],22,financeiro[idDet2],60,financeiro[idDet3],529,financeiro[id_grupo_tarifa],1,financeiro[id_detalhe_grupo_tarifa],1,financeiro[id_tipo_tarifa],9,financeiro[valor],"&gt;0")+SUMIFS(financeiro[valor],financeiro[IdAgente],B46,financeiro[idDet1],22,financeiro[idDet2],60,financeiro[idDet3],529,financeiro[id_grupo_tarifa],1,financeiro[id_detalhe_grupo_tarifa],2,financeiro[id_tipo_tarifa],9,financeiro[valor],"&gt;0")</f>
        <v>0</v>
      </c>
      <c r="AB46" s="269"/>
      <c r="AC46" s="267">
        <f>SUMIFS(financeiro[valor],financeiro[IdAgente],B46,financeiro[idDet1],22,financeiro[idDet2],60,financeiro[idDet3],999,financeiro[id_grupo_tarifa],2,financeiro[id_detalhe_grupo_tarifa],30,financeiro[id_tipo_tarifa],9,financeiro[valor],"&gt;0")</f>
        <v>0</v>
      </c>
      <c r="AD46" s="267">
        <f>SUMIFS(financeiro[valor],financeiro[IdAgente],B46,financeiro[idDet1],22,financeiro[idDet2],60,financeiro[idDet3],178,financeiro[id_grupo_tarifa],1,financeiro[id_detalhe_grupo_tarifa],7,financeiro[id_tipo_tarifa],9)</f>
        <v>0</v>
      </c>
      <c r="AE46" s="267">
        <f>SUMIFS(financeiro[valor],financeiro[IdAgente],B46,financeiro[idDet1],22,financeiro[idDet2],60,financeiro[idDet3],242,financeiro[id_grupo_tarifa],4,financeiro[id_detalhe_grupo_tarifa],999,financeiro[id_tipo_tarifa],9)</f>
        <v>0</v>
      </c>
      <c r="AF46" s="267">
        <f>SUMIFS(financeiro[valor],financeiro[IdAgente],B46,financeiro[idDet1],22,financeiro[idDet2],60,financeiro[idDet3],525,financeiro[id_grupo_tarifa],2,financeiro[id_tipo_tarifa],9)</f>
        <v>0</v>
      </c>
      <c r="AG46" s="267">
        <f>SUMIFS(financeiro[valor],financeiro[IdAgente],B46,financeiro[idDet1],22,financeiro[idDet2],60,financeiro[idDet3],524)</f>
        <v>0</v>
      </c>
      <c r="AH46" s="269"/>
      <c r="AI46" s="267">
        <f>SUMIFS(financeiro[valor],financeiro[IdAgente],B46,financeiro[idDet1],22,financeiro[idDet2],60,financeiro[idDet3],523,financeiro[id_grupo_tarifa],2,financeiro[id_detalhe_grupo_tarifa],30,financeiro[id_tipo_tarifa],9)</f>
        <v>0</v>
      </c>
      <c r="AJ46" s="267">
        <f>SUMIFS(financeiro[valor],financeiro[IdAgente],B46,financeiro[idDet1],22,financeiro[idDet2],60,financeiro[idDet3],503,financeiro[id_grupo_tarifa],99,financeiro[id_detalhe_grupo_tarifa],999,financeiro[id_tipo_tarifa],3)</f>
        <v>0</v>
      </c>
      <c r="AK46" s="269"/>
      <c r="AL46" s="269"/>
      <c r="AM46" s="269"/>
      <c r="AN46" s="269"/>
      <c r="AO46" s="269"/>
      <c r="AP46" s="269"/>
      <c r="AQ46" s="269"/>
      <c r="AR46" s="269"/>
      <c r="AS46" s="269"/>
      <c r="AT46" s="267">
        <f>SUMIFS(financeiro[valor],financeiro[IdAgente],B46,financeiro[idDet1],22,financeiro[idDet2],60,financeiro[idDet3],235,financeiro[id_grupo_tarifa],4,financeiro[id_detalhe_grupo_tarifa],999,financeiro[id_tipo_tarifa],9)</f>
        <v>0</v>
      </c>
      <c r="AU46" s="267">
        <f>SUMIFS(financeiro[valor],financeiro[IdAgente],B46,financeiro[idDet1],22,financeiro[idDet2],60,financeiro[idDet3],512,financeiro[id_grupo_tarifa],3,financeiro[id_detalhe_grupo_tarifa],28,financeiro[id_tipo_tarifa],9)</f>
        <v>0</v>
      </c>
      <c r="AV46" s="267">
        <f>SUMIFS(financeiro[valor],financeiro[IdAgente],B46,financeiro[idDet1],22,financeiro[idDet2],60,financeiro[idDet3],241,financeiro[id_grupo_tarifa],2,financeiro[id_detalhe_grupo_tarifa],11,financeiro[id_tipo_tarifa],9)+SUMIFS(financeiro[valor],financeiro[IdAgente],B46,financeiro[idDet1],22,financeiro[idDet2],60,financeiro[idDet3],241,financeiro[id_grupo_tarifa],2,financeiro[id_detalhe_grupo_tarifa],9,financeiro[id_tipo_tarifa],9)+SUMIFS(financeiro[valor],financeiro[IdAgente],B46,financeiro[idDet1],22,financeiro[idDet2],60,financeiro[idDet3],241,financeiro[id_grupo_tarifa],2,financeiro[id_detalhe_grupo_tarifa],8,financeiro[id_tipo_tarifa],9)+SUMIFS(financeiro[valor],financeiro[IdAgente],B46,financeiro[idDet1],22,financeiro[idDet2],60,financeiro[idDet3],241,financeiro[id_grupo_tarifa],2,financeiro[id_detalhe_grupo_tarifa],10,financeiro[id_tipo_tarifa],9)+SUMIFS(financeiro[valor],financeiro[IdAgente],B46,financeiro[idDet1],22,financeiro[idDet2],60,financeiro[idDet3],241,financeiro[id_grupo_tarifa],2,financeiro[id_detalhe_grupo_tarifa],24,financeiro[id_tipo_tarifa],9)</f>
        <v>0</v>
      </c>
      <c r="AW46" s="267">
        <f>SUMIFS(financeiro[valor],financeiro[IdAgente],B46,financeiro[idDet1],22,financeiro[idDet2],60,financeiro[idDet3],241,financeiro[id_grupo_tarifa],3,financeiro[id_detalhe_grupo_tarifa],17,financeiro[id_tipo_tarifa],9)</f>
        <v>0</v>
      </c>
      <c r="AX46" s="267">
        <f>SUMIFS(financeiro[valor],financeiro[IdAgente],B46,financeiro[idDet1],22,financeiro[idDet2],60,financeiro[idDet3],240,financeiro[id_grupo_tarifa],2,financeiro[id_detalhe_grupo_tarifa],11,financeiro[id_tipo_tarifa],9)+SUMIFS(financeiro[valor],financeiro[IdAgente],B46,financeiro[idDet1],22,financeiro[idDet2],60,financeiro[idDet3],240,financeiro[id_grupo_tarifa],2,financeiro[id_detalhe_grupo_tarifa],9,financeiro[id_tipo_tarifa],9)+SUMIFS(financeiro[valor],financeiro[IdAgente],B46,financeiro[idDet1],22,financeiro[idDet2],60,financeiro[idDet3],240,financeiro[id_grupo_tarifa],2,financeiro[id_detalhe_grupo_tarifa],8,financeiro[id_tipo_tarifa],9)+SUMIFS(financeiro[valor],financeiro[IdAgente],B46,financeiro[idDet1],22,financeiro[idDet2],60,financeiro[idDet3],240,financeiro[id_grupo_tarifa],2,financeiro[id_detalhe_grupo_tarifa],10,financeiro[id_tipo_tarifa],9)+SUMIFS(financeiro[valor],financeiro[IdAgente],B46,financeiro[idDet1],22,financeiro[idDet2],60,financeiro[idDet3],240,financeiro[id_grupo_tarifa],2,financeiro[id_detalhe_grupo_tarifa],24,financeiro[id_tipo_tarifa],9)</f>
        <v>0</v>
      </c>
      <c r="AY46" s="267">
        <f>SUMIFS(financeiro[valor],financeiro[IdAgente],B46,financeiro[idDet1],22,financeiro[idDet2],60,financeiro[idDet3],106,financeiro[id_grupo_tarifa],2,financeiro[id_detalhe_grupo_tarifa],11,financeiro[id_tipo_tarifa],9)+SUMIFS(financeiro[valor],financeiro[IdAgente],B46,financeiro[idDet1],22,financeiro[idDet2],60,financeiro[idDet3],106,financeiro[id_grupo_tarifa],2,financeiro[id_detalhe_grupo_tarifa],9,financeiro[id_tipo_tarifa],9)+SUMIFS(financeiro[valor],financeiro[IdAgente],B46,financeiro[idDet1],22,financeiro[idDet2],60,financeiro[idDet3],106,financeiro[id_grupo_tarifa],2,financeiro[id_detalhe_grupo_tarifa],8,financeiro[id_tipo_tarifa],9)+SUMIFS(financeiro[valor],financeiro[IdAgente],B46,financeiro[idDet1],22,financeiro[idDet2],60,financeiro[idDet3],106,financeiro[id_grupo_tarifa],2,financeiro[id_detalhe_grupo_tarifa],10,financeiro[id_tipo_tarifa],9)+SUMIFS(financeiro[valor],financeiro[IdAgente],B46,financeiro[idDet1],22,financeiro[idDet2],60,financeiro[idDet3],106,financeiro[id_grupo_tarifa],2,financeiro[id_detalhe_grupo_tarifa],24,financeiro[id_tipo_tarifa],9)</f>
        <v>0</v>
      </c>
      <c r="AZ46" s="267">
        <f>SUMIFS(financeiro[valor],financeiro[IdAgente],B46,financeiro[idDet1],22,financeiro[idDet2],62,financeiro[idDet3],220,financeiro[id_grupo_tarifa],2,financeiro[id_detalhe_grupo_tarifa],11,financeiro[id_tipo_tarifa],9)+SUMIFS(financeiro[valor],financeiro[IdAgente],B46,financeiro[idDet1],22,financeiro[idDet2],62,financeiro[idDet3],220,financeiro[id_grupo_tarifa],2,financeiro[id_detalhe_grupo_tarifa],9,financeiro[id_tipo_tarifa],9)+SUMIFS(financeiro[valor],financeiro[IdAgente],B46,financeiro[idDet1],22,financeiro[idDet2],62,financeiro[idDet3],220,financeiro[id_grupo_tarifa],2,financeiro[id_detalhe_grupo_tarifa],8,financeiro[id_tipo_tarifa],9)+SUMIFS(financeiro[valor],financeiro[IdAgente],B46,financeiro[idDet1],22,financeiro[idDet2],62,financeiro[idDet3],220,financeiro[id_grupo_tarifa],2,financeiro[id_detalhe_grupo_tarifa],10,financeiro[id_tipo_tarifa],9)+SUMIFS(financeiro[valor],financeiro[IdAgente],B46,financeiro[idDet1],22,financeiro[idDet2],62,financeiro[idDet3],220,financeiro[id_grupo_tarifa],2,financeiro[id_detalhe_grupo_tarifa],24,financeiro[id_tipo_tarifa],9)</f>
        <v>0</v>
      </c>
      <c r="BA46" s="267">
        <f>SUMIFS(financeiro[valor],financeiro[IdAgente],B46,financeiro[idDet1],22,financeiro[idDet2],60,financeiro[idDet3],220,financeiro[id_grupo_tarifa],2,financeiro[id_detalhe_grupo_tarifa],11,financeiro[id_tipo_tarifa],9)+SUMIFS(financeiro[valor],financeiro[IdAgente],B46,financeiro[idDet1],22,financeiro[idDet2],60,financeiro[idDet3],220,financeiro[id_grupo_tarifa],2,financeiro[id_detalhe_grupo_tarifa],9,financeiro[id_tipo_tarifa],9)+SUMIFS(financeiro[valor],financeiro[IdAgente],B46,financeiro[idDet1],22,financeiro[idDet2],60,financeiro[idDet3],220,financeiro[id_grupo_tarifa],2,financeiro[id_detalhe_grupo_tarifa],8,financeiro[id_tipo_tarifa],9)+SUMIFS(financeiro[valor],financeiro[IdAgente],B46,financeiro[idDet1],22,financeiro[idDet2],60,financeiro[idDet3],220,financeiro[id_grupo_tarifa],2,financeiro[id_detalhe_grupo_tarifa],10,financeiro[id_tipo_tarifa],9)+SUMIFS(financeiro[valor],financeiro[IdAgente],B46,financeiro[idDet1],22,financeiro[idDet2],60,financeiro[idDet3],220,financeiro[id_grupo_tarifa],2,financeiro[id_detalhe_grupo_tarifa],24,financeiro[id_tipo_tarifa],9)</f>
        <v>0</v>
      </c>
      <c r="BB46" s="267">
        <f>SUMIFS(financeiro[valor],financeiro[IdAgente],B46,financeiro[idDet1],22,financeiro[idDet2],60,financeiro[idDet3],102,financeiro[id_grupo_tarifa],2,financeiro[id_detalhe_grupo_tarifa],11,financeiro[id_tipo_tarifa],9)+SUMIFS(financeiro[valor],financeiro[IdAgente],B46,financeiro[idDet1],22,financeiro[idDet2],60,financeiro[idDet3],102,financeiro[id_grupo_tarifa],2,financeiro[id_detalhe_grupo_tarifa],9,financeiro[id_tipo_tarifa],9)+SUMIFS(financeiro[valor],financeiro[IdAgente],B46,financeiro[idDet1],22,financeiro[idDet2],60,financeiro[idDet3],102,financeiro[id_grupo_tarifa],2,financeiro[id_detalhe_grupo_tarifa],8,financeiro[id_tipo_tarifa],9)+SUMIFS(financeiro[valor],financeiro[IdAgente],B46,financeiro[idDet1],22,financeiro[idDet2],60,financeiro[idDet3],102,financeiro[id_grupo_tarifa],2,financeiro[id_detalhe_grupo_tarifa],10,financeiro[id_tipo_tarifa],9)+SUMIFS(financeiro[valor],financeiro[IdAgente],B46,financeiro[idDet1],22,financeiro[idDet2],60,financeiro[idDet3],102,financeiro[id_grupo_tarifa],2,financeiro[id_detalhe_grupo_tarifa],24,financeiro[id_tipo_tarifa],9)</f>
        <v>0</v>
      </c>
      <c r="BC46" s="267">
        <f>SUMIFS(financeiro[valor],financeiro[IdAgente],B46,financeiro[idDet1],22,financeiro[idDet2],60,financeiro[idDet3],522,financeiro[valor],"&lt;0")</f>
        <v>0</v>
      </c>
      <c r="BD46" s="267">
        <f>SUMIFS(financeiro[valor],financeiro[IdAgente],B46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46" s="267">
        <f>SUMIFS(financeiro[valor],financeiro[IdAgente],B46,financeiro[id_natureza_dado],2,financeiro[id_detalhe_natureza],2,financeiro[idDet1],20,financeiro[idDet2],60,financeiro[idDet3],82,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46" s="267">
        <f>SUMIFS(financeiro[valor],financeiro[IdAgente],B46,financeiro[id_natureza_dado],2,financeiro[id_detalhe_natureza],2,financeiro[idDet1],20,financeiro[idDet2],60,financeiro[idDet3],81,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46" s="267">
        <f>SUMIFS(financeiro[valor],financeiro[IdAgente],B46,financeiro[id_natureza_dado],2,financeiro[id_detalhe_natureza],2,financeiro[idDet1],20,financeiro[idDet2],60,financeiro[idDet3],503,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46" s="267">
        <f>SUMIFS(financeiro[valor],financeiro[IdAgente],B46,financeiro[idDet1],22,financeiro[idDet2],60,financeiro[idDet3],123)</f>
        <v>0</v>
      </c>
      <c r="BI46" s="267">
        <f>SUMIFS(financeiro[valor],financeiro[IdAgente],B46,financeiro[idDet1],20,financeiro[idDet2],60,financeiro[idDet3],73)</f>
        <v>0</v>
      </c>
      <c r="BJ46" s="267">
        <f>SUMIFS(financeiro[valor],financeiro[IdAgente],B46,financeiro[idDet1],22,financeiro[idDet2],60,financeiro[idDet3],527)</f>
        <v>0</v>
      </c>
      <c r="BK46" s="267">
        <f>SUMIFS(financeiro[valor],financeiro[IdAgente],B46,financeiro[idDet1],22,financeiro[idDet2],60,financeiro[idDet3],510)</f>
        <v>0</v>
      </c>
      <c r="BL46" s="267">
        <f>SUMIFS(financeiro[valor],financeiro[IdAgente],B46,financeiro[idDet1],22,financeiro[idDet2],60,financeiro[idDet3],526,
financeiro[id_grupo_tarifa],1,financeiro[id_detalhe_grupo_tarifa],3,financeiro[id_tipo_tarifa],9,financeiro[id_subgrupo],3)</f>
        <v>0</v>
      </c>
      <c r="BM46" s="267">
        <f>SUMIFS(financeiro[valor],financeiro[IdAgente],B46,financeiro[idDet1],22,financeiro[idDet2],60,financeiro[idDet3],999,
financeiro[id_grupo_tarifa],3,financeiro[id_detalhe_grupo_tarifa],17,financeiro[id_tipo_tarifa],9)</f>
        <v>0</v>
      </c>
      <c r="BN46" s="267">
        <f>SUMIFS(financeiro[valor],financeiro[IdAgente],B46,financeiro[idDet1],22,financeiro[idDet2],60,financeiro[idDet3],526,financeiro[id_grupo_tarifa],1,financeiro[id_detalhe_grupo_tarifa],7,financeiro[id_tipo_tarifa],9,financeiro[valor],"&lt;0")+SUMIFS(financeiro[valor],financeiro[IdAgente],B46,financeiro[idDet1],22,financeiro[idDet2],60,financeiro[idDet3],526,financeiro[id_grupo_tarifa],2,financeiro[id_detalhe_grupo_tarifa],11,financeiro[id_tipo_tarifa],9,financeiro[valor],"&lt;0")+SUMIFS(financeiro[valor],financeiro[IdAgente],B46,financeiro[idDet1],22,financeiro[idDet2],60,financeiro[idDet3],526,financeiro[id_grupo_tarifa],2,financeiro[id_detalhe_grupo_tarifa],8,financeiro[id_tipo_tarifa],9,financeiro[valor],"&lt;0")</f>
        <v>0</v>
      </c>
      <c r="BO46" s="267">
        <f>SUMIFS(financeiro[valor],financeiro[IdAgente],B46,financeiro[idDet1],22,financeiro[idDet2],60,financeiro[idDet3],999,financeiro[id_grupo_tarifa],4,financeiro[id_detalhe_grupo_tarifa],999,financeiro[id_tipo_tarifa],9,financeiro[valor],"&lt;0")</f>
        <v>0</v>
      </c>
      <c r="BP46" s="267">
        <f>SUMIFS(financeiro[valor],financeiro[IdAgente],B46,financeiro[idDet1],22,financeiro[idDet2],60,financeiro[idDet3],530,financeiro[valor],"&lt;0")</f>
        <v>0</v>
      </c>
      <c r="BQ46" s="267">
        <f>SUMIFS(financeiro[valor],financeiro[IdAgente],B46,financeiro[idDet1],22,financeiro[idDet2],60,financeiro[idDet3],531,financeiro[valor],"&lt;0")</f>
        <v>0</v>
      </c>
      <c r="BR46" s="267">
        <f>SUMIFS(financeiro[valor],financeiro[IdAgente],B46,financeiro[idDet1],22,financeiro[idDet2],62,financeiro[idDet3],532,financeiro[valor],"&lt;0")</f>
        <v>0</v>
      </c>
      <c r="BS46" s="267">
        <f>SUMIFS(financeiro[valor],financeiro[IdAgente],B46,financeiro[idDet1],22,financeiro[idDet2],62,financeiro[idDet3],533,financeiro[valor],"&lt;0")</f>
        <v>0</v>
      </c>
      <c r="BT46" s="267">
        <f>SUMIFS(financeiro[valor],financeiro[IdAgente],B46,financeiro[idDet1],22,financeiro[idDet2],62,financeiro[idDet3],534,financeiro[valor],"&lt;0")</f>
        <v>0</v>
      </c>
      <c r="BW46" s="210" t="s">
        <v>221</v>
      </c>
      <c r="BX46" t="str">
        <f>Efeito!B47</f>
        <v>NO SELECT</v>
      </c>
      <c r="BY46" s="267">
        <f>SUMIFS(Banco[valor],Banco[IdAgente],BX46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46" s="267">
        <f>SUMIFS(Banco[valor],Banco[IdAgente],BX46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46" s="267">
        <f>SUMIFS(Banco[valor],Banco[IdAgente],BX46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46" s="267">
        <f>SUMIFS(Banco[valor],Banco[IdAgente],BX46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46" s="267">
        <f>SUMIFS(Banco[valor],Banco[IdAgente],BX46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46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46" s="267">
        <f>SUMIFS(Banco[valor],Banco[IdAgente],BX46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46" s="267">
        <f>SUMIFS(Banco[valor],Banco[IdAgente],BX46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46" s="267">
        <f>SUMIFS(Banco[valor],Banco[IdAgente],BX46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46" s="267">
        <f>SUMIFS(Banco[valor],Banco[IdAgente],BX46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46" s="267">
        <f>SUMIFS(Banco[valor],Banco[IdAgente],BX46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46" s="267">
        <f>SUMIFS(Banco[valor],Banco[IdAgente],BX46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46" s="267">
        <f>SUMIFS(Banco[valor],Banco[IdAgente],BX46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46" s="267">
        <f>SUMIFS(Banco[valor],Banco[IdAgente],B46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46" s="267">
        <f>SUMIFS(Banco[valor],Banco[IdAgente],B46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46" s="267">
        <f>SUMIFS(Banco[valor],Banco[IdAgente],B46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47" spans="1:92">
      <c r="A47" t="s">
        <v>223</v>
      </c>
      <c r="B47" t="str">
        <f>Efeito!B48</f>
        <v>NO SELECT</v>
      </c>
      <c r="C47" s="267">
        <f>SUMIFS(Banco[valor],Banco[IdAgente],B47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47" s="267">
        <f>SUMIFS(Banco[valor],Banco[IdAgente],B47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47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47" s="267">
        <f>SUMIFS(Banco[valor],Banco[IdAgente],B47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47" s="267">
        <f>SUMIFS(Banco[valor],Banco[IdAgente],B47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47" s="267">
        <f>SUMIFS(Banco[valor],Banco[IdAgente],B47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47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47" s="267">
        <f>SUMIFS(Banco[valor],Banco[IdAgente],B47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47" s="267">
        <f>SUMIFS(Banco[valor],Banco[IdAgente],B47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47" s="267">
        <f>SUMIFS(Banco[valor],Banco[IdAgente],B47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47" s="267">
        <f>SUMIFS(Banco[valor],Banco[IdAgente],B47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47" s="267">
        <f>SUMIFS(Banco[valor],Banco[IdAgente],B47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47" s="267">
        <f>SUMIFS(Banco[valor],Banco[IdAgente],B47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47" s="267">
        <f>SUMIFS(Banco[valor],Banco[IdAgente],B47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47" s="267">
        <f>SUMIFS(Banco[valor],Banco[IdAgente],B47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47" s="267">
        <f t="shared" si="3"/>
        <v>0</v>
      </c>
      <c r="Q47" s="267">
        <f>SUMIFS(Banco[valor],Banco[IdAgente],B47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47" s="267">
        <f>SUMIFS(Banco[valor],Banco[IdAgente],B47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47" s="4"/>
      <c r="T47" s="4"/>
      <c r="U47" s="4"/>
      <c r="V47" s="267">
        <f>SUMIFS(financeiro[valor],financeiro[IdAgente],B47,financeiro[idDet1],22,financeiro[idDet2],60,financeiro[idDet3],526,financeiro[id_grupo_tarifa],1,financeiro[id_detalhe_grupo_tarifa],7,financeiro[id_tipo_tarifa],9,financeiro[id_subgrupo],99,financeiro[valor],"&gt;0")+SUMIFS(financeiro[valor],financeiro[IdAgente],B47,financeiro[idDet1],22,financeiro[idDet2],60,financeiro[idDet3],526,financeiro[id_grupo_tarifa],2,financeiro[id_detalhe_grupo_tarifa],11,financeiro[id_tipo_tarifa],9,financeiro[valor],"&gt;0")+SUMIFS(financeiro[valor],financeiro[IdAgente],B47,financeiro[idDet1],22,financeiro[idDet2],60,financeiro[idDet3],526,financeiro[id_grupo_tarifa],2,financeiro[id_detalhe_grupo_tarifa],9,financeiro[id_tipo_tarifa],9,financeiro[valor],"&gt;0")+SUMIFS(financeiro[valor],financeiro[IdAgente],B47,financeiro[idDet1],22,financeiro[idDet2],60,financeiro[idDet3],526,financeiro[id_grupo_tarifa],2,financeiro[id_detalhe_grupo_tarifa],8,financeiro[id_tipo_tarifa],9,financeiro[valor],"&gt;0")+SUMIFS(financeiro[valor],financeiro[IdAgente],B47,financeiro[idDet1],22,financeiro[idDet2],60,financeiro[idDet3],526,financeiro[id_grupo_tarifa],2,financeiro[id_detalhe_grupo_tarifa],10,financeiro[id_tipo_tarifa],9,financeiro[valor],"&gt;0")+SUMIFS(financeiro[valor],financeiro[IdAgente],B47,financeiro[idDet1],22,financeiro[idDet2],60,financeiro[idDet3],526,financeiro[id_grupo_tarifa],2,financeiro[id_detalhe_grupo_tarifa],24,financeiro[id_tipo_tarifa],9,financeiro[valor],"&gt;0")</f>
        <v>0</v>
      </c>
      <c r="W47" s="267">
        <f>SUMIFS(financeiro[valor],financeiro[IdAgente],B47,financeiro[idDet1],20,financeiro[idDet2],60,financeiro[idDet3],999,financeiro[id_grupo_tarifa],3,financeiro[id_detalhe_grupo_tarifa],14,financeiro[id_tipo_tarifa],9)+SUMIFS(financeiro[valor],financeiro[IdAgente],B47,financeiro[idDet1],20,financeiro[idDet2],60,financeiro[idDet3],999,financeiro[id_grupo_tarifa],3,financeiro[id_detalhe_grupo_tarifa],15,financeiro[id_tipo_tarifa],9)+SUMIFS(financeiro[valor],financeiro[IdAgente],B47,financeiro[idDet1],20,financeiro[idDet2],60,financeiro[idDet3],999,financeiro[id_grupo_tarifa],3,financeiro[id_detalhe_grupo_tarifa],16,financeiro[id_tipo_tarifa],9)+SUMIFS(financeiro[valor],financeiro[IdAgente],B47,financeiro[idDet1],20,financeiro[idDet2],60,financeiro[idDet3],999,financeiro[id_grupo_tarifa],3,financeiro[id_detalhe_grupo_tarifa],17,financeiro[id_tipo_tarifa],9)+SUMIFS(financeiro[valor],financeiro[IdAgente],B47,financeiro[idDet1],20,financeiro[idDet2],60,financeiro[idDet3],999,financeiro[id_grupo_tarifa],3,financeiro[id_detalhe_grupo_tarifa],18,financeiro[id_tipo_tarifa],9)+SUMIFS(financeiro[valor],financeiro[IdAgente],B47,financeiro[idDet1],20,financeiro[idDet2],60,financeiro[idDet3],999,financeiro[id_grupo_tarifa],3,financeiro[id_detalhe_grupo_tarifa],19,financeiro[id_tipo_tarifa],9)</f>
        <v>0</v>
      </c>
      <c r="X47" s="267">
        <f>SUMIFS(financeiro[valor],financeiro[IdAgente],B47,financeiro[idDet1],20,financeiro[idDet2],60,financeiro[idDet3],999,financeiro[id_grupo_tarifa],3,financeiro[id_detalhe_grupo_tarifa],12,financeiro[id_tipo_tarifa],9)+SUMIFS(financeiro[valor],financeiro[IdAgente],B47,financeiro[idDet1],20,financeiro[idDet2],60,financeiro[idDet3],999,financeiro[id_grupo_tarifa],4,financeiro[id_detalhe_grupo_tarifa],999,financeiro[id_tipo_tarifa],9)</f>
        <v>0</v>
      </c>
      <c r="Y47" s="267">
        <f>SUMIFS(financeiro[valor],financeiro[IdAgente],B47,financeiro[idDet1],20,financeiro[idDet2],60,financeiro[idDet3],179,financeiro[id_grupo_tarifa],99,financeiro[id_detalhe_grupo_tarifa],999,financeiro[id_tipo_tarifa],9)</f>
        <v>0</v>
      </c>
      <c r="Z47" s="267">
        <f>SUMIFS(financeiro[valor],financeiro[IdAgente],B47,financeiro[idDet1],20,financeiro[idDet2],60,financeiro[idDet3],999,financeiro[id_grupo_tarifa],2,financeiro[id_detalhe_grupo_tarifa],11,financeiro[id_tipo_tarifa],9,financeiro[valor],"&gt;0")+SUMIFS(financeiro[valor],financeiro[IdAgente],B47,financeiro[idDet1],20,financeiro[idDet2],60,financeiro[idDet3],999,financeiro[id_grupo_tarifa],2,financeiro[id_detalhe_grupo_tarifa],9,financeiro[id_tipo_tarifa],9,financeiro[valor],"&gt;0")+SUMIFS(financeiro[valor],financeiro[IdAgente],B47,financeiro[idDet1],20,financeiro[idDet2],60,financeiro[idDet3],999,financeiro[id_grupo_tarifa],2,financeiro[id_detalhe_grupo_tarifa],8,financeiro[id_tipo_tarifa],9,financeiro[valor],"&gt;0")+SUMIFS(financeiro[valor],financeiro[IdAgente],B47,financeiro[idDet1],20,financeiro[idDet2],60,financeiro[idDet3],999,financeiro[id_grupo_tarifa],2,financeiro[id_detalhe_grupo_tarifa],10,financeiro[id_tipo_tarifa],9,financeiro[valor],"&gt;0")+SUMIFS(financeiro[valor],financeiro[IdAgente],B47,financeiro[idDet1],20,financeiro[idDet2],60,financeiro[idDet3],999,financeiro[id_grupo_tarifa],2,financeiro[id_detalhe_grupo_tarifa],24,financeiro[id_tipo_tarifa],9,financeiro[valor],"&gt;0")+SUMIFS(financeiro[valor],financeiro[IdAgente],B47,financeiro[idDet1],20,financeiro[idDet2],60,financeiro[idDet3],999,financeiro[id_grupo_tarifa],2,financeiro[id_detalhe_grupo_tarifa],17,financeiro[id_tipo_tarifa],9,financeiro[valor],"&gt;0")+SUMIFS(financeiro[valor],financeiro[IdAgente],B47,financeiro[idDet1],999,financeiro[idDet2],999999,financeiro[idDet3],999,financeiro[id_grupo_tarifa],99,financeiro[id_detalhe_grupo_tarifa],999,financeiro[id_tipo_tarifa],9,financeiro[valor],"&gt;0")</f>
        <v>0</v>
      </c>
      <c r="AA47" s="267">
        <f>SUMIFS(financeiro[valor],financeiro[IdAgente],B47,financeiro[idDet1],22,financeiro[idDet2],60,financeiro[idDet3],529,financeiro[id_grupo_tarifa],1,financeiro[id_detalhe_grupo_tarifa],1,financeiro[id_tipo_tarifa],9,financeiro[valor],"&gt;0")+SUMIFS(financeiro[valor],financeiro[IdAgente],B47,financeiro[idDet1],22,financeiro[idDet2],60,financeiro[idDet3],529,financeiro[id_grupo_tarifa],1,financeiro[id_detalhe_grupo_tarifa],2,financeiro[id_tipo_tarifa],9,financeiro[valor],"&gt;0")</f>
        <v>0</v>
      </c>
      <c r="AB47" s="269"/>
      <c r="AC47" s="267">
        <f>SUMIFS(financeiro[valor],financeiro[IdAgente],B47,financeiro[idDet1],22,financeiro[idDet2],60,financeiro[idDet3],999,financeiro[id_grupo_tarifa],2,financeiro[id_detalhe_grupo_tarifa],30,financeiro[id_tipo_tarifa],9,financeiro[valor],"&gt;0")</f>
        <v>0</v>
      </c>
      <c r="AD47" s="267">
        <f>SUMIFS(financeiro[valor],financeiro[IdAgente],B47,financeiro[idDet1],22,financeiro[idDet2],60,financeiro[idDet3],178,financeiro[id_grupo_tarifa],1,financeiro[id_detalhe_grupo_tarifa],7,financeiro[id_tipo_tarifa],9)</f>
        <v>0</v>
      </c>
      <c r="AE47" s="267">
        <f>SUMIFS(financeiro[valor],financeiro[IdAgente],B47,financeiro[idDet1],22,financeiro[idDet2],60,financeiro[idDet3],242,financeiro[id_grupo_tarifa],4,financeiro[id_detalhe_grupo_tarifa],999,financeiro[id_tipo_tarifa],9)</f>
        <v>0</v>
      </c>
      <c r="AF47" s="267">
        <f>SUMIFS(financeiro[valor],financeiro[IdAgente],B47,financeiro[idDet1],22,financeiro[idDet2],60,financeiro[idDet3],525,financeiro[id_grupo_tarifa],2,financeiro[id_tipo_tarifa],9)</f>
        <v>0</v>
      </c>
      <c r="AG47" s="267">
        <f>SUMIFS(financeiro[valor],financeiro[IdAgente],B47,financeiro[idDet1],22,financeiro[idDet2],60,financeiro[idDet3],524)</f>
        <v>0</v>
      </c>
      <c r="AH47" s="269"/>
      <c r="AI47" s="267">
        <f>SUMIFS(financeiro[valor],financeiro[IdAgente],B47,financeiro[idDet1],22,financeiro[idDet2],60,financeiro[idDet3],523,financeiro[id_grupo_tarifa],2,financeiro[id_detalhe_grupo_tarifa],30,financeiro[id_tipo_tarifa],9)</f>
        <v>0</v>
      </c>
      <c r="AJ47" s="267">
        <f>SUMIFS(financeiro[valor],financeiro[IdAgente],B47,financeiro[idDet1],22,financeiro[idDet2],60,financeiro[idDet3],503,financeiro[id_grupo_tarifa],99,financeiro[id_detalhe_grupo_tarifa],999,financeiro[id_tipo_tarifa],3)</f>
        <v>0</v>
      </c>
      <c r="AK47" s="269"/>
      <c r="AL47" s="269"/>
      <c r="AM47" s="269"/>
      <c r="AN47" s="269"/>
      <c r="AO47" s="269"/>
      <c r="AP47" s="269"/>
      <c r="AQ47" s="269"/>
      <c r="AR47" s="269"/>
      <c r="AS47" s="269"/>
      <c r="AT47" s="267">
        <f>SUMIFS(financeiro[valor],financeiro[IdAgente],B47,financeiro[idDet1],22,financeiro[idDet2],60,financeiro[idDet3],235,financeiro[id_grupo_tarifa],4,financeiro[id_detalhe_grupo_tarifa],999,financeiro[id_tipo_tarifa],9)</f>
        <v>0</v>
      </c>
      <c r="AU47" s="267">
        <f>SUMIFS(financeiro[valor],financeiro[IdAgente],B47,financeiro[idDet1],22,financeiro[idDet2],60,financeiro[idDet3],512,financeiro[id_grupo_tarifa],3,financeiro[id_detalhe_grupo_tarifa],28,financeiro[id_tipo_tarifa],9)</f>
        <v>0</v>
      </c>
      <c r="AV47" s="267">
        <f>SUMIFS(financeiro[valor],financeiro[IdAgente],B47,financeiro[idDet1],22,financeiro[idDet2],60,financeiro[idDet3],241,financeiro[id_grupo_tarifa],2,financeiro[id_detalhe_grupo_tarifa],11,financeiro[id_tipo_tarifa],9)+SUMIFS(financeiro[valor],financeiro[IdAgente],B47,financeiro[idDet1],22,financeiro[idDet2],60,financeiro[idDet3],241,financeiro[id_grupo_tarifa],2,financeiro[id_detalhe_grupo_tarifa],9,financeiro[id_tipo_tarifa],9)+SUMIFS(financeiro[valor],financeiro[IdAgente],B47,financeiro[idDet1],22,financeiro[idDet2],60,financeiro[idDet3],241,financeiro[id_grupo_tarifa],2,financeiro[id_detalhe_grupo_tarifa],8,financeiro[id_tipo_tarifa],9)+SUMIFS(financeiro[valor],financeiro[IdAgente],B47,financeiro[idDet1],22,financeiro[idDet2],60,financeiro[idDet3],241,financeiro[id_grupo_tarifa],2,financeiro[id_detalhe_grupo_tarifa],10,financeiro[id_tipo_tarifa],9)+SUMIFS(financeiro[valor],financeiro[IdAgente],B47,financeiro[idDet1],22,financeiro[idDet2],60,financeiro[idDet3],241,financeiro[id_grupo_tarifa],2,financeiro[id_detalhe_grupo_tarifa],24,financeiro[id_tipo_tarifa],9)</f>
        <v>0</v>
      </c>
      <c r="AW47" s="267">
        <f>SUMIFS(financeiro[valor],financeiro[IdAgente],B47,financeiro[idDet1],22,financeiro[idDet2],60,financeiro[idDet3],241,financeiro[id_grupo_tarifa],3,financeiro[id_detalhe_grupo_tarifa],17,financeiro[id_tipo_tarifa],9)</f>
        <v>0</v>
      </c>
      <c r="AX47" s="267">
        <f>SUMIFS(financeiro[valor],financeiro[IdAgente],B47,financeiro[idDet1],22,financeiro[idDet2],60,financeiro[idDet3],240,financeiro[id_grupo_tarifa],2,financeiro[id_detalhe_grupo_tarifa],11,financeiro[id_tipo_tarifa],9)+SUMIFS(financeiro[valor],financeiro[IdAgente],B47,financeiro[idDet1],22,financeiro[idDet2],60,financeiro[idDet3],240,financeiro[id_grupo_tarifa],2,financeiro[id_detalhe_grupo_tarifa],9,financeiro[id_tipo_tarifa],9)+SUMIFS(financeiro[valor],financeiro[IdAgente],B47,financeiro[idDet1],22,financeiro[idDet2],60,financeiro[idDet3],240,financeiro[id_grupo_tarifa],2,financeiro[id_detalhe_grupo_tarifa],8,financeiro[id_tipo_tarifa],9)+SUMIFS(financeiro[valor],financeiro[IdAgente],B47,financeiro[idDet1],22,financeiro[idDet2],60,financeiro[idDet3],240,financeiro[id_grupo_tarifa],2,financeiro[id_detalhe_grupo_tarifa],10,financeiro[id_tipo_tarifa],9)+SUMIFS(financeiro[valor],financeiro[IdAgente],B47,financeiro[idDet1],22,financeiro[idDet2],60,financeiro[idDet3],240,financeiro[id_grupo_tarifa],2,financeiro[id_detalhe_grupo_tarifa],24,financeiro[id_tipo_tarifa],9)</f>
        <v>0</v>
      </c>
      <c r="AY47" s="267">
        <f>SUMIFS(financeiro[valor],financeiro[IdAgente],B47,financeiro[idDet1],22,financeiro[idDet2],60,financeiro[idDet3],106,financeiro[id_grupo_tarifa],2,financeiro[id_detalhe_grupo_tarifa],11,financeiro[id_tipo_tarifa],9)+SUMIFS(financeiro[valor],financeiro[IdAgente],B47,financeiro[idDet1],22,financeiro[idDet2],60,financeiro[idDet3],106,financeiro[id_grupo_tarifa],2,financeiro[id_detalhe_grupo_tarifa],9,financeiro[id_tipo_tarifa],9)+SUMIFS(financeiro[valor],financeiro[IdAgente],B47,financeiro[idDet1],22,financeiro[idDet2],60,financeiro[idDet3],106,financeiro[id_grupo_tarifa],2,financeiro[id_detalhe_grupo_tarifa],8,financeiro[id_tipo_tarifa],9)+SUMIFS(financeiro[valor],financeiro[IdAgente],B47,financeiro[idDet1],22,financeiro[idDet2],60,financeiro[idDet3],106,financeiro[id_grupo_tarifa],2,financeiro[id_detalhe_grupo_tarifa],10,financeiro[id_tipo_tarifa],9)+SUMIFS(financeiro[valor],financeiro[IdAgente],B47,financeiro[idDet1],22,financeiro[idDet2],60,financeiro[idDet3],106,financeiro[id_grupo_tarifa],2,financeiro[id_detalhe_grupo_tarifa],24,financeiro[id_tipo_tarifa],9)</f>
        <v>0</v>
      </c>
      <c r="AZ47" s="267">
        <f>SUMIFS(financeiro[valor],financeiro[IdAgente],B47,financeiro[idDet1],22,financeiro[idDet2],62,financeiro[idDet3],220,financeiro[id_grupo_tarifa],2,financeiro[id_detalhe_grupo_tarifa],11,financeiro[id_tipo_tarifa],9)+SUMIFS(financeiro[valor],financeiro[IdAgente],B47,financeiro[idDet1],22,financeiro[idDet2],62,financeiro[idDet3],220,financeiro[id_grupo_tarifa],2,financeiro[id_detalhe_grupo_tarifa],9,financeiro[id_tipo_tarifa],9)+SUMIFS(financeiro[valor],financeiro[IdAgente],B47,financeiro[idDet1],22,financeiro[idDet2],62,financeiro[idDet3],220,financeiro[id_grupo_tarifa],2,financeiro[id_detalhe_grupo_tarifa],8,financeiro[id_tipo_tarifa],9)+SUMIFS(financeiro[valor],financeiro[IdAgente],B47,financeiro[idDet1],22,financeiro[idDet2],62,financeiro[idDet3],220,financeiro[id_grupo_tarifa],2,financeiro[id_detalhe_grupo_tarifa],10,financeiro[id_tipo_tarifa],9)+SUMIFS(financeiro[valor],financeiro[IdAgente],B47,financeiro[idDet1],22,financeiro[idDet2],62,financeiro[idDet3],220,financeiro[id_grupo_tarifa],2,financeiro[id_detalhe_grupo_tarifa],24,financeiro[id_tipo_tarifa],9)</f>
        <v>0</v>
      </c>
      <c r="BA47" s="267">
        <f>SUMIFS(financeiro[valor],financeiro[IdAgente],B47,financeiro[idDet1],22,financeiro[idDet2],60,financeiro[idDet3],220,financeiro[id_grupo_tarifa],2,financeiro[id_detalhe_grupo_tarifa],11,financeiro[id_tipo_tarifa],9)+SUMIFS(financeiro[valor],financeiro[IdAgente],B47,financeiro[idDet1],22,financeiro[idDet2],60,financeiro[idDet3],220,financeiro[id_grupo_tarifa],2,financeiro[id_detalhe_grupo_tarifa],9,financeiro[id_tipo_tarifa],9)+SUMIFS(financeiro[valor],financeiro[IdAgente],B47,financeiro[idDet1],22,financeiro[idDet2],60,financeiro[idDet3],220,financeiro[id_grupo_tarifa],2,financeiro[id_detalhe_grupo_tarifa],8,financeiro[id_tipo_tarifa],9)+SUMIFS(financeiro[valor],financeiro[IdAgente],B47,financeiro[idDet1],22,financeiro[idDet2],60,financeiro[idDet3],220,financeiro[id_grupo_tarifa],2,financeiro[id_detalhe_grupo_tarifa],10,financeiro[id_tipo_tarifa],9)+SUMIFS(financeiro[valor],financeiro[IdAgente],B47,financeiro[idDet1],22,financeiro[idDet2],60,financeiro[idDet3],220,financeiro[id_grupo_tarifa],2,financeiro[id_detalhe_grupo_tarifa],24,financeiro[id_tipo_tarifa],9)</f>
        <v>0</v>
      </c>
      <c r="BB47" s="267">
        <f>SUMIFS(financeiro[valor],financeiro[IdAgente],B47,financeiro[idDet1],22,financeiro[idDet2],60,financeiro[idDet3],102,financeiro[id_grupo_tarifa],2,financeiro[id_detalhe_grupo_tarifa],11,financeiro[id_tipo_tarifa],9)+SUMIFS(financeiro[valor],financeiro[IdAgente],B47,financeiro[idDet1],22,financeiro[idDet2],60,financeiro[idDet3],102,financeiro[id_grupo_tarifa],2,financeiro[id_detalhe_grupo_tarifa],9,financeiro[id_tipo_tarifa],9)+SUMIFS(financeiro[valor],financeiro[IdAgente],B47,financeiro[idDet1],22,financeiro[idDet2],60,financeiro[idDet3],102,financeiro[id_grupo_tarifa],2,financeiro[id_detalhe_grupo_tarifa],8,financeiro[id_tipo_tarifa],9)+SUMIFS(financeiro[valor],financeiro[IdAgente],B47,financeiro[idDet1],22,financeiro[idDet2],60,financeiro[idDet3],102,financeiro[id_grupo_tarifa],2,financeiro[id_detalhe_grupo_tarifa],10,financeiro[id_tipo_tarifa],9)+SUMIFS(financeiro[valor],financeiro[IdAgente],B47,financeiro[idDet1],22,financeiro[idDet2],60,financeiro[idDet3],102,financeiro[id_grupo_tarifa],2,financeiro[id_detalhe_grupo_tarifa],24,financeiro[id_tipo_tarifa],9)</f>
        <v>0</v>
      </c>
      <c r="BC47" s="267">
        <f>SUMIFS(financeiro[valor],financeiro[IdAgente],B47,financeiro[idDet1],22,financeiro[idDet2],60,financeiro[idDet3],522,financeiro[valor],"&lt;0")</f>
        <v>0</v>
      </c>
      <c r="BD47" s="267">
        <f>SUMIFS(financeiro[valor],financeiro[IdAgente],B47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47" s="267">
        <f>SUMIFS(financeiro[valor],financeiro[IdAgente],B47,financeiro[id_natureza_dado],2,financeiro[id_detalhe_natureza],2,financeiro[idDet1],20,financeiro[idDet2],60,financeiro[idDet3],82,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47" s="267">
        <f>SUMIFS(financeiro[valor],financeiro[IdAgente],B47,financeiro[id_natureza_dado],2,financeiro[id_detalhe_natureza],2,financeiro[idDet1],20,financeiro[idDet2],60,financeiro[idDet3],81,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47" s="267">
        <f>SUMIFS(financeiro[valor],financeiro[IdAgente],B47,financeiro[id_natureza_dado],2,financeiro[id_detalhe_natureza],2,financeiro[idDet1],20,financeiro[idDet2],60,financeiro[idDet3],503,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47" s="267">
        <f>SUMIFS(financeiro[valor],financeiro[IdAgente],B47,financeiro[idDet1],22,financeiro[idDet2],60,financeiro[idDet3],123)</f>
        <v>0</v>
      </c>
      <c r="BI47" s="267">
        <f>SUMIFS(financeiro[valor],financeiro[IdAgente],B47,financeiro[idDet1],20,financeiro[idDet2],60,financeiro[idDet3],73)</f>
        <v>0</v>
      </c>
      <c r="BJ47" s="267">
        <f>SUMIFS(financeiro[valor],financeiro[IdAgente],B47,financeiro[idDet1],22,financeiro[idDet2],60,financeiro[idDet3],527)</f>
        <v>0</v>
      </c>
      <c r="BK47" s="267">
        <f>SUMIFS(financeiro[valor],financeiro[IdAgente],B47,financeiro[idDet1],22,financeiro[idDet2],60,financeiro[idDet3],510)</f>
        <v>0</v>
      </c>
      <c r="BL47" s="267">
        <f>SUMIFS(financeiro[valor],financeiro[IdAgente],B47,financeiro[idDet1],22,financeiro[idDet2],60,financeiro[idDet3],526,
financeiro[id_grupo_tarifa],1,financeiro[id_detalhe_grupo_tarifa],3,financeiro[id_tipo_tarifa],9,financeiro[id_subgrupo],3)</f>
        <v>0</v>
      </c>
      <c r="BM47" s="267">
        <f>SUMIFS(financeiro[valor],financeiro[IdAgente],B47,financeiro[idDet1],22,financeiro[idDet2],60,financeiro[idDet3],999,
financeiro[id_grupo_tarifa],3,financeiro[id_detalhe_grupo_tarifa],17,financeiro[id_tipo_tarifa],9)</f>
        <v>0</v>
      </c>
      <c r="BN47" s="267">
        <f>SUMIFS(financeiro[valor],financeiro[IdAgente],B47,financeiro[idDet1],22,financeiro[idDet2],60,financeiro[idDet3],526,financeiro[id_grupo_tarifa],1,financeiro[id_detalhe_grupo_tarifa],7,financeiro[id_tipo_tarifa],9,financeiro[valor],"&lt;0")+SUMIFS(financeiro[valor],financeiro[IdAgente],B47,financeiro[idDet1],22,financeiro[idDet2],60,financeiro[idDet3],526,financeiro[id_grupo_tarifa],2,financeiro[id_detalhe_grupo_tarifa],11,financeiro[id_tipo_tarifa],9,financeiro[valor],"&lt;0")+SUMIFS(financeiro[valor],financeiro[IdAgente],B47,financeiro[idDet1],22,financeiro[idDet2],60,financeiro[idDet3],526,financeiro[id_grupo_tarifa],2,financeiro[id_detalhe_grupo_tarifa],8,financeiro[id_tipo_tarifa],9,financeiro[valor],"&lt;0")</f>
        <v>0</v>
      </c>
      <c r="BO47" s="267">
        <f>SUMIFS(financeiro[valor],financeiro[IdAgente],B47,financeiro[idDet1],22,financeiro[idDet2],60,financeiro[idDet3],999,financeiro[id_grupo_tarifa],4,financeiro[id_detalhe_grupo_tarifa],999,financeiro[id_tipo_tarifa],9,financeiro[valor],"&lt;0")</f>
        <v>0</v>
      </c>
      <c r="BP47" s="267">
        <f>SUMIFS(financeiro[valor],financeiro[IdAgente],B47,financeiro[idDet1],22,financeiro[idDet2],60,financeiro[idDet3],530,financeiro[valor],"&lt;0")</f>
        <v>0</v>
      </c>
      <c r="BQ47" s="267">
        <f>SUMIFS(financeiro[valor],financeiro[IdAgente],B47,financeiro[idDet1],22,financeiro[idDet2],60,financeiro[idDet3],531,financeiro[valor],"&lt;0")</f>
        <v>0</v>
      </c>
      <c r="BR47" s="267">
        <f>SUMIFS(financeiro[valor],financeiro[IdAgente],B47,financeiro[idDet1],22,financeiro[idDet2],62,financeiro[idDet3],532,financeiro[valor],"&lt;0")</f>
        <v>0</v>
      </c>
      <c r="BS47" s="267">
        <f>SUMIFS(financeiro[valor],financeiro[IdAgente],B47,financeiro[idDet1],22,financeiro[idDet2],62,financeiro[idDet3],533,financeiro[valor],"&lt;0")</f>
        <v>0</v>
      </c>
      <c r="BT47" s="267">
        <f>SUMIFS(financeiro[valor],financeiro[IdAgente],B47,financeiro[idDet1],22,financeiro[idDet2],62,financeiro[idDet3],534,financeiro[valor],"&lt;0")</f>
        <v>0</v>
      </c>
      <c r="BW47" s="209" t="s">
        <v>223</v>
      </c>
      <c r="BX47" t="str">
        <f>Efeito!B48</f>
        <v>NO SELECT</v>
      </c>
      <c r="BY47" s="267">
        <f>SUMIFS(Banco[valor],Banco[IdAgente],BX47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47" s="267">
        <f>SUMIFS(Banco[valor],Banco[IdAgente],BX47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47" s="267">
        <f>SUMIFS(Banco[valor],Banco[IdAgente],BX47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47" s="267">
        <f>SUMIFS(Banco[valor],Banco[IdAgente],BX47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47" s="267">
        <f>SUMIFS(Banco[valor],Banco[IdAgente],BX47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47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47" s="267">
        <f>SUMIFS(Banco[valor],Banco[IdAgente],BX47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47" s="267">
        <f>SUMIFS(Banco[valor],Banco[IdAgente],BX47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47" s="267">
        <f>SUMIFS(Banco[valor],Banco[IdAgente],BX47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47" s="267">
        <f>SUMIFS(Banco[valor],Banco[IdAgente],BX47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47" s="267">
        <f>SUMIFS(Banco[valor],Banco[IdAgente],BX47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47" s="267">
        <f>SUMIFS(Banco[valor],Banco[IdAgente],BX47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47" s="267">
        <f>SUMIFS(Banco[valor],Banco[IdAgente],BX47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47" s="267">
        <f>SUMIFS(Banco[valor],Banco[IdAgente],B47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47" s="267">
        <f>SUMIFS(Banco[valor],Banco[IdAgente],B47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47" s="267">
        <f>SUMIFS(Banco[valor],Banco[IdAgente],B47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48" spans="1:92">
      <c r="A48" t="s">
        <v>225</v>
      </c>
      <c r="B48" t="str">
        <f>Efeito!B49</f>
        <v>NO SELECT</v>
      </c>
      <c r="C48" s="267">
        <f>SUMIFS(Banco[valor],Banco[IdAgente],B48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48" s="267">
        <f>SUMIFS(Banco[valor],Banco[IdAgente],B48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48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48" s="267">
        <f>SUMIFS(Banco[valor],Banco[IdAgente],B48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48" s="267">
        <f>SUMIFS(Banco[valor],Banco[IdAgente],B48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48" s="267">
        <f>SUMIFS(Banco[valor],Banco[IdAgente],B48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48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48" s="267">
        <f>SUMIFS(Banco[valor],Banco[IdAgente],B48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48" s="267">
        <f>SUMIFS(Banco[valor],Banco[IdAgente],B48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48" s="267">
        <f>SUMIFS(Banco[valor],Banco[IdAgente],B48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48" s="267">
        <f>SUMIFS(Banco[valor],Banco[IdAgente],B48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48" s="267">
        <f>SUMIFS(Banco[valor],Banco[IdAgente],B48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48" s="267">
        <f>SUMIFS(Banco[valor],Banco[IdAgente],B48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48" s="267">
        <f>SUMIFS(Banco[valor],Banco[IdAgente],B48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48" s="267">
        <f>SUMIFS(Banco[valor],Banco[IdAgente],B48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48" s="267">
        <f t="shared" si="3"/>
        <v>0</v>
      </c>
      <c r="Q48" s="267">
        <f>SUMIFS(Banco[valor],Banco[IdAgente],B48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48" s="267">
        <f>SUMIFS(Banco[valor],Banco[IdAgente],B48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48" s="4"/>
      <c r="T48" s="4"/>
      <c r="U48" s="4"/>
      <c r="V48" s="267">
        <f>SUMIFS(financeiro[valor],financeiro[IdAgente],B48,financeiro[idDet1],22,financeiro[idDet2],60,financeiro[idDet3],526,financeiro[id_grupo_tarifa],1,financeiro[id_detalhe_grupo_tarifa],7,financeiro[id_tipo_tarifa],9,financeiro[id_subgrupo],99,financeiro[valor],"&gt;0")+SUMIFS(financeiro[valor],financeiro[IdAgente],B48,financeiro[idDet1],22,financeiro[idDet2],60,financeiro[idDet3],526,financeiro[id_grupo_tarifa],2,financeiro[id_detalhe_grupo_tarifa],11,financeiro[id_tipo_tarifa],9,financeiro[valor],"&gt;0")+SUMIFS(financeiro[valor],financeiro[IdAgente],B48,financeiro[idDet1],22,financeiro[idDet2],60,financeiro[idDet3],526,financeiro[id_grupo_tarifa],2,financeiro[id_detalhe_grupo_tarifa],9,financeiro[id_tipo_tarifa],9,financeiro[valor],"&gt;0")+SUMIFS(financeiro[valor],financeiro[IdAgente],B48,financeiro[idDet1],22,financeiro[idDet2],60,financeiro[idDet3],526,financeiro[id_grupo_tarifa],2,financeiro[id_detalhe_grupo_tarifa],8,financeiro[id_tipo_tarifa],9,financeiro[valor],"&gt;0")+SUMIFS(financeiro[valor],financeiro[IdAgente],B48,financeiro[idDet1],22,financeiro[idDet2],60,financeiro[idDet3],526,financeiro[id_grupo_tarifa],2,financeiro[id_detalhe_grupo_tarifa],10,financeiro[id_tipo_tarifa],9,financeiro[valor],"&gt;0")+SUMIFS(financeiro[valor],financeiro[IdAgente],B48,financeiro[idDet1],22,financeiro[idDet2],60,financeiro[idDet3],526,financeiro[id_grupo_tarifa],2,financeiro[id_detalhe_grupo_tarifa],24,financeiro[id_tipo_tarifa],9,financeiro[valor],"&gt;0")</f>
        <v>0</v>
      </c>
      <c r="W48" s="267">
        <f>SUMIFS(financeiro[valor],financeiro[IdAgente],B48,financeiro[idDet1],20,financeiro[idDet2],60,financeiro[idDet3],999,financeiro[id_grupo_tarifa],3,financeiro[id_detalhe_grupo_tarifa],14,financeiro[id_tipo_tarifa],9)+SUMIFS(financeiro[valor],financeiro[IdAgente],B48,financeiro[idDet1],20,financeiro[idDet2],60,financeiro[idDet3],999,financeiro[id_grupo_tarifa],3,financeiro[id_detalhe_grupo_tarifa],15,financeiro[id_tipo_tarifa],9)+SUMIFS(financeiro[valor],financeiro[IdAgente],B48,financeiro[idDet1],20,financeiro[idDet2],60,financeiro[idDet3],999,financeiro[id_grupo_tarifa],3,financeiro[id_detalhe_grupo_tarifa],16,financeiro[id_tipo_tarifa],9)+SUMIFS(financeiro[valor],financeiro[IdAgente],B48,financeiro[idDet1],20,financeiro[idDet2],60,financeiro[idDet3],999,financeiro[id_grupo_tarifa],3,financeiro[id_detalhe_grupo_tarifa],17,financeiro[id_tipo_tarifa],9)+SUMIFS(financeiro[valor],financeiro[IdAgente],B48,financeiro[idDet1],20,financeiro[idDet2],60,financeiro[idDet3],999,financeiro[id_grupo_tarifa],3,financeiro[id_detalhe_grupo_tarifa],18,financeiro[id_tipo_tarifa],9)+SUMIFS(financeiro[valor],financeiro[IdAgente],B48,financeiro[idDet1],20,financeiro[idDet2],60,financeiro[idDet3],999,financeiro[id_grupo_tarifa],3,financeiro[id_detalhe_grupo_tarifa],19,financeiro[id_tipo_tarifa],9)</f>
        <v>0</v>
      </c>
      <c r="X48" s="267">
        <f>SUMIFS(financeiro[valor],financeiro[IdAgente],B48,financeiro[idDet1],20,financeiro[idDet2],60,financeiro[idDet3],999,financeiro[id_grupo_tarifa],3,financeiro[id_detalhe_grupo_tarifa],12,financeiro[id_tipo_tarifa],9)+SUMIFS(financeiro[valor],financeiro[IdAgente],B48,financeiro[idDet1],20,financeiro[idDet2],60,financeiro[idDet3],999,financeiro[id_grupo_tarifa],4,financeiro[id_detalhe_grupo_tarifa],999,financeiro[id_tipo_tarifa],9)</f>
        <v>0</v>
      </c>
      <c r="Y48" s="267">
        <f>SUMIFS(financeiro[valor],financeiro[IdAgente],B48,financeiro[idDet1],20,financeiro[idDet2],60,financeiro[idDet3],179,financeiro[id_grupo_tarifa],99,financeiro[id_detalhe_grupo_tarifa],999,financeiro[id_tipo_tarifa],9)</f>
        <v>0</v>
      </c>
      <c r="Z48" s="267">
        <f>SUMIFS(financeiro[valor],financeiro[IdAgente],B48,financeiro[idDet1],20,financeiro[idDet2],60,financeiro[idDet3],999,financeiro[id_grupo_tarifa],2,financeiro[id_detalhe_grupo_tarifa],11,financeiro[id_tipo_tarifa],9,financeiro[valor],"&gt;0")+SUMIFS(financeiro[valor],financeiro[IdAgente],B48,financeiro[idDet1],20,financeiro[idDet2],60,financeiro[idDet3],999,financeiro[id_grupo_tarifa],2,financeiro[id_detalhe_grupo_tarifa],9,financeiro[id_tipo_tarifa],9,financeiro[valor],"&gt;0")+SUMIFS(financeiro[valor],financeiro[IdAgente],B48,financeiro[idDet1],20,financeiro[idDet2],60,financeiro[idDet3],999,financeiro[id_grupo_tarifa],2,financeiro[id_detalhe_grupo_tarifa],8,financeiro[id_tipo_tarifa],9,financeiro[valor],"&gt;0")+SUMIFS(financeiro[valor],financeiro[IdAgente],B48,financeiro[idDet1],20,financeiro[idDet2],60,financeiro[idDet3],999,financeiro[id_grupo_tarifa],2,financeiro[id_detalhe_grupo_tarifa],10,financeiro[id_tipo_tarifa],9,financeiro[valor],"&gt;0")+SUMIFS(financeiro[valor],financeiro[IdAgente],B48,financeiro[idDet1],20,financeiro[idDet2],60,financeiro[idDet3],999,financeiro[id_grupo_tarifa],2,financeiro[id_detalhe_grupo_tarifa],24,financeiro[id_tipo_tarifa],9,financeiro[valor],"&gt;0")+SUMIFS(financeiro[valor],financeiro[IdAgente],B48,financeiro[idDet1],20,financeiro[idDet2],60,financeiro[idDet3],999,financeiro[id_grupo_tarifa],2,financeiro[id_detalhe_grupo_tarifa],17,financeiro[id_tipo_tarifa],9,financeiro[valor],"&gt;0")+SUMIFS(financeiro[valor],financeiro[IdAgente],B48,financeiro[idDet1],999,financeiro[idDet2],999999,financeiro[idDet3],999,financeiro[id_grupo_tarifa],99,financeiro[id_detalhe_grupo_tarifa],999,financeiro[id_tipo_tarifa],9,financeiro[valor],"&gt;0")</f>
        <v>0</v>
      </c>
      <c r="AA48" s="267">
        <f>SUMIFS(financeiro[valor],financeiro[IdAgente],B48,financeiro[idDet1],22,financeiro[idDet2],60,financeiro[idDet3],529,financeiro[id_grupo_tarifa],1,financeiro[id_detalhe_grupo_tarifa],1,financeiro[id_tipo_tarifa],9,financeiro[valor],"&gt;0")+SUMIFS(financeiro[valor],financeiro[IdAgente],B48,financeiro[idDet1],22,financeiro[idDet2],60,financeiro[idDet3],529,financeiro[id_grupo_tarifa],1,financeiro[id_detalhe_grupo_tarifa],2,financeiro[id_tipo_tarifa],9,financeiro[valor],"&gt;0")</f>
        <v>0</v>
      </c>
      <c r="AB48" s="269"/>
      <c r="AC48" s="267">
        <f>SUMIFS(financeiro[valor],financeiro[IdAgente],B48,financeiro[idDet1],22,financeiro[idDet2],60,financeiro[idDet3],999,financeiro[id_grupo_tarifa],2,financeiro[id_detalhe_grupo_tarifa],30,financeiro[id_tipo_tarifa],9,financeiro[valor],"&gt;0")</f>
        <v>0</v>
      </c>
      <c r="AD48" s="267">
        <f>SUMIFS(financeiro[valor],financeiro[IdAgente],B48,financeiro[idDet1],22,financeiro[idDet2],60,financeiro[idDet3],178,financeiro[id_grupo_tarifa],1,financeiro[id_detalhe_grupo_tarifa],7,financeiro[id_tipo_tarifa],9)</f>
        <v>0</v>
      </c>
      <c r="AE48" s="267">
        <f>SUMIFS(financeiro[valor],financeiro[IdAgente],B48,financeiro[idDet1],22,financeiro[idDet2],60,financeiro[idDet3],242,financeiro[id_grupo_tarifa],4,financeiro[id_detalhe_grupo_tarifa],999,financeiro[id_tipo_tarifa],9)</f>
        <v>0</v>
      </c>
      <c r="AF48" s="267">
        <f>SUMIFS(financeiro[valor],financeiro[IdAgente],B48,financeiro[idDet1],22,financeiro[idDet2],60,financeiro[idDet3],525,financeiro[id_grupo_tarifa],2,financeiro[id_tipo_tarifa],9)</f>
        <v>0</v>
      </c>
      <c r="AG48" s="267">
        <f>SUMIFS(financeiro[valor],financeiro[IdAgente],B48,financeiro[idDet1],22,financeiro[idDet2],60,financeiro[idDet3],524)</f>
        <v>0</v>
      </c>
      <c r="AH48" s="269"/>
      <c r="AI48" s="267">
        <f>SUMIFS(financeiro[valor],financeiro[IdAgente],B48,financeiro[idDet1],22,financeiro[idDet2],60,financeiro[idDet3],523,financeiro[id_grupo_tarifa],2,financeiro[id_detalhe_grupo_tarifa],30,financeiro[id_tipo_tarifa],9)</f>
        <v>0</v>
      </c>
      <c r="AJ48" s="267">
        <f>SUMIFS(financeiro[valor],financeiro[IdAgente],B48,financeiro[idDet1],22,financeiro[idDet2],60,financeiro[idDet3],503,financeiro[id_grupo_tarifa],99,financeiro[id_detalhe_grupo_tarifa],999,financeiro[id_tipo_tarifa],3)</f>
        <v>0</v>
      </c>
      <c r="AK48" s="269"/>
      <c r="AL48" s="269"/>
      <c r="AM48" s="269"/>
      <c r="AN48" s="269"/>
      <c r="AO48" s="269"/>
      <c r="AP48" s="269"/>
      <c r="AQ48" s="269"/>
      <c r="AR48" s="269"/>
      <c r="AS48" s="269"/>
      <c r="AT48" s="267">
        <f>SUMIFS(financeiro[valor],financeiro[IdAgente],B48,financeiro[idDet1],22,financeiro[idDet2],60,financeiro[idDet3],235,financeiro[id_grupo_tarifa],4,financeiro[id_detalhe_grupo_tarifa],999,financeiro[id_tipo_tarifa],9)</f>
        <v>0</v>
      </c>
      <c r="AU48" s="267">
        <f>SUMIFS(financeiro[valor],financeiro[IdAgente],B48,financeiro[idDet1],22,financeiro[idDet2],60,financeiro[idDet3],512,financeiro[id_grupo_tarifa],3,financeiro[id_detalhe_grupo_tarifa],28,financeiro[id_tipo_tarifa],9)</f>
        <v>0</v>
      </c>
      <c r="AV48" s="267">
        <f>SUMIFS(financeiro[valor],financeiro[IdAgente],B48,financeiro[idDet1],22,financeiro[idDet2],60,financeiro[idDet3],241,financeiro[id_grupo_tarifa],2,financeiro[id_detalhe_grupo_tarifa],11,financeiro[id_tipo_tarifa],9)+SUMIFS(financeiro[valor],financeiro[IdAgente],B48,financeiro[idDet1],22,financeiro[idDet2],60,financeiro[idDet3],241,financeiro[id_grupo_tarifa],2,financeiro[id_detalhe_grupo_tarifa],9,financeiro[id_tipo_tarifa],9)+SUMIFS(financeiro[valor],financeiro[IdAgente],B48,financeiro[idDet1],22,financeiro[idDet2],60,financeiro[idDet3],241,financeiro[id_grupo_tarifa],2,financeiro[id_detalhe_grupo_tarifa],8,financeiro[id_tipo_tarifa],9)+SUMIFS(financeiro[valor],financeiro[IdAgente],B48,financeiro[idDet1],22,financeiro[idDet2],60,financeiro[idDet3],241,financeiro[id_grupo_tarifa],2,financeiro[id_detalhe_grupo_tarifa],10,financeiro[id_tipo_tarifa],9)+SUMIFS(financeiro[valor],financeiro[IdAgente],B48,financeiro[idDet1],22,financeiro[idDet2],60,financeiro[idDet3],241,financeiro[id_grupo_tarifa],2,financeiro[id_detalhe_grupo_tarifa],24,financeiro[id_tipo_tarifa],9)</f>
        <v>0</v>
      </c>
      <c r="AW48" s="267">
        <f>SUMIFS(financeiro[valor],financeiro[IdAgente],B48,financeiro[idDet1],22,financeiro[idDet2],60,financeiro[idDet3],241,financeiro[id_grupo_tarifa],3,financeiro[id_detalhe_grupo_tarifa],17,financeiro[id_tipo_tarifa],9)</f>
        <v>0</v>
      </c>
      <c r="AX48" s="267">
        <f>SUMIFS(financeiro[valor],financeiro[IdAgente],B48,financeiro[idDet1],22,financeiro[idDet2],60,financeiro[idDet3],240,financeiro[id_grupo_tarifa],2,financeiro[id_detalhe_grupo_tarifa],11,financeiro[id_tipo_tarifa],9)+SUMIFS(financeiro[valor],financeiro[IdAgente],B48,financeiro[idDet1],22,financeiro[idDet2],60,financeiro[idDet3],240,financeiro[id_grupo_tarifa],2,financeiro[id_detalhe_grupo_tarifa],9,financeiro[id_tipo_tarifa],9)+SUMIFS(financeiro[valor],financeiro[IdAgente],B48,financeiro[idDet1],22,financeiro[idDet2],60,financeiro[idDet3],240,financeiro[id_grupo_tarifa],2,financeiro[id_detalhe_grupo_tarifa],8,financeiro[id_tipo_tarifa],9)+SUMIFS(financeiro[valor],financeiro[IdAgente],B48,financeiro[idDet1],22,financeiro[idDet2],60,financeiro[idDet3],240,financeiro[id_grupo_tarifa],2,financeiro[id_detalhe_grupo_tarifa],10,financeiro[id_tipo_tarifa],9)+SUMIFS(financeiro[valor],financeiro[IdAgente],B48,financeiro[idDet1],22,financeiro[idDet2],60,financeiro[idDet3],240,financeiro[id_grupo_tarifa],2,financeiro[id_detalhe_grupo_tarifa],24,financeiro[id_tipo_tarifa],9)</f>
        <v>0</v>
      </c>
      <c r="AY48" s="267">
        <f>SUMIFS(financeiro[valor],financeiro[IdAgente],B48,financeiro[idDet1],22,financeiro[idDet2],60,financeiro[idDet3],106,financeiro[id_grupo_tarifa],2,financeiro[id_detalhe_grupo_tarifa],11,financeiro[id_tipo_tarifa],9)+SUMIFS(financeiro[valor],financeiro[IdAgente],B48,financeiro[idDet1],22,financeiro[idDet2],60,financeiro[idDet3],106,financeiro[id_grupo_tarifa],2,financeiro[id_detalhe_grupo_tarifa],9,financeiro[id_tipo_tarifa],9)+SUMIFS(financeiro[valor],financeiro[IdAgente],B48,financeiro[idDet1],22,financeiro[idDet2],60,financeiro[idDet3],106,financeiro[id_grupo_tarifa],2,financeiro[id_detalhe_grupo_tarifa],8,financeiro[id_tipo_tarifa],9)+SUMIFS(financeiro[valor],financeiro[IdAgente],B48,financeiro[idDet1],22,financeiro[idDet2],60,financeiro[idDet3],106,financeiro[id_grupo_tarifa],2,financeiro[id_detalhe_grupo_tarifa],10,financeiro[id_tipo_tarifa],9)+SUMIFS(financeiro[valor],financeiro[IdAgente],B48,financeiro[idDet1],22,financeiro[idDet2],60,financeiro[idDet3],106,financeiro[id_grupo_tarifa],2,financeiro[id_detalhe_grupo_tarifa],24,financeiro[id_tipo_tarifa],9)</f>
        <v>0</v>
      </c>
      <c r="AZ48" s="267">
        <f>SUMIFS(financeiro[valor],financeiro[IdAgente],B48,financeiro[idDet1],22,financeiro[idDet2],62,financeiro[idDet3],220,financeiro[id_grupo_tarifa],2,financeiro[id_detalhe_grupo_tarifa],11,financeiro[id_tipo_tarifa],9)+SUMIFS(financeiro[valor],financeiro[IdAgente],B48,financeiro[idDet1],22,financeiro[idDet2],62,financeiro[idDet3],220,financeiro[id_grupo_tarifa],2,financeiro[id_detalhe_grupo_tarifa],9,financeiro[id_tipo_tarifa],9)+SUMIFS(financeiro[valor],financeiro[IdAgente],B48,financeiro[idDet1],22,financeiro[idDet2],62,financeiro[idDet3],220,financeiro[id_grupo_tarifa],2,financeiro[id_detalhe_grupo_tarifa],8,financeiro[id_tipo_tarifa],9)+SUMIFS(financeiro[valor],financeiro[IdAgente],B48,financeiro[idDet1],22,financeiro[idDet2],62,financeiro[idDet3],220,financeiro[id_grupo_tarifa],2,financeiro[id_detalhe_grupo_tarifa],10,financeiro[id_tipo_tarifa],9)+SUMIFS(financeiro[valor],financeiro[IdAgente],B48,financeiro[idDet1],22,financeiro[idDet2],62,financeiro[idDet3],220,financeiro[id_grupo_tarifa],2,financeiro[id_detalhe_grupo_tarifa],24,financeiro[id_tipo_tarifa],9)</f>
        <v>0</v>
      </c>
      <c r="BA48" s="267">
        <f>SUMIFS(financeiro[valor],financeiro[IdAgente],B48,financeiro[idDet1],22,financeiro[idDet2],60,financeiro[idDet3],220,financeiro[id_grupo_tarifa],2,financeiro[id_detalhe_grupo_tarifa],11,financeiro[id_tipo_tarifa],9)+SUMIFS(financeiro[valor],financeiro[IdAgente],B48,financeiro[idDet1],22,financeiro[idDet2],60,financeiro[idDet3],220,financeiro[id_grupo_tarifa],2,financeiro[id_detalhe_grupo_tarifa],9,financeiro[id_tipo_tarifa],9)+SUMIFS(financeiro[valor],financeiro[IdAgente],B48,financeiro[idDet1],22,financeiro[idDet2],60,financeiro[idDet3],220,financeiro[id_grupo_tarifa],2,financeiro[id_detalhe_grupo_tarifa],8,financeiro[id_tipo_tarifa],9)+SUMIFS(financeiro[valor],financeiro[IdAgente],B48,financeiro[idDet1],22,financeiro[idDet2],60,financeiro[idDet3],220,financeiro[id_grupo_tarifa],2,financeiro[id_detalhe_grupo_tarifa],10,financeiro[id_tipo_tarifa],9)+SUMIFS(financeiro[valor],financeiro[IdAgente],B48,financeiro[idDet1],22,financeiro[idDet2],60,financeiro[idDet3],220,financeiro[id_grupo_tarifa],2,financeiro[id_detalhe_grupo_tarifa],24,financeiro[id_tipo_tarifa],9)</f>
        <v>0</v>
      </c>
      <c r="BB48" s="267">
        <f>SUMIFS(financeiro[valor],financeiro[IdAgente],B48,financeiro[idDet1],22,financeiro[idDet2],60,financeiro[idDet3],102,financeiro[id_grupo_tarifa],2,financeiro[id_detalhe_grupo_tarifa],11,financeiro[id_tipo_tarifa],9)+SUMIFS(financeiro[valor],financeiro[IdAgente],B48,financeiro[idDet1],22,financeiro[idDet2],60,financeiro[idDet3],102,financeiro[id_grupo_tarifa],2,financeiro[id_detalhe_grupo_tarifa],9,financeiro[id_tipo_tarifa],9)+SUMIFS(financeiro[valor],financeiro[IdAgente],B48,financeiro[idDet1],22,financeiro[idDet2],60,financeiro[idDet3],102,financeiro[id_grupo_tarifa],2,financeiro[id_detalhe_grupo_tarifa],8,financeiro[id_tipo_tarifa],9)+SUMIFS(financeiro[valor],financeiro[IdAgente],B48,financeiro[idDet1],22,financeiro[idDet2],60,financeiro[idDet3],102,financeiro[id_grupo_tarifa],2,financeiro[id_detalhe_grupo_tarifa],10,financeiro[id_tipo_tarifa],9)+SUMIFS(financeiro[valor],financeiro[IdAgente],B48,financeiro[idDet1],22,financeiro[idDet2],60,financeiro[idDet3],102,financeiro[id_grupo_tarifa],2,financeiro[id_detalhe_grupo_tarifa],24,financeiro[id_tipo_tarifa],9)</f>
        <v>0</v>
      </c>
      <c r="BC48" s="267">
        <f>SUMIFS(financeiro[valor],financeiro[IdAgente],B48,financeiro[idDet1],22,financeiro[idDet2],60,financeiro[idDet3],522,financeiro[valor],"&lt;0")</f>
        <v>0</v>
      </c>
      <c r="BD48" s="267">
        <f>SUMIFS(financeiro[valor],financeiro[IdAgente],B48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48" s="267">
        <f>SUMIFS(financeiro[valor],financeiro[IdAgente],B48,financeiro[id_natureza_dado],2,financeiro[id_detalhe_natureza],2,financeiro[idDet1],20,financeiro[idDet2],60,financeiro[idDet3],82,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48" s="267">
        <f>SUMIFS(financeiro[valor],financeiro[IdAgente],B48,financeiro[id_natureza_dado],2,financeiro[id_detalhe_natureza],2,financeiro[idDet1],20,financeiro[idDet2],60,financeiro[idDet3],81,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48" s="267">
        <f>SUMIFS(financeiro[valor],financeiro[IdAgente],B48,financeiro[id_natureza_dado],2,financeiro[id_detalhe_natureza],2,financeiro[idDet1],20,financeiro[idDet2],60,financeiro[idDet3],503,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48" s="267">
        <f>SUMIFS(financeiro[valor],financeiro[IdAgente],B48,financeiro[idDet1],22,financeiro[idDet2],60,financeiro[idDet3],123)</f>
        <v>0</v>
      </c>
      <c r="BI48" s="267">
        <f>SUMIFS(financeiro[valor],financeiro[IdAgente],B48,financeiro[idDet1],20,financeiro[idDet2],60,financeiro[idDet3],73)</f>
        <v>0</v>
      </c>
      <c r="BJ48" s="267">
        <f>SUMIFS(financeiro[valor],financeiro[IdAgente],B48,financeiro[idDet1],22,financeiro[idDet2],60,financeiro[idDet3],527)</f>
        <v>0</v>
      </c>
      <c r="BK48" s="267">
        <f>SUMIFS(financeiro[valor],financeiro[IdAgente],B48,financeiro[idDet1],22,financeiro[idDet2],60,financeiro[idDet3],510)</f>
        <v>0</v>
      </c>
      <c r="BL48" s="267">
        <f>SUMIFS(financeiro[valor],financeiro[IdAgente],B48,financeiro[idDet1],22,financeiro[idDet2],60,financeiro[idDet3],526,
financeiro[id_grupo_tarifa],1,financeiro[id_detalhe_grupo_tarifa],3,financeiro[id_tipo_tarifa],9,financeiro[id_subgrupo],3)</f>
        <v>0</v>
      </c>
      <c r="BM48" s="267">
        <f>SUMIFS(financeiro[valor],financeiro[IdAgente],B48,financeiro[idDet1],22,financeiro[idDet2],60,financeiro[idDet3],999,
financeiro[id_grupo_tarifa],3,financeiro[id_detalhe_grupo_tarifa],17,financeiro[id_tipo_tarifa],9)</f>
        <v>0</v>
      </c>
      <c r="BN48" s="267">
        <f>SUMIFS(financeiro[valor],financeiro[IdAgente],B48,financeiro[idDet1],22,financeiro[idDet2],60,financeiro[idDet3],526,financeiro[id_grupo_tarifa],1,financeiro[id_detalhe_grupo_tarifa],7,financeiro[id_tipo_tarifa],9,financeiro[valor],"&lt;0")+SUMIFS(financeiro[valor],financeiro[IdAgente],B48,financeiro[idDet1],22,financeiro[idDet2],60,financeiro[idDet3],526,financeiro[id_grupo_tarifa],2,financeiro[id_detalhe_grupo_tarifa],11,financeiro[id_tipo_tarifa],9,financeiro[valor],"&lt;0")+SUMIFS(financeiro[valor],financeiro[IdAgente],B48,financeiro[idDet1],22,financeiro[idDet2],60,financeiro[idDet3],526,financeiro[id_grupo_tarifa],2,financeiro[id_detalhe_grupo_tarifa],8,financeiro[id_tipo_tarifa],9,financeiro[valor],"&lt;0")</f>
        <v>0</v>
      </c>
      <c r="BO48" s="267">
        <f>SUMIFS(financeiro[valor],financeiro[IdAgente],B48,financeiro[idDet1],22,financeiro[idDet2],60,financeiro[idDet3],999,financeiro[id_grupo_tarifa],4,financeiro[id_detalhe_grupo_tarifa],999,financeiro[id_tipo_tarifa],9,financeiro[valor],"&lt;0")</f>
        <v>0</v>
      </c>
      <c r="BP48" s="267">
        <f>SUMIFS(financeiro[valor],financeiro[IdAgente],B48,financeiro[idDet1],22,financeiro[idDet2],60,financeiro[idDet3],530,financeiro[valor],"&lt;0")</f>
        <v>0</v>
      </c>
      <c r="BQ48" s="267">
        <f>SUMIFS(financeiro[valor],financeiro[IdAgente],B48,financeiro[idDet1],22,financeiro[idDet2],60,financeiro[idDet3],531,financeiro[valor],"&lt;0")</f>
        <v>0</v>
      </c>
      <c r="BR48" s="267">
        <f>SUMIFS(financeiro[valor],financeiro[IdAgente],B48,financeiro[idDet1],22,financeiro[idDet2],62,financeiro[idDet3],532,financeiro[valor],"&lt;0")</f>
        <v>0</v>
      </c>
      <c r="BS48" s="267">
        <f>SUMIFS(financeiro[valor],financeiro[IdAgente],B48,financeiro[idDet1],22,financeiro[idDet2],62,financeiro[idDet3],533,financeiro[valor],"&lt;0")</f>
        <v>0</v>
      </c>
      <c r="BT48" s="267">
        <f>SUMIFS(financeiro[valor],financeiro[IdAgente],B48,financeiro[idDet1],22,financeiro[idDet2],62,financeiro[idDet3],534,financeiro[valor],"&lt;0")</f>
        <v>0</v>
      </c>
      <c r="BW48" s="210" t="s">
        <v>225</v>
      </c>
      <c r="BX48" t="str">
        <f>Efeito!B49</f>
        <v>NO SELECT</v>
      </c>
      <c r="BY48" s="267">
        <f>SUMIFS(Banco[valor],Banco[IdAgente],BX48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48" s="267">
        <f>SUMIFS(Banco[valor],Banco[IdAgente],BX48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48" s="267">
        <f>SUMIFS(Banco[valor],Banco[IdAgente],BX48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48" s="267">
        <f>SUMIFS(Banco[valor],Banco[IdAgente],BX48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48" s="267">
        <f>SUMIFS(Banco[valor],Banco[IdAgente],BX48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48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48" s="267">
        <f>SUMIFS(Banco[valor],Banco[IdAgente],BX48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48" s="267">
        <f>SUMIFS(Banco[valor],Banco[IdAgente],BX48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48" s="267">
        <f>SUMIFS(Banco[valor],Banco[IdAgente],BX48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48" s="267">
        <f>SUMIFS(Banco[valor],Banco[IdAgente],BX48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48" s="267">
        <f>SUMIFS(Banco[valor],Banco[IdAgente],BX48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48" s="267">
        <f>SUMIFS(Banco[valor],Banco[IdAgente],BX48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48" s="267">
        <f>SUMIFS(Banco[valor],Banco[IdAgente],BX48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48" s="267">
        <f>SUMIFS(Banco[valor],Banco[IdAgente],B48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48" s="267">
        <f>SUMIFS(Banco[valor],Banco[IdAgente],B48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48" s="267">
        <f>SUMIFS(Banco[valor],Banco[IdAgente],B48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49" spans="1:91">
      <c r="A49" t="s">
        <v>227</v>
      </c>
      <c r="B49" t="str">
        <f>Efeito!B50</f>
        <v>NO SELECT</v>
      </c>
      <c r="C49" s="267">
        <f>SUMIFS(Banco[valor],Banco[IdAgente],B49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49" s="267">
        <f>SUMIFS(Banco[valor],Banco[IdAgente],B49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49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49" s="267">
        <f>SUMIFS(Banco[valor],Banco[IdAgente],B49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49" s="267">
        <f>SUMIFS(Banco[valor],Banco[IdAgente],B49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49" s="267">
        <f>SUMIFS(Banco[valor],Banco[IdAgente],B49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49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49" s="267">
        <f>SUMIFS(Banco[valor],Banco[IdAgente],B49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49" s="267">
        <f>SUMIFS(Banco[valor],Banco[IdAgente],B49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49" s="267">
        <f>SUMIFS(Banco[valor],Banco[IdAgente],B49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49" s="267">
        <f>SUMIFS(Banco[valor],Banco[IdAgente],B49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49" s="267">
        <f>SUMIFS(Banco[valor],Banco[IdAgente],B49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49" s="267">
        <f>SUMIFS(Banco[valor],Banco[IdAgente],B49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49" s="267">
        <f>SUMIFS(Banco[valor],Banco[IdAgente],B49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49" s="267">
        <f>SUMIFS(Banco[valor],Banco[IdAgente],B49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49" s="267">
        <f t="shared" si="3"/>
        <v>0</v>
      </c>
      <c r="Q49" s="267">
        <f>SUMIFS(Banco[valor],Banco[IdAgente],B49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49" s="267">
        <f>SUMIFS(Banco[valor],Banco[IdAgente],B49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49" s="4"/>
      <c r="T49" s="4"/>
      <c r="U49" s="4"/>
      <c r="V49" s="267">
        <f>SUMIFS(financeiro[valor],financeiro[IdAgente],B49,financeiro[idDet1],22,financeiro[idDet2],60,financeiro[idDet3],526,financeiro[id_grupo_tarifa],1,financeiro[id_detalhe_grupo_tarifa],7,financeiro[id_tipo_tarifa],9,financeiro[id_subgrupo],99,financeiro[valor],"&gt;0")+SUMIFS(financeiro[valor],financeiro[IdAgente],B49,financeiro[idDet1],22,financeiro[idDet2],60,financeiro[idDet3],526,financeiro[id_grupo_tarifa],2,financeiro[id_detalhe_grupo_tarifa],11,financeiro[id_tipo_tarifa],9,financeiro[valor],"&gt;0")+SUMIFS(financeiro[valor],financeiro[IdAgente],B49,financeiro[idDet1],22,financeiro[idDet2],60,financeiro[idDet3],526,financeiro[id_grupo_tarifa],2,financeiro[id_detalhe_grupo_tarifa],9,financeiro[id_tipo_tarifa],9,financeiro[valor],"&gt;0")+SUMIFS(financeiro[valor],financeiro[IdAgente],B49,financeiro[idDet1],22,financeiro[idDet2],60,financeiro[idDet3],526,financeiro[id_grupo_tarifa],2,financeiro[id_detalhe_grupo_tarifa],8,financeiro[id_tipo_tarifa],9,financeiro[valor],"&gt;0")+SUMIFS(financeiro[valor],financeiro[IdAgente],B49,financeiro[idDet1],22,financeiro[idDet2],60,financeiro[idDet3],526,financeiro[id_grupo_tarifa],2,financeiro[id_detalhe_grupo_tarifa],10,financeiro[id_tipo_tarifa],9,financeiro[valor],"&gt;0")+SUMIFS(financeiro[valor],financeiro[IdAgente],B49,financeiro[idDet1],22,financeiro[idDet2],60,financeiro[idDet3],526,financeiro[id_grupo_tarifa],2,financeiro[id_detalhe_grupo_tarifa],24,financeiro[id_tipo_tarifa],9,financeiro[valor],"&gt;0")</f>
        <v>0</v>
      </c>
      <c r="W49" s="267">
        <f>SUMIFS(financeiro[valor],financeiro[IdAgente],B49,financeiro[idDet1],20,financeiro[idDet2],60,financeiro[idDet3],999,financeiro[id_grupo_tarifa],3,financeiro[id_detalhe_grupo_tarifa],14,financeiro[id_tipo_tarifa],9)+SUMIFS(financeiro[valor],financeiro[IdAgente],B49,financeiro[idDet1],20,financeiro[idDet2],60,financeiro[idDet3],999,financeiro[id_grupo_tarifa],3,financeiro[id_detalhe_grupo_tarifa],15,financeiro[id_tipo_tarifa],9)+SUMIFS(financeiro[valor],financeiro[IdAgente],B49,financeiro[idDet1],20,financeiro[idDet2],60,financeiro[idDet3],999,financeiro[id_grupo_tarifa],3,financeiro[id_detalhe_grupo_tarifa],16,financeiro[id_tipo_tarifa],9)+SUMIFS(financeiro[valor],financeiro[IdAgente],B49,financeiro[idDet1],20,financeiro[idDet2],60,financeiro[idDet3],999,financeiro[id_grupo_tarifa],3,financeiro[id_detalhe_grupo_tarifa],17,financeiro[id_tipo_tarifa],9)+SUMIFS(financeiro[valor],financeiro[IdAgente],B49,financeiro[idDet1],20,financeiro[idDet2],60,financeiro[idDet3],999,financeiro[id_grupo_tarifa],3,financeiro[id_detalhe_grupo_tarifa],18,financeiro[id_tipo_tarifa],9)+SUMIFS(financeiro[valor],financeiro[IdAgente],B49,financeiro[idDet1],20,financeiro[idDet2],60,financeiro[idDet3],999,financeiro[id_grupo_tarifa],3,financeiro[id_detalhe_grupo_tarifa],19,financeiro[id_tipo_tarifa],9)</f>
        <v>0</v>
      </c>
      <c r="X49" s="267">
        <f>SUMIFS(financeiro[valor],financeiro[IdAgente],B49,financeiro[idDet1],20,financeiro[idDet2],60,financeiro[idDet3],999,financeiro[id_grupo_tarifa],3,financeiro[id_detalhe_grupo_tarifa],12,financeiro[id_tipo_tarifa],9)+SUMIFS(financeiro[valor],financeiro[IdAgente],B49,financeiro[idDet1],20,financeiro[idDet2],60,financeiro[idDet3],999,financeiro[id_grupo_tarifa],4,financeiro[id_detalhe_grupo_tarifa],999,financeiro[id_tipo_tarifa],9)</f>
        <v>0</v>
      </c>
      <c r="Y49" s="267">
        <f>SUMIFS(financeiro[valor],financeiro[IdAgente],B49,financeiro[idDet1],20,financeiro[idDet2],60,financeiro[idDet3],179,financeiro[id_grupo_tarifa],99,financeiro[id_detalhe_grupo_tarifa],999,financeiro[id_tipo_tarifa],9)</f>
        <v>0</v>
      </c>
      <c r="Z49" s="267">
        <f>SUMIFS(financeiro[valor],financeiro[IdAgente],B49,financeiro[idDet1],20,financeiro[idDet2],60,financeiro[idDet3],999,financeiro[id_grupo_tarifa],2,financeiro[id_detalhe_grupo_tarifa],11,financeiro[id_tipo_tarifa],9,financeiro[valor],"&gt;0")+SUMIFS(financeiro[valor],financeiro[IdAgente],B49,financeiro[idDet1],20,financeiro[idDet2],60,financeiro[idDet3],999,financeiro[id_grupo_tarifa],2,financeiro[id_detalhe_grupo_tarifa],9,financeiro[id_tipo_tarifa],9,financeiro[valor],"&gt;0")+SUMIFS(financeiro[valor],financeiro[IdAgente],B49,financeiro[idDet1],20,financeiro[idDet2],60,financeiro[idDet3],999,financeiro[id_grupo_tarifa],2,financeiro[id_detalhe_grupo_tarifa],8,financeiro[id_tipo_tarifa],9,financeiro[valor],"&gt;0")+SUMIFS(financeiro[valor],financeiro[IdAgente],B49,financeiro[idDet1],20,financeiro[idDet2],60,financeiro[idDet3],999,financeiro[id_grupo_tarifa],2,financeiro[id_detalhe_grupo_tarifa],10,financeiro[id_tipo_tarifa],9,financeiro[valor],"&gt;0")+SUMIFS(financeiro[valor],financeiro[IdAgente],B49,financeiro[idDet1],20,financeiro[idDet2],60,financeiro[idDet3],999,financeiro[id_grupo_tarifa],2,financeiro[id_detalhe_grupo_tarifa],24,financeiro[id_tipo_tarifa],9,financeiro[valor],"&gt;0")+SUMIFS(financeiro[valor],financeiro[IdAgente],B49,financeiro[idDet1],20,financeiro[idDet2],60,financeiro[idDet3],999,financeiro[id_grupo_tarifa],2,financeiro[id_detalhe_grupo_tarifa],17,financeiro[id_tipo_tarifa],9,financeiro[valor],"&gt;0")+SUMIFS(financeiro[valor],financeiro[IdAgente],B49,financeiro[idDet1],999,financeiro[idDet2],999999,financeiro[idDet3],999,financeiro[id_grupo_tarifa],99,financeiro[id_detalhe_grupo_tarifa],999,financeiro[id_tipo_tarifa],9,financeiro[valor],"&gt;0")</f>
        <v>0</v>
      </c>
      <c r="AA49" s="267">
        <f>SUMIFS(financeiro[valor],financeiro[IdAgente],B49,financeiro[idDet1],22,financeiro[idDet2],60,financeiro[idDet3],529,financeiro[id_grupo_tarifa],1,financeiro[id_detalhe_grupo_tarifa],1,financeiro[id_tipo_tarifa],9,financeiro[valor],"&gt;0")+SUMIFS(financeiro[valor],financeiro[IdAgente],B49,financeiro[idDet1],22,financeiro[idDet2],60,financeiro[idDet3],529,financeiro[id_grupo_tarifa],1,financeiro[id_detalhe_grupo_tarifa],2,financeiro[id_tipo_tarifa],9,financeiro[valor],"&gt;0")</f>
        <v>0</v>
      </c>
      <c r="AB49" s="269"/>
      <c r="AC49" s="267">
        <f>SUMIFS(financeiro[valor],financeiro[IdAgente],B49,financeiro[idDet1],22,financeiro[idDet2],60,financeiro[idDet3],999,financeiro[id_grupo_tarifa],2,financeiro[id_detalhe_grupo_tarifa],30,financeiro[id_tipo_tarifa],9,financeiro[valor],"&gt;0")</f>
        <v>0</v>
      </c>
      <c r="AD49" s="267">
        <f>SUMIFS(financeiro[valor],financeiro[IdAgente],B49,financeiro[idDet1],22,financeiro[idDet2],60,financeiro[idDet3],178,financeiro[id_grupo_tarifa],1,financeiro[id_detalhe_grupo_tarifa],7,financeiro[id_tipo_tarifa],9)</f>
        <v>0</v>
      </c>
      <c r="AE49" s="267">
        <f>SUMIFS(financeiro[valor],financeiro[IdAgente],B49,financeiro[idDet1],22,financeiro[idDet2],60,financeiro[idDet3],242,financeiro[id_grupo_tarifa],4,financeiro[id_detalhe_grupo_tarifa],999,financeiro[id_tipo_tarifa],9)</f>
        <v>0</v>
      </c>
      <c r="AF49" s="267">
        <f>SUMIFS(financeiro[valor],financeiro[IdAgente],B49,financeiro[idDet1],22,financeiro[idDet2],60,financeiro[idDet3],525,financeiro[id_grupo_tarifa],2,financeiro[id_tipo_tarifa],9)</f>
        <v>0</v>
      </c>
      <c r="AG49" s="267">
        <f>SUMIFS(financeiro[valor],financeiro[IdAgente],B49,financeiro[idDet1],22,financeiro[idDet2],60,financeiro[idDet3],524)</f>
        <v>0</v>
      </c>
      <c r="AH49" s="269"/>
      <c r="AI49" s="267">
        <f>SUMIFS(financeiro[valor],financeiro[IdAgente],B49,financeiro[idDet1],22,financeiro[idDet2],60,financeiro[idDet3],523,financeiro[id_grupo_tarifa],2,financeiro[id_detalhe_grupo_tarifa],30,financeiro[id_tipo_tarifa],9)</f>
        <v>0</v>
      </c>
      <c r="AJ49" s="267">
        <f>SUMIFS(financeiro[valor],financeiro[IdAgente],B49,financeiro[idDet1],22,financeiro[idDet2],60,financeiro[idDet3],503,financeiro[id_grupo_tarifa],99,financeiro[id_detalhe_grupo_tarifa],999,financeiro[id_tipo_tarifa],3)</f>
        <v>0</v>
      </c>
      <c r="AK49" s="269"/>
      <c r="AL49" s="269"/>
      <c r="AM49" s="269"/>
      <c r="AN49" s="269"/>
      <c r="AO49" s="269"/>
      <c r="AP49" s="269"/>
      <c r="AQ49" s="269"/>
      <c r="AR49" s="269"/>
      <c r="AS49" s="269"/>
      <c r="AT49" s="267">
        <f>SUMIFS(financeiro[valor],financeiro[IdAgente],B49,financeiro[idDet1],22,financeiro[idDet2],60,financeiro[idDet3],235,financeiro[id_grupo_tarifa],4,financeiro[id_detalhe_grupo_tarifa],999,financeiro[id_tipo_tarifa],9)</f>
        <v>0</v>
      </c>
      <c r="AU49" s="267">
        <f>SUMIFS(financeiro[valor],financeiro[IdAgente],B49,financeiro[idDet1],22,financeiro[idDet2],60,financeiro[idDet3],512,financeiro[id_grupo_tarifa],3,financeiro[id_detalhe_grupo_tarifa],28,financeiro[id_tipo_tarifa],9)</f>
        <v>0</v>
      </c>
      <c r="AV49" s="267">
        <f>SUMIFS(financeiro[valor],financeiro[IdAgente],B49,financeiro[idDet1],22,financeiro[idDet2],60,financeiro[idDet3],241,financeiro[id_grupo_tarifa],2,financeiro[id_detalhe_grupo_tarifa],11,financeiro[id_tipo_tarifa],9)+SUMIFS(financeiro[valor],financeiro[IdAgente],B49,financeiro[idDet1],22,financeiro[idDet2],60,financeiro[idDet3],241,financeiro[id_grupo_tarifa],2,financeiro[id_detalhe_grupo_tarifa],9,financeiro[id_tipo_tarifa],9)+SUMIFS(financeiro[valor],financeiro[IdAgente],B49,financeiro[idDet1],22,financeiro[idDet2],60,financeiro[idDet3],241,financeiro[id_grupo_tarifa],2,financeiro[id_detalhe_grupo_tarifa],8,financeiro[id_tipo_tarifa],9)+SUMIFS(financeiro[valor],financeiro[IdAgente],B49,financeiro[idDet1],22,financeiro[idDet2],60,financeiro[idDet3],241,financeiro[id_grupo_tarifa],2,financeiro[id_detalhe_grupo_tarifa],10,financeiro[id_tipo_tarifa],9)+SUMIFS(financeiro[valor],financeiro[IdAgente],B49,financeiro[idDet1],22,financeiro[idDet2],60,financeiro[idDet3],241,financeiro[id_grupo_tarifa],2,financeiro[id_detalhe_grupo_tarifa],24,financeiro[id_tipo_tarifa],9)</f>
        <v>0</v>
      </c>
      <c r="AW49" s="267">
        <f>SUMIFS(financeiro[valor],financeiro[IdAgente],B49,financeiro[idDet1],22,financeiro[idDet2],60,financeiro[idDet3],241,financeiro[id_grupo_tarifa],3,financeiro[id_detalhe_grupo_tarifa],17,financeiro[id_tipo_tarifa],9)</f>
        <v>0</v>
      </c>
      <c r="AX49" s="267">
        <f>SUMIFS(financeiro[valor],financeiro[IdAgente],B49,financeiro[idDet1],22,financeiro[idDet2],60,financeiro[idDet3],240,financeiro[id_grupo_tarifa],2,financeiro[id_detalhe_grupo_tarifa],11,financeiro[id_tipo_tarifa],9)+SUMIFS(financeiro[valor],financeiro[IdAgente],B49,financeiro[idDet1],22,financeiro[idDet2],60,financeiro[idDet3],240,financeiro[id_grupo_tarifa],2,financeiro[id_detalhe_grupo_tarifa],9,financeiro[id_tipo_tarifa],9)+SUMIFS(financeiro[valor],financeiro[IdAgente],B49,financeiro[idDet1],22,financeiro[idDet2],60,financeiro[idDet3],240,financeiro[id_grupo_tarifa],2,financeiro[id_detalhe_grupo_tarifa],8,financeiro[id_tipo_tarifa],9)+SUMIFS(financeiro[valor],financeiro[IdAgente],B49,financeiro[idDet1],22,financeiro[idDet2],60,financeiro[idDet3],240,financeiro[id_grupo_tarifa],2,financeiro[id_detalhe_grupo_tarifa],10,financeiro[id_tipo_tarifa],9)+SUMIFS(financeiro[valor],financeiro[IdAgente],B49,financeiro[idDet1],22,financeiro[idDet2],60,financeiro[idDet3],240,financeiro[id_grupo_tarifa],2,financeiro[id_detalhe_grupo_tarifa],24,financeiro[id_tipo_tarifa],9)</f>
        <v>0</v>
      </c>
      <c r="AY49" s="267">
        <f>SUMIFS(financeiro[valor],financeiro[IdAgente],B49,financeiro[idDet1],22,financeiro[idDet2],60,financeiro[idDet3],106,financeiro[id_grupo_tarifa],2,financeiro[id_detalhe_grupo_tarifa],11,financeiro[id_tipo_tarifa],9)+SUMIFS(financeiro[valor],financeiro[IdAgente],B49,financeiro[idDet1],22,financeiro[idDet2],60,financeiro[idDet3],106,financeiro[id_grupo_tarifa],2,financeiro[id_detalhe_grupo_tarifa],9,financeiro[id_tipo_tarifa],9)+SUMIFS(financeiro[valor],financeiro[IdAgente],B49,financeiro[idDet1],22,financeiro[idDet2],60,financeiro[idDet3],106,financeiro[id_grupo_tarifa],2,financeiro[id_detalhe_grupo_tarifa],8,financeiro[id_tipo_tarifa],9)+SUMIFS(financeiro[valor],financeiro[IdAgente],B49,financeiro[idDet1],22,financeiro[idDet2],60,financeiro[idDet3],106,financeiro[id_grupo_tarifa],2,financeiro[id_detalhe_grupo_tarifa],10,financeiro[id_tipo_tarifa],9)+SUMIFS(financeiro[valor],financeiro[IdAgente],B49,financeiro[idDet1],22,financeiro[idDet2],60,financeiro[idDet3],106,financeiro[id_grupo_tarifa],2,financeiro[id_detalhe_grupo_tarifa],24,financeiro[id_tipo_tarifa],9)</f>
        <v>0</v>
      </c>
      <c r="AZ49" s="267">
        <f>SUMIFS(financeiro[valor],financeiro[IdAgente],B49,financeiro[idDet1],22,financeiro[idDet2],62,financeiro[idDet3],220,financeiro[id_grupo_tarifa],2,financeiro[id_detalhe_grupo_tarifa],11,financeiro[id_tipo_tarifa],9)+SUMIFS(financeiro[valor],financeiro[IdAgente],B49,financeiro[idDet1],22,financeiro[idDet2],62,financeiro[idDet3],220,financeiro[id_grupo_tarifa],2,financeiro[id_detalhe_grupo_tarifa],9,financeiro[id_tipo_tarifa],9)+SUMIFS(financeiro[valor],financeiro[IdAgente],B49,financeiro[idDet1],22,financeiro[idDet2],62,financeiro[idDet3],220,financeiro[id_grupo_tarifa],2,financeiro[id_detalhe_grupo_tarifa],8,financeiro[id_tipo_tarifa],9)+SUMIFS(financeiro[valor],financeiro[IdAgente],B49,financeiro[idDet1],22,financeiro[idDet2],62,financeiro[idDet3],220,financeiro[id_grupo_tarifa],2,financeiro[id_detalhe_grupo_tarifa],10,financeiro[id_tipo_tarifa],9)+SUMIFS(financeiro[valor],financeiro[IdAgente],B49,financeiro[idDet1],22,financeiro[idDet2],62,financeiro[idDet3],220,financeiro[id_grupo_tarifa],2,financeiro[id_detalhe_grupo_tarifa],24,financeiro[id_tipo_tarifa],9)</f>
        <v>0</v>
      </c>
      <c r="BA49" s="267">
        <f>SUMIFS(financeiro[valor],financeiro[IdAgente],B49,financeiro[idDet1],22,financeiro[idDet2],60,financeiro[idDet3],220,financeiro[id_grupo_tarifa],2,financeiro[id_detalhe_grupo_tarifa],11,financeiro[id_tipo_tarifa],9)+SUMIFS(financeiro[valor],financeiro[IdAgente],B49,financeiro[idDet1],22,financeiro[idDet2],60,financeiro[idDet3],220,financeiro[id_grupo_tarifa],2,financeiro[id_detalhe_grupo_tarifa],9,financeiro[id_tipo_tarifa],9)+SUMIFS(financeiro[valor],financeiro[IdAgente],B49,financeiro[idDet1],22,financeiro[idDet2],60,financeiro[idDet3],220,financeiro[id_grupo_tarifa],2,financeiro[id_detalhe_grupo_tarifa],8,financeiro[id_tipo_tarifa],9)+SUMIFS(financeiro[valor],financeiro[IdAgente],B49,financeiro[idDet1],22,financeiro[idDet2],60,financeiro[idDet3],220,financeiro[id_grupo_tarifa],2,financeiro[id_detalhe_grupo_tarifa],10,financeiro[id_tipo_tarifa],9)+SUMIFS(financeiro[valor],financeiro[IdAgente],B49,financeiro[idDet1],22,financeiro[idDet2],60,financeiro[idDet3],220,financeiro[id_grupo_tarifa],2,financeiro[id_detalhe_grupo_tarifa],24,financeiro[id_tipo_tarifa],9)</f>
        <v>0</v>
      </c>
      <c r="BB49" s="267">
        <f>SUMIFS(financeiro[valor],financeiro[IdAgente],B49,financeiro[idDet1],22,financeiro[idDet2],60,financeiro[idDet3],102,financeiro[id_grupo_tarifa],2,financeiro[id_detalhe_grupo_tarifa],11,financeiro[id_tipo_tarifa],9)+SUMIFS(financeiro[valor],financeiro[IdAgente],B49,financeiro[idDet1],22,financeiro[idDet2],60,financeiro[idDet3],102,financeiro[id_grupo_tarifa],2,financeiro[id_detalhe_grupo_tarifa],9,financeiro[id_tipo_tarifa],9)+SUMIFS(financeiro[valor],financeiro[IdAgente],B49,financeiro[idDet1],22,financeiro[idDet2],60,financeiro[idDet3],102,financeiro[id_grupo_tarifa],2,financeiro[id_detalhe_grupo_tarifa],8,financeiro[id_tipo_tarifa],9)+SUMIFS(financeiro[valor],financeiro[IdAgente],B49,financeiro[idDet1],22,financeiro[idDet2],60,financeiro[idDet3],102,financeiro[id_grupo_tarifa],2,financeiro[id_detalhe_grupo_tarifa],10,financeiro[id_tipo_tarifa],9)+SUMIFS(financeiro[valor],financeiro[IdAgente],B49,financeiro[idDet1],22,financeiro[idDet2],60,financeiro[idDet3],102,financeiro[id_grupo_tarifa],2,financeiro[id_detalhe_grupo_tarifa],24,financeiro[id_tipo_tarifa],9)</f>
        <v>0</v>
      </c>
      <c r="BC49" s="267">
        <f>SUMIFS(financeiro[valor],financeiro[IdAgente],B49,financeiro[idDet1],22,financeiro[idDet2],60,financeiro[idDet3],522,financeiro[valor],"&lt;0")</f>
        <v>0</v>
      </c>
      <c r="BD49" s="267">
        <f>SUMIFS(financeiro[valor],financeiro[IdAgente],B49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49" s="267">
        <f>SUMIFS(financeiro[valor],financeiro[IdAgente],B49,financeiro[id_natureza_dado],2,financeiro[id_detalhe_natureza],2,financeiro[idDet1],20,financeiro[idDet2],60,financeiro[idDet3],82,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49" s="267">
        <f>SUMIFS(financeiro[valor],financeiro[IdAgente],B49,financeiro[id_natureza_dado],2,financeiro[id_detalhe_natureza],2,financeiro[idDet1],20,financeiro[idDet2],60,financeiro[idDet3],81,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49" s="267">
        <f>SUMIFS(financeiro[valor],financeiro[IdAgente],B49,financeiro[id_natureza_dado],2,financeiro[id_detalhe_natureza],2,financeiro[idDet1],20,financeiro[idDet2],60,financeiro[idDet3],503,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49" s="267">
        <f>SUMIFS(financeiro[valor],financeiro[IdAgente],B49,financeiro[idDet1],22,financeiro[idDet2],60,financeiro[idDet3],123)</f>
        <v>0</v>
      </c>
      <c r="BI49" s="267">
        <f>SUMIFS(financeiro[valor],financeiro[IdAgente],B49,financeiro[idDet1],20,financeiro[idDet2],60,financeiro[idDet3],73)</f>
        <v>0</v>
      </c>
      <c r="BJ49" s="267">
        <f>SUMIFS(financeiro[valor],financeiro[IdAgente],B49,financeiro[idDet1],22,financeiro[idDet2],60,financeiro[idDet3],527)</f>
        <v>0</v>
      </c>
      <c r="BK49" s="267">
        <f>SUMIFS(financeiro[valor],financeiro[IdAgente],B49,financeiro[idDet1],22,financeiro[idDet2],60,financeiro[idDet3],510)</f>
        <v>0</v>
      </c>
      <c r="BL49" s="267">
        <f>SUMIFS(financeiro[valor],financeiro[IdAgente],B49,financeiro[idDet1],22,financeiro[idDet2],60,financeiro[idDet3],526,
financeiro[id_grupo_tarifa],1,financeiro[id_detalhe_grupo_tarifa],3,financeiro[id_tipo_tarifa],9,financeiro[id_subgrupo],3)</f>
        <v>0</v>
      </c>
      <c r="BM49" s="267">
        <f>SUMIFS(financeiro[valor],financeiro[IdAgente],B49,financeiro[idDet1],22,financeiro[idDet2],60,financeiro[idDet3],999,
financeiro[id_grupo_tarifa],3,financeiro[id_detalhe_grupo_tarifa],17,financeiro[id_tipo_tarifa],9)</f>
        <v>0</v>
      </c>
      <c r="BN49" s="267">
        <f>SUMIFS(financeiro[valor],financeiro[IdAgente],B49,financeiro[idDet1],22,financeiro[idDet2],60,financeiro[idDet3],526,financeiro[id_grupo_tarifa],1,financeiro[id_detalhe_grupo_tarifa],7,financeiro[id_tipo_tarifa],9,financeiro[valor],"&lt;0")+SUMIFS(financeiro[valor],financeiro[IdAgente],B49,financeiro[idDet1],22,financeiro[idDet2],60,financeiro[idDet3],526,financeiro[id_grupo_tarifa],2,financeiro[id_detalhe_grupo_tarifa],11,financeiro[id_tipo_tarifa],9,financeiro[valor],"&lt;0")+SUMIFS(financeiro[valor],financeiro[IdAgente],B49,financeiro[idDet1],22,financeiro[idDet2],60,financeiro[idDet3],526,financeiro[id_grupo_tarifa],2,financeiro[id_detalhe_grupo_tarifa],8,financeiro[id_tipo_tarifa],9,financeiro[valor],"&lt;0")</f>
        <v>0</v>
      </c>
      <c r="BO49" s="267">
        <f>SUMIFS(financeiro[valor],financeiro[IdAgente],B49,financeiro[idDet1],22,financeiro[idDet2],60,financeiro[idDet3],999,financeiro[id_grupo_tarifa],4,financeiro[id_detalhe_grupo_tarifa],999,financeiro[id_tipo_tarifa],9,financeiro[valor],"&lt;0")</f>
        <v>0</v>
      </c>
      <c r="BP49" s="267">
        <f>SUMIFS(financeiro[valor],financeiro[IdAgente],B49,financeiro[idDet1],22,financeiro[idDet2],60,financeiro[idDet3],530,financeiro[valor],"&lt;0")</f>
        <v>0</v>
      </c>
      <c r="BQ49" s="267">
        <f>SUMIFS(financeiro[valor],financeiro[IdAgente],B49,financeiro[idDet1],22,financeiro[idDet2],60,financeiro[idDet3],531,financeiro[valor],"&lt;0")</f>
        <v>0</v>
      </c>
      <c r="BR49" s="267">
        <f>SUMIFS(financeiro[valor],financeiro[IdAgente],B49,financeiro[idDet1],22,financeiro[idDet2],62,financeiro[idDet3],532,financeiro[valor],"&lt;0")</f>
        <v>0</v>
      </c>
      <c r="BS49" s="267">
        <f>SUMIFS(financeiro[valor],financeiro[IdAgente],B49,financeiro[idDet1],22,financeiro[idDet2],62,financeiro[idDet3],533,financeiro[valor],"&lt;0")</f>
        <v>0</v>
      </c>
      <c r="BT49" s="267">
        <f>SUMIFS(financeiro[valor],financeiro[IdAgente],B49,financeiro[idDet1],22,financeiro[idDet2],62,financeiro[idDet3],534,financeiro[valor],"&lt;0")</f>
        <v>0</v>
      </c>
      <c r="BW49" s="210" t="s">
        <v>227</v>
      </c>
      <c r="BX49" t="str">
        <f>Efeito!B50</f>
        <v>NO SELECT</v>
      </c>
      <c r="BY49" s="267">
        <f>SUMIFS(Banco[valor],Banco[IdAgente],BX49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49" s="267">
        <f>SUMIFS(Banco[valor],Banco[IdAgente],BX49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49" s="267">
        <f>SUMIFS(Banco[valor],Banco[IdAgente],BX49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49" s="267">
        <f>SUMIFS(Banco[valor],Banco[IdAgente],BX49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49" s="267">
        <f>SUMIFS(Banco[valor],Banco[IdAgente],BX49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49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49" s="267">
        <f>SUMIFS(Banco[valor],Banco[IdAgente],BX49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49" s="267">
        <f>SUMIFS(Banco[valor],Banco[IdAgente],BX49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49" s="267">
        <f>SUMIFS(Banco[valor],Banco[IdAgente],BX49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49" s="267">
        <f>SUMIFS(Banco[valor],Banco[IdAgente],BX49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49" s="267">
        <f>SUMIFS(Banco[valor],Banco[IdAgente],BX49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49" s="267">
        <f>SUMIFS(Banco[valor],Banco[IdAgente],BX49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49" s="267">
        <f>SUMIFS(Banco[valor],Banco[IdAgente],BX49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49" s="267">
        <f>SUMIFS(Banco[valor],Banco[IdAgente],B49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49" s="267">
        <f>SUMIFS(Banco[valor],Banco[IdAgente],B49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49" s="267">
        <f>SUMIFS(Banco[valor],Banco[IdAgente],B49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50" spans="1:91">
      <c r="A50" t="s">
        <v>229</v>
      </c>
      <c r="B50" t="str">
        <f>Efeito!B51</f>
        <v>NO SELECT</v>
      </c>
      <c r="C50" s="267">
        <f>SUMIFS(Banco[valor],Banco[IdAgente],B50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50" s="267">
        <f>SUMIFS(Banco[valor],Banco[IdAgente],B50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50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50" s="267">
        <f>SUMIFS(Banco[valor],Banco[IdAgente],B50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50" s="267">
        <f>SUMIFS(Banco[valor],Banco[IdAgente],B50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50" s="267">
        <f>SUMIFS(Banco[valor],Banco[IdAgente],B50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50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50" s="267">
        <f>SUMIFS(Banco[valor],Banco[IdAgente],B50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50" s="267">
        <f>SUMIFS(Banco[valor],Banco[IdAgente],B50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50" s="267">
        <f>SUMIFS(Banco[valor],Banco[IdAgente],B50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50" s="267">
        <f>SUMIFS(Banco[valor],Banco[IdAgente],B50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50" s="267">
        <f>SUMIFS(Banco[valor],Banco[IdAgente],B50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50" s="267">
        <f>SUMIFS(Banco[valor],Banco[IdAgente],B50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50" s="267">
        <f>SUMIFS(Banco[valor],Banco[IdAgente],B50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50" s="267">
        <f>SUMIFS(Banco[valor],Banco[IdAgente],B50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50" s="267">
        <f t="shared" si="3"/>
        <v>0</v>
      </c>
      <c r="Q50" s="267">
        <f>SUMIFS(Banco[valor],Banco[IdAgente],B50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50" s="267">
        <f>SUMIFS(Banco[valor],Banco[IdAgente],B50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50" s="4"/>
      <c r="T50" s="4"/>
      <c r="U50" s="4"/>
      <c r="V50" s="267">
        <f>SUMIFS(financeiro[valor],financeiro[IdAgente],B50,financeiro[idDet1],22,financeiro[idDet2],60,financeiro[idDet3],526,financeiro[id_grupo_tarifa],1,financeiro[id_detalhe_grupo_tarifa],7,financeiro[id_tipo_tarifa],9,financeiro[id_subgrupo],99,financeiro[valor],"&gt;0")+SUMIFS(financeiro[valor],financeiro[IdAgente],B50,financeiro[idDet1],22,financeiro[idDet2],60,financeiro[idDet3],526,financeiro[id_grupo_tarifa],2,financeiro[id_detalhe_grupo_tarifa],11,financeiro[id_tipo_tarifa],9,financeiro[valor],"&gt;0")+SUMIFS(financeiro[valor],financeiro[IdAgente],B50,financeiro[idDet1],22,financeiro[idDet2],60,financeiro[idDet3],526,financeiro[id_grupo_tarifa],2,financeiro[id_detalhe_grupo_tarifa],9,financeiro[id_tipo_tarifa],9,financeiro[valor],"&gt;0")+SUMIFS(financeiro[valor],financeiro[IdAgente],B50,financeiro[idDet1],22,financeiro[idDet2],60,financeiro[idDet3],526,financeiro[id_grupo_tarifa],2,financeiro[id_detalhe_grupo_tarifa],8,financeiro[id_tipo_tarifa],9,financeiro[valor],"&gt;0")+SUMIFS(financeiro[valor],financeiro[IdAgente],B50,financeiro[idDet1],22,financeiro[idDet2],60,financeiro[idDet3],526,financeiro[id_grupo_tarifa],2,financeiro[id_detalhe_grupo_tarifa],10,financeiro[id_tipo_tarifa],9,financeiro[valor],"&gt;0")+SUMIFS(financeiro[valor],financeiro[IdAgente],B50,financeiro[idDet1],22,financeiro[idDet2],60,financeiro[idDet3],526,financeiro[id_grupo_tarifa],2,financeiro[id_detalhe_grupo_tarifa],24,financeiro[id_tipo_tarifa],9,financeiro[valor],"&gt;0")</f>
        <v>0</v>
      </c>
      <c r="W50" s="267">
        <f>SUMIFS(financeiro[valor],financeiro[IdAgente],B50,financeiro[idDet1],20,financeiro[idDet2],60,financeiro[idDet3],999,financeiro[id_grupo_tarifa],3,financeiro[id_detalhe_grupo_tarifa],14,financeiro[id_tipo_tarifa],9)+SUMIFS(financeiro[valor],financeiro[IdAgente],B50,financeiro[idDet1],20,financeiro[idDet2],60,financeiro[idDet3],999,financeiro[id_grupo_tarifa],3,financeiro[id_detalhe_grupo_tarifa],15,financeiro[id_tipo_tarifa],9)+SUMIFS(financeiro[valor],financeiro[IdAgente],B50,financeiro[idDet1],20,financeiro[idDet2],60,financeiro[idDet3],999,financeiro[id_grupo_tarifa],3,financeiro[id_detalhe_grupo_tarifa],16,financeiro[id_tipo_tarifa],9)+SUMIFS(financeiro[valor],financeiro[IdAgente],B50,financeiro[idDet1],20,financeiro[idDet2],60,financeiro[idDet3],999,financeiro[id_grupo_tarifa],3,financeiro[id_detalhe_grupo_tarifa],17,financeiro[id_tipo_tarifa],9)+SUMIFS(financeiro[valor],financeiro[IdAgente],B50,financeiro[idDet1],20,financeiro[idDet2],60,financeiro[idDet3],999,financeiro[id_grupo_tarifa],3,financeiro[id_detalhe_grupo_tarifa],18,financeiro[id_tipo_tarifa],9)+SUMIFS(financeiro[valor],financeiro[IdAgente],B50,financeiro[idDet1],20,financeiro[idDet2],60,financeiro[idDet3],999,financeiro[id_grupo_tarifa],3,financeiro[id_detalhe_grupo_tarifa],19,financeiro[id_tipo_tarifa],9)</f>
        <v>0</v>
      </c>
      <c r="X50" s="267">
        <f>SUMIFS(financeiro[valor],financeiro[IdAgente],B50,financeiro[idDet1],20,financeiro[idDet2],60,financeiro[idDet3],999,financeiro[id_grupo_tarifa],3,financeiro[id_detalhe_grupo_tarifa],12,financeiro[id_tipo_tarifa],9)+SUMIFS(financeiro[valor],financeiro[IdAgente],B50,financeiro[idDet1],20,financeiro[idDet2],60,financeiro[idDet3],999,financeiro[id_grupo_tarifa],4,financeiro[id_detalhe_grupo_tarifa],999,financeiro[id_tipo_tarifa],9)</f>
        <v>0</v>
      </c>
      <c r="Y50" s="267">
        <f>SUMIFS(financeiro[valor],financeiro[IdAgente],B50,financeiro[idDet1],20,financeiro[idDet2],60,financeiro[idDet3],179,financeiro[id_grupo_tarifa],99,financeiro[id_detalhe_grupo_tarifa],999,financeiro[id_tipo_tarifa],9)</f>
        <v>0</v>
      </c>
      <c r="Z50" s="267">
        <f>SUMIFS(financeiro[valor],financeiro[IdAgente],B50,financeiro[idDet1],20,financeiro[idDet2],60,financeiro[idDet3],999,financeiro[id_grupo_tarifa],2,financeiro[id_detalhe_grupo_tarifa],11,financeiro[id_tipo_tarifa],9,financeiro[valor],"&gt;0")+SUMIFS(financeiro[valor],financeiro[IdAgente],B50,financeiro[idDet1],20,financeiro[idDet2],60,financeiro[idDet3],999,financeiro[id_grupo_tarifa],2,financeiro[id_detalhe_grupo_tarifa],9,financeiro[id_tipo_tarifa],9,financeiro[valor],"&gt;0")+SUMIFS(financeiro[valor],financeiro[IdAgente],B50,financeiro[idDet1],20,financeiro[idDet2],60,financeiro[idDet3],999,financeiro[id_grupo_tarifa],2,financeiro[id_detalhe_grupo_tarifa],8,financeiro[id_tipo_tarifa],9,financeiro[valor],"&gt;0")+SUMIFS(financeiro[valor],financeiro[IdAgente],B50,financeiro[idDet1],20,financeiro[idDet2],60,financeiro[idDet3],999,financeiro[id_grupo_tarifa],2,financeiro[id_detalhe_grupo_tarifa],10,financeiro[id_tipo_tarifa],9,financeiro[valor],"&gt;0")+SUMIFS(financeiro[valor],financeiro[IdAgente],B50,financeiro[idDet1],20,financeiro[idDet2],60,financeiro[idDet3],999,financeiro[id_grupo_tarifa],2,financeiro[id_detalhe_grupo_tarifa],24,financeiro[id_tipo_tarifa],9,financeiro[valor],"&gt;0")+SUMIFS(financeiro[valor],financeiro[IdAgente],B50,financeiro[idDet1],20,financeiro[idDet2],60,financeiro[idDet3],999,financeiro[id_grupo_tarifa],2,financeiro[id_detalhe_grupo_tarifa],17,financeiro[id_tipo_tarifa],9,financeiro[valor],"&gt;0")+SUMIFS(financeiro[valor],financeiro[IdAgente],B50,financeiro[idDet1],999,financeiro[idDet2],999999,financeiro[idDet3],999,financeiro[id_grupo_tarifa],99,financeiro[id_detalhe_grupo_tarifa],999,financeiro[id_tipo_tarifa],9,financeiro[valor],"&gt;0")</f>
        <v>0</v>
      </c>
      <c r="AA50" s="267">
        <f>SUMIFS(financeiro[valor],financeiro[IdAgente],B50,financeiro[idDet1],22,financeiro[idDet2],60,financeiro[idDet3],529,financeiro[id_grupo_tarifa],1,financeiro[id_detalhe_grupo_tarifa],1,financeiro[id_tipo_tarifa],9,financeiro[valor],"&gt;0")+SUMIFS(financeiro[valor],financeiro[IdAgente],B50,financeiro[idDet1],22,financeiro[idDet2],60,financeiro[idDet3],529,financeiro[id_grupo_tarifa],1,financeiro[id_detalhe_grupo_tarifa],2,financeiro[id_tipo_tarifa],9,financeiro[valor],"&gt;0")</f>
        <v>0</v>
      </c>
      <c r="AB50" s="269"/>
      <c r="AC50" s="267">
        <f>SUMIFS(financeiro[valor],financeiro[IdAgente],B50,financeiro[idDet1],22,financeiro[idDet2],60,financeiro[idDet3],999,financeiro[id_grupo_tarifa],2,financeiro[id_detalhe_grupo_tarifa],30,financeiro[id_tipo_tarifa],9,financeiro[valor],"&gt;0")</f>
        <v>0</v>
      </c>
      <c r="AD50" s="267">
        <f>SUMIFS(financeiro[valor],financeiro[IdAgente],B50,financeiro[idDet1],22,financeiro[idDet2],60,financeiro[idDet3],178,financeiro[id_grupo_tarifa],1,financeiro[id_detalhe_grupo_tarifa],7,financeiro[id_tipo_tarifa],9)</f>
        <v>0</v>
      </c>
      <c r="AE50" s="267">
        <f>SUMIFS(financeiro[valor],financeiro[IdAgente],B50,financeiro[idDet1],22,financeiro[idDet2],60,financeiro[idDet3],242,financeiro[id_grupo_tarifa],4,financeiro[id_detalhe_grupo_tarifa],999,financeiro[id_tipo_tarifa],9)</f>
        <v>0</v>
      </c>
      <c r="AF50" s="267">
        <f>SUMIFS(financeiro[valor],financeiro[IdAgente],B50,financeiro[idDet1],22,financeiro[idDet2],60,financeiro[idDet3],525,financeiro[id_grupo_tarifa],2,financeiro[id_tipo_tarifa],9)</f>
        <v>0</v>
      </c>
      <c r="AG50" s="267">
        <f>SUMIFS(financeiro[valor],financeiro[IdAgente],B50,financeiro[idDet1],22,financeiro[idDet2],60,financeiro[idDet3],524)</f>
        <v>0</v>
      </c>
      <c r="AH50" s="269"/>
      <c r="AI50" s="267">
        <f>SUMIFS(financeiro[valor],financeiro[IdAgente],B50,financeiro[idDet1],22,financeiro[idDet2],60,financeiro[idDet3],523,financeiro[id_grupo_tarifa],2,financeiro[id_detalhe_grupo_tarifa],30,financeiro[id_tipo_tarifa],9)</f>
        <v>0</v>
      </c>
      <c r="AJ50" s="267">
        <f>SUMIFS(financeiro[valor],financeiro[IdAgente],B50,financeiro[idDet1],22,financeiro[idDet2],60,financeiro[idDet3],503,financeiro[id_grupo_tarifa],99,financeiro[id_detalhe_grupo_tarifa],999,financeiro[id_tipo_tarifa],3)</f>
        <v>0</v>
      </c>
      <c r="AK50" s="269"/>
      <c r="AL50" s="269"/>
      <c r="AM50" s="269"/>
      <c r="AN50" s="269"/>
      <c r="AO50" s="269"/>
      <c r="AP50" s="269"/>
      <c r="AQ50" s="269"/>
      <c r="AR50" s="269"/>
      <c r="AS50" s="269"/>
      <c r="AT50" s="267">
        <f>SUMIFS(financeiro[valor],financeiro[IdAgente],B50,financeiro[idDet1],22,financeiro[idDet2],60,financeiro[idDet3],235,financeiro[id_grupo_tarifa],4,financeiro[id_detalhe_grupo_tarifa],999,financeiro[id_tipo_tarifa],9)</f>
        <v>0</v>
      </c>
      <c r="AU50" s="267">
        <f>SUMIFS(financeiro[valor],financeiro[IdAgente],B50,financeiro[idDet1],22,financeiro[idDet2],60,financeiro[idDet3],512,financeiro[id_grupo_tarifa],3,financeiro[id_detalhe_grupo_tarifa],28,financeiro[id_tipo_tarifa],9)</f>
        <v>0</v>
      </c>
      <c r="AV50" s="267">
        <f>SUMIFS(financeiro[valor],financeiro[IdAgente],B50,financeiro[idDet1],22,financeiro[idDet2],60,financeiro[idDet3],241,financeiro[id_grupo_tarifa],2,financeiro[id_detalhe_grupo_tarifa],11,financeiro[id_tipo_tarifa],9)+SUMIFS(financeiro[valor],financeiro[IdAgente],B50,financeiro[idDet1],22,financeiro[idDet2],60,financeiro[idDet3],241,financeiro[id_grupo_tarifa],2,financeiro[id_detalhe_grupo_tarifa],9,financeiro[id_tipo_tarifa],9)+SUMIFS(financeiro[valor],financeiro[IdAgente],B50,financeiro[idDet1],22,financeiro[idDet2],60,financeiro[idDet3],241,financeiro[id_grupo_tarifa],2,financeiro[id_detalhe_grupo_tarifa],8,financeiro[id_tipo_tarifa],9)+SUMIFS(financeiro[valor],financeiro[IdAgente],B50,financeiro[idDet1],22,financeiro[idDet2],60,financeiro[idDet3],241,financeiro[id_grupo_tarifa],2,financeiro[id_detalhe_grupo_tarifa],10,financeiro[id_tipo_tarifa],9)+SUMIFS(financeiro[valor],financeiro[IdAgente],B50,financeiro[idDet1],22,financeiro[idDet2],60,financeiro[idDet3],241,financeiro[id_grupo_tarifa],2,financeiro[id_detalhe_grupo_tarifa],24,financeiro[id_tipo_tarifa],9)</f>
        <v>0</v>
      </c>
      <c r="AW50" s="267">
        <f>SUMIFS(financeiro[valor],financeiro[IdAgente],B50,financeiro[idDet1],22,financeiro[idDet2],60,financeiro[idDet3],241,financeiro[id_grupo_tarifa],3,financeiro[id_detalhe_grupo_tarifa],17,financeiro[id_tipo_tarifa],9)</f>
        <v>0</v>
      </c>
      <c r="AX50" s="267">
        <f>SUMIFS(financeiro[valor],financeiro[IdAgente],B50,financeiro[idDet1],22,financeiro[idDet2],60,financeiro[idDet3],240,financeiro[id_grupo_tarifa],2,financeiro[id_detalhe_grupo_tarifa],11,financeiro[id_tipo_tarifa],9)+SUMIFS(financeiro[valor],financeiro[IdAgente],B50,financeiro[idDet1],22,financeiro[idDet2],60,financeiro[idDet3],240,financeiro[id_grupo_tarifa],2,financeiro[id_detalhe_grupo_tarifa],9,financeiro[id_tipo_tarifa],9)+SUMIFS(financeiro[valor],financeiro[IdAgente],B50,financeiro[idDet1],22,financeiro[idDet2],60,financeiro[idDet3],240,financeiro[id_grupo_tarifa],2,financeiro[id_detalhe_grupo_tarifa],8,financeiro[id_tipo_tarifa],9)+SUMIFS(financeiro[valor],financeiro[IdAgente],B50,financeiro[idDet1],22,financeiro[idDet2],60,financeiro[idDet3],240,financeiro[id_grupo_tarifa],2,financeiro[id_detalhe_grupo_tarifa],10,financeiro[id_tipo_tarifa],9)+SUMIFS(financeiro[valor],financeiro[IdAgente],B50,financeiro[idDet1],22,financeiro[idDet2],60,financeiro[idDet3],240,financeiro[id_grupo_tarifa],2,financeiro[id_detalhe_grupo_tarifa],24,financeiro[id_tipo_tarifa],9)</f>
        <v>0</v>
      </c>
      <c r="AY50" s="267">
        <f>SUMIFS(financeiro[valor],financeiro[IdAgente],B50,financeiro[idDet1],22,financeiro[idDet2],60,financeiro[idDet3],106,financeiro[id_grupo_tarifa],2,financeiro[id_detalhe_grupo_tarifa],11,financeiro[id_tipo_tarifa],9)+SUMIFS(financeiro[valor],financeiro[IdAgente],B50,financeiro[idDet1],22,financeiro[idDet2],60,financeiro[idDet3],106,financeiro[id_grupo_tarifa],2,financeiro[id_detalhe_grupo_tarifa],9,financeiro[id_tipo_tarifa],9)+SUMIFS(financeiro[valor],financeiro[IdAgente],B50,financeiro[idDet1],22,financeiro[idDet2],60,financeiro[idDet3],106,financeiro[id_grupo_tarifa],2,financeiro[id_detalhe_grupo_tarifa],8,financeiro[id_tipo_tarifa],9)+SUMIFS(financeiro[valor],financeiro[IdAgente],B50,financeiro[idDet1],22,financeiro[idDet2],60,financeiro[idDet3],106,financeiro[id_grupo_tarifa],2,financeiro[id_detalhe_grupo_tarifa],10,financeiro[id_tipo_tarifa],9)+SUMIFS(financeiro[valor],financeiro[IdAgente],B50,financeiro[idDet1],22,financeiro[idDet2],60,financeiro[idDet3],106,financeiro[id_grupo_tarifa],2,financeiro[id_detalhe_grupo_tarifa],24,financeiro[id_tipo_tarifa],9)</f>
        <v>0</v>
      </c>
      <c r="AZ50" s="267">
        <f>SUMIFS(financeiro[valor],financeiro[IdAgente],B50,financeiro[idDet1],22,financeiro[idDet2],62,financeiro[idDet3],220,financeiro[id_grupo_tarifa],2,financeiro[id_detalhe_grupo_tarifa],11,financeiro[id_tipo_tarifa],9)+SUMIFS(financeiro[valor],financeiro[IdAgente],B50,financeiro[idDet1],22,financeiro[idDet2],62,financeiro[idDet3],220,financeiro[id_grupo_tarifa],2,financeiro[id_detalhe_grupo_tarifa],9,financeiro[id_tipo_tarifa],9)+SUMIFS(financeiro[valor],financeiro[IdAgente],B50,financeiro[idDet1],22,financeiro[idDet2],62,financeiro[idDet3],220,financeiro[id_grupo_tarifa],2,financeiro[id_detalhe_grupo_tarifa],8,financeiro[id_tipo_tarifa],9)+SUMIFS(financeiro[valor],financeiro[IdAgente],B50,financeiro[idDet1],22,financeiro[idDet2],62,financeiro[idDet3],220,financeiro[id_grupo_tarifa],2,financeiro[id_detalhe_grupo_tarifa],10,financeiro[id_tipo_tarifa],9)+SUMIFS(financeiro[valor],financeiro[IdAgente],B50,financeiro[idDet1],22,financeiro[idDet2],62,financeiro[idDet3],220,financeiro[id_grupo_tarifa],2,financeiro[id_detalhe_grupo_tarifa],24,financeiro[id_tipo_tarifa],9)</f>
        <v>0</v>
      </c>
      <c r="BA50" s="267">
        <f>SUMIFS(financeiro[valor],financeiro[IdAgente],B50,financeiro[idDet1],22,financeiro[idDet2],60,financeiro[idDet3],220,financeiro[id_grupo_tarifa],2,financeiro[id_detalhe_grupo_tarifa],11,financeiro[id_tipo_tarifa],9)+SUMIFS(financeiro[valor],financeiro[IdAgente],B50,financeiro[idDet1],22,financeiro[idDet2],60,financeiro[idDet3],220,financeiro[id_grupo_tarifa],2,financeiro[id_detalhe_grupo_tarifa],9,financeiro[id_tipo_tarifa],9)+SUMIFS(financeiro[valor],financeiro[IdAgente],B50,financeiro[idDet1],22,financeiro[idDet2],60,financeiro[idDet3],220,financeiro[id_grupo_tarifa],2,financeiro[id_detalhe_grupo_tarifa],8,financeiro[id_tipo_tarifa],9)+SUMIFS(financeiro[valor],financeiro[IdAgente],B50,financeiro[idDet1],22,financeiro[idDet2],60,financeiro[idDet3],220,financeiro[id_grupo_tarifa],2,financeiro[id_detalhe_grupo_tarifa],10,financeiro[id_tipo_tarifa],9)+SUMIFS(financeiro[valor],financeiro[IdAgente],B50,financeiro[idDet1],22,financeiro[idDet2],60,financeiro[idDet3],220,financeiro[id_grupo_tarifa],2,financeiro[id_detalhe_grupo_tarifa],24,financeiro[id_tipo_tarifa],9)</f>
        <v>0</v>
      </c>
      <c r="BB50" s="267">
        <f>SUMIFS(financeiro[valor],financeiro[IdAgente],B50,financeiro[idDet1],22,financeiro[idDet2],60,financeiro[idDet3],102,financeiro[id_grupo_tarifa],2,financeiro[id_detalhe_grupo_tarifa],11,financeiro[id_tipo_tarifa],9)+SUMIFS(financeiro[valor],financeiro[IdAgente],B50,financeiro[idDet1],22,financeiro[idDet2],60,financeiro[idDet3],102,financeiro[id_grupo_tarifa],2,financeiro[id_detalhe_grupo_tarifa],9,financeiro[id_tipo_tarifa],9)+SUMIFS(financeiro[valor],financeiro[IdAgente],B50,financeiro[idDet1],22,financeiro[idDet2],60,financeiro[idDet3],102,financeiro[id_grupo_tarifa],2,financeiro[id_detalhe_grupo_tarifa],8,financeiro[id_tipo_tarifa],9)+SUMIFS(financeiro[valor],financeiro[IdAgente],B50,financeiro[idDet1],22,financeiro[idDet2],60,financeiro[idDet3],102,financeiro[id_grupo_tarifa],2,financeiro[id_detalhe_grupo_tarifa],10,financeiro[id_tipo_tarifa],9)+SUMIFS(financeiro[valor],financeiro[IdAgente],B50,financeiro[idDet1],22,financeiro[idDet2],60,financeiro[idDet3],102,financeiro[id_grupo_tarifa],2,financeiro[id_detalhe_grupo_tarifa],24,financeiro[id_tipo_tarifa],9)</f>
        <v>0</v>
      </c>
      <c r="BC50" s="267">
        <f>SUMIFS(financeiro[valor],financeiro[IdAgente],B50,financeiro[idDet1],22,financeiro[idDet2],60,financeiro[idDet3],522,financeiro[valor],"&lt;0")</f>
        <v>0</v>
      </c>
      <c r="BD50" s="267">
        <f>SUMIFS(financeiro[valor],financeiro[IdAgente],B50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50" s="267">
        <f>SUMIFS(financeiro[valor],financeiro[IdAgente],B50,financeiro[id_natureza_dado],2,financeiro[id_detalhe_natureza],2,financeiro[idDet1],20,financeiro[idDet2],60,financeiro[idDet3],82,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50" s="267">
        <f>SUMIFS(financeiro[valor],financeiro[IdAgente],B50,financeiro[id_natureza_dado],2,financeiro[id_detalhe_natureza],2,financeiro[idDet1],20,financeiro[idDet2],60,financeiro[idDet3],81,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50" s="267">
        <f>SUMIFS(financeiro[valor],financeiro[IdAgente],B50,financeiro[id_natureza_dado],2,financeiro[id_detalhe_natureza],2,financeiro[idDet1],20,financeiro[idDet2],60,financeiro[idDet3],503,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50" s="267">
        <f>SUMIFS(financeiro[valor],financeiro[IdAgente],B50,financeiro[idDet1],22,financeiro[idDet2],60,financeiro[idDet3],123)</f>
        <v>0</v>
      </c>
      <c r="BI50" s="267">
        <f>SUMIFS(financeiro[valor],financeiro[IdAgente],B50,financeiro[idDet1],20,financeiro[idDet2],60,financeiro[idDet3],73)</f>
        <v>0</v>
      </c>
      <c r="BJ50" s="267">
        <f>SUMIFS(financeiro[valor],financeiro[IdAgente],B50,financeiro[idDet1],22,financeiro[idDet2],60,financeiro[idDet3],527)</f>
        <v>0</v>
      </c>
      <c r="BK50" s="267">
        <f>SUMIFS(financeiro[valor],financeiro[IdAgente],B50,financeiro[idDet1],22,financeiro[idDet2],60,financeiro[idDet3],510)</f>
        <v>0</v>
      </c>
      <c r="BL50" s="267">
        <f>SUMIFS(financeiro[valor],financeiro[IdAgente],B50,financeiro[idDet1],22,financeiro[idDet2],60,financeiro[idDet3],526,
financeiro[id_grupo_tarifa],1,financeiro[id_detalhe_grupo_tarifa],3,financeiro[id_tipo_tarifa],9,financeiro[id_subgrupo],3)</f>
        <v>0</v>
      </c>
      <c r="BM50" s="267">
        <f>SUMIFS(financeiro[valor],financeiro[IdAgente],B50,financeiro[idDet1],22,financeiro[idDet2],60,financeiro[idDet3],999,
financeiro[id_grupo_tarifa],3,financeiro[id_detalhe_grupo_tarifa],17,financeiro[id_tipo_tarifa],9)</f>
        <v>0</v>
      </c>
      <c r="BN50" s="267">
        <f>SUMIFS(financeiro[valor],financeiro[IdAgente],B50,financeiro[idDet1],22,financeiro[idDet2],60,financeiro[idDet3],526,financeiro[id_grupo_tarifa],1,financeiro[id_detalhe_grupo_tarifa],7,financeiro[id_tipo_tarifa],9,financeiro[valor],"&lt;0")+SUMIFS(financeiro[valor],financeiro[IdAgente],B50,financeiro[idDet1],22,financeiro[idDet2],60,financeiro[idDet3],526,financeiro[id_grupo_tarifa],2,financeiro[id_detalhe_grupo_tarifa],11,financeiro[id_tipo_tarifa],9,financeiro[valor],"&lt;0")+SUMIFS(financeiro[valor],financeiro[IdAgente],B50,financeiro[idDet1],22,financeiro[idDet2],60,financeiro[idDet3],526,financeiro[id_grupo_tarifa],2,financeiro[id_detalhe_grupo_tarifa],8,financeiro[id_tipo_tarifa],9,financeiro[valor],"&lt;0")</f>
        <v>0</v>
      </c>
      <c r="BO50" s="267">
        <f>SUMIFS(financeiro[valor],financeiro[IdAgente],B50,financeiro[idDet1],22,financeiro[idDet2],60,financeiro[idDet3],999,financeiro[id_grupo_tarifa],4,financeiro[id_detalhe_grupo_tarifa],999,financeiro[id_tipo_tarifa],9,financeiro[valor],"&lt;0")</f>
        <v>0</v>
      </c>
      <c r="BP50" s="267">
        <f>SUMIFS(financeiro[valor],financeiro[IdAgente],B50,financeiro[idDet1],22,financeiro[idDet2],60,financeiro[idDet3],530,financeiro[valor],"&lt;0")</f>
        <v>0</v>
      </c>
      <c r="BQ50" s="267">
        <f>SUMIFS(financeiro[valor],financeiro[IdAgente],B50,financeiro[idDet1],22,financeiro[idDet2],60,financeiro[idDet3],531,financeiro[valor],"&lt;0")</f>
        <v>0</v>
      </c>
      <c r="BR50" s="267">
        <f>SUMIFS(financeiro[valor],financeiro[IdAgente],B50,financeiro[idDet1],22,financeiro[idDet2],62,financeiro[idDet3],532,financeiro[valor],"&lt;0")</f>
        <v>0</v>
      </c>
      <c r="BS50" s="267">
        <f>SUMIFS(financeiro[valor],financeiro[IdAgente],B50,financeiro[idDet1],22,financeiro[idDet2],62,financeiro[idDet3],533,financeiro[valor],"&lt;0")</f>
        <v>0</v>
      </c>
      <c r="BT50" s="267">
        <f>SUMIFS(financeiro[valor],financeiro[IdAgente],B50,financeiro[idDet1],22,financeiro[idDet2],62,financeiro[idDet3],534,financeiro[valor],"&lt;0")</f>
        <v>0</v>
      </c>
      <c r="BW50" s="210" t="s">
        <v>229</v>
      </c>
      <c r="BX50" t="str">
        <f>Efeito!B51</f>
        <v>NO SELECT</v>
      </c>
      <c r="BY50" s="267">
        <f>SUMIFS(Banco[valor],Banco[IdAgente],BX50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50" s="267">
        <f>SUMIFS(Banco[valor],Banco[IdAgente],BX50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50" s="267">
        <f>SUMIFS(Banco[valor],Banco[IdAgente],BX50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50" s="267">
        <f>SUMIFS(Banco[valor],Banco[IdAgente],BX50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50" s="267">
        <f>SUMIFS(Banco[valor],Banco[IdAgente],BX50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50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50" s="267">
        <f>SUMIFS(Banco[valor],Banco[IdAgente],BX50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50" s="267">
        <f>SUMIFS(Banco[valor],Banco[IdAgente],BX50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50" s="267">
        <f>SUMIFS(Banco[valor],Banco[IdAgente],BX50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50" s="267">
        <f>SUMIFS(Banco[valor],Banco[IdAgente],BX50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50" s="267">
        <f>SUMIFS(Banco[valor],Banco[IdAgente],BX50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50" s="267">
        <f>SUMIFS(Banco[valor],Banco[IdAgente],BX50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50" s="267">
        <f>SUMIFS(Banco[valor],Banco[IdAgente],BX50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50" s="267">
        <f>SUMIFS(Banco[valor],Banco[IdAgente],B50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50" s="267">
        <f>SUMIFS(Banco[valor],Banco[IdAgente],B50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50" s="267">
        <f>SUMIFS(Banco[valor],Banco[IdAgente],B50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51" spans="1:91">
      <c r="A51" t="s">
        <v>231</v>
      </c>
      <c r="B51" t="str">
        <f>Efeito!B52</f>
        <v>NO SELECT</v>
      </c>
      <c r="C51" s="267">
        <f>SUMIFS(Banco[valor],Banco[IdAgente],B51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51" s="267">
        <f>SUMIFS(Banco[valor],Banco[IdAgente],B51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51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51" s="267">
        <f>SUMIFS(Banco[valor],Banco[IdAgente],B51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51" s="267">
        <f>SUMIFS(Banco[valor],Banco[IdAgente],B51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51" s="267">
        <f>SUMIFS(Banco[valor],Banco[IdAgente],B51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51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51" s="267">
        <f>SUMIFS(Banco[valor],Banco[IdAgente],B51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51" s="267">
        <f>SUMIFS(Banco[valor],Banco[IdAgente],B51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51" s="267">
        <f>SUMIFS(Banco[valor],Banco[IdAgente],B51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51" s="267">
        <f>SUMIFS(Banco[valor],Banco[IdAgente],B51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51" s="267">
        <f>SUMIFS(Banco[valor],Banco[IdAgente],B51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51" s="267">
        <f>SUMIFS(Banco[valor],Banco[IdAgente],B51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51" s="267">
        <f>SUMIFS(Banco[valor],Banco[IdAgente],B51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51" s="267">
        <f>SUMIFS(Banco[valor],Banco[IdAgente],B51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51" s="267">
        <f t="shared" si="3"/>
        <v>0</v>
      </c>
      <c r="Q51" s="267">
        <f>SUMIFS(Banco[valor],Banco[IdAgente],B51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51" s="267">
        <f>SUMIFS(Banco[valor],Banco[IdAgente],B51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51" s="4"/>
      <c r="T51" s="4"/>
      <c r="U51" s="4"/>
      <c r="V51" s="267">
        <f>SUMIFS(financeiro[valor],financeiro[IdAgente],B51,financeiro[idDet1],22,financeiro[idDet2],60,financeiro[idDet3],526,financeiro[id_grupo_tarifa],1,financeiro[id_detalhe_grupo_tarifa],7,financeiro[id_tipo_tarifa],9,financeiro[id_subgrupo],99,financeiro[valor],"&gt;0")+SUMIFS(financeiro[valor],financeiro[IdAgente],B51,financeiro[idDet1],22,financeiro[idDet2],60,financeiro[idDet3],526,financeiro[id_grupo_tarifa],2,financeiro[id_detalhe_grupo_tarifa],11,financeiro[id_tipo_tarifa],9,financeiro[valor],"&gt;0")+SUMIFS(financeiro[valor],financeiro[IdAgente],B51,financeiro[idDet1],22,financeiro[idDet2],60,financeiro[idDet3],526,financeiro[id_grupo_tarifa],2,financeiro[id_detalhe_grupo_tarifa],9,financeiro[id_tipo_tarifa],9,financeiro[valor],"&gt;0")+SUMIFS(financeiro[valor],financeiro[IdAgente],B51,financeiro[idDet1],22,financeiro[idDet2],60,financeiro[idDet3],526,financeiro[id_grupo_tarifa],2,financeiro[id_detalhe_grupo_tarifa],8,financeiro[id_tipo_tarifa],9,financeiro[valor],"&gt;0")+SUMIFS(financeiro[valor],financeiro[IdAgente],B51,financeiro[idDet1],22,financeiro[idDet2],60,financeiro[idDet3],526,financeiro[id_grupo_tarifa],2,financeiro[id_detalhe_grupo_tarifa],10,financeiro[id_tipo_tarifa],9,financeiro[valor],"&gt;0")+SUMIFS(financeiro[valor],financeiro[IdAgente],B51,financeiro[idDet1],22,financeiro[idDet2],60,financeiro[idDet3],526,financeiro[id_grupo_tarifa],2,financeiro[id_detalhe_grupo_tarifa],24,financeiro[id_tipo_tarifa],9,financeiro[valor],"&gt;0")</f>
        <v>0</v>
      </c>
      <c r="W51" s="267">
        <f>SUMIFS(financeiro[valor],financeiro[IdAgente],B51,financeiro[idDet1],20,financeiro[idDet2],60,financeiro[idDet3],999,financeiro[id_grupo_tarifa],3,financeiro[id_detalhe_grupo_tarifa],14,financeiro[id_tipo_tarifa],9)+SUMIFS(financeiro[valor],financeiro[IdAgente],B51,financeiro[idDet1],20,financeiro[idDet2],60,financeiro[idDet3],999,financeiro[id_grupo_tarifa],3,financeiro[id_detalhe_grupo_tarifa],15,financeiro[id_tipo_tarifa],9)+SUMIFS(financeiro[valor],financeiro[IdAgente],B51,financeiro[idDet1],20,financeiro[idDet2],60,financeiro[idDet3],999,financeiro[id_grupo_tarifa],3,financeiro[id_detalhe_grupo_tarifa],16,financeiro[id_tipo_tarifa],9)+SUMIFS(financeiro[valor],financeiro[IdAgente],B51,financeiro[idDet1],20,financeiro[idDet2],60,financeiro[idDet3],999,financeiro[id_grupo_tarifa],3,financeiro[id_detalhe_grupo_tarifa],17,financeiro[id_tipo_tarifa],9)+SUMIFS(financeiro[valor],financeiro[IdAgente],B51,financeiro[idDet1],20,financeiro[idDet2],60,financeiro[idDet3],999,financeiro[id_grupo_tarifa],3,financeiro[id_detalhe_grupo_tarifa],18,financeiro[id_tipo_tarifa],9)+SUMIFS(financeiro[valor],financeiro[IdAgente],B51,financeiro[idDet1],20,financeiro[idDet2],60,financeiro[idDet3],999,financeiro[id_grupo_tarifa],3,financeiro[id_detalhe_grupo_tarifa],19,financeiro[id_tipo_tarifa],9)</f>
        <v>0</v>
      </c>
      <c r="X51" s="267">
        <f>SUMIFS(financeiro[valor],financeiro[IdAgente],B51,financeiro[idDet1],20,financeiro[idDet2],60,financeiro[idDet3],999,financeiro[id_grupo_tarifa],3,financeiro[id_detalhe_grupo_tarifa],12,financeiro[id_tipo_tarifa],9)+SUMIFS(financeiro[valor],financeiro[IdAgente],B51,financeiro[idDet1],20,financeiro[idDet2],60,financeiro[idDet3],999,financeiro[id_grupo_tarifa],4,financeiro[id_detalhe_grupo_tarifa],999,financeiro[id_tipo_tarifa],9)</f>
        <v>0</v>
      </c>
      <c r="Y51" s="267">
        <f>SUMIFS(financeiro[valor],financeiro[IdAgente],B51,financeiro[idDet1],20,financeiro[idDet2],60,financeiro[idDet3],179,financeiro[id_grupo_tarifa],99,financeiro[id_detalhe_grupo_tarifa],999,financeiro[id_tipo_tarifa],9)</f>
        <v>0</v>
      </c>
      <c r="Z51" s="267">
        <f>SUMIFS(financeiro[valor],financeiro[IdAgente],B51,financeiro[idDet1],20,financeiro[idDet2],60,financeiro[idDet3],999,financeiro[id_grupo_tarifa],2,financeiro[id_detalhe_grupo_tarifa],11,financeiro[id_tipo_tarifa],9,financeiro[valor],"&gt;0")+SUMIFS(financeiro[valor],financeiro[IdAgente],B51,financeiro[idDet1],20,financeiro[idDet2],60,financeiro[idDet3],999,financeiro[id_grupo_tarifa],2,financeiro[id_detalhe_grupo_tarifa],9,financeiro[id_tipo_tarifa],9,financeiro[valor],"&gt;0")+SUMIFS(financeiro[valor],financeiro[IdAgente],B51,financeiro[idDet1],20,financeiro[idDet2],60,financeiro[idDet3],999,financeiro[id_grupo_tarifa],2,financeiro[id_detalhe_grupo_tarifa],8,financeiro[id_tipo_tarifa],9,financeiro[valor],"&gt;0")+SUMIFS(financeiro[valor],financeiro[IdAgente],B51,financeiro[idDet1],20,financeiro[idDet2],60,financeiro[idDet3],999,financeiro[id_grupo_tarifa],2,financeiro[id_detalhe_grupo_tarifa],10,financeiro[id_tipo_tarifa],9,financeiro[valor],"&gt;0")+SUMIFS(financeiro[valor],financeiro[IdAgente],B51,financeiro[idDet1],20,financeiro[idDet2],60,financeiro[idDet3],999,financeiro[id_grupo_tarifa],2,financeiro[id_detalhe_grupo_tarifa],24,financeiro[id_tipo_tarifa],9,financeiro[valor],"&gt;0")+SUMIFS(financeiro[valor],financeiro[IdAgente],B51,financeiro[idDet1],20,financeiro[idDet2],60,financeiro[idDet3],999,financeiro[id_grupo_tarifa],2,financeiro[id_detalhe_grupo_tarifa],17,financeiro[id_tipo_tarifa],9,financeiro[valor],"&gt;0")+SUMIFS(financeiro[valor],financeiro[IdAgente],B51,financeiro[idDet1],999,financeiro[idDet2],999999,financeiro[idDet3],999,financeiro[id_grupo_tarifa],99,financeiro[id_detalhe_grupo_tarifa],999,financeiro[id_tipo_tarifa],9,financeiro[valor],"&gt;0")</f>
        <v>0</v>
      </c>
      <c r="AA51" s="267">
        <f>SUMIFS(financeiro[valor],financeiro[IdAgente],B51,financeiro[idDet1],22,financeiro[idDet2],60,financeiro[idDet3],529,financeiro[id_grupo_tarifa],1,financeiro[id_detalhe_grupo_tarifa],1,financeiro[id_tipo_tarifa],9,financeiro[valor],"&gt;0")+SUMIFS(financeiro[valor],financeiro[IdAgente],B51,financeiro[idDet1],22,financeiro[idDet2],60,financeiro[idDet3],529,financeiro[id_grupo_tarifa],1,financeiro[id_detalhe_grupo_tarifa],2,financeiro[id_tipo_tarifa],9,financeiro[valor],"&gt;0")</f>
        <v>0</v>
      </c>
      <c r="AB51" s="269"/>
      <c r="AC51" s="267">
        <f>SUMIFS(financeiro[valor],financeiro[IdAgente],B51,financeiro[idDet1],22,financeiro[idDet2],60,financeiro[idDet3],999,financeiro[id_grupo_tarifa],2,financeiro[id_detalhe_grupo_tarifa],30,financeiro[id_tipo_tarifa],9,financeiro[valor],"&gt;0")</f>
        <v>0</v>
      </c>
      <c r="AD51" s="267">
        <f>SUMIFS(financeiro[valor],financeiro[IdAgente],B51,financeiro[idDet1],22,financeiro[idDet2],60,financeiro[idDet3],178,financeiro[id_grupo_tarifa],1,financeiro[id_detalhe_grupo_tarifa],7,financeiro[id_tipo_tarifa],9)</f>
        <v>0</v>
      </c>
      <c r="AE51" s="267">
        <f>SUMIFS(financeiro[valor],financeiro[IdAgente],B51,financeiro[idDet1],22,financeiro[idDet2],60,financeiro[idDet3],242,financeiro[id_grupo_tarifa],4,financeiro[id_detalhe_grupo_tarifa],999,financeiro[id_tipo_tarifa],9)</f>
        <v>0</v>
      </c>
      <c r="AF51" s="267">
        <f>SUMIFS(financeiro[valor],financeiro[IdAgente],B51,financeiro[idDet1],22,financeiro[idDet2],60,financeiro[idDet3],525,financeiro[id_grupo_tarifa],2,financeiro[id_tipo_tarifa],9)</f>
        <v>0</v>
      </c>
      <c r="AG51" s="267">
        <f>SUMIFS(financeiro[valor],financeiro[IdAgente],B51,financeiro[idDet1],22,financeiro[idDet2],60,financeiro[idDet3],524)</f>
        <v>0</v>
      </c>
      <c r="AH51" s="269"/>
      <c r="AI51" s="267">
        <f>SUMIFS(financeiro[valor],financeiro[IdAgente],B51,financeiro[idDet1],22,financeiro[idDet2],60,financeiro[idDet3],523,financeiro[id_grupo_tarifa],2,financeiro[id_detalhe_grupo_tarifa],30,financeiro[id_tipo_tarifa],9)</f>
        <v>0</v>
      </c>
      <c r="AJ51" s="267">
        <f>SUMIFS(financeiro[valor],financeiro[IdAgente],B51,financeiro[idDet1],22,financeiro[idDet2],60,financeiro[idDet3],503,financeiro[id_grupo_tarifa],99,financeiro[id_detalhe_grupo_tarifa],999,financeiro[id_tipo_tarifa],3)</f>
        <v>0</v>
      </c>
      <c r="AK51" s="269"/>
      <c r="AL51" s="269"/>
      <c r="AM51" s="269"/>
      <c r="AN51" s="269"/>
      <c r="AO51" s="269"/>
      <c r="AP51" s="269"/>
      <c r="AQ51" s="269"/>
      <c r="AR51" s="269"/>
      <c r="AS51" s="269"/>
      <c r="AT51" s="267">
        <f>SUMIFS(financeiro[valor],financeiro[IdAgente],B51,financeiro[idDet1],22,financeiro[idDet2],60,financeiro[idDet3],235,financeiro[id_grupo_tarifa],4,financeiro[id_detalhe_grupo_tarifa],999,financeiro[id_tipo_tarifa],9)</f>
        <v>0</v>
      </c>
      <c r="AU51" s="267">
        <f>SUMIFS(financeiro[valor],financeiro[IdAgente],B51,financeiro[idDet1],22,financeiro[idDet2],60,financeiro[idDet3],512,financeiro[id_grupo_tarifa],3,financeiro[id_detalhe_grupo_tarifa],28,financeiro[id_tipo_tarifa],9)</f>
        <v>0</v>
      </c>
      <c r="AV51" s="267">
        <f>SUMIFS(financeiro[valor],financeiro[IdAgente],B51,financeiro[idDet1],22,financeiro[idDet2],60,financeiro[idDet3],241,financeiro[id_grupo_tarifa],2,financeiro[id_detalhe_grupo_tarifa],11,financeiro[id_tipo_tarifa],9)+SUMIFS(financeiro[valor],financeiro[IdAgente],B51,financeiro[idDet1],22,financeiro[idDet2],60,financeiro[idDet3],241,financeiro[id_grupo_tarifa],2,financeiro[id_detalhe_grupo_tarifa],9,financeiro[id_tipo_tarifa],9)+SUMIFS(financeiro[valor],financeiro[IdAgente],B51,financeiro[idDet1],22,financeiro[idDet2],60,financeiro[idDet3],241,financeiro[id_grupo_tarifa],2,financeiro[id_detalhe_grupo_tarifa],8,financeiro[id_tipo_tarifa],9)+SUMIFS(financeiro[valor],financeiro[IdAgente],B51,financeiro[idDet1],22,financeiro[idDet2],60,financeiro[idDet3],241,financeiro[id_grupo_tarifa],2,financeiro[id_detalhe_grupo_tarifa],10,financeiro[id_tipo_tarifa],9)+SUMIFS(financeiro[valor],financeiro[IdAgente],B51,financeiro[idDet1],22,financeiro[idDet2],60,financeiro[idDet3],241,financeiro[id_grupo_tarifa],2,financeiro[id_detalhe_grupo_tarifa],24,financeiro[id_tipo_tarifa],9)</f>
        <v>0</v>
      </c>
      <c r="AW51" s="267">
        <f>SUMIFS(financeiro[valor],financeiro[IdAgente],B51,financeiro[idDet1],22,financeiro[idDet2],60,financeiro[idDet3],241,financeiro[id_grupo_tarifa],3,financeiro[id_detalhe_grupo_tarifa],17,financeiro[id_tipo_tarifa],9)</f>
        <v>0</v>
      </c>
      <c r="AX51" s="267">
        <f>SUMIFS(financeiro[valor],financeiro[IdAgente],B51,financeiro[idDet1],22,financeiro[idDet2],60,financeiro[idDet3],240,financeiro[id_grupo_tarifa],2,financeiro[id_detalhe_grupo_tarifa],11,financeiro[id_tipo_tarifa],9)+SUMIFS(financeiro[valor],financeiro[IdAgente],B51,financeiro[idDet1],22,financeiro[idDet2],60,financeiro[idDet3],240,financeiro[id_grupo_tarifa],2,financeiro[id_detalhe_grupo_tarifa],9,financeiro[id_tipo_tarifa],9)+SUMIFS(financeiro[valor],financeiro[IdAgente],B51,financeiro[idDet1],22,financeiro[idDet2],60,financeiro[idDet3],240,financeiro[id_grupo_tarifa],2,financeiro[id_detalhe_grupo_tarifa],8,financeiro[id_tipo_tarifa],9)+SUMIFS(financeiro[valor],financeiro[IdAgente],B51,financeiro[idDet1],22,financeiro[idDet2],60,financeiro[idDet3],240,financeiro[id_grupo_tarifa],2,financeiro[id_detalhe_grupo_tarifa],10,financeiro[id_tipo_tarifa],9)+SUMIFS(financeiro[valor],financeiro[IdAgente],B51,financeiro[idDet1],22,financeiro[idDet2],60,financeiro[idDet3],240,financeiro[id_grupo_tarifa],2,financeiro[id_detalhe_grupo_tarifa],24,financeiro[id_tipo_tarifa],9)</f>
        <v>0</v>
      </c>
      <c r="AY51" s="267">
        <f>SUMIFS(financeiro[valor],financeiro[IdAgente],B51,financeiro[idDet1],22,financeiro[idDet2],60,financeiro[idDet3],106,financeiro[id_grupo_tarifa],2,financeiro[id_detalhe_grupo_tarifa],11,financeiro[id_tipo_tarifa],9)+SUMIFS(financeiro[valor],financeiro[IdAgente],B51,financeiro[idDet1],22,financeiro[idDet2],60,financeiro[idDet3],106,financeiro[id_grupo_tarifa],2,financeiro[id_detalhe_grupo_tarifa],9,financeiro[id_tipo_tarifa],9)+SUMIFS(financeiro[valor],financeiro[IdAgente],B51,financeiro[idDet1],22,financeiro[idDet2],60,financeiro[idDet3],106,financeiro[id_grupo_tarifa],2,financeiro[id_detalhe_grupo_tarifa],8,financeiro[id_tipo_tarifa],9)+SUMIFS(financeiro[valor],financeiro[IdAgente],B51,financeiro[idDet1],22,financeiro[idDet2],60,financeiro[idDet3],106,financeiro[id_grupo_tarifa],2,financeiro[id_detalhe_grupo_tarifa],10,financeiro[id_tipo_tarifa],9)+SUMIFS(financeiro[valor],financeiro[IdAgente],B51,financeiro[idDet1],22,financeiro[idDet2],60,financeiro[idDet3],106,financeiro[id_grupo_tarifa],2,financeiro[id_detalhe_grupo_tarifa],24,financeiro[id_tipo_tarifa],9)</f>
        <v>0</v>
      </c>
      <c r="AZ51" s="267">
        <f>SUMIFS(financeiro[valor],financeiro[IdAgente],B51,financeiro[idDet1],22,financeiro[idDet2],62,financeiro[idDet3],220,financeiro[id_grupo_tarifa],2,financeiro[id_detalhe_grupo_tarifa],11,financeiro[id_tipo_tarifa],9)+SUMIFS(financeiro[valor],financeiro[IdAgente],B51,financeiro[idDet1],22,financeiro[idDet2],62,financeiro[idDet3],220,financeiro[id_grupo_tarifa],2,financeiro[id_detalhe_grupo_tarifa],9,financeiro[id_tipo_tarifa],9)+SUMIFS(financeiro[valor],financeiro[IdAgente],B51,financeiro[idDet1],22,financeiro[idDet2],62,financeiro[idDet3],220,financeiro[id_grupo_tarifa],2,financeiro[id_detalhe_grupo_tarifa],8,financeiro[id_tipo_tarifa],9)+SUMIFS(financeiro[valor],financeiro[IdAgente],B51,financeiro[idDet1],22,financeiro[idDet2],62,financeiro[idDet3],220,financeiro[id_grupo_tarifa],2,financeiro[id_detalhe_grupo_tarifa],10,financeiro[id_tipo_tarifa],9)+SUMIFS(financeiro[valor],financeiro[IdAgente],B51,financeiro[idDet1],22,financeiro[idDet2],62,financeiro[idDet3],220,financeiro[id_grupo_tarifa],2,financeiro[id_detalhe_grupo_tarifa],24,financeiro[id_tipo_tarifa],9)</f>
        <v>0</v>
      </c>
      <c r="BA51" s="267">
        <f>SUMIFS(financeiro[valor],financeiro[IdAgente],B51,financeiro[idDet1],22,financeiro[idDet2],60,financeiro[idDet3],220,financeiro[id_grupo_tarifa],2,financeiro[id_detalhe_grupo_tarifa],11,financeiro[id_tipo_tarifa],9)+SUMIFS(financeiro[valor],financeiro[IdAgente],B51,financeiro[idDet1],22,financeiro[idDet2],60,financeiro[idDet3],220,financeiro[id_grupo_tarifa],2,financeiro[id_detalhe_grupo_tarifa],9,financeiro[id_tipo_tarifa],9)+SUMIFS(financeiro[valor],financeiro[IdAgente],B51,financeiro[idDet1],22,financeiro[idDet2],60,financeiro[idDet3],220,financeiro[id_grupo_tarifa],2,financeiro[id_detalhe_grupo_tarifa],8,financeiro[id_tipo_tarifa],9)+SUMIFS(financeiro[valor],financeiro[IdAgente],B51,financeiro[idDet1],22,financeiro[idDet2],60,financeiro[idDet3],220,financeiro[id_grupo_tarifa],2,financeiro[id_detalhe_grupo_tarifa],10,financeiro[id_tipo_tarifa],9)+SUMIFS(financeiro[valor],financeiro[IdAgente],B51,financeiro[idDet1],22,financeiro[idDet2],60,financeiro[idDet3],220,financeiro[id_grupo_tarifa],2,financeiro[id_detalhe_grupo_tarifa],24,financeiro[id_tipo_tarifa],9)</f>
        <v>0</v>
      </c>
      <c r="BB51" s="267">
        <f>SUMIFS(financeiro[valor],financeiro[IdAgente],B51,financeiro[idDet1],22,financeiro[idDet2],60,financeiro[idDet3],102,financeiro[id_grupo_tarifa],2,financeiro[id_detalhe_grupo_tarifa],11,financeiro[id_tipo_tarifa],9)+SUMIFS(financeiro[valor],financeiro[IdAgente],B51,financeiro[idDet1],22,financeiro[idDet2],60,financeiro[idDet3],102,financeiro[id_grupo_tarifa],2,financeiro[id_detalhe_grupo_tarifa],9,financeiro[id_tipo_tarifa],9)+SUMIFS(financeiro[valor],financeiro[IdAgente],B51,financeiro[idDet1],22,financeiro[idDet2],60,financeiro[idDet3],102,financeiro[id_grupo_tarifa],2,financeiro[id_detalhe_grupo_tarifa],8,financeiro[id_tipo_tarifa],9)+SUMIFS(financeiro[valor],financeiro[IdAgente],B51,financeiro[idDet1],22,financeiro[idDet2],60,financeiro[idDet3],102,financeiro[id_grupo_tarifa],2,financeiro[id_detalhe_grupo_tarifa],10,financeiro[id_tipo_tarifa],9)+SUMIFS(financeiro[valor],financeiro[IdAgente],B51,financeiro[idDet1],22,financeiro[idDet2],60,financeiro[idDet3],102,financeiro[id_grupo_tarifa],2,financeiro[id_detalhe_grupo_tarifa],24,financeiro[id_tipo_tarifa],9)</f>
        <v>0</v>
      </c>
      <c r="BC51" s="267">
        <f>SUMIFS(financeiro[valor],financeiro[IdAgente],B51,financeiro[idDet1],22,financeiro[idDet2],60,financeiro[idDet3],522,financeiro[valor],"&lt;0")</f>
        <v>0</v>
      </c>
      <c r="BD51" s="267">
        <f>SUMIFS(financeiro[valor],financeiro[IdAgente],B51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51" s="267">
        <f>SUMIFS(financeiro[valor],financeiro[IdAgente],B51,financeiro[id_natureza_dado],2,financeiro[id_detalhe_natureza],2,financeiro[idDet1],20,financeiro[idDet2],60,financeiro[idDet3],82,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51" s="267">
        <f>SUMIFS(financeiro[valor],financeiro[IdAgente],B51,financeiro[id_natureza_dado],2,financeiro[id_detalhe_natureza],2,financeiro[idDet1],20,financeiro[idDet2],60,financeiro[idDet3],81,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51" s="267">
        <f>SUMIFS(financeiro[valor],financeiro[IdAgente],B51,financeiro[id_natureza_dado],2,financeiro[id_detalhe_natureza],2,financeiro[idDet1],20,financeiro[idDet2],60,financeiro[idDet3],503,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51" s="267">
        <f>SUMIFS(financeiro[valor],financeiro[IdAgente],B51,financeiro[idDet1],22,financeiro[idDet2],60,financeiro[idDet3],123)</f>
        <v>0</v>
      </c>
      <c r="BI51" s="267">
        <f>SUMIFS(financeiro[valor],financeiro[IdAgente],B51,financeiro[idDet1],20,financeiro[idDet2],60,financeiro[idDet3],73)</f>
        <v>0</v>
      </c>
      <c r="BJ51" s="267">
        <f>SUMIFS(financeiro[valor],financeiro[IdAgente],B51,financeiro[idDet1],22,financeiro[idDet2],60,financeiro[idDet3],527)</f>
        <v>0</v>
      </c>
      <c r="BK51" s="267">
        <f>SUMIFS(financeiro[valor],financeiro[IdAgente],B51,financeiro[idDet1],22,financeiro[idDet2],60,financeiro[idDet3],510)</f>
        <v>0</v>
      </c>
      <c r="BL51" s="267">
        <f>SUMIFS(financeiro[valor],financeiro[IdAgente],B51,financeiro[idDet1],22,financeiro[idDet2],60,financeiro[idDet3],526,
financeiro[id_grupo_tarifa],1,financeiro[id_detalhe_grupo_tarifa],3,financeiro[id_tipo_tarifa],9,financeiro[id_subgrupo],3)</f>
        <v>0</v>
      </c>
      <c r="BM51" s="267">
        <f>SUMIFS(financeiro[valor],financeiro[IdAgente],B51,financeiro[idDet1],22,financeiro[idDet2],60,financeiro[idDet3],999,
financeiro[id_grupo_tarifa],3,financeiro[id_detalhe_grupo_tarifa],17,financeiro[id_tipo_tarifa],9)</f>
        <v>0</v>
      </c>
      <c r="BN51" s="267">
        <f>SUMIFS(financeiro[valor],financeiro[IdAgente],B51,financeiro[idDet1],22,financeiro[idDet2],60,financeiro[idDet3],526,financeiro[id_grupo_tarifa],1,financeiro[id_detalhe_grupo_tarifa],7,financeiro[id_tipo_tarifa],9,financeiro[valor],"&lt;0")+SUMIFS(financeiro[valor],financeiro[IdAgente],B51,financeiro[idDet1],22,financeiro[idDet2],60,financeiro[idDet3],526,financeiro[id_grupo_tarifa],2,financeiro[id_detalhe_grupo_tarifa],11,financeiro[id_tipo_tarifa],9,financeiro[valor],"&lt;0")+SUMIFS(financeiro[valor],financeiro[IdAgente],B51,financeiro[idDet1],22,financeiro[idDet2],60,financeiro[idDet3],526,financeiro[id_grupo_tarifa],2,financeiro[id_detalhe_grupo_tarifa],8,financeiro[id_tipo_tarifa],9,financeiro[valor],"&lt;0")</f>
        <v>0</v>
      </c>
      <c r="BO51" s="267">
        <f>SUMIFS(financeiro[valor],financeiro[IdAgente],B51,financeiro[idDet1],22,financeiro[idDet2],60,financeiro[idDet3],999,financeiro[id_grupo_tarifa],4,financeiro[id_detalhe_grupo_tarifa],999,financeiro[id_tipo_tarifa],9,financeiro[valor],"&lt;0")</f>
        <v>0</v>
      </c>
      <c r="BP51" s="267">
        <f>SUMIFS(financeiro[valor],financeiro[IdAgente],B51,financeiro[idDet1],22,financeiro[idDet2],60,financeiro[idDet3],530,financeiro[valor],"&lt;0")</f>
        <v>0</v>
      </c>
      <c r="BQ51" s="267">
        <f>SUMIFS(financeiro[valor],financeiro[IdAgente],B51,financeiro[idDet1],22,financeiro[idDet2],60,financeiro[idDet3],531,financeiro[valor],"&lt;0")</f>
        <v>0</v>
      </c>
      <c r="BR51" s="267">
        <f>SUMIFS(financeiro[valor],financeiro[IdAgente],B51,financeiro[idDet1],22,financeiro[idDet2],62,financeiro[idDet3],532,financeiro[valor],"&lt;0")</f>
        <v>0</v>
      </c>
      <c r="BS51" s="267">
        <f>SUMIFS(financeiro[valor],financeiro[IdAgente],B51,financeiro[idDet1],22,financeiro[idDet2],62,financeiro[idDet3],533,financeiro[valor],"&lt;0")</f>
        <v>0</v>
      </c>
      <c r="BT51" s="267">
        <f>SUMIFS(financeiro[valor],financeiro[IdAgente],B51,financeiro[idDet1],22,financeiro[idDet2],62,financeiro[idDet3],534,financeiro[valor],"&lt;0")</f>
        <v>0</v>
      </c>
      <c r="BW51" s="210" t="s">
        <v>231</v>
      </c>
      <c r="BX51" t="str">
        <f>Efeito!B52</f>
        <v>NO SELECT</v>
      </c>
      <c r="BY51" s="267">
        <f>SUMIFS(Banco[valor],Banco[IdAgente],BX51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51" s="267">
        <f>SUMIFS(Banco[valor],Banco[IdAgente],BX51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51" s="267">
        <f>SUMIFS(Banco[valor],Banco[IdAgente],BX51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51" s="267">
        <f>SUMIFS(Banco[valor],Banco[IdAgente],BX51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51" s="267">
        <f>SUMIFS(Banco[valor],Banco[IdAgente],BX51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51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51" s="267">
        <f>SUMIFS(Banco[valor],Banco[IdAgente],BX51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51" s="267">
        <f>SUMIFS(Banco[valor],Banco[IdAgente],BX51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51" s="267">
        <f>SUMIFS(Banco[valor],Banco[IdAgente],BX51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51" s="267">
        <f>SUMIFS(Banco[valor],Banco[IdAgente],BX51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51" s="267">
        <f>SUMIFS(Banco[valor],Banco[IdAgente],BX51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51" s="267">
        <f>SUMIFS(Banco[valor],Banco[IdAgente],BX51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51" s="267">
        <f>SUMIFS(Banco[valor],Banco[IdAgente],BX51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51" s="267">
        <f>SUMIFS(Banco[valor],Banco[IdAgente],B51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51" s="267">
        <f>SUMIFS(Banco[valor],Banco[IdAgente],B51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51" s="267">
        <f>SUMIFS(Banco[valor],Banco[IdAgente],B51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52" spans="1:91">
      <c r="A52" t="s">
        <v>277</v>
      </c>
      <c r="B52">
        <f>Efeito!B53</f>
        <v>5346</v>
      </c>
      <c r="C52" s="267">
        <f>SUMIFS(Banco[valor],Banco[IdAgente],B52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1881291.6654589199</v>
      </c>
      <c r="D52" s="267">
        <f>SUMIFS(Banco[valor],Banco[IdAgente],B52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52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52" s="267">
        <f>SUMIFS(Banco[valor],Banco[IdAgente],B52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52" s="267">
        <f>SUMIFS(Banco[valor],Banco[IdAgente],B52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52" s="267">
        <f>SUMIFS(Banco[valor],Banco[IdAgente],B52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52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52" s="267">
        <f>SUMIFS(Banco[valor],Banco[IdAgente],B52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52" s="267">
        <f>SUMIFS(Banco[valor],Banco[IdAgente],B52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304639.417074928</v>
      </c>
      <c r="J52" s="267">
        <f>SUMIFS(Banco[valor],Banco[IdAgente],B52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53441.8153067323</v>
      </c>
      <c r="K52" s="267">
        <f>SUMIFS(Banco[valor],Banco[IdAgente],B52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52" s="267">
        <f>SUMIFS(Banco[valor],Banco[IdAgente],B52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52" s="267">
        <f>SUMIFS(Banco[valor],Banco[IdAgente],B52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52" s="267">
        <f>SUMIFS(Banco[valor],Banco[IdAgente],B52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4886284.0670609698</v>
      </c>
      <c r="O52" s="267">
        <f>SUMIFS(Banco[valor],Banco[IdAgente],B52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7149947.5976697505</v>
      </c>
      <c r="P52" s="267">
        <f t="shared" si="3"/>
        <v>14275604.5625713</v>
      </c>
      <c r="Q52" s="267">
        <f>SUMIFS(Banco[valor],Banco[IdAgente],B52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13748576.4083487</v>
      </c>
      <c r="R52" s="267">
        <f>SUMIFS(Banco[valor],Banco[IdAgente],B52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28024180.97092</v>
      </c>
      <c r="S52" s="4"/>
      <c r="T52" s="4"/>
      <c r="U52" s="4"/>
      <c r="V52" s="267">
        <f>SUMIFS(financeiro[valor],financeiro[IdAgente],B52,financeiro[idDet1],22,financeiro[idDet2],60,financeiro[idDet3],526,financeiro[id_grupo_tarifa],1,financeiro[id_detalhe_grupo_tarifa],7,financeiro[id_tipo_tarifa],9,financeiro[id_subgrupo],99,financeiro[valor],"&gt;0")+SUMIFS(financeiro[valor],financeiro[IdAgente],B52,financeiro[idDet1],22,financeiro[idDet2],60,financeiro[idDet3],526,financeiro[id_grupo_tarifa],2,financeiro[id_detalhe_grupo_tarifa],11,financeiro[id_tipo_tarifa],9,financeiro[valor],"&gt;0")+SUMIFS(financeiro[valor],financeiro[IdAgente],B52,financeiro[idDet1],22,financeiro[idDet2],60,financeiro[idDet3],526,financeiro[id_grupo_tarifa],2,financeiro[id_detalhe_grupo_tarifa],9,financeiro[id_tipo_tarifa],9,financeiro[valor],"&gt;0")+SUMIFS(financeiro[valor],financeiro[IdAgente],B52,financeiro[idDet1],22,financeiro[idDet2],60,financeiro[idDet3],526,financeiro[id_grupo_tarifa],2,financeiro[id_detalhe_grupo_tarifa],8,financeiro[id_tipo_tarifa],9,financeiro[valor],"&gt;0")+SUMIFS(financeiro[valor],financeiro[IdAgente],B52,financeiro[idDet1],22,financeiro[idDet2],60,financeiro[idDet3],526,financeiro[id_grupo_tarifa],2,financeiro[id_detalhe_grupo_tarifa],10,financeiro[id_tipo_tarifa],9,financeiro[valor],"&gt;0")+SUMIFS(financeiro[valor],financeiro[IdAgente],B52,financeiro[idDet1],22,financeiro[idDet2],60,financeiro[idDet3],526,financeiro[id_grupo_tarifa],2,financeiro[id_detalhe_grupo_tarifa],24,financeiro[id_tipo_tarifa],9,financeiro[valor],"&gt;0")</f>
        <v>524818.28954566445</v>
      </c>
      <c r="W52" s="267">
        <f>SUMIFS(financeiro[valor],financeiro[IdAgente],B52,financeiro[idDet1],20,financeiro[idDet2],60,financeiro[idDet3],999,financeiro[id_grupo_tarifa],3,financeiro[id_detalhe_grupo_tarifa],14,financeiro[id_tipo_tarifa],9)+SUMIFS(financeiro[valor],financeiro[IdAgente],B52,financeiro[idDet1],20,financeiro[idDet2],60,financeiro[idDet3],999,financeiro[id_grupo_tarifa],3,financeiro[id_detalhe_grupo_tarifa],15,financeiro[id_tipo_tarifa],9)+SUMIFS(financeiro[valor],financeiro[IdAgente],B52,financeiro[idDet1],20,financeiro[idDet2],60,financeiro[idDet3],999,financeiro[id_grupo_tarifa],3,financeiro[id_detalhe_grupo_tarifa],16,financeiro[id_tipo_tarifa],9)+SUMIFS(financeiro[valor],financeiro[IdAgente],B52,financeiro[idDet1],20,financeiro[idDet2],60,financeiro[idDet3],999,financeiro[id_grupo_tarifa],3,financeiro[id_detalhe_grupo_tarifa],17,financeiro[id_tipo_tarifa],9)+SUMIFS(financeiro[valor],financeiro[IdAgente],B52,financeiro[idDet1],20,financeiro[idDet2],60,financeiro[idDet3],999,financeiro[id_grupo_tarifa],3,financeiro[id_detalhe_grupo_tarifa],18,financeiro[id_tipo_tarifa],9)+SUMIFS(financeiro[valor],financeiro[IdAgente],B52,financeiro[idDet1],20,financeiro[idDet2],60,financeiro[idDet3],999,financeiro[id_grupo_tarifa],3,financeiro[id_detalhe_grupo_tarifa],19,financeiro[id_tipo_tarifa],9)</f>
        <v>-295912.93870465318</v>
      </c>
      <c r="X52" s="267">
        <f>SUMIFS(financeiro[valor],financeiro[IdAgente],B52,financeiro[idDet1],20,financeiro[idDet2],60,financeiro[idDet3],999,financeiro[id_grupo_tarifa],3,financeiro[id_detalhe_grupo_tarifa],12,financeiro[id_tipo_tarifa],9)+SUMIFS(financeiro[valor],financeiro[IdAgente],B52,financeiro[idDet1],20,financeiro[idDet2],60,financeiro[idDet3],999,financeiro[id_grupo_tarifa],4,financeiro[id_detalhe_grupo_tarifa],999,financeiro[id_tipo_tarifa],9)</f>
        <v>0</v>
      </c>
      <c r="Y52" s="267">
        <f>SUMIFS(financeiro[valor],financeiro[IdAgente],B52,financeiro[idDet1],20,financeiro[idDet2],60,financeiro[idDet3],179,financeiro[id_grupo_tarifa],99,financeiro[id_detalhe_grupo_tarifa],999,financeiro[id_tipo_tarifa],9)</f>
        <v>0</v>
      </c>
      <c r="Z52" s="267">
        <f>SUMIFS(financeiro[valor],financeiro[IdAgente],B52,financeiro[idDet1],20,financeiro[idDet2],60,financeiro[idDet3],999,financeiro[id_grupo_tarifa],2,financeiro[id_detalhe_grupo_tarifa],11,financeiro[id_tipo_tarifa],9,financeiro[valor],"&gt;0")+SUMIFS(financeiro[valor],financeiro[IdAgente],B52,financeiro[idDet1],20,financeiro[idDet2],60,financeiro[idDet3],999,financeiro[id_grupo_tarifa],2,financeiro[id_detalhe_grupo_tarifa],9,financeiro[id_tipo_tarifa],9,financeiro[valor],"&gt;0")+SUMIFS(financeiro[valor],financeiro[IdAgente],B52,financeiro[idDet1],20,financeiro[idDet2],60,financeiro[idDet3],999,financeiro[id_grupo_tarifa],2,financeiro[id_detalhe_grupo_tarifa],8,financeiro[id_tipo_tarifa],9,financeiro[valor],"&gt;0")+SUMIFS(financeiro[valor],financeiro[IdAgente],B52,financeiro[idDet1],20,financeiro[idDet2],60,financeiro[idDet3],999,financeiro[id_grupo_tarifa],2,financeiro[id_detalhe_grupo_tarifa],10,financeiro[id_tipo_tarifa],9,financeiro[valor],"&gt;0")+SUMIFS(financeiro[valor],financeiro[IdAgente],B52,financeiro[idDet1],20,financeiro[idDet2],60,financeiro[idDet3],999,financeiro[id_grupo_tarifa],2,financeiro[id_detalhe_grupo_tarifa],24,financeiro[id_tipo_tarifa],9,financeiro[valor],"&gt;0")+SUMIFS(financeiro[valor],financeiro[IdAgente],B52,financeiro[idDet1],20,financeiro[idDet2],60,financeiro[idDet3],999,financeiro[id_grupo_tarifa],2,financeiro[id_detalhe_grupo_tarifa],17,financeiro[id_tipo_tarifa],9,financeiro[valor],"&gt;0")+SUMIFS(financeiro[valor],financeiro[IdAgente],B52,financeiro[idDet1],999,financeiro[idDet2],999999,financeiro[idDet3],999,financeiro[id_grupo_tarifa],99,financeiro[id_detalhe_grupo_tarifa],999,financeiro[id_tipo_tarifa],9,financeiro[valor],"&gt;0")</f>
        <v>0</v>
      </c>
      <c r="AA52" s="267">
        <f>SUMIFS(financeiro[valor],financeiro[IdAgente],B52,financeiro[idDet1],22,financeiro[idDet2],60,financeiro[idDet3],529,financeiro[id_grupo_tarifa],1,financeiro[id_detalhe_grupo_tarifa],1,financeiro[id_tipo_tarifa],9,financeiro[valor],"&gt;0")+SUMIFS(financeiro[valor],financeiro[IdAgente],B52,financeiro[idDet1],22,financeiro[idDet2],60,financeiro[idDet3],529,financeiro[id_grupo_tarifa],1,financeiro[id_detalhe_grupo_tarifa],2,financeiro[id_tipo_tarifa],9,financeiro[valor],"&gt;0")</f>
        <v>0</v>
      </c>
      <c r="AB52" s="269"/>
      <c r="AC52" s="267">
        <f>SUMIFS(financeiro[valor],financeiro[IdAgente],B52,financeiro[idDet1],22,financeiro[idDet2],60,financeiro[idDet3],999,financeiro[id_grupo_tarifa],2,financeiro[id_detalhe_grupo_tarifa],30,financeiro[id_tipo_tarifa],9,financeiro[valor],"&gt;0")</f>
        <v>0</v>
      </c>
      <c r="AD52" s="267">
        <f>SUMIFS(financeiro[valor],financeiro[IdAgente],B52,financeiro[idDet1],22,financeiro[idDet2],60,financeiro[idDet3],178,financeiro[id_grupo_tarifa],1,financeiro[id_detalhe_grupo_tarifa],7,financeiro[id_tipo_tarifa],9)</f>
        <v>-560301.484692581</v>
      </c>
      <c r="AE52" s="267">
        <f>SUMIFS(financeiro[valor],financeiro[IdAgente],B52,financeiro[idDet1],22,financeiro[idDet2],60,financeiro[idDet3],242,financeiro[id_grupo_tarifa],4,financeiro[id_detalhe_grupo_tarifa],999,financeiro[id_tipo_tarifa],9)</f>
        <v>-11162470.8473772</v>
      </c>
      <c r="AF52" s="267">
        <f>SUMIFS(financeiro[valor],financeiro[IdAgente],B52,financeiro[idDet1],22,financeiro[idDet2],60,financeiro[idDet3],525,financeiro[id_grupo_tarifa],2,financeiro[id_tipo_tarifa],9)</f>
        <v>-76.768250194452804</v>
      </c>
      <c r="AG52" s="267">
        <f>SUMIFS(financeiro[valor],financeiro[IdAgente],B52,financeiro[idDet1],22,financeiro[idDet2],60,financeiro[idDet3],524)</f>
        <v>0</v>
      </c>
      <c r="AH52" s="269"/>
      <c r="AI52" s="267">
        <f>SUMIFS(financeiro[valor],financeiro[IdAgente],B52,financeiro[idDet1],22,financeiro[idDet2],60,financeiro[idDet3],523,financeiro[id_grupo_tarifa],2,financeiro[id_detalhe_grupo_tarifa],30,financeiro[id_tipo_tarifa],9)</f>
        <v>0</v>
      </c>
      <c r="AJ52" s="267">
        <f>SUMIFS(financeiro[valor],financeiro[IdAgente],B52,financeiro[idDet1],22,financeiro[idDet2],60,financeiro[idDet3],503,financeiro[id_grupo_tarifa],99,financeiro[id_detalhe_grupo_tarifa],999,financeiro[id_tipo_tarifa],3)</f>
        <v>0</v>
      </c>
      <c r="AK52" s="269"/>
      <c r="AL52" s="269"/>
      <c r="AM52" s="269"/>
      <c r="AN52" s="269"/>
      <c r="AO52" s="269"/>
      <c r="AP52" s="269"/>
      <c r="AQ52" s="269"/>
      <c r="AR52" s="269"/>
      <c r="AS52" s="269"/>
      <c r="AT52" s="267">
        <f>SUMIFS(financeiro[valor],financeiro[IdAgente],B52,financeiro[idDet1],22,financeiro[idDet2],60,financeiro[idDet3],235,financeiro[id_grupo_tarifa],4,financeiro[id_detalhe_grupo_tarifa],999,financeiro[id_tipo_tarifa],9)</f>
        <v>0</v>
      </c>
      <c r="AU52" s="267">
        <f>SUMIFS(financeiro[valor],financeiro[IdAgente],B52,financeiro[idDet1],22,financeiro[idDet2],60,financeiro[idDet3],512,financeiro[id_grupo_tarifa],3,financeiro[id_detalhe_grupo_tarifa],28,financeiro[id_tipo_tarifa],9)</f>
        <v>0</v>
      </c>
      <c r="AV52" s="267">
        <f>SUMIFS(financeiro[valor],financeiro[IdAgente],B52,financeiro[idDet1],22,financeiro[idDet2],60,financeiro[idDet3],241,financeiro[id_grupo_tarifa],2,financeiro[id_detalhe_grupo_tarifa],11,financeiro[id_tipo_tarifa],9)+SUMIFS(financeiro[valor],financeiro[IdAgente],B52,financeiro[idDet1],22,financeiro[idDet2],60,financeiro[idDet3],241,financeiro[id_grupo_tarifa],2,financeiro[id_detalhe_grupo_tarifa],9,financeiro[id_tipo_tarifa],9)+SUMIFS(financeiro[valor],financeiro[IdAgente],B52,financeiro[idDet1],22,financeiro[idDet2],60,financeiro[idDet3],241,financeiro[id_grupo_tarifa],2,financeiro[id_detalhe_grupo_tarifa],8,financeiro[id_tipo_tarifa],9)+SUMIFS(financeiro[valor],financeiro[IdAgente],B52,financeiro[idDet1],22,financeiro[idDet2],60,financeiro[idDet3],241,financeiro[id_grupo_tarifa],2,financeiro[id_detalhe_grupo_tarifa],10,financeiro[id_tipo_tarifa],9)+SUMIFS(financeiro[valor],financeiro[IdAgente],B52,financeiro[idDet1],22,financeiro[idDet2],60,financeiro[idDet3],241,financeiro[id_grupo_tarifa],2,financeiro[id_detalhe_grupo_tarifa],24,financeiro[id_tipo_tarifa],9)</f>
        <v>0</v>
      </c>
      <c r="AW52" s="267">
        <f>SUMIFS(financeiro[valor],financeiro[IdAgente],B52,financeiro[idDet1],22,financeiro[idDet2],60,financeiro[idDet3],241,financeiro[id_grupo_tarifa],3,financeiro[id_detalhe_grupo_tarifa],17,financeiro[id_tipo_tarifa],9)</f>
        <v>0</v>
      </c>
      <c r="AX52" s="267">
        <f>SUMIFS(financeiro[valor],financeiro[IdAgente],B52,financeiro[idDet1],22,financeiro[idDet2],60,financeiro[idDet3],240,financeiro[id_grupo_tarifa],2,financeiro[id_detalhe_grupo_tarifa],11,financeiro[id_tipo_tarifa],9)+SUMIFS(financeiro[valor],financeiro[IdAgente],B52,financeiro[idDet1],22,financeiro[idDet2],60,financeiro[idDet3],240,financeiro[id_grupo_tarifa],2,financeiro[id_detalhe_grupo_tarifa],9,financeiro[id_tipo_tarifa],9)+SUMIFS(financeiro[valor],financeiro[IdAgente],B52,financeiro[idDet1],22,financeiro[idDet2],60,financeiro[idDet3],240,financeiro[id_grupo_tarifa],2,financeiro[id_detalhe_grupo_tarifa],8,financeiro[id_tipo_tarifa],9)+SUMIFS(financeiro[valor],financeiro[IdAgente],B52,financeiro[idDet1],22,financeiro[idDet2],60,financeiro[idDet3],240,financeiro[id_grupo_tarifa],2,financeiro[id_detalhe_grupo_tarifa],10,financeiro[id_tipo_tarifa],9)+SUMIFS(financeiro[valor],financeiro[IdAgente],B52,financeiro[idDet1],22,financeiro[idDet2],60,financeiro[idDet3],240,financeiro[id_grupo_tarifa],2,financeiro[id_detalhe_grupo_tarifa],24,financeiro[id_tipo_tarifa],9)</f>
        <v>0</v>
      </c>
      <c r="AY52" s="267">
        <f>SUMIFS(financeiro[valor],financeiro[IdAgente],B52,financeiro[idDet1],22,financeiro[idDet2],60,financeiro[idDet3],106,financeiro[id_grupo_tarifa],2,financeiro[id_detalhe_grupo_tarifa],11,financeiro[id_tipo_tarifa],9)+SUMIFS(financeiro[valor],financeiro[IdAgente],B52,financeiro[idDet1],22,financeiro[idDet2],60,financeiro[idDet3],106,financeiro[id_grupo_tarifa],2,financeiro[id_detalhe_grupo_tarifa],9,financeiro[id_tipo_tarifa],9)+SUMIFS(financeiro[valor],financeiro[IdAgente],B52,financeiro[idDet1],22,financeiro[idDet2],60,financeiro[idDet3],106,financeiro[id_grupo_tarifa],2,financeiro[id_detalhe_grupo_tarifa],8,financeiro[id_tipo_tarifa],9)+SUMIFS(financeiro[valor],financeiro[IdAgente],B52,financeiro[idDet1],22,financeiro[idDet2],60,financeiro[idDet3],106,financeiro[id_grupo_tarifa],2,financeiro[id_detalhe_grupo_tarifa],10,financeiro[id_tipo_tarifa],9)+SUMIFS(financeiro[valor],financeiro[IdAgente],B52,financeiro[idDet1],22,financeiro[idDet2],60,financeiro[idDet3],106,financeiro[id_grupo_tarifa],2,financeiro[id_detalhe_grupo_tarifa],24,financeiro[id_tipo_tarifa],9)</f>
        <v>0</v>
      </c>
      <c r="AZ52" s="267">
        <f>SUMIFS(financeiro[valor],financeiro[IdAgente],B52,financeiro[idDet1],22,financeiro[idDet2],62,financeiro[idDet3],220,financeiro[id_grupo_tarifa],2,financeiro[id_detalhe_grupo_tarifa],11,financeiro[id_tipo_tarifa],9)+SUMIFS(financeiro[valor],financeiro[IdAgente],B52,financeiro[idDet1],22,financeiro[idDet2],62,financeiro[idDet3],220,financeiro[id_grupo_tarifa],2,financeiro[id_detalhe_grupo_tarifa],9,financeiro[id_tipo_tarifa],9)+SUMIFS(financeiro[valor],financeiro[IdAgente],B52,financeiro[idDet1],22,financeiro[idDet2],62,financeiro[idDet3],220,financeiro[id_grupo_tarifa],2,financeiro[id_detalhe_grupo_tarifa],8,financeiro[id_tipo_tarifa],9)+SUMIFS(financeiro[valor],financeiro[IdAgente],B52,financeiro[idDet1],22,financeiro[idDet2],62,financeiro[idDet3],220,financeiro[id_grupo_tarifa],2,financeiro[id_detalhe_grupo_tarifa],10,financeiro[id_tipo_tarifa],9)+SUMIFS(financeiro[valor],financeiro[IdAgente],B52,financeiro[idDet1],22,financeiro[idDet2],62,financeiro[idDet3],220,financeiro[id_grupo_tarifa],2,financeiro[id_detalhe_grupo_tarifa],24,financeiro[id_tipo_tarifa],9)</f>
        <v>0</v>
      </c>
      <c r="BA52" s="267">
        <f>SUMIFS(financeiro[valor],financeiro[IdAgente],B52,financeiro[idDet1],22,financeiro[idDet2],60,financeiro[idDet3],220,financeiro[id_grupo_tarifa],2,financeiro[id_detalhe_grupo_tarifa],11,financeiro[id_tipo_tarifa],9)+SUMIFS(financeiro[valor],financeiro[IdAgente],B52,financeiro[idDet1],22,financeiro[idDet2],60,financeiro[idDet3],220,financeiro[id_grupo_tarifa],2,financeiro[id_detalhe_grupo_tarifa],9,financeiro[id_tipo_tarifa],9)+SUMIFS(financeiro[valor],financeiro[IdAgente],B52,financeiro[idDet1],22,financeiro[idDet2],60,financeiro[idDet3],220,financeiro[id_grupo_tarifa],2,financeiro[id_detalhe_grupo_tarifa],8,financeiro[id_tipo_tarifa],9)+SUMIFS(financeiro[valor],financeiro[IdAgente],B52,financeiro[idDet1],22,financeiro[idDet2],60,financeiro[idDet3],220,financeiro[id_grupo_tarifa],2,financeiro[id_detalhe_grupo_tarifa],10,financeiro[id_tipo_tarifa],9)+SUMIFS(financeiro[valor],financeiro[IdAgente],B52,financeiro[idDet1],22,financeiro[idDet2],60,financeiro[idDet3],220,financeiro[id_grupo_tarifa],2,financeiro[id_detalhe_grupo_tarifa],24,financeiro[id_tipo_tarifa],9)</f>
        <v>0</v>
      </c>
      <c r="BB52" s="267">
        <f>SUMIFS(financeiro[valor],financeiro[IdAgente],B52,financeiro[idDet1],22,financeiro[idDet2],60,financeiro[idDet3],102,financeiro[id_grupo_tarifa],2,financeiro[id_detalhe_grupo_tarifa],11,financeiro[id_tipo_tarifa],9)+SUMIFS(financeiro[valor],financeiro[IdAgente],B52,financeiro[idDet1],22,financeiro[idDet2],60,financeiro[idDet3],102,financeiro[id_grupo_tarifa],2,financeiro[id_detalhe_grupo_tarifa],9,financeiro[id_tipo_tarifa],9)+SUMIFS(financeiro[valor],financeiro[IdAgente],B52,financeiro[idDet1],22,financeiro[idDet2],60,financeiro[idDet3],102,financeiro[id_grupo_tarifa],2,financeiro[id_detalhe_grupo_tarifa],8,financeiro[id_tipo_tarifa],9)+SUMIFS(financeiro[valor],financeiro[IdAgente],B52,financeiro[idDet1],22,financeiro[idDet2],60,financeiro[idDet3],102,financeiro[id_grupo_tarifa],2,financeiro[id_detalhe_grupo_tarifa],10,financeiro[id_tipo_tarifa],9)+SUMIFS(financeiro[valor],financeiro[IdAgente],B52,financeiro[idDet1],22,financeiro[idDet2],60,financeiro[idDet3],102,financeiro[id_grupo_tarifa],2,financeiro[id_detalhe_grupo_tarifa],24,financeiro[id_tipo_tarifa],9)</f>
        <v>0</v>
      </c>
      <c r="BC52" s="267">
        <f>SUMIFS(financeiro[valor],financeiro[IdAgente],B52,financeiro[idDet1],22,financeiro[idDet2],60,financeiro[idDet3],522,financeiro[valor],"&lt;0")</f>
        <v>0</v>
      </c>
      <c r="BD52" s="267">
        <f>SUMIFS(financeiro[valor],financeiro[IdAgente],B52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52" s="267">
        <f>SUMIFS(financeiro[valor],financeiro[IdAgente],B52,financeiro[id_natureza_dado],2,financeiro[id_detalhe_natureza],2,financeiro[idDet1],20,financeiro[idDet2],60,financeiro[idDet3],82,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52" s="267">
        <f>SUMIFS(financeiro[valor],financeiro[IdAgente],B52,financeiro[id_natureza_dado],2,financeiro[id_detalhe_natureza],2,financeiro[idDet1],20,financeiro[idDet2],60,financeiro[idDet3],81,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52" s="267">
        <f>SUMIFS(financeiro[valor],financeiro[IdAgente],B52,financeiro[id_natureza_dado],2,financeiro[id_detalhe_natureza],2,financeiro[idDet1],20,financeiro[idDet2],60,financeiro[idDet3],503,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52" s="267">
        <f>SUMIFS(financeiro[valor],financeiro[IdAgente],B52,financeiro[idDet1],22,financeiro[idDet2],60,financeiro[idDet3],123)</f>
        <v>0</v>
      </c>
      <c r="BI52" s="267">
        <f>SUMIFS(financeiro[valor],financeiro[IdAgente],B52,financeiro[idDet1],20,financeiro[idDet2],60,financeiro[idDet3],73)</f>
        <v>0</v>
      </c>
      <c r="BJ52" s="267">
        <f>SUMIFS(financeiro[valor],financeiro[IdAgente],B52,financeiro[idDet1],22,financeiro[idDet2],60,financeiro[idDet3],527)</f>
        <v>0</v>
      </c>
      <c r="BK52" s="267">
        <f>SUMIFS(financeiro[valor],financeiro[IdAgente],B52,financeiro[idDet1],22,financeiro[idDet2],60,financeiro[idDet3],510)</f>
        <v>0</v>
      </c>
      <c r="BL52" s="267">
        <f>SUMIFS(financeiro[valor],financeiro[IdAgente],B52,financeiro[idDet1],22,financeiro[idDet2],60,financeiro[idDet3],526,
financeiro[id_grupo_tarifa],1,financeiro[id_detalhe_grupo_tarifa],3,financeiro[id_tipo_tarifa],9,financeiro[id_subgrupo],3)</f>
        <v>0</v>
      </c>
      <c r="BM52" s="267">
        <f>SUMIFS(financeiro[valor],financeiro[IdAgente],B52,financeiro[idDet1],22,financeiro[idDet2],60,financeiro[idDet3],999,
financeiro[id_grupo_tarifa],3,financeiro[id_detalhe_grupo_tarifa],17,financeiro[id_tipo_tarifa],9)</f>
        <v>0</v>
      </c>
      <c r="BN52" s="267">
        <f>SUMIFS(financeiro[valor],financeiro[IdAgente],B52,financeiro[idDet1],22,financeiro[idDet2],60,financeiro[idDet3],526,financeiro[id_grupo_tarifa],1,financeiro[id_detalhe_grupo_tarifa],7,financeiro[id_tipo_tarifa],9,financeiro[valor],"&lt;0")+SUMIFS(financeiro[valor],financeiro[IdAgente],B52,financeiro[idDet1],22,financeiro[idDet2],60,financeiro[idDet3],526,financeiro[id_grupo_tarifa],2,financeiro[id_detalhe_grupo_tarifa],11,financeiro[id_tipo_tarifa],9,financeiro[valor],"&lt;0")+SUMIFS(financeiro[valor],financeiro[IdAgente],B52,financeiro[idDet1],22,financeiro[idDet2],60,financeiro[idDet3],526,financeiro[id_grupo_tarifa],2,financeiro[id_detalhe_grupo_tarifa],8,financeiro[id_tipo_tarifa],9,financeiro[valor],"&lt;0")</f>
        <v>0</v>
      </c>
      <c r="BO52" s="267">
        <f>SUMIFS(financeiro[valor],financeiro[IdAgente],B52,financeiro[idDet1],22,financeiro[idDet2],60,financeiro[idDet3],999,financeiro[id_grupo_tarifa],4,financeiro[id_detalhe_grupo_tarifa],999,financeiro[id_tipo_tarifa],9,financeiro[valor],"&lt;0")</f>
        <v>0</v>
      </c>
      <c r="BP52" s="267">
        <f>SUMIFS(financeiro[valor],financeiro[IdAgente],B52,financeiro[idDet1],22,financeiro[idDet2],60,financeiro[idDet3],530,financeiro[valor],"&lt;0")</f>
        <v>0</v>
      </c>
      <c r="BQ52" s="267">
        <f>SUMIFS(financeiro[valor],financeiro[IdAgente],B52,financeiro[idDet1],22,financeiro[idDet2],60,financeiro[idDet3],531,financeiro[valor],"&lt;0")</f>
        <v>0</v>
      </c>
      <c r="BR52" s="267">
        <f>SUMIFS(financeiro[valor],financeiro[IdAgente],B52,financeiro[idDet1],22,financeiro[idDet2],62,financeiro[idDet3],532,financeiro[valor],"&lt;0")</f>
        <v>0</v>
      </c>
      <c r="BS52" s="267">
        <f>SUMIFS(financeiro[valor],financeiro[IdAgente],B52,financeiro[idDet1],22,financeiro[idDet2],62,financeiro[idDet3],533,financeiro[valor],"&lt;0")</f>
        <v>0</v>
      </c>
      <c r="BT52" s="267">
        <f>SUMIFS(financeiro[valor],financeiro[IdAgente],B52,financeiro[idDet1],22,financeiro[idDet2],62,financeiro[idDet3],534,financeiro[valor],"&lt;0")</f>
        <v>0</v>
      </c>
      <c r="BW52" s="294" t="s">
        <v>277</v>
      </c>
      <c r="BX52">
        <f>Efeito!B53</f>
        <v>5346</v>
      </c>
      <c r="BY52" s="267">
        <f>SUMIFS(Banco[valor],Banco[IdAgente],BX52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1792421.4284699999</v>
      </c>
      <c r="BZ52" s="267">
        <f>SUMIFS(Banco[valor],Banco[IdAgente],BX52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52" s="267">
        <f>SUMIFS(Banco[valor],Banco[IdAgente],BX52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52" s="267">
        <f>SUMIFS(Banco[valor],Banco[IdAgente],BX52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137501.13299000001</v>
      </c>
      <c r="CC52" s="267">
        <f>SUMIFS(Banco[valor],Banco[IdAgente],BX52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52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83293.302226516898</v>
      </c>
      <c r="CD52" s="267">
        <f>SUMIFS(Banco[valor],Banco[IdAgente],BX52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52" s="267">
        <f>SUMIFS(Banco[valor],Banco[IdAgente],BX52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256640.30622</v>
      </c>
      <c r="CF52" s="267">
        <f>SUMIFS(Banco[valor],Banco[IdAgente],BX52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53926.041935449597</v>
      </c>
      <c r="CG52" s="267">
        <f>SUMIFS(Banco[valor],Banco[IdAgente],BX52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52" s="267">
        <f>SUMIFS(Banco[valor],Banco[IdAgente],BX52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52" s="267">
        <f>SUMIFS(Banco[valor],Banco[IdAgente],BX52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52" s="267">
        <f>SUMIFS(Banco[valor],Banco[IdAgente],BX52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4700553.5570248002</v>
      </c>
      <c r="CK52" s="267">
        <f>SUMIFS(Banco[valor],Banco[IdAgente],B52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14189028.75245882</v>
      </c>
      <c r="CL52" s="267">
        <f>SUMIFS(Banco[valor],Banco[IdAgente],B52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14118850.1450962</v>
      </c>
      <c r="CM52" s="267">
        <f>SUMIFS(Banco[valor],Banco[IdAgente],B52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13432500.4026065</v>
      </c>
    </row>
    <row r="53" spans="1:91">
      <c r="A53" t="s">
        <v>234</v>
      </c>
      <c r="B53">
        <f>Efeito!B54</f>
        <v>5345</v>
      </c>
      <c r="C53" s="267">
        <f>SUMIFS(Banco[valor],Banco[IdAgente],B53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1481693.9234313101</v>
      </c>
      <c r="D53" s="267">
        <f>SUMIFS(Banco[valor],Banco[IdAgente],B53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53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53" s="267">
        <f>SUMIFS(Banco[valor],Banco[IdAgente],B53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53" s="267">
        <f>SUMIFS(Banco[valor],Banco[IdAgente],B53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53" s="267">
        <f>SUMIFS(Banco[valor],Banco[IdAgente],B53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53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53" s="267">
        <f>SUMIFS(Banco[valor],Banco[IdAgente],B53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53" s="267">
        <f>SUMIFS(Banco[valor],Banco[IdAgente],B53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234957.454108529</v>
      </c>
      <c r="J53" s="267">
        <f>SUMIFS(Banco[valor],Banco[IdAgente],B53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55711.3312270807</v>
      </c>
      <c r="K53" s="267">
        <f>SUMIFS(Banco[valor],Banco[IdAgente],B53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53" s="267">
        <f>SUMIFS(Banco[valor],Banco[IdAgente],B53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53" s="267">
        <f>SUMIFS(Banco[valor],Banco[IdAgente],B53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53" s="267">
        <f>SUMIFS(Banco[valor],Banco[IdAgente],B53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3009317.16464093</v>
      </c>
      <c r="O53" s="267">
        <f>SUMIFS(Banco[valor],Banco[IdAgente],B53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3258721.5883321902</v>
      </c>
      <c r="P53" s="267">
        <f t="shared" si="3"/>
        <v>8040401.4617400402</v>
      </c>
      <c r="Q53" s="267">
        <f>SUMIFS(Banco[valor],Banco[IdAgente],B53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12674381.698389901</v>
      </c>
      <c r="R53" s="267">
        <f>SUMIFS(Banco[valor],Banco[IdAgente],B53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20714783.160130002</v>
      </c>
      <c r="S53" s="208"/>
      <c r="T53" s="208"/>
      <c r="U53" s="208"/>
      <c r="V53" s="267">
        <f>SUMIFS(financeiro[valor],financeiro[IdAgente],B53,financeiro[idDet1],22,financeiro[idDet2],60,financeiro[idDet3],526,financeiro[id_grupo_tarifa],1,financeiro[id_detalhe_grupo_tarifa],7,financeiro[id_tipo_tarifa],9,financeiro[id_subgrupo],99,financeiro[valor],"&gt;0")+SUMIFS(financeiro[valor],financeiro[IdAgente],B53,financeiro[idDet1],22,financeiro[idDet2],60,financeiro[idDet3],526,financeiro[id_grupo_tarifa],2,financeiro[id_detalhe_grupo_tarifa],11,financeiro[id_tipo_tarifa],9,financeiro[valor],"&gt;0")+SUMIFS(financeiro[valor],financeiro[IdAgente],B53,financeiro[idDet1],22,financeiro[idDet2],60,financeiro[idDet3],526,financeiro[id_grupo_tarifa],2,financeiro[id_detalhe_grupo_tarifa],9,financeiro[id_tipo_tarifa],9,financeiro[valor],"&gt;0")+SUMIFS(financeiro[valor],financeiro[IdAgente],B53,financeiro[idDet1],22,financeiro[idDet2],60,financeiro[idDet3],526,financeiro[id_grupo_tarifa],2,financeiro[id_detalhe_grupo_tarifa],8,financeiro[id_tipo_tarifa],9,financeiro[valor],"&gt;0")+SUMIFS(financeiro[valor],financeiro[IdAgente],B53,financeiro[idDet1],22,financeiro[idDet2],60,financeiro[idDet3],526,financeiro[id_grupo_tarifa],2,financeiro[id_detalhe_grupo_tarifa],10,financeiro[id_tipo_tarifa],9,financeiro[valor],"&gt;0")+SUMIFS(financeiro[valor],financeiro[IdAgente],B53,financeiro[idDet1],22,financeiro[idDet2],60,financeiro[idDet3],526,financeiro[id_grupo_tarifa],2,financeiro[id_detalhe_grupo_tarifa],24,financeiro[id_tipo_tarifa],9,financeiro[valor],"&gt;0")</f>
        <v>265074.09854670527</v>
      </c>
      <c r="W53" s="267">
        <f>SUMIFS(financeiro[valor],financeiro[IdAgente],B53,financeiro[idDet1],20,financeiro[idDet2],60,financeiro[idDet3],999,financeiro[id_grupo_tarifa],3,financeiro[id_detalhe_grupo_tarifa],14,financeiro[id_tipo_tarifa],9)+SUMIFS(financeiro[valor],financeiro[IdAgente],B53,financeiro[idDet1],20,financeiro[idDet2],60,financeiro[idDet3],999,financeiro[id_grupo_tarifa],3,financeiro[id_detalhe_grupo_tarifa],15,financeiro[id_tipo_tarifa],9)+SUMIFS(financeiro[valor],financeiro[IdAgente],B53,financeiro[idDet1],20,financeiro[idDet2],60,financeiro[idDet3],999,financeiro[id_grupo_tarifa],3,financeiro[id_detalhe_grupo_tarifa],16,financeiro[id_tipo_tarifa],9)+SUMIFS(financeiro[valor],financeiro[IdAgente],B53,financeiro[idDet1],20,financeiro[idDet2],60,financeiro[idDet3],999,financeiro[id_grupo_tarifa],3,financeiro[id_detalhe_grupo_tarifa],17,financeiro[id_tipo_tarifa],9)+SUMIFS(financeiro[valor],financeiro[IdAgente],B53,financeiro[idDet1],20,financeiro[idDet2],60,financeiro[idDet3],999,financeiro[id_grupo_tarifa],3,financeiro[id_detalhe_grupo_tarifa],18,financeiro[id_tipo_tarifa],9)+SUMIFS(financeiro[valor],financeiro[IdAgente],B53,financeiro[idDet1],20,financeiro[idDet2],60,financeiro[idDet3],999,financeiro[id_grupo_tarifa],3,financeiro[id_detalhe_grupo_tarifa],19,financeiro[id_tipo_tarifa],9)</f>
        <v>-125045.11784262054</v>
      </c>
      <c r="X53" s="267">
        <f>SUMIFS(financeiro[valor],financeiro[IdAgente],B53,financeiro[idDet1],20,financeiro[idDet2],60,financeiro[idDet3],999,financeiro[id_grupo_tarifa],3,financeiro[id_detalhe_grupo_tarifa],12,financeiro[id_tipo_tarifa],9)+SUMIFS(financeiro[valor],financeiro[IdAgente],B53,financeiro[idDet1],20,financeiro[idDet2],60,financeiro[idDet3],999,financeiro[id_grupo_tarifa],4,financeiro[id_detalhe_grupo_tarifa],999,financeiro[id_tipo_tarifa],9)</f>
        <v>0</v>
      </c>
      <c r="Y53" s="267">
        <f>SUMIFS(financeiro[valor],financeiro[IdAgente],B53,financeiro[idDet1],20,financeiro[idDet2],60,financeiro[idDet3],179,financeiro[id_grupo_tarifa],99,financeiro[id_detalhe_grupo_tarifa],999,financeiro[id_tipo_tarifa],9)</f>
        <v>0</v>
      </c>
      <c r="Z53" s="267">
        <f>SUMIFS(financeiro[valor],financeiro[IdAgente],B53,financeiro[idDet1],20,financeiro[idDet2],60,financeiro[idDet3],999,financeiro[id_grupo_tarifa],2,financeiro[id_detalhe_grupo_tarifa],11,financeiro[id_tipo_tarifa],9,financeiro[valor],"&gt;0")+SUMIFS(financeiro[valor],financeiro[IdAgente],B53,financeiro[idDet1],20,financeiro[idDet2],60,financeiro[idDet3],999,financeiro[id_grupo_tarifa],2,financeiro[id_detalhe_grupo_tarifa],9,financeiro[id_tipo_tarifa],9,financeiro[valor],"&gt;0")+SUMIFS(financeiro[valor],financeiro[IdAgente],B53,financeiro[idDet1],20,financeiro[idDet2],60,financeiro[idDet3],999,financeiro[id_grupo_tarifa],2,financeiro[id_detalhe_grupo_tarifa],8,financeiro[id_tipo_tarifa],9,financeiro[valor],"&gt;0")+SUMIFS(financeiro[valor],financeiro[IdAgente],B53,financeiro[idDet1],20,financeiro[idDet2],60,financeiro[idDet3],999,financeiro[id_grupo_tarifa],2,financeiro[id_detalhe_grupo_tarifa],10,financeiro[id_tipo_tarifa],9,financeiro[valor],"&gt;0")+SUMIFS(financeiro[valor],financeiro[IdAgente],B53,financeiro[idDet1],20,financeiro[idDet2],60,financeiro[idDet3],999,financeiro[id_grupo_tarifa],2,financeiro[id_detalhe_grupo_tarifa],24,financeiro[id_tipo_tarifa],9,financeiro[valor],"&gt;0")+SUMIFS(financeiro[valor],financeiro[IdAgente],B53,financeiro[idDet1],20,financeiro[idDet2],60,financeiro[idDet3],999,financeiro[id_grupo_tarifa],2,financeiro[id_detalhe_grupo_tarifa],17,financeiro[id_tipo_tarifa],9,financeiro[valor],"&gt;0")+SUMIFS(financeiro[valor],financeiro[IdAgente],B53,financeiro[idDet1],999,financeiro[idDet2],999999,financeiro[idDet3],999,financeiro[id_grupo_tarifa],99,financeiro[id_detalhe_grupo_tarifa],999,financeiro[id_tipo_tarifa],9,financeiro[valor],"&gt;0")</f>
        <v>0</v>
      </c>
      <c r="AA53" s="267">
        <f>SUMIFS(financeiro[valor],financeiro[IdAgente],B53,financeiro[idDet1],22,financeiro[idDet2],60,financeiro[idDet3],529,financeiro[id_grupo_tarifa],1,financeiro[id_detalhe_grupo_tarifa],1,financeiro[id_tipo_tarifa],9,financeiro[valor],"&gt;0")+SUMIFS(financeiro[valor],financeiro[IdAgente],B53,financeiro[idDet1],22,financeiro[idDet2],60,financeiro[idDet3],529,financeiro[id_grupo_tarifa],1,financeiro[id_detalhe_grupo_tarifa],2,financeiro[id_tipo_tarifa],9,financeiro[valor],"&gt;0")</f>
        <v>0</v>
      </c>
      <c r="AB53" s="269"/>
      <c r="AC53" s="267">
        <f>SUMIFS(financeiro[valor],financeiro[IdAgente],B53,financeiro[idDet1],22,financeiro[idDet2],60,financeiro[idDet3],999,financeiro[id_grupo_tarifa],2,financeiro[id_detalhe_grupo_tarifa],30,financeiro[id_tipo_tarifa],9,financeiro[valor],"&gt;0")</f>
        <v>0</v>
      </c>
      <c r="AD53" s="267">
        <f>SUMIFS(financeiro[valor],financeiro[IdAgente],B53,financeiro[idDet1],22,financeiro[idDet2],60,financeiro[idDet3],178,financeiro[id_grupo_tarifa],1,financeiro[id_detalhe_grupo_tarifa],7,financeiro[id_tipo_tarifa],9)</f>
        <v>-54185.986114617903</v>
      </c>
      <c r="AE53" s="267">
        <f>SUMIFS(financeiro[valor],financeiro[IdAgente],B53,financeiro[idDet1],22,financeiro[idDet2],60,financeiro[idDet3],242,financeiro[id_grupo_tarifa],4,financeiro[id_detalhe_grupo_tarifa],999,financeiro[id_tipo_tarifa],9)</f>
        <v>-6656141.1525480896</v>
      </c>
      <c r="AF53" s="267">
        <f>SUMIFS(financeiro[valor],financeiro[IdAgente],B53,financeiro[idDet1],22,financeiro[idDet2],60,financeiro[idDet3],525,financeiro[id_grupo_tarifa],2,financeiro[id_tipo_tarifa],9)</f>
        <v>-21.309481847574499</v>
      </c>
      <c r="AG53" s="267">
        <f>SUMIFS(financeiro[valor],financeiro[IdAgente],B53,financeiro[idDet1],22,financeiro[idDet2],60,financeiro[idDet3],524)</f>
        <v>0</v>
      </c>
      <c r="AH53" s="269"/>
      <c r="AI53" s="267">
        <f>SUMIFS(financeiro[valor],financeiro[IdAgente],B53,financeiro[idDet1],22,financeiro[idDet2],60,financeiro[idDet3],523,financeiro[id_grupo_tarifa],2,financeiro[id_detalhe_grupo_tarifa],30,financeiro[id_tipo_tarifa],9)</f>
        <v>0</v>
      </c>
      <c r="AJ53" s="267">
        <f>SUMIFS(financeiro[valor],financeiro[IdAgente],B53,financeiro[idDet1],22,financeiro[idDet2],60,financeiro[idDet3],503,financeiro[id_grupo_tarifa],99,financeiro[id_detalhe_grupo_tarifa],999,financeiro[id_tipo_tarifa],3)</f>
        <v>0</v>
      </c>
      <c r="AK53" s="269"/>
      <c r="AL53" s="269"/>
      <c r="AM53" s="269"/>
      <c r="AN53" s="269"/>
      <c r="AO53" s="269"/>
      <c r="AP53" s="269"/>
      <c r="AQ53" s="269"/>
      <c r="AR53" s="269"/>
      <c r="AS53" s="269"/>
      <c r="AT53" s="267">
        <f>SUMIFS(financeiro[valor],financeiro[IdAgente],B53,financeiro[idDet1],22,financeiro[idDet2],60,financeiro[idDet3],235,financeiro[id_grupo_tarifa],4,financeiro[id_detalhe_grupo_tarifa],999,financeiro[id_tipo_tarifa],9)</f>
        <v>0</v>
      </c>
      <c r="AU53" s="267">
        <f>SUMIFS(financeiro[valor],financeiro[IdAgente],B53,financeiro[idDet1],22,financeiro[idDet2],60,financeiro[idDet3],512,financeiro[id_grupo_tarifa],3,financeiro[id_detalhe_grupo_tarifa],28,financeiro[id_tipo_tarifa],9)</f>
        <v>0</v>
      </c>
      <c r="AV53" s="267">
        <f>SUMIFS(financeiro[valor],financeiro[IdAgente],B53,financeiro[idDet1],22,financeiro[idDet2],60,financeiro[idDet3],241,financeiro[id_grupo_tarifa],2,financeiro[id_detalhe_grupo_tarifa],11,financeiro[id_tipo_tarifa],9)+SUMIFS(financeiro[valor],financeiro[IdAgente],B53,financeiro[idDet1],22,financeiro[idDet2],60,financeiro[idDet3],241,financeiro[id_grupo_tarifa],2,financeiro[id_detalhe_grupo_tarifa],9,financeiro[id_tipo_tarifa],9)+SUMIFS(financeiro[valor],financeiro[IdAgente],B53,financeiro[idDet1],22,financeiro[idDet2],60,financeiro[idDet3],241,financeiro[id_grupo_tarifa],2,financeiro[id_detalhe_grupo_tarifa],8,financeiro[id_tipo_tarifa],9)+SUMIFS(financeiro[valor],financeiro[IdAgente],B53,financeiro[idDet1],22,financeiro[idDet2],60,financeiro[idDet3],241,financeiro[id_grupo_tarifa],2,financeiro[id_detalhe_grupo_tarifa],10,financeiro[id_tipo_tarifa],9)+SUMIFS(financeiro[valor],financeiro[IdAgente],B53,financeiro[idDet1],22,financeiro[idDet2],60,financeiro[idDet3],241,financeiro[id_grupo_tarifa],2,financeiro[id_detalhe_grupo_tarifa],24,financeiro[id_tipo_tarifa],9)</f>
        <v>0</v>
      </c>
      <c r="AW53" s="267">
        <f>SUMIFS(financeiro[valor],financeiro[IdAgente],B53,financeiro[idDet1],22,financeiro[idDet2],60,financeiro[idDet3],241,financeiro[id_grupo_tarifa],3,financeiro[id_detalhe_grupo_tarifa],17,financeiro[id_tipo_tarifa],9)</f>
        <v>0</v>
      </c>
      <c r="AX53" s="267">
        <f>SUMIFS(financeiro[valor],financeiro[IdAgente],B53,financeiro[idDet1],22,financeiro[idDet2],60,financeiro[idDet3],240,financeiro[id_grupo_tarifa],2,financeiro[id_detalhe_grupo_tarifa],11,financeiro[id_tipo_tarifa],9)+SUMIFS(financeiro[valor],financeiro[IdAgente],B53,financeiro[idDet1],22,financeiro[idDet2],60,financeiro[idDet3],240,financeiro[id_grupo_tarifa],2,financeiro[id_detalhe_grupo_tarifa],9,financeiro[id_tipo_tarifa],9)+SUMIFS(financeiro[valor],financeiro[IdAgente],B53,financeiro[idDet1],22,financeiro[idDet2],60,financeiro[idDet3],240,financeiro[id_grupo_tarifa],2,financeiro[id_detalhe_grupo_tarifa],8,financeiro[id_tipo_tarifa],9)+SUMIFS(financeiro[valor],financeiro[IdAgente],B53,financeiro[idDet1],22,financeiro[idDet2],60,financeiro[idDet3],240,financeiro[id_grupo_tarifa],2,financeiro[id_detalhe_grupo_tarifa],10,financeiro[id_tipo_tarifa],9)+SUMIFS(financeiro[valor],financeiro[IdAgente],B53,financeiro[idDet1],22,financeiro[idDet2],60,financeiro[idDet3],240,financeiro[id_grupo_tarifa],2,financeiro[id_detalhe_grupo_tarifa],24,financeiro[id_tipo_tarifa],9)</f>
        <v>0</v>
      </c>
      <c r="AY53" s="267">
        <f>SUMIFS(financeiro[valor],financeiro[IdAgente],B53,financeiro[idDet1],22,financeiro[idDet2],60,financeiro[idDet3],106,financeiro[id_grupo_tarifa],2,financeiro[id_detalhe_grupo_tarifa],11,financeiro[id_tipo_tarifa],9)+SUMIFS(financeiro[valor],financeiro[IdAgente],B53,financeiro[idDet1],22,financeiro[idDet2],60,financeiro[idDet3],106,financeiro[id_grupo_tarifa],2,financeiro[id_detalhe_grupo_tarifa],9,financeiro[id_tipo_tarifa],9)+SUMIFS(financeiro[valor],financeiro[IdAgente],B53,financeiro[idDet1],22,financeiro[idDet2],60,financeiro[idDet3],106,financeiro[id_grupo_tarifa],2,financeiro[id_detalhe_grupo_tarifa],8,financeiro[id_tipo_tarifa],9)+SUMIFS(financeiro[valor],financeiro[IdAgente],B53,financeiro[idDet1],22,financeiro[idDet2],60,financeiro[idDet3],106,financeiro[id_grupo_tarifa],2,financeiro[id_detalhe_grupo_tarifa],10,financeiro[id_tipo_tarifa],9)+SUMIFS(financeiro[valor],financeiro[IdAgente],B53,financeiro[idDet1],22,financeiro[idDet2],60,financeiro[idDet3],106,financeiro[id_grupo_tarifa],2,financeiro[id_detalhe_grupo_tarifa],24,financeiro[id_tipo_tarifa],9)</f>
        <v>0</v>
      </c>
      <c r="AZ53" s="267">
        <f>SUMIFS(financeiro[valor],financeiro[IdAgente],B53,financeiro[idDet1],22,financeiro[idDet2],62,financeiro[idDet3],220,financeiro[id_grupo_tarifa],2,financeiro[id_detalhe_grupo_tarifa],11,financeiro[id_tipo_tarifa],9)+SUMIFS(financeiro[valor],financeiro[IdAgente],B53,financeiro[idDet1],22,financeiro[idDet2],62,financeiro[idDet3],220,financeiro[id_grupo_tarifa],2,financeiro[id_detalhe_grupo_tarifa],9,financeiro[id_tipo_tarifa],9)+SUMIFS(financeiro[valor],financeiro[IdAgente],B53,financeiro[idDet1],22,financeiro[idDet2],62,financeiro[idDet3],220,financeiro[id_grupo_tarifa],2,financeiro[id_detalhe_grupo_tarifa],8,financeiro[id_tipo_tarifa],9)+SUMIFS(financeiro[valor],financeiro[IdAgente],B53,financeiro[idDet1],22,financeiro[idDet2],62,financeiro[idDet3],220,financeiro[id_grupo_tarifa],2,financeiro[id_detalhe_grupo_tarifa],10,financeiro[id_tipo_tarifa],9)+SUMIFS(financeiro[valor],financeiro[IdAgente],B53,financeiro[idDet1],22,financeiro[idDet2],62,financeiro[idDet3],220,financeiro[id_grupo_tarifa],2,financeiro[id_detalhe_grupo_tarifa],24,financeiro[id_tipo_tarifa],9)</f>
        <v>0</v>
      </c>
      <c r="BA53" s="267">
        <f>SUMIFS(financeiro[valor],financeiro[IdAgente],B53,financeiro[idDet1],22,financeiro[idDet2],60,financeiro[idDet3],220,financeiro[id_grupo_tarifa],2,financeiro[id_detalhe_grupo_tarifa],11,financeiro[id_tipo_tarifa],9)+SUMIFS(financeiro[valor],financeiro[IdAgente],B53,financeiro[idDet1],22,financeiro[idDet2],60,financeiro[idDet3],220,financeiro[id_grupo_tarifa],2,financeiro[id_detalhe_grupo_tarifa],9,financeiro[id_tipo_tarifa],9)+SUMIFS(financeiro[valor],financeiro[IdAgente],B53,financeiro[idDet1],22,financeiro[idDet2],60,financeiro[idDet3],220,financeiro[id_grupo_tarifa],2,financeiro[id_detalhe_grupo_tarifa],8,financeiro[id_tipo_tarifa],9)+SUMIFS(financeiro[valor],financeiro[IdAgente],B53,financeiro[idDet1],22,financeiro[idDet2],60,financeiro[idDet3],220,financeiro[id_grupo_tarifa],2,financeiro[id_detalhe_grupo_tarifa],10,financeiro[id_tipo_tarifa],9)+SUMIFS(financeiro[valor],financeiro[IdAgente],B53,financeiro[idDet1],22,financeiro[idDet2],60,financeiro[idDet3],220,financeiro[id_grupo_tarifa],2,financeiro[id_detalhe_grupo_tarifa],24,financeiro[id_tipo_tarifa],9)</f>
        <v>0</v>
      </c>
      <c r="BB53" s="267">
        <f>SUMIFS(financeiro[valor],financeiro[IdAgente],B53,financeiro[idDet1],22,financeiro[idDet2],60,financeiro[idDet3],102,financeiro[id_grupo_tarifa],2,financeiro[id_detalhe_grupo_tarifa],11,financeiro[id_tipo_tarifa],9)+SUMIFS(financeiro[valor],financeiro[IdAgente],B53,financeiro[idDet1],22,financeiro[idDet2],60,financeiro[idDet3],102,financeiro[id_grupo_tarifa],2,financeiro[id_detalhe_grupo_tarifa],9,financeiro[id_tipo_tarifa],9)+SUMIFS(financeiro[valor],financeiro[IdAgente],B53,financeiro[idDet1],22,financeiro[idDet2],60,financeiro[idDet3],102,financeiro[id_grupo_tarifa],2,financeiro[id_detalhe_grupo_tarifa],8,financeiro[id_tipo_tarifa],9)+SUMIFS(financeiro[valor],financeiro[IdAgente],B53,financeiro[idDet1],22,financeiro[idDet2],60,financeiro[idDet3],102,financeiro[id_grupo_tarifa],2,financeiro[id_detalhe_grupo_tarifa],10,financeiro[id_tipo_tarifa],9)+SUMIFS(financeiro[valor],financeiro[IdAgente],B53,financeiro[idDet1],22,financeiro[idDet2],60,financeiro[idDet3],102,financeiro[id_grupo_tarifa],2,financeiro[id_detalhe_grupo_tarifa],24,financeiro[id_tipo_tarifa],9)</f>
        <v>0</v>
      </c>
      <c r="BC53" s="267">
        <f>SUMIFS(financeiro[valor],financeiro[IdAgente],B53,financeiro[idDet1],22,financeiro[idDet2],60,financeiro[idDet3],522,financeiro[valor],"&lt;0")</f>
        <v>0</v>
      </c>
      <c r="BD53" s="267">
        <f>SUMIFS(financeiro[valor],financeiro[IdAgente],B53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53" s="267">
        <f>SUMIFS(financeiro[valor],financeiro[IdAgente],B53,financeiro[id_natureza_dado],2,financeiro[id_detalhe_natureza],2,financeiro[idDet1],20,financeiro[idDet2],60,financeiro[idDet3],82,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53" s="267">
        <f>SUMIFS(financeiro[valor],financeiro[IdAgente],B53,financeiro[id_natureza_dado],2,financeiro[id_detalhe_natureza],2,financeiro[idDet1],20,financeiro[idDet2],60,financeiro[idDet3],81,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53" s="267">
        <f>SUMIFS(financeiro[valor],financeiro[IdAgente],B53,financeiro[id_natureza_dado],2,financeiro[id_detalhe_natureza],2,financeiro[idDet1],20,financeiro[idDet2],60,financeiro[idDet3],503,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53" s="267">
        <f>SUMIFS(financeiro[valor],financeiro[IdAgente],B53,financeiro[idDet1],22,financeiro[idDet2],60,financeiro[idDet3],123)</f>
        <v>0</v>
      </c>
      <c r="BI53" s="267">
        <f>SUMIFS(financeiro[valor],financeiro[IdAgente],B53,financeiro[idDet1],20,financeiro[idDet2],60,financeiro[idDet3],73)</f>
        <v>0</v>
      </c>
      <c r="BJ53" s="267">
        <f>SUMIFS(financeiro[valor],financeiro[IdAgente],B53,financeiro[idDet1],22,financeiro[idDet2],60,financeiro[idDet3],527)</f>
        <v>0</v>
      </c>
      <c r="BK53" s="267">
        <f>SUMIFS(financeiro[valor],financeiro[IdAgente],B53,financeiro[idDet1],22,financeiro[idDet2],60,financeiro[idDet3],510)</f>
        <v>0</v>
      </c>
      <c r="BL53" s="267">
        <f>SUMIFS(financeiro[valor],financeiro[IdAgente],B53,financeiro[idDet1],22,financeiro[idDet2],60,financeiro[idDet3],526,
financeiro[id_grupo_tarifa],1,financeiro[id_detalhe_grupo_tarifa],3,financeiro[id_tipo_tarifa],9,financeiro[id_subgrupo],3)</f>
        <v>0</v>
      </c>
      <c r="BM53" s="267">
        <f>SUMIFS(financeiro[valor],financeiro[IdAgente],B53,financeiro[idDet1],22,financeiro[idDet2],60,financeiro[idDet3],999,
financeiro[id_grupo_tarifa],3,financeiro[id_detalhe_grupo_tarifa],17,financeiro[id_tipo_tarifa],9)</f>
        <v>0</v>
      </c>
      <c r="BN53" s="267">
        <f>SUMIFS(financeiro[valor],financeiro[IdAgente],B53,financeiro[idDet1],22,financeiro[idDet2],60,financeiro[idDet3],526,financeiro[id_grupo_tarifa],1,financeiro[id_detalhe_grupo_tarifa],7,financeiro[id_tipo_tarifa],9,financeiro[valor],"&lt;0")+SUMIFS(financeiro[valor],financeiro[IdAgente],B53,financeiro[idDet1],22,financeiro[idDet2],60,financeiro[idDet3],526,financeiro[id_grupo_tarifa],2,financeiro[id_detalhe_grupo_tarifa],11,financeiro[id_tipo_tarifa],9,financeiro[valor],"&lt;0")+SUMIFS(financeiro[valor],financeiro[IdAgente],B53,financeiro[idDet1],22,financeiro[idDet2],60,financeiro[idDet3],526,financeiro[id_grupo_tarifa],2,financeiro[id_detalhe_grupo_tarifa],8,financeiro[id_tipo_tarifa],9,financeiro[valor],"&lt;0")</f>
        <v>0</v>
      </c>
      <c r="BO53" s="267">
        <f>SUMIFS(financeiro[valor],financeiro[IdAgente],B53,financeiro[idDet1],22,financeiro[idDet2],60,financeiro[idDet3],999,financeiro[id_grupo_tarifa],4,financeiro[id_detalhe_grupo_tarifa],999,financeiro[id_tipo_tarifa],9,financeiro[valor],"&lt;0")</f>
        <v>0</v>
      </c>
      <c r="BP53" s="267">
        <f>SUMIFS(financeiro[valor],financeiro[IdAgente],B53,financeiro[idDet1],22,financeiro[idDet2],60,financeiro[idDet3],530,financeiro[valor],"&lt;0")</f>
        <v>0</v>
      </c>
      <c r="BQ53" s="267">
        <f>SUMIFS(financeiro[valor],financeiro[IdAgente],B53,financeiro[idDet1],22,financeiro[idDet2],60,financeiro[idDet3],531,financeiro[valor],"&lt;0")</f>
        <v>0</v>
      </c>
      <c r="BR53" s="267">
        <f>SUMIFS(financeiro[valor],financeiro[IdAgente],B53,financeiro[idDet1],22,financeiro[idDet2],62,financeiro[idDet3],532,financeiro[valor],"&lt;0")</f>
        <v>0</v>
      </c>
      <c r="BS53" s="267">
        <f>SUMIFS(financeiro[valor],financeiro[IdAgente],B53,financeiro[idDet1],22,financeiro[idDet2],62,financeiro[idDet3],533,financeiro[valor],"&lt;0")</f>
        <v>0</v>
      </c>
      <c r="BT53" s="267">
        <f>SUMIFS(financeiro[valor],financeiro[IdAgente],B53,financeiro[idDet1],22,financeiro[idDet2],62,financeiro[idDet3],534,financeiro[valor],"&lt;0")</f>
        <v>0</v>
      </c>
      <c r="BW53" s="211" t="s">
        <v>234</v>
      </c>
      <c r="BX53">
        <f>Efeito!B54</f>
        <v>5345</v>
      </c>
      <c r="BY53" s="267">
        <f>SUMIFS(Banco[valor],Banco[IdAgente],BX53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1419599.8229700001</v>
      </c>
      <c r="BZ53" s="267">
        <f>SUMIFS(Banco[valor],Banco[IdAgente],BX53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53" s="267">
        <f>SUMIFS(Banco[valor],Banco[IdAgente],BX53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53" s="267">
        <f>SUMIFS(Banco[valor],Banco[IdAgente],BX53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108894.80684999999</v>
      </c>
      <c r="CC53" s="267">
        <f>SUMIFS(Banco[valor],Banco[IdAgente],BX53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53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67404.503564488899</v>
      </c>
      <c r="CD53" s="267">
        <f>SUMIFS(Banco[valor],Banco[IdAgente],BX53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53" s="267">
        <f>SUMIFS(Banco[valor],Banco[IdAgente],BX53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198513.85493999999</v>
      </c>
      <c r="CF53" s="267">
        <f>SUMIFS(Banco[valor],Banco[IdAgente],BX53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55049.951316139501</v>
      </c>
      <c r="CG53" s="267">
        <f>SUMIFS(Banco[valor],Banco[IdAgente],BX53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53" s="267">
        <f>SUMIFS(Banco[valor],Banco[IdAgente],BX53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53" s="267">
        <f>SUMIFS(Banco[valor],Banco[IdAgente],BX53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53" s="267">
        <f>SUMIFS(Banco[valor],Banco[IdAgente],BX53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3346245.14322</v>
      </c>
      <c r="CK53" s="267">
        <f>SUMIFS(Banco[valor],Banco[IdAgente],B53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7580510.5347935203</v>
      </c>
      <c r="CL53" s="267">
        <f>SUMIFS(Banco[valor],Banco[IdAgente],B53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8985963.3502573799</v>
      </c>
      <c r="CM53" s="267">
        <f>SUMIFS(Banco[valor],Banco[IdAgente],B53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13406167.2978734</v>
      </c>
    </row>
    <row r="54" spans="1:91">
      <c r="A54" t="s">
        <v>286</v>
      </c>
      <c r="B54" t="str">
        <f>Efeito!B55</f>
        <v>NO SELECT</v>
      </c>
      <c r="C54" s="267">
        <f>SUMIFS(Banco[valor],Banco[IdAgente],B54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54" s="267">
        <f>SUMIFS(Banco[valor],Banco[IdAgente],B54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54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54" s="267">
        <f>SUMIFS(Banco[valor],Banco[IdAgente],B54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54" s="267">
        <f>SUMIFS(Banco[valor],Banco[IdAgente],B54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54" s="267">
        <f>SUMIFS(Banco[valor],Banco[IdAgente],B54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54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54" s="267">
        <f>SUMIFS(Banco[valor],Banco[IdAgente],B54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54" s="267">
        <f>SUMIFS(Banco[valor],Banco[IdAgente],B54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54" s="267">
        <f>SUMIFS(Banco[valor],Banco[IdAgente],B54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54" s="267">
        <f>SUMIFS(Banco[valor],Banco[IdAgente],B54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54" s="267">
        <f>SUMIFS(Banco[valor],Banco[IdAgente],B54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54" s="267">
        <f>SUMIFS(Banco[valor],Banco[IdAgente],B54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54" s="267">
        <f>SUMIFS(Banco[valor],Banco[IdAgente],B54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54" s="267">
        <f>SUMIFS(Banco[valor],Banco[IdAgente],B54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54" s="267">
        <f t="shared" si="3"/>
        <v>0</v>
      </c>
      <c r="Q54" s="267">
        <f>SUMIFS(Banco[valor],Banco[IdAgente],B54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54" s="267">
        <f>SUMIFS(Banco[valor],Banco[IdAgente],B54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54" s="4"/>
      <c r="T54" s="4"/>
      <c r="U54" s="4"/>
      <c r="V54" s="267">
        <f>SUMIFS(financeiro[valor],financeiro[IdAgente],B54,financeiro[idDet1],22,financeiro[idDet2],60,financeiro[idDet3],526,financeiro[id_grupo_tarifa],1,financeiro[id_detalhe_grupo_tarifa],7,financeiro[id_tipo_tarifa],9,financeiro[id_subgrupo],99,financeiro[valor],"&gt;0")+SUMIFS(financeiro[valor],financeiro[IdAgente],B54,financeiro[idDet1],22,financeiro[idDet2],60,financeiro[idDet3],526,financeiro[id_grupo_tarifa],2,financeiro[id_detalhe_grupo_tarifa],11,financeiro[id_tipo_tarifa],9,financeiro[valor],"&gt;0")+SUMIFS(financeiro[valor],financeiro[IdAgente],B54,financeiro[idDet1],22,financeiro[idDet2],60,financeiro[idDet3],526,financeiro[id_grupo_tarifa],2,financeiro[id_detalhe_grupo_tarifa],9,financeiro[id_tipo_tarifa],9,financeiro[valor],"&gt;0")+SUMIFS(financeiro[valor],financeiro[IdAgente],B54,financeiro[idDet1],22,financeiro[idDet2],60,financeiro[idDet3],526,financeiro[id_grupo_tarifa],2,financeiro[id_detalhe_grupo_tarifa],8,financeiro[id_tipo_tarifa],9,financeiro[valor],"&gt;0")+SUMIFS(financeiro[valor],financeiro[IdAgente],B54,financeiro[idDet1],22,financeiro[idDet2],60,financeiro[idDet3],526,financeiro[id_grupo_tarifa],2,financeiro[id_detalhe_grupo_tarifa],10,financeiro[id_tipo_tarifa],9,financeiro[valor],"&gt;0")+SUMIFS(financeiro[valor],financeiro[IdAgente],B54,financeiro[idDet1],22,financeiro[idDet2],60,financeiro[idDet3],526,financeiro[id_grupo_tarifa],2,financeiro[id_detalhe_grupo_tarifa],24,financeiro[id_tipo_tarifa],9,financeiro[valor],"&gt;0")</f>
        <v>0</v>
      </c>
      <c r="W54" s="267">
        <f>SUMIFS(financeiro[valor],financeiro[IdAgente],B54,financeiro[idDet1],20,financeiro[idDet2],60,financeiro[idDet3],999,financeiro[id_grupo_tarifa],3,financeiro[id_detalhe_grupo_tarifa],14,financeiro[id_tipo_tarifa],9)+SUMIFS(financeiro[valor],financeiro[IdAgente],B54,financeiro[idDet1],20,financeiro[idDet2],60,financeiro[idDet3],999,financeiro[id_grupo_tarifa],3,financeiro[id_detalhe_grupo_tarifa],15,financeiro[id_tipo_tarifa],9)+SUMIFS(financeiro[valor],financeiro[IdAgente],B54,financeiro[idDet1],20,financeiro[idDet2],60,financeiro[idDet3],999,financeiro[id_grupo_tarifa],3,financeiro[id_detalhe_grupo_tarifa],16,financeiro[id_tipo_tarifa],9)+SUMIFS(financeiro[valor],financeiro[IdAgente],B54,financeiro[idDet1],20,financeiro[idDet2],60,financeiro[idDet3],999,financeiro[id_grupo_tarifa],3,financeiro[id_detalhe_grupo_tarifa],17,financeiro[id_tipo_tarifa],9)+SUMIFS(financeiro[valor],financeiro[IdAgente],B54,financeiro[idDet1],20,financeiro[idDet2],60,financeiro[idDet3],999,financeiro[id_grupo_tarifa],3,financeiro[id_detalhe_grupo_tarifa],18,financeiro[id_tipo_tarifa],9)+SUMIFS(financeiro[valor],financeiro[IdAgente],B54,financeiro[idDet1],20,financeiro[idDet2],60,financeiro[idDet3],999,financeiro[id_grupo_tarifa],3,financeiro[id_detalhe_grupo_tarifa],19,financeiro[id_tipo_tarifa],9)</f>
        <v>0</v>
      </c>
      <c r="X54" s="267">
        <f>SUMIFS(financeiro[valor],financeiro[IdAgente],B54,financeiro[idDet1],20,financeiro[idDet2],60,financeiro[idDet3],999,financeiro[id_grupo_tarifa],3,financeiro[id_detalhe_grupo_tarifa],12,financeiro[id_tipo_tarifa],9)+SUMIFS(financeiro[valor],financeiro[IdAgente],B54,financeiro[idDet1],20,financeiro[idDet2],60,financeiro[idDet3],999,financeiro[id_grupo_tarifa],4,financeiro[id_detalhe_grupo_tarifa],999,financeiro[id_tipo_tarifa],9)</f>
        <v>0</v>
      </c>
      <c r="Y54" s="267">
        <f>SUMIFS(financeiro[valor],financeiro[IdAgente],B54,financeiro[idDet1],20,financeiro[idDet2],60,financeiro[idDet3],179,financeiro[id_grupo_tarifa],99,financeiro[id_detalhe_grupo_tarifa],999,financeiro[id_tipo_tarifa],9)</f>
        <v>0</v>
      </c>
      <c r="Z54" s="267">
        <f>SUMIFS(financeiro[valor],financeiro[IdAgente],B54,financeiro[idDet1],20,financeiro[idDet2],60,financeiro[idDet3],999,financeiro[id_grupo_tarifa],2,financeiro[id_detalhe_grupo_tarifa],11,financeiro[id_tipo_tarifa],9,financeiro[valor],"&gt;0")+SUMIFS(financeiro[valor],financeiro[IdAgente],B54,financeiro[idDet1],20,financeiro[idDet2],60,financeiro[idDet3],999,financeiro[id_grupo_tarifa],2,financeiro[id_detalhe_grupo_tarifa],9,financeiro[id_tipo_tarifa],9,financeiro[valor],"&gt;0")+SUMIFS(financeiro[valor],financeiro[IdAgente],B54,financeiro[idDet1],20,financeiro[idDet2],60,financeiro[idDet3],999,financeiro[id_grupo_tarifa],2,financeiro[id_detalhe_grupo_tarifa],8,financeiro[id_tipo_tarifa],9,financeiro[valor],"&gt;0")+SUMIFS(financeiro[valor],financeiro[IdAgente],B54,financeiro[idDet1],20,financeiro[idDet2],60,financeiro[idDet3],999,financeiro[id_grupo_tarifa],2,financeiro[id_detalhe_grupo_tarifa],10,financeiro[id_tipo_tarifa],9,financeiro[valor],"&gt;0")+SUMIFS(financeiro[valor],financeiro[IdAgente],B54,financeiro[idDet1],20,financeiro[idDet2],60,financeiro[idDet3],999,financeiro[id_grupo_tarifa],2,financeiro[id_detalhe_grupo_tarifa],24,financeiro[id_tipo_tarifa],9,financeiro[valor],"&gt;0")+SUMIFS(financeiro[valor],financeiro[IdAgente],B54,financeiro[idDet1],20,financeiro[idDet2],60,financeiro[idDet3],999,financeiro[id_grupo_tarifa],2,financeiro[id_detalhe_grupo_tarifa],17,financeiro[id_tipo_tarifa],9,financeiro[valor],"&gt;0")+SUMIFS(financeiro[valor],financeiro[IdAgente],B54,financeiro[idDet1],999,financeiro[idDet2],999999,financeiro[idDet3],999,financeiro[id_grupo_tarifa],99,financeiro[id_detalhe_grupo_tarifa],999,financeiro[id_tipo_tarifa],9,financeiro[valor],"&gt;0")</f>
        <v>0</v>
      </c>
      <c r="AA54" s="267">
        <f>SUMIFS(financeiro[valor],financeiro[IdAgente],B54,financeiro[idDet1],22,financeiro[idDet2],60,financeiro[idDet3],529,financeiro[id_grupo_tarifa],1,financeiro[id_detalhe_grupo_tarifa],1,financeiro[id_tipo_tarifa],9,financeiro[valor],"&gt;0")+SUMIFS(financeiro[valor],financeiro[IdAgente],B54,financeiro[idDet1],22,financeiro[idDet2],60,financeiro[idDet3],529,financeiro[id_grupo_tarifa],1,financeiro[id_detalhe_grupo_tarifa],2,financeiro[id_tipo_tarifa],9,financeiro[valor],"&gt;0")</f>
        <v>0</v>
      </c>
      <c r="AB54" s="104"/>
      <c r="AC54" s="5">
        <f>SUMIFS(financeiro[valor],financeiro[IdAgente],B54,financeiro[idDet1],22,financeiro[idDet2],60,financeiro[idDet3],999,financeiro[id_grupo_tarifa],2,financeiro[id_detalhe_grupo_tarifa],30,financeiro[id_tipo_tarifa],9,financeiro[valor],"&gt;0")</f>
        <v>0</v>
      </c>
      <c r="AD54" s="267">
        <f>SUMIFS(financeiro[valor],financeiro[IdAgente],B54,financeiro[idDet1],22,financeiro[idDet2],60,financeiro[idDet3],178,financeiro[id_grupo_tarifa],1,financeiro[id_detalhe_grupo_tarifa],7,financeiro[id_tipo_tarifa],9)</f>
        <v>0</v>
      </c>
      <c r="AE54" s="5">
        <f>SUMIFS(financeiro[valor],financeiro[IdAgente],B54,financeiro[idDet1],22,financeiro[idDet2],60,financeiro[idDet3],242,financeiro[id_grupo_tarifa],4,financeiro[id_detalhe_grupo_tarifa],999,financeiro[id_tipo_tarifa],9)</f>
        <v>0</v>
      </c>
      <c r="AF54" s="267">
        <f>SUMIFS(financeiro[valor],financeiro[IdAgente],B54,financeiro[idDet1],22,financeiro[idDet2],60,financeiro[idDet3],525,financeiro[id_grupo_tarifa],2,financeiro[id_tipo_tarifa],9)</f>
        <v>0</v>
      </c>
      <c r="AG54" s="267">
        <f>SUMIFS(financeiro[valor],financeiro[IdAgente],B54,financeiro[idDet1],22,financeiro[idDet2],60,financeiro[idDet3],524)</f>
        <v>0</v>
      </c>
      <c r="AH54" s="230"/>
      <c r="AI54" s="267">
        <f>SUMIFS(financeiro[valor],financeiro[IdAgente],B54,financeiro[idDet1],22,financeiro[idDet2],60,financeiro[idDet3],523,financeiro[id_grupo_tarifa],2,financeiro[id_detalhe_grupo_tarifa],30,financeiro[id_tipo_tarifa],9)</f>
        <v>0</v>
      </c>
      <c r="AJ54" s="267">
        <f>SUMIFS(financeiro[valor],financeiro[IdAgente],B54,financeiro[idDet1],22,financeiro[idDet2],60,financeiro[idDet3],503,financeiro[id_grupo_tarifa],99,financeiro[id_detalhe_grupo_tarifa],999,financeiro[id_tipo_tarifa],3)</f>
        <v>0</v>
      </c>
      <c r="AK54" s="230"/>
      <c r="AL54" s="274"/>
      <c r="AM54" s="274"/>
      <c r="AN54" s="274"/>
      <c r="AO54" s="274"/>
      <c r="AP54" s="274"/>
      <c r="AQ54" s="274"/>
      <c r="AR54" s="274"/>
      <c r="AS54" s="274"/>
      <c r="AT54" s="267">
        <f>SUMIFS(financeiro[valor],financeiro[IdAgente],B54,financeiro[idDet1],22,financeiro[idDet2],60,financeiro[idDet3],235,financeiro[id_grupo_tarifa],4,financeiro[id_detalhe_grupo_tarifa],999,financeiro[id_tipo_tarifa],9)</f>
        <v>0</v>
      </c>
      <c r="AU54" s="267">
        <f>SUMIFS(financeiro[valor],financeiro[IdAgente],B54,financeiro[idDet1],22,financeiro[idDet2],60,financeiro[idDet3],512,financeiro[id_grupo_tarifa],3,financeiro[id_detalhe_grupo_tarifa],28,financeiro[id_tipo_tarifa],9)</f>
        <v>0</v>
      </c>
      <c r="AV54" s="267">
        <f>SUMIFS(financeiro[valor],financeiro[IdAgente],B54,financeiro[idDet1],22,financeiro[idDet2],60,financeiro[idDet3],241,financeiro[id_grupo_tarifa],2,financeiro[id_detalhe_grupo_tarifa],11,financeiro[id_tipo_tarifa],9)+SUMIFS(financeiro[valor],financeiro[IdAgente],B54,financeiro[idDet1],22,financeiro[idDet2],60,financeiro[idDet3],241,financeiro[id_grupo_tarifa],2,financeiro[id_detalhe_grupo_tarifa],9,financeiro[id_tipo_tarifa],9)+SUMIFS(financeiro[valor],financeiro[IdAgente],B54,financeiro[idDet1],22,financeiro[idDet2],60,financeiro[idDet3],241,financeiro[id_grupo_tarifa],2,financeiro[id_detalhe_grupo_tarifa],8,financeiro[id_tipo_tarifa],9)+SUMIFS(financeiro[valor],financeiro[IdAgente],B54,financeiro[idDet1],22,financeiro[idDet2],60,financeiro[idDet3],241,financeiro[id_grupo_tarifa],2,financeiro[id_detalhe_grupo_tarifa],10,financeiro[id_tipo_tarifa],9)+SUMIFS(financeiro[valor],financeiro[IdAgente],B54,financeiro[idDet1],22,financeiro[idDet2],60,financeiro[idDet3],241,financeiro[id_grupo_tarifa],2,financeiro[id_detalhe_grupo_tarifa],24,financeiro[id_tipo_tarifa],9)</f>
        <v>0</v>
      </c>
      <c r="AW54" s="267">
        <f>SUMIFS(financeiro[valor],financeiro[IdAgente],B54,financeiro[idDet1],22,financeiro[idDet2],60,financeiro[idDet3],241,financeiro[id_grupo_tarifa],3,financeiro[id_detalhe_grupo_tarifa],17,financeiro[id_tipo_tarifa],9)</f>
        <v>0</v>
      </c>
      <c r="AX54" s="267">
        <f>SUMIFS(financeiro[valor],financeiro[IdAgente],B54,financeiro[idDet1],22,financeiro[idDet2],60,financeiro[idDet3],240,financeiro[id_grupo_tarifa],2,financeiro[id_detalhe_grupo_tarifa],11,financeiro[id_tipo_tarifa],9)+SUMIFS(financeiro[valor],financeiro[IdAgente],B54,financeiro[idDet1],22,financeiro[idDet2],60,financeiro[idDet3],240,financeiro[id_grupo_tarifa],2,financeiro[id_detalhe_grupo_tarifa],9,financeiro[id_tipo_tarifa],9)+SUMIFS(financeiro[valor],financeiro[IdAgente],B54,financeiro[idDet1],22,financeiro[idDet2],60,financeiro[idDet3],240,financeiro[id_grupo_tarifa],2,financeiro[id_detalhe_grupo_tarifa],8,financeiro[id_tipo_tarifa],9)+SUMIFS(financeiro[valor],financeiro[IdAgente],B54,financeiro[idDet1],22,financeiro[idDet2],60,financeiro[idDet3],240,financeiro[id_grupo_tarifa],2,financeiro[id_detalhe_grupo_tarifa],10,financeiro[id_tipo_tarifa],9)+SUMIFS(financeiro[valor],financeiro[IdAgente],B54,financeiro[idDet1],22,financeiro[idDet2],60,financeiro[idDet3],240,financeiro[id_grupo_tarifa],2,financeiro[id_detalhe_grupo_tarifa],24,financeiro[id_tipo_tarifa],9)</f>
        <v>0</v>
      </c>
      <c r="AY54" s="267">
        <f>SUMIFS(financeiro[valor],financeiro[IdAgente],B54,financeiro[idDet1],22,financeiro[idDet2],60,financeiro[idDet3],106,financeiro[id_grupo_tarifa],2,financeiro[id_detalhe_grupo_tarifa],11,financeiro[id_tipo_tarifa],9)+SUMIFS(financeiro[valor],financeiro[IdAgente],B54,financeiro[idDet1],22,financeiro[idDet2],60,financeiro[idDet3],106,financeiro[id_grupo_tarifa],2,financeiro[id_detalhe_grupo_tarifa],9,financeiro[id_tipo_tarifa],9)+SUMIFS(financeiro[valor],financeiro[IdAgente],B54,financeiro[idDet1],22,financeiro[idDet2],60,financeiro[idDet3],106,financeiro[id_grupo_tarifa],2,financeiro[id_detalhe_grupo_tarifa],8,financeiro[id_tipo_tarifa],9)+SUMIFS(financeiro[valor],financeiro[IdAgente],B54,financeiro[idDet1],22,financeiro[idDet2],60,financeiro[idDet3],106,financeiro[id_grupo_tarifa],2,financeiro[id_detalhe_grupo_tarifa],10,financeiro[id_tipo_tarifa],9)+SUMIFS(financeiro[valor],financeiro[IdAgente],B54,financeiro[idDet1],22,financeiro[idDet2],60,financeiro[idDet3],106,financeiro[id_grupo_tarifa],2,financeiro[id_detalhe_grupo_tarifa],24,financeiro[id_tipo_tarifa],9)</f>
        <v>0</v>
      </c>
      <c r="AZ54" s="267">
        <f>SUMIFS(financeiro[valor],financeiro[IdAgente],B54,financeiro[idDet1],22,financeiro[idDet2],62,financeiro[idDet3],220,financeiro[id_grupo_tarifa],2,financeiro[id_detalhe_grupo_tarifa],11,financeiro[id_tipo_tarifa],9)+SUMIFS(financeiro[valor],financeiro[IdAgente],B54,financeiro[idDet1],22,financeiro[idDet2],62,financeiro[idDet3],220,financeiro[id_grupo_tarifa],2,financeiro[id_detalhe_grupo_tarifa],9,financeiro[id_tipo_tarifa],9)+SUMIFS(financeiro[valor],financeiro[IdAgente],B54,financeiro[idDet1],22,financeiro[idDet2],62,financeiro[idDet3],220,financeiro[id_grupo_tarifa],2,financeiro[id_detalhe_grupo_tarifa],8,financeiro[id_tipo_tarifa],9)+SUMIFS(financeiro[valor],financeiro[IdAgente],B54,financeiro[idDet1],22,financeiro[idDet2],62,financeiro[idDet3],220,financeiro[id_grupo_tarifa],2,financeiro[id_detalhe_grupo_tarifa],10,financeiro[id_tipo_tarifa],9)+SUMIFS(financeiro[valor],financeiro[IdAgente],B54,financeiro[idDet1],22,financeiro[idDet2],62,financeiro[idDet3],220,financeiro[id_grupo_tarifa],2,financeiro[id_detalhe_grupo_tarifa],24,financeiro[id_tipo_tarifa],9)</f>
        <v>0</v>
      </c>
      <c r="BA54" s="267">
        <f>SUMIFS(financeiro[valor],financeiro[IdAgente],B54,financeiro[idDet1],22,financeiro[idDet2],60,financeiro[idDet3],220,financeiro[id_grupo_tarifa],2,financeiro[id_detalhe_grupo_tarifa],11,financeiro[id_tipo_tarifa],9)+SUMIFS(financeiro[valor],financeiro[IdAgente],B54,financeiro[idDet1],22,financeiro[idDet2],60,financeiro[idDet3],220,financeiro[id_grupo_tarifa],2,financeiro[id_detalhe_grupo_tarifa],9,financeiro[id_tipo_tarifa],9)+SUMIFS(financeiro[valor],financeiro[IdAgente],B54,financeiro[idDet1],22,financeiro[idDet2],60,financeiro[idDet3],220,financeiro[id_grupo_tarifa],2,financeiro[id_detalhe_grupo_tarifa],8,financeiro[id_tipo_tarifa],9)+SUMIFS(financeiro[valor],financeiro[IdAgente],B54,financeiro[idDet1],22,financeiro[idDet2],60,financeiro[idDet3],220,financeiro[id_grupo_tarifa],2,financeiro[id_detalhe_grupo_tarifa],10,financeiro[id_tipo_tarifa],9)+SUMIFS(financeiro[valor],financeiro[IdAgente],B54,financeiro[idDet1],22,financeiro[idDet2],60,financeiro[idDet3],220,financeiro[id_grupo_tarifa],2,financeiro[id_detalhe_grupo_tarifa],24,financeiro[id_tipo_tarifa],9)</f>
        <v>0</v>
      </c>
      <c r="BB54" s="267">
        <f>SUMIFS(financeiro[valor],financeiro[IdAgente],B54,financeiro[idDet1],22,financeiro[idDet2],60,financeiro[idDet3],102,financeiro[id_grupo_tarifa],2,financeiro[id_detalhe_grupo_tarifa],11,financeiro[id_tipo_tarifa],9)+SUMIFS(financeiro[valor],financeiro[IdAgente],B54,financeiro[idDet1],22,financeiro[idDet2],60,financeiro[idDet3],102,financeiro[id_grupo_tarifa],2,financeiro[id_detalhe_grupo_tarifa],9,financeiro[id_tipo_tarifa],9)+SUMIFS(financeiro[valor],financeiro[IdAgente],B54,financeiro[idDet1],22,financeiro[idDet2],60,financeiro[idDet3],102,financeiro[id_grupo_tarifa],2,financeiro[id_detalhe_grupo_tarifa],8,financeiro[id_tipo_tarifa],9)+SUMIFS(financeiro[valor],financeiro[IdAgente],B54,financeiro[idDet1],22,financeiro[idDet2],60,financeiro[idDet3],102,financeiro[id_grupo_tarifa],2,financeiro[id_detalhe_grupo_tarifa],10,financeiro[id_tipo_tarifa],9)+SUMIFS(financeiro[valor],financeiro[IdAgente],B54,financeiro[idDet1],22,financeiro[idDet2],60,financeiro[idDet3],102,financeiro[id_grupo_tarifa],2,financeiro[id_detalhe_grupo_tarifa],24,financeiro[id_tipo_tarifa],9)</f>
        <v>0</v>
      </c>
      <c r="BC54" s="267">
        <f>SUMIFS(financeiro[valor],financeiro[IdAgente],B54,financeiro[idDet1],22,financeiro[idDet2],60,financeiro[idDet3],522,financeiro[valor],"&lt;0")</f>
        <v>0</v>
      </c>
      <c r="BD54" s="267">
        <f>SUMIFS(financeiro[valor],financeiro[IdAgente],B54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54" s="267">
        <f>SUMIFS(financeiro[valor],financeiro[IdAgente],B54,financeiro[id_natureza_dado],2,financeiro[id_detalhe_natureza],2,financeiro[idDet1],20,financeiro[idDet2],60,financeiro[idDet3],82,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54" s="267">
        <f>SUMIFS(financeiro[valor],financeiro[IdAgente],B54,financeiro[id_natureza_dado],2,financeiro[id_detalhe_natureza],2,financeiro[idDet1],20,financeiro[idDet2],60,financeiro[idDet3],81,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54" s="267">
        <f>SUMIFS(financeiro[valor],financeiro[IdAgente],B54,financeiro[id_natureza_dado],2,financeiro[id_detalhe_natureza],2,financeiro[idDet1],20,financeiro[idDet2],60,financeiro[idDet3],503,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54" s="267">
        <f>SUMIFS(financeiro[valor],financeiro[IdAgente],B54,financeiro[idDet1],22,financeiro[idDet2],60,financeiro[idDet3],123)</f>
        <v>0</v>
      </c>
      <c r="BI54" s="267">
        <f>SUMIFS(financeiro[valor],financeiro[IdAgente],B54,financeiro[idDet1],20,financeiro[idDet2],60,financeiro[idDet3],73)</f>
        <v>0</v>
      </c>
      <c r="BJ54" s="267">
        <f>SUMIFS(financeiro[valor],financeiro[IdAgente],B54,financeiro[idDet1],22,financeiro[idDet2],60,financeiro[idDet3],527)</f>
        <v>0</v>
      </c>
      <c r="BK54" s="267">
        <f>SUMIFS(financeiro[valor],financeiro[IdAgente],B54,financeiro[idDet1],22,financeiro[idDet2],60,financeiro[idDet3],510)</f>
        <v>0</v>
      </c>
      <c r="BL54" s="267">
        <f>SUMIFS(financeiro[valor],financeiro[IdAgente],B54,financeiro[idDet1],22,financeiro[idDet2],60,financeiro[idDet3],526,
financeiro[id_grupo_tarifa],1,financeiro[id_detalhe_grupo_tarifa],3,financeiro[id_tipo_tarifa],9,financeiro[id_subgrupo],3)</f>
        <v>0</v>
      </c>
      <c r="BM54" s="267">
        <f>SUMIFS(financeiro[valor],financeiro[IdAgente],B54,financeiro[idDet1],22,financeiro[idDet2],60,financeiro[idDet3],999,
financeiro[id_grupo_tarifa],3,financeiro[id_detalhe_grupo_tarifa],17,financeiro[id_tipo_tarifa],9)</f>
        <v>0</v>
      </c>
      <c r="BN54" s="267">
        <f>SUMIFS(financeiro[valor],financeiro[IdAgente],B54,financeiro[idDet1],22,financeiro[idDet2],60,financeiro[idDet3],526,financeiro[id_grupo_tarifa],1,financeiro[id_detalhe_grupo_tarifa],7,financeiro[id_tipo_tarifa],9,financeiro[valor],"&lt;0")+SUMIFS(financeiro[valor],financeiro[IdAgente],B54,financeiro[idDet1],22,financeiro[idDet2],60,financeiro[idDet3],526,financeiro[id_grupo_tarifa],2,financeiro[id_detalhe_grupo_tarifa],11,financeiro[id_tipo_tarifa],9,financeiro[valor],"&lt;0")+SUMIFS(financeiro[valor],financeiro[IdAgente],B54,financeiro[idDet1],22,financeiro[idDet2],60,financeiro[idDet3],526,financeiro[id_grupo_tarifa],2,financeiro[id_detalhe_grupo_tarifa],8,financeiro[id_tipo_tarifa],9,financeiro[valor],"&lt;0")</f>
        <v>0</v>
      </c>
      <c r="BO54" s="267">
        <f>SUMIFS(financeiro[valor],financeiro[IdAgente],B54,financeiro[idDet1],22,financeiro[idDet2],60,financeiro[idDet3],999,financeiro[id_grupo_tarifa],4,financeiro[id_detalhe_grupo_tarifa],999,financeiro[id_tipo_tarifa],9,financeiro[valor],"&lt;0")</f>
        <v>0</v>
      </c>
      <c r="BP54" s="267">
        <f>SUMIFS(financeiro[valor],financeiro[IdAgente],B54,financeiro[idDet1],22,financeiro[idDet2],60,financeiro[idDet3],530,financeiro[valor],"&lt;0")</f>
        <v>0</v>
      </c>
      <c r="BQ54" s="267">
        <f>SUMIFS(financeiro[valor],financeiro[IdAgente],B54,financeiro[idDet1],22,financeiro[idDet2],60,financeiro[idDet3],531,financeiro[valor],"&lt;0")</f>
        <v>0</v>
      </c>
      <c r="BR54" s="267">
        <f>SUMIFS(financeiro[valor],financeiro[IdAgente],B54,financeiro[idDet1],22,financeiro[idDet2],62,financeiro[idDet3],532,financeiro[valor],"&lt;0")</f>
        <v>0</v>
      </c>
      <c r="BS54" s="267">
        <f>SUMIFS(financeiro[valor],financeiro[IdAgente],B54,financeiro[idDet1],22,financeiro[idDet2],62,financeiro[idDet3],533,financeiro[valor],"&lt;0")</f>
        <v>0</v>
      </c>
      <c r="BT54" s="267">
        <f>SUMIFS(financeiro[valor],financeiro[IdAgente],B54,financeiro[idDet1],22,financeiro[idDet2],62,financeiro[idDet3],534,financeiro[valor],"&lt;0")</f>
        <v>0</v>
      </c>
      <c r="BW54" s="210" t="s">
        <v>286</v>
      </c>
      <c r="BX54" t="str">
        <f>Efeito!B55</f>
        <v>NO SELECT</v>
      </c>
      <c r="BY54" s="267">
        <f>SUMIFS(Banco[valor],Banco[IdAgente],BX54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54" s="267">
        <f>SUMIFS(Banco[valor],Banco[IdAgente],BX54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54" s="267">
        <f>SUMIFS(Banco[valor],Banco[IdAgente],BX54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54" s="267">
        <f>SUMIFS(Banco[valor],Banco[IdAgente],BX54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54" s="267">
        <f>SUMIFS(Banco[valor],Banco[IdAgente],BX54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54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54" s="267">
        <f>SUMIFS(Banco[valor],Banco[IdAgente],BX54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54" s="267">
        <f>SUMIFS(Banco[valor],Banco[IdAgente],BX54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54" s="267">
        <f>SUMIFS(Banco[valor],Banco[IdAgente],BX54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54" s="267">
        <f>SUMIFS(Banco[valor],Banco[IdAgente],BX54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54" s="267">
        <f>SUMIFS(Banco[valor],Banco[IdAgente],BX54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54" s="267">
        <f>SUMIFS(Banco[valor],Banco[IdAgente],BX54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54" s="267">
        <f>SUMIFS(Banco[valor],Banco[IdAgente],BX54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54" s="267">
        <f>SUMIFS(Banco[valor],Banco[IdAgente],B54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54" s="267">
        <f>SUMIFS(Banco[valor],Banco[IdAgente],B54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54" s="267">
        <f>SUMIFS(Banco[valor],Banco[IdAgente],B54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55" spans="1:91">
      <c r="A55" t="s">
        <v>302</v>
      </c>
      <c r="B55" t="str">
        <f>Efeito!B56</f>
        <v>NO SELECT</v>
      </c>
      <c r="C55" s="267">
        <f>SUMIFS(Banco[valor],Banco[IdAgente],B55,Banco[id_natureza_dado],7,Banco[id_detalhe_natureza],1,Banco[idDet1],52,Banco[idDet2],999999,Banco[idDet3],999,Banco[id_grupo_tarifa],3,Banco[id_detalhe_grupo_tarifa],15,Banco[id_tipo_tarifa],9,Banco[id_subgrupo],99,Banco[id_posto],9,Banco[id_unidade],3,Banco[id_UC],99999)</f>
        <v>0</v>
      </c>
      <c r="D55" s="267">
        <f>SUMIFS(Banco[valor],Banco[IdAgente],B55,Banco[id_natureza_dado],7,Banco[id_detalhe_natureza],1,Banco[idDet1],52,Banco[idDet2],73,Banco[idDet3],999,Banco[id_grupo_tarifa],3,Banco[id_detalhe_grupo_tarifa],15,Banco[id_tipo_tarifa],9,Banco[id_subgrupo],99,Banco[id_posto],9,Banco[id_unidade],3,Banco[id_UC],99999)+SUMIFS(Banco[valor],Banco[IdAgente],B55,Banco[id_natureza_dado],7,Banco[id_detalhe_natureza],1,Banco[idDet1],52,Banco[idDet2],74,Banco[idDet3],999,Banco[id_grupo_tarifa],3,Banco[id_detalhe_grupo_tarifa],25,Banco[id_tipo_tarifa],9,Banco[id_subgrupo],99,Banco[id_posto],9,Banco[id_unidade],3,Banco[id_UC],99999)</f>
        <v>0</v>
      </c>
      <c r="E55" s="267">
        <f>SUMIFS(Banco[valor],Banco[IdAgente],B55,Banco[id_natureza_dado],7,Banco[id_detalhe_natureza],1,Banco[idDet1],52,Banco[idDet2],999999,Banco[idDet3],999,Banco[id_grupo_tarifa],3,Banco[id_detalhe_grupo_tarifa],28,Banco[id_tipo_tarifa],9,Banco[id_subgrupo],99,Banco[id_posto],9,Banco[id_unidade],3,Banco[id_UC],99999)</f>
        <v>0</v>
      </c>
      <c r="F55" s="267">
        <f>SUMIFS(Banco[valor],Banco[IdAgente],B55,Banco[id_natureza_dado],7,Banco[id_detalhe_natureza],1,Banco[idDet1],52,Banco[idDet2],999999,Banco[idDet3],999,Banco[id_grupo_tarifa],3,Banco[id_detalhe_grupo_tarifa],29,Banco[id_tipo_tarifa],9,Banco[id_subgrupo],99,Banco[id_posto],9,Banco[id_unidade],3,Banco[id_UC],99999)</f>
        <v>0</v>
      </c>
      <c r="G55" s="267">
        <f>SUMIFS(Banco[valor],Banco[IdAgente],B55,Banco[id_natureza_dado],7,Banco[id_detalhe_natureza],1,Banco[idDet1],52,Banco[idDet2],81,Banco[idDet3],999,Banco[id_grupo_tarifa],3,Banco[id_detalhe_grupo_tarifa],15,Banco[id_tipo_tarifa],9,Banco[id_subgrupo],99,Banco[id_posto],9,Banco[id_unidade],3,Banco[id_UC],99999)+SUMIFS(Banco[valor],Banco[IdAgente],B55,Banco[id_natureza_dado],7,Banco[id_detalhe_natureza],1,Banco[idDet1],52,Banco[idDet2],82,Banco[idDet3],999,Banco[id_grupo_tarifa],3,Banco[id_detalhe_grupo_tarifa],25,Banco[id_tipo_tarifa],9,Banco[id_subgrupo],99,Banco[id_posto],9,Banco[id_unidade],3,Banco[id_UC],99999)</f>
        <v>0</v>
      </c>
      <c r="H55" s="267">
        <f>SUMIFS(Banco[valor],Banco[IdAgente],B55,Banco[id_natureza_dado],7,Banco[id_detalhe_natureza],1,Banco[idDet1],52,Banco[idDet2],999999,Banco[idDet3],999,Banco[id_grupo_tarifa],3,Banco[id_detalhe_grupo_tarifa],17,Banco[id_tipo_tarifa],9,Banco[id_subgrupo],99,Banco[id_posto],9,Banco[id_unidade],3,Banco[id_UC],99999)</f>
        <v>0</v>
      </c>
      <c r="I55" s="267">
        <f>SUMIFS(Banco[valor],Banco[IdAgente],B55,Banco[id_natureza_dado],7,Banco[id_detalhe_natureza],1,Banco[idDet1],52,Banco[idDet2],999999,Banco[idDet3],999,Banco[id_grupo_tarifa],3,Banco[id_detalhe_grupo_tarifa],18,Banco[id_tipo_tarifa],9,Banco[id_subgrupo],99,Banco[id_posto],9,Banco[id_unidade],3,Banco[id_UC],99999)</f>
        <v>0</v>
      </c>
      <c r="J55" s="267">
        <f>SUMIFS(Banco[valor],Banco[IdAgente],B55,Banco[id_natureza_dado],7,Banco[id_detalhe_natureza],1,Banco[idDet1],52,Banco[idDet2],999999,Banco[idDet3],999,Banco[id_grupo_tarifa],3,Banco[id_detalhe_grupo_tarifa],14,Banco[id_tipo_tarifa],9,Banco[id_subgrupo],99,Banco[id_posto],9,Banco[id_unidade],3,Banco[id_UC],99999)</f>
        <v>0</v>
      </c>
      <c r="K55" s="267">
        <f>SUMIFS(Banco[valor],Banco[IdAgente],B55,Banco[id_natureza_dado],7,Banco[id_detalhe_natureza],1,Banco[idDet1],52,Banco[idDet2],999999,Banco[idDet3],999,Banco[id_grupo_tarifa],1,Banco[id_detalhe_grupo_tarifa],1,Banco[id_tipo_tarifa],9,Banco[id_subgrupo],99,Banco[id_posto],9,Banco[id_unidade],3,Banco[id_UC],99999)</f>
        <v>0</v>
      </c>
      <c r="L55" s="267">
        <f>SUMIFS(Banco[valor],Banco[IdAgente],B55,Banco[id_natureza_dado],7,Banco[id_detalhe_natureza],1,Banco[idDet1],52,Banco[idDet2],999999,Banco[idDet3],999,Banco[id_grupo_tarifa],1,Banco[id_detalhe_grupo_tarifa],2,Banco[id_tipo_tarifa],9,Banco[id_subgrupo],99,Banco[id_posto],9,Banco[id_unidade],3,Banco[id_UC],99999)</f>
        <v>0</v>
      </c>
      <c r="M55" s="267">
        <f>SUMIFS(Banco[valor],Banco[IdAgente],B55,Banco[id_natureza_dado],7,Banco[id_detalhe_natureza],1,Banco[idDet1],52,Banco[idDet2],999999,Banco[idDet3],999,Banco[id_grupo_tarifa],1,Banco[id_detalhe_grupo_tarifa],3,Banco[id_tipo_tarifa],9,Banco[id_subgrupo],99,Banco[id_posto],9,Banco[id_unidade],3,Banco[id_UC],99999)</f>
        <v>0</v>
      </c>
      <c r="N55" s="267">
        <f>SUMIFS(Banco[valor],Banco[IdAgente],B55,Banco[id_natureza_dado],7,Banco[id_detalhe_natureza],1,Banco[idDet1],52,Banco[idDet2],999999,Banco[idDet3],999,Banco[id_grupo_tarifa],1,Banco[id_detalhe_grupo_tarifa],7,Banco[id_tipo_tarifa],9,Banco[id_subgrupo],99,Banco[id_posto],9,Banco[id_unidade],3,Banco[id_UC],99999)</f>
        <v>0</v>
      </c>
      <c r="O55" s="267">
        <f>SUMIFS(Banco[valor],Banco[IdAgente],B55,Banco[id_natureza_dado],7,Banco[id_detalhe_natureza],1,Banco[idDet1],52,Banco[idDet2],55,Banco[idDet3],999,Banco[id_grupo_tarifa],2,Banco[id_detalhe_grupo_tarifa],999,Banco[id_tipo_tarifa],9,Banco[id_subgrupo],99,Banco[id_posto],9,Banco[id_unidade],3,Banco[id_UC],99999)</f>
        <v>0</v>
      </c>
      <c r="P55" s="267">
        <f t="shared" si="3"/>
        <v>0</v>
      </c>
      <c r="Q55" s="267">
        <f>SUMIFS(Banco[valor],Banco[IdAgente],B55,Banco[id_natureza_dado],7,Banco[id_detalhe_natureza],1,Banco[idDet1],52,Banco[idDet2],101,Banco[idDet3],999,Banco[id_grupo_tarifa],4,Banco[id_detalhe_grupo_tarifa],999,Banco[id_tipo_tarifa],9,Banco[id_subgrupo],99,Banco[id_posto],9,Banco[id_unidade],3,Banco[id_UC],99999)</f>
        <v>0</v>
      </c>
      <c r="R55" s="267">
        <f>SUMIFS(Banco[valor],Banco[IdAgente],B55,Banco[id_natureza_dado],4,Banco[id_detalhe_natureza],1,Banco[idDet1],52,Banco[idDet2],106,Banco[idDet3],999,Banco[id_grupo_tarifa],99,Banco[id_detalhe_grupo_tarifa],999,Banco[id_tipo_tarifa],9,Banco[id_subgrupo],99,Banco[id_posto],9,Banco[id_unidade],3,Banco[id_UC],99999)</f>
        <v>0</v>
      </c>
      <c r="S55" s="4"/>
      <c r="T55" s="4"/>
      <c r="U55" s="4"/>
      <c r="V55" s="267">
        <f>SUMIFS(financeiro[valor],financeiro[IdAgente],B55,financeiro[idDet1],22,financeiro[idDet2],60,financeiro[idDet3],526,financeiro[id_grupo_tarifa],1,financeiro[id_detalhe_grupo_tarifa],7,financeiro[id_tipo_tarifa],9,financeiro[id_subgrupo],99,financeiro[valor],"&gt;0")+SUMIFS(financeiro[valor],financeiro[IdAgente],B55,financeiro[idDet1],22,financeiro[idDet2],60,financeiro[idDet3],526,financeiro[id_grupo_tarifa],2,financeiro[id_detalhe_grupo_tarifa],11,financeiro[id_tipo_tarifa],9,financeiro[valor],"&gt;0")+SUMIFS(financeiro[valor],financeiro[IdAgente],B55,financeiro[idDet1],22,financeiro[idDet2],60,financeiro[idDet3],526,financeiro[id_grupo_tarifa],2,financeiro[id_detalhe_grupo_tarifa],9,financeiro[id_tipo_tarifa],9,financeiro[valor],"&gt;0")+SUMIFS(financeiro[valor],financeiro[IdAgente],B55,financeiro[idDet1],22,financeiro[idDet2],60,financeiro[idDet3],526,financeiro[id_grupo_tarifa],2,financeiro[id_detalhe_grupo_tarifa],8,financeiro[id_tipo_tarifa],9,financeiro[valor],"&gt;0")+SUMIFS(financeiro[valor],financeiro[IdAgente],B55,financeiro[idDet1],22,financeiro[idDet2],60,financeiro[idDet3],526,financeiro[id_grupo_tarifa],2,financeiro[id_detalhe_grupo_tarifa],10,financeiro[id_tipo_tarifa],9,financeiro[valor],"&gt;0")+SUMIFS(financeiro[valor],financeiro[IdAgente],B55,financeiro[idDet1],22,financeiro[idDet2],60,financeiro[idDet3],526,financeiro[id_grupo_tarifa],2,financeiro[id_detalhe_grupo_tarifa],24,financeiro[id_tipo_tarifa],9,financeiro[valor],"&gt;0")</f>
        <v>0</v>
      </c>
      <c r="W55" s="267">
        <f>SUMIFS(financeiro[valor],financeiro[IdAgente],B55,financeiro[idDet1],20,financeiro[idDet2],60,financeiro[idDet3],999,financeiro[id_grupo_tarifa],3,financeiro[id_detalhe_grupo_tarifa],14,financeiro[id_tipo_tarifa],9)+SUMIFS(financeiro[valor],financeiro[IdAgente],B55,financeiro[idDet1],20,financeiro[idDet2],60,financeiro[idDet3],999,financeiro[id_grupo_tarifa],3,financeiro[id_detalhe_grupo_tarifa],15,financeiro[id_tipo_tarifa],9)+SUMIFS(financeiro[valor],financeiro[IdAgente],B55,financeiro[idDet1],20,financeiro[idDet2],60,financeiro[idDet3],999,financeiro[id_grupo_tarifa],3,financeiro[id_detalhe_grupo_tarifa],16,financeiro[id_tipo_tarifa],9)+SUMIFS(financeiro[valor],financeiro[IdAgente],B55,financeiro[idDet1],20,financeiro[idDet2],60,financeiro[idDet3],999,financeiro[id_grupo_tarifa],3,financeiro[id_detalhe_grupo_tarifa],17,financeiro[id_tipo_tarifa],9)+SUMIFS(financeiro[valor],financeiro[IdAgente],B55,financeiro[idDet1],20,financeiro[idDet2],60,financeiro[idDet3],999,financeiro[id_grupo_tarifa],3,financeiro[id_detalhe_grupo_tarifa],18,financeiro[id_tipo_tarifa],9)+SUMIFS(financeiro[valor],financeiro[IdAgente],B55,financeiro[idDet1],20,financeiro[idDet2],60,financeiro[idDet3],999,financeiro[id_grupo_tarifa],3,financeiro[id_detalhe_grupo_tarifa],19,financeiro[id_tipo_tarifa],9)</f>
        <v>0</v>
      </c>
      <c r="X55" s="267">
        <f>SUMIFS(financeiro[valor],financeiro[IdAgente],B55,financeiro[idDet1],20,financeiro[idDet2],60,financeiro[idDet3],999,financeiro[id_grupo_tarifa],3,financeiro[id_detalhe_grupo_tarifa],12,financeiro[id_tipo_tarifa],9)+SUMIFS(financeiro[valor],financeiro[IdAgente],B55,financeiro[idDet1],20,financeiro[idDet2],60,financeiro[idDet3],999,financeiro[id_grupo_tarifa],4,financeiro[id_detalhe_grupo_tarifa],999,financeiro[id_tipo_tarifa],9)</f>
        <v>0</v>
      </c>
      <c r="Y55" s="267">
        <f>SUMIFS(financeiro[valor],financeiro[IdAgente],B55,financeiro[idDet1],20,financeiro[idDet2],60,financeiro[idDet3],179,financeiro[id_grupo_tarifa],99,financeiro[id_detalhe_grupo_tarifa],999,financeiro[id_tipo_tarifa],9)</f>
        <v>0</v>
      </c>
      <c r="Z55" s="267">
        <f>SUMIFS(financeiro[valor],financeiro[IdAgente],B55,financeiro[idDet1],20,financeiro[idDet2],60,financeiro[idDet3],999,financeiro[id_grupo_tarifa],2,financeiro[id_detalhe_grupo_tarifa],11,financeiro[id_tipo_tarifa],9,financeiro[valor],"&gt;0")+SUMIFS(financeiro[valor],financeiro[IdAgente],B55,financeiro[idDet1],20,financeiro[idDet2],60,financeiro[idDet3],999,financeiro[id_grupo_tarifa],2,financeiro[id_detalhe_grupo_tarifa],9,financeiro[id_tipo_tarifa],9,financeiro[valor],"&gt;0")+SUMIFS(financeiro[valor],financeiro[IdAgente],B55,financeiro[idDet1],20,financeiro[idDet2],60,financeiro[idDet3],999,financeiro[id_grupo_tarifa],2,financeiro[id_detalhe_grupo_tarifa],8,financeiro[id_tipo_tarifa],9,financeiro[valor],"&gt;0")+SUMIFS(financeiro[valor],financeiro[IdAgente],B55,financeiro[idDet1],20,financeiro[idDet2],60,financeiro[idDet3],999,financeiro[id_grupo_tarifa],2,financeiro[id_detalhe_grupo_tarifa],10,financeiro[id_tipo_tarifa],9,financeiro[valor],"&gt;0")+SUMIFS(financeiro[valor],financeiro[IdAgente],B55,financeiro[idDet1],20,financeiro[idDet2],60,financeiro[idDet3],999,financeiro[id_grupo_tarifa],2,financeiro[id_detalhe_grupo_tarifa],24,financeiro[id_tipo_tarifa],9,financeiro[valor],"&gt;0")+SUMIFS(financeiro[valor],financeiro[IdAgente],B55,financeiro[idDet1],20,financeiro[idDet2],60,financeiro[idDet3],999,financeiro[id_grupo_tarifa],2,financeiro[id_detalhe_grupo_tarifa],17,financeiro[id_tipo_tarifa],9,financeiro[valor],"&gt;0")+SUMIFS(financeiro[valor],financeiro[IdAgente],B55,financeiro[idDet1],999,financeiro[idDet2],999999,financeiro[idDet3],999,financeiro[id_grupo_tarifa],99,financeiro[id_detalhe_grupo_tarifa],999,financeiro[id_tipo_tarifa],9,financeiro[valor],"&gt;0")</f>
        <v>0</v>
      </c>
      <c r="AA55" s="267">
        <f>SUMIFS(financeiro[valor],financeiro[IdAgente],B55,financeiro[idDet1],22,financeiro[idDet2],60,financeiro[idDet3],529,financeiro[id_grupo_tarifa],1,financeiro[id_detalhe_grupo_tarifa],1,financeiro[id_tipo_tarifa],9,financeiro[valor],"&gt;0")+SUMIFS(financeiro[valor],financeiro[IdAgente],B55,financeiro[idDet1],22,financeiro[idDet2],60,financeiro[idDet3],529,financeiro[id_grupo_tarifa],1,financeiro[id_detalhe_grupo_tarifa],2,financeiro[id_tipo_tarifa],9,financeiro[valor],"&gt;0")</f>
        <v>0</v>
      </c>
      <c r="AB55" s="104"/>
      <c r="AC55" s="5">
        <f>SUMIFS(financeiro[valor],financeiro[IdAgente],B55,financeiro[idDet1],22,financeiro[idDet2],60,financeiro[idDet3],999,financeiro[id_grupo_tarifa],2,financeiro[id_detalhe_grupo_tarifa],30,financeiro[id_tipo_tarifa],9,financeiro[valor],"&gt;0")</f>
        <v>0</v>
      </c>
      <c r="AD55" s="267">
        <f>SUMIFS(financeiro[valor],financeiro[IdAgente],B55,financeiro[idDet1],22,financeiro[idDet2],60,financeiro[idDet3],178,financeiro[id_grupo_tarifa],1,financeiro[id_detalhe_grupo_tarifa],7,financeiro[id_tipo_tarifa],9)</f>
        <v>0</v>
      </c>
      <c r="AE55" s="5">
        <f>SUMIFS(financeiro[valor],financeiro[IdAgente],B55,financeiro[idDet1],22,financeiro[idDet2],60,financeiro[idDet3],242,financeiro[id_grupo_tarifa],4,financeiro[id_detalhe_grupo_tarifa],999,financeiro[id_tipo_tarifa],9)</f>
        <v>0</v>
      </c>
      <c r="AF55" s="267">
        <f>SUMIFS(financeiro[valor],financeiro[IdAgente],B55,financeiro[idDet1],22,financeiro[idDet2],60,financeiro[idDet3],525,financeiro[id_grupo_tarifa],2,financeiro[id_tipo_tarifa],9)</f>
        <v>0</v>
      </c>
      <c r="AG55" s="267">
        <f>SUMIFS(financeiro[valor],financeiro[IdAgente],B55,financeiro[idDet1],22,financeiro[idDet2],60,financeiro[idDet3],524)</f>
        <v>0</v>
      </c>
      <c r="AH55" s="230"/>
      <c r="AI55" s="267">
        <f>SUMIFS(financeiro[valor],financeiro[IdAgente],B55,financeiro[idDet1],22,financeiro[idDet2],60,financeiro[idDet3],523,financeiro[id_grupo_tarifa],2,financeiro[id_detalhe_grupo_tarifa],30,financeiro[id_tipo_tarifa],9)</f>
        <v>0</v>
      </c>
      <c r="AJ55" s="267">
        <f>SUMIFS(financeiro[valor],financeiro[IdAgente],B55,financeiro[idDet1],22,financeiro[idDet2],60,financeiro[idDet3],503,financeiro[id_grupo_tarifa],99,financeiro[id_detalhe_grupo_tarifa],999,financeiro[id_tipo_tarifa],3)</f>
        <v>0</v>
      </c>
      <c r="AK55" s="230"/>
      <c r="AL55" s="274"/>
      <c r="AM55" s="274"/>
      <c r="AN55" s="274"/>
      <c r="AO55" s="274"/>
      <c r="AP55" s="274"/>
      <c r="AQ55" s="274"/>
      <c r="AR55" s="274"/>
      <c r="AS55" s="274"/>
      <c r="AT55" s="267">
        <f>SUMIFS(financeiro[valor],financeiro[IdAgente],B55,financeiro[idDet1],22,financeiro[idDet2],60,financeiro[idDet3],235,financeiro[id_grupo_tarifa],4,financeiro[id_detalhe_grupo_tarifa],999,financeiro[id_tipo_tarifa],9)</f>
        <v>0</v>
      </c>
      <c r="AU55" s="267">
        <f>SUMIFS(financeiro[valor],financeiro[IdAgente],B55,financeiro[idDet1],22,financeiro[idDet2],60,financeiro[idDet3],512,financeiro[id_grupo_tarifa],3,financeiro[id_detalhe_grupo_tarifa],28,financeiro[id_tipo_tarifa],9)</f>
        <v>0</v>
      </c>
      <c r="AV55" s="267">
        <f>SUMIFS(financeiro[valor],financeiro[IdAgente],B55,financeiro[idDet1],22,financeiro[idDet2],60,financeiro[idDet3],241,financeiro[id_grupo_tarifa],2,financeiro[id_detalhe_grupo_tarifa],11,financeiro[id_tipo_tarifa],9)+SUMIFS(financeiro[valor],financeiro[IdAgente],B55,financeiro[idDet1],22,financeiro[idDet2],60,financeiro[idDet3],241,financeiro[id_grupo_tarifa],2,financeiro[id_detalhe_grupo_tarifa],9,financeiro[id_tipo_tarifa],9)+SUMIFS(financeiro[valor],financeiro[IdAgente],B55,financeiro[idDet1],22,financeiro[idDet2],60,financeiro[idDet3],241,financeiro[id_grupo_tarifa],2,financeiro[id_detalhe_grupo_tarifa],8,financeiro[id_tipo_tarifa],9)+SUMIFS(financeiro[valor],financeiro[IdAgente],B55,financeiro[idDet1],22,financeiro[idDet2],60,financeiro[idDet3],241,financeiro[id_grupo_tarifa],2,financeiro[id_detalhe_grupo_tarifa],10,financeiro[id_tipo_tarifa],9)+SUMIFS(financeiro[valor],financeiro[IdAgente],B55,financeiro[idDet1],22,financeiro[idDet2],60,financeiro[idDet3],241,financeiro[id_grupo_tarifa],2,financeiro[id_detalhe_grupo_tarifa],24,financeiro[id_tipo_tarifa],9)</f>
        <v>0</v>
      </c>
      <c r="AW55" s="267">
        <f>SUMIFS(financeiro[valor],financeiro[IdAgente],B55,financeiro[idDet1],22,financeiro[idDet2],60,financeiro[idDet3],241,financeiro[id_grupo_tarifa],3,financeiro[id_detalhe_grupo_tarifa],17,financeiro[id_tipo_tarifa],9)</f>
        <v>0</v>
      </c>
      <c r="AX55" s="267">
        <f>SUMIFS(financeiro[valor],financeiro[IdAgente],B55,financeiro[idDet1],22,financeiro[idDet2],60,financeiro[idDet3],240,financeiro[id_grupo_tarifa],2,financeiro[id_detalhe_grupo_tarifa],11,financeiro[id_tipo_tarifa],9)+SUMIFS(financeiro[valor],financeiro[IdAgente],B55,financeiro[idDet1],22,financeiro[idDet2],60,financeiro[idDet3],240,financeiro[id_grupo_tarifa],2,financeiro[id_detalhe_grupo_tarifa],9,financeiro[id_tipo_tarifa],9)+SUMIFS(financeiro[valor],financeiro[IdAgente],B55,financeiro[idDet1],22,financeiro[idDet2],60,financeiro[idDet3],240,financeiro[id_grupo_tarifa],2,financeiro[id_detalhe_grupo_tarifa],8,financeiro[id_tipo_tarifa],9)+SUMIFS(financeiro[valor],financeiro[IdAgente],B55,financeiro[idDet1],22,financeiro[idDet2],60,financeiro[idDet3],240,financeiro[id_grupo_tarifa],2,financeiro[id_detalhe_grupo_tarifa],10,financeiro[id_tipo_tarifa],9)+SUMIFS(financeiro[valor],financeiro[IdAgente],B55,financeiro[idDet1],22,financeiro[idDet2],60,financeiro[idDet3],240,financeiro[id_grupo_tarifa],2,financeiro[id_detalhe_grupo_tarifa],24,financeiro[id_tipo_tarifa],9)</f>
        <v>0</v>
      </c>
      <c r="AY55" s="267">
        <f>SUMIFS(financeiro[valor],financeiro[IdAgente],B55,financeiro[idDet1],22,financeiro[idDet2],60,financeiro[idDet3],106,financeiro[id_grupo_tarifa],2,financeiro[id_detalhe_grupo_tarifa],11,financeiro[id_tipo_tarifa],9)+SUMIFS(financeiro[valor],financeiro[IdAgente],B55,financeiro[idDet1],22,financeiro[idDet2],60,financeiro[idDet3],106,financeiro[id_grupo_tarifa],2,financeiro[id_detalhe_grupo_tarifa],9,financeiro[id_tipo_tarifa],9)+SUMIFS(financeiro[valor],financeiro[IdAgente],B55,financeiro[idDet1],22,financeiro[idDet2],60,financeiro[idDet3],106,financeiro[id_grupo_tarifa],2,financeiro[id_detalhe_grupo_tarifa],8,financeiro[id_tipo_tarifa],9)+SUMIFS(financeiro[valor],financeiro[IdAgente],B55,financeiro[idDet1],22,financeiro[idDet2],60,financeiro[idDet3],106,financeiro[id_grupo_tarifa],2,financeiro[id_detalhe_grupo_tarifa],10,financeiro[id_tipo_tarifa],9)+SUMIFS(financeiro[valor],financeiro[IdAgente],B55,financeiro[idDet1],22,financeiro[idDet2],60,financeiro[idDet3],106,financeiro[id_grupo_tarifa],2,financeiro[id_detalhe_grupo_tarifa],24,financeiro[id_tipo_tarifa],9)</f>
        <v>0</v>
      </c>
      <c r="AZ55" s="267">
        <f>SUMIFS(financeiro[valor],financeiro[IdAgente],B55,financeiro[idDet1],22,financeiro[idDet2],62,financeiro[idDet3],220,financeiro[id_grupo_tarifa],2,financeiro[id_detalhe_grupo_tarifa],11,financeiro[id_tipo_tarifa],9)+SUMIFS(financeiro[valor],financeiro[IdAgente],B55,financeiro[idDet1],22,financeiro[idDet2],62,financeiro[idDet3],220,financeiro[id_grupo_tarifa],2,financeiro[id_detalhe_grupo_tarifa],9,financeiro[id_tipo_tarifa],9)+SUMIFS(financeiro[valor],financeiro[IdAgente],B55,financeiro[idDet1],22,financeiro[idDet2],62,financeiro[idDet3],220,financeiro[id_grupo_tarifa],2,financeiro[id_detalhe_grupo_tarifa],8,financeiro[id_tipo_tarifa],9)+SUMIFS(financeiro[valor],financeiro[IdAgente],B55,financeiro[idDet1],22,financeiro[idDet2],62,financeiro[idDet3],220,financeiro[id_grupo_tarifa],2,financeiro[id_detalhe_grupo_tarifa],10,financeiro[id_tipo_tarifa],9)+SUMIFS(financeiro[valor],financeiro[IdAgente],B55,financeiro[idDet1],22,financeiro[idDet2],62,financeiro[idDet3],220,financeiro[id_grupo_tarifa],2,financeiro[id_detalhe_grupo_tarifa],24,financeiro[id_tipo_tarifa],9)</f>
        <v>0</v>
      </c>
      <c r="BA55" s="267">
        <f>SUMIFS(financeiro[valor],financeiro[IdAgente],B55,financeiro[idDet1],22,financeiro[idDet2],60,financeiro[idDet3],220,financeiro[id_grupo_tarifa],2,financeiro[id_detalhe_grupo_tarifa],11,financeiro[id_tipo_tarifa],9)+SUMIFS(financeiro[valor],financeiro[IdAgente],B55,financeiro[idDet1],22,financeiro[idDet2],60,financeiro[idDet3],220,financeiro[id_grupo_tarifa],2,financeiro[id_detalhe_grupo_tarifa],9,financeiro[id_tipo_tarifa],9)+SUMIFS(financeiro[valor],financeiro[IdAgente],B55,financeiro[idDet1],22,financeiro[idDet2],60,financeiro[idDet3],220,financeiro[id_grupo_tarifa],2,financeiro[id_detalhe_grupo_tarifa],8,financeiro[id_tipo_tarifa],9)+SUMIFS(financeiro[valor],financeiro[IdAgente],B55,financeiro[idDet1],22,financeiro[idDet2],60,financeiro[idDet3],220,financeiro[id_grupo_tarifa],2,financeiro[id_detalhe_grupo_tarifa],10,financeiro[id_tipo_tarifa],9)+SUMIFS(financeiro[valor],financeiro[IdAgente],B55,financeiro[idDet1],22,financeiro[idDet2],60,financeiro[idDet3],220,financeiro[id_grupo_tarifa],2,financeiro[id_detalhe_grupo_tarifa],24,financeiro[id_tipo_tarifa],9)</f>
        <v>0</v>
      </c>
      <c r="BB55" s="267">
        <f>SUMIFS(financeiro[valor],financeiro[IdAgente],B55,financeiro[idDet1],22,financeiro[idDet2],60,financeiro[idDet3],102,financeiro[id_grupo_tarifa],2,financeiro[id_detalhe_grupo_tarifa],11,financeiro[id_tipo_tarifa],9)+SUMIFS(financeiro[valor],financeiro[IdAgente],B55,financeiro[idDet1],22,financeiro[idDet2],60,financeiro[idDet3],102,financeiro[id_grupo_tarifa],2,financeiro[id_detalhe_grupo_tarifa],9,financeiro[id_tipo_tarifa],9)+SUMIFS(financeiro[valor],financeiro[IdAgente],B55,financeiro[idDet1],22,financeiro[idDet2],60,financeiro[idDet3],102,financeiro[id_grupo_tarifa],2,financeiro[id_detalhe_grupo_tarifa],8,financeiro[id_tipo_tarifa],9)+SUMIFS(financeiro[valor],financeiro[IdAgente],B55,financeiro[idDet1],22,financeiro[idDet2],60,financeiro[idDet3],102,financeiro[id_grupo_tarifa],2,financeiro[id_detalhe_grupo_tarifa],10,financeiro[id_tipo_tarifa],9)+SUMIFS(financeiro[valor],financeiro[IdAgente],B55,financeiro[idDet1],22,financeiro[idDet2],60,financeiro[idDet3],102,financeiro[id_grupo_tarifa],2,financeiro[id_detalhe_grupo_tarifa],24,financeiro[id_tipo_tarifa],9)</f>
        <v>0</v>
      </c>
      <c r="BC55" s="267">
        <f>SUMIFS(financeiro[valor],financeiro[IdAgente],B55,financeiro[idDet1],22,financeiro[idDet2],60,financeiro[idDet3],522,financeiro[valor],"&lt;0")</f>
        <v>0</v>
      </c>
      <c r="BD55" s="267">
        <f>SUMIFS(financeiro[valor],financeiro[IdAgente],B55,financeiro[id_natureza_dado],2,financeiro[id_detalhe_natureza],2,financeiro[idDet1],20,financeiro[idDet2],60,financeiro[idDet3],999,financeiro[id_grupo_tarifa],3,financeiro[id_detalhe_grupo_tarifa],29,financeiro[id_tipo_tarifa],9,financeiro[id_subgrupo],99,financeiro[id_posto],9,financeiro[id_unidade],3,financeiro[id_UC],99999)</f>
        <v>0</v>
      </c>
      <c r="BE55" s="267">
        <f>SUMIFS(financeiro[valor],financeiro[IdAgente],B55,financeiro[id_natureza_dado],2,financeiro[id_detalhe_natureza],2,financeiro[idDet1],20,financeiro[idDet2],60,financeiro[idDet3],82,
financeiro[id_grupo_tarifa],3,financeiro[id_detalhe_grupo_tarifa],25,financeiro[id_tipo_tarifa],9,financeiro[id_subgrupo],99,financeiro[id_posto],9,financeiro[id_unidade],3,financeiro[id_UC],99999)</f>
        <v>0</v>
      </c>
      <c r="BF55" s="267">
        <f>SUMIFS(financeiro[valor],financeiro[IdAgente],B55,financeiro[id_natureza_dado],2,financeiro[id_detalhe_natureza],2,financeiro[idDet1],20,financeiro[idDet2],60,financeiro[idDet3],81,
financeiro[id_grupo_tarifa],3,financeiro[id_detalhe_grupo_tarifa],12,financeiro[id_tipo_tarifa],9,financeiro[id_subgrupo],99,financeiro[id_posto],9,financeiro[id_unidade],3,financeiro[id_UC],99999)</f>
        <v>0</v>
      </c>
      <c r="BG55" s="267">
        <f>SUMIFS(financeiro[valor],financeiro[IdAgente],B55,financeiro[id_natureza_dado],2,financeiro[id_detalhe_natureza],2,financeiro[idDet1],20,financeiro[idDet2],60,financeiro[idDet3],503,
financeiro[id_grupo_tarifa],99,financeiro[id_detalhe_grupo_tarifa],999,financeiro[id_tipo_tarifa],3,
financeiro[id_subgrupo],99,financeiro[id_posto],9,financeiro[id_unidade],3,financeiro[id_UC],99999)</f>
        <v>0</v>
      </c>
      <c r="BH55" s="267">
        <f>SUMIFS(financeiro[valor],financeiro[IdAgente],B55,financeiro[idDet1],22,financeiro[idDet2],60,financeiro[idDet3],123)</f>
        <v>0</v>
      </c>
      <c r="BI55" s="267">
        <f>SUMIFS(financeiro[valor],financeiro[IdAgente],B55,financeiro[idDet1],20,financeiro[idDet2],60,financeiro[idDet3],73)</f>
        <v>0</v>
      </c>
      <c r="BJ55" s="267">
        <f>SUMIFS(financeiro[valor],financeiro[IdAgente],B55,financeiro[idDet1],22,financeiro[idDet2],60,financeiro[idDet3],527)</f>
        <v>0</v>
      </c>
      <c r="BK55" s="267">
        <f>SUMIFS(financeiro[valor],financeiro[IdAgente],B55,financeiro[idDet1],22,financeiro[idDet2],60,financeiro[idDet3],510)</f>
        <v>0</v>
      </c>
      <c r="BL55" s="267">
        <f>SUMIFS(financeiro[valor],financeiro[IdAgente],B55,financeiro[idDet1],22,financeiro[idDet2],60,financeiro[idDet3],526,
financeiro[id_grupo_tarifa],1,financeiro[id_detalhe_grupo_tarifa],3,financeiro[id_tipo_tarifa],9,financeiro[id_subgrupo],3)</f>
        <v>0</v>
      </c>
      <c r="BM55" s="267">
        <f>SUMIFS(financeiro[valor],financeiro[IdAgente],B55,financeiro[idDet1],22,financeiro[idDet2],60,financeiro[idDet3],999,
financeiro[id_grupo_tarifa],3,financeiro[id_detalhe_grupo_tarifa],17,financeiro[id_tipo_tarifa],9)</f>
        <v>0</v>
      </c>
      <c r="BN55" s="267">
        <f>SUMIFS(financeiro[valor],financeiro[IdAgente],B55,financeiro[idDet1],22,financeiro[idDet2],60,financeiro[idDet3],526,financeiro[id_grupo_tarifa],1,financeiro[id_detalhe_grupo_tarifa],7,financeiro[id_tipo_tarifa],9,financeiro[valor],"&lt;0")+SUMIFS(financeiro[valor],financeiro[IdAgente],B55,financeiro[idDet1],22,financeiro[idDet2],60,financeiro[idDet3],526,financeiro[id_grupo_tarifa],2,financeiro[id_detalhe_grupo_tarifa],11,financeiro[id_tipo_tarifa],9,financeiro[valor],"&lt;0")+SUMIFS(financeiro[valor],financeiro[IdAgente],B55,financeiro[idDet1],22,financeiro[idDet2],60,financeiro[idDet3],526,financeiro[id_grupo_tarifa],2,financeiro[id_detalhe_grupo_tarifa],8,financeiro[id_tipo_tarifa],9,financeiro[valor],"&lt;0")</f>
        <v>0</v>
      </c>
      <c r="BO55" s="267">
        <f>SUMIFS(financeiro[valor],financeiro[IdAgente],B55,financeiro[idDet1],22,financeiro[idDet2],60,financeiro[idDet3],999,financeiro[id_grupo_tarifa],4,financeiro[id_detalhe_grupo_tarifa],999,financeiro[id_tipo_tarifa],9,financeiro[valor],"&lt;0")</f>
        <v>0</v>
      </c>
      <c r="BP55" s="267">
        <f>SUMIFS(financeiro[valor],financeiro[IdAgente],B55,financeiro[idDet1],22,financeiro[idDet2],60,financeiro[idDet3],530,financeiro[valor],"&lt;0")</f>
        <v>0</v>
      </c>
      <c r="BQ55" s="267">
        <f>SUMIFS(financeiro[valor],financeiro[IdAgente],B55,financeiro[idDet1],22,financeiro[idDet2],60,financeiro[idDet3],531,financeiro[valor],"&lt;0")</f>
        <v>0</v>
      </c>
      <c r="BR55" s="267">
        <f>SUMIFS(financeiro[valor],financeiro[IdAgente],B55,financeiro[idDet1],22,financeiro[idDet2],62,financeiro[idDet3],532,financeiro[valor],"&lt;0")</f>
        <v>0</v>
      </c>
      <c r="BS55" s="267">
        <f>SUMIFS(financeiro[valor],financeiro[IdAgente],B55,financeiro[idDet1],22,financeiro[idDet2],62,financeiro[idDet3],533,financeiro[valor],"&lt;0")</f>
        <v>0</v>
      </c>
      <c r="BT55" s="267">
        <f>SUMIFS(financeiro[valor],financeiro[IdAgente],B55,financeiro[idDet1],22,financeiro[idDet2],62,financeiro[idDet3],534,financeiro[valor],"&lt;0")</f>
        <v>0</v>
      </c>
      <c r="BW55" s="210" t="s">
        <v>302</v>
      </c>
      <c r="BX55" t="str">
        <f>Efeito!B56</f>
        <v>NO SELECT</v>
      </c>
      <c r="BY55" s="267">
        <f>SUMIFS(Banco[valor],Banco[IdAgente],BX55,Banco[id_natureza_dado],2,Banco[id_detalhe_natureza],1,Banco[idDet1],51,Banco[idDet2],999999,Banco[idDet3],999,Banco[id_grupo_tarifa],3,Banco[id_detalhe_grupo_tarifa],15,Banco[id_tipo_tarifa],1,Banco[id_subgrupo],99,Banco[id_posto],9,Banco[id_unidade],3,Banco[id_UC],99999)</f>
        <v>0</v>
      </c>
      <c r="BZ55" s="267">
        <f>SUMIFS(Banco[valor],Banco[IdAgente],BX55,Banco[id_natureza_dado],2,Banco[id_detalhe_natureza],1,Banco[idDet1],51,Banco[idDet2],73,Banco[idDet3],999,Banco[id_grupo_tarifa],3,Banco[id_detalhe_grupo_tarifa],15,Banco[id_tipo_tarifa],1,Banco[id_subgrupo],99,Banco[id_posto],9,Banco[id_unidade],3,Banco[id_UC],99999)</f>
        <v>0</v>
      </c>
      <c r="CA55" s="267">
        <f>SUMIFS(Banco[valor],Banco[IdAgente],BX55,Banco[id_natureza_dado],2,Banco[id_detalhe_natureza],1,Banco[idDet1],51,Banco[idDet2],999999,Banco[idDet3],999,Banco[id_grupo_tarifa],3,Banco[id_detalhe_grupo_tarifa],28,Banco[id_tipo_tarifa],2,Banco[id_subgrupo],99,Banco[id_posto],9,Banco[id_unidade],3,Banco[id_UC],99999)</f>
        <v>0</v>
      </c>
      <c r="CB55" s="267">
        <f>SUMIFS(Banco[valor],Banco[IdAgente],BX55,Banco[id_natureza_dado],2,Banco[id_detalhe_natureza],1,Banco[idDet1],51,Banco[idDet2],999999,Banco[idDet3],999,Banco[id_grupo_tarifa],3,Banco[id_detalhe_grupo_tarifa],29,Banco[id_tipo_tarifa],2,Banco[id_subgrupo],99,Banco[id_posto],9,Banco[id_unidade],3,Banco[id_UC],99999)</f>
        <v>0</v>
      </c>
      <c r="CC55" s="267">
        <f>SUMIFS(Banco[valor],Banco[IdAgente],BX55,Banco[id_natureza_dado],2,Banco[id_detalhe_natureza],1,Banco[idDet1],51,Banco[idDet2],82,Banco[idDet3],999,Banco[id_grupo_tarifa],3,Banco[id_detalhe_grupo_tarifa],25,Banco[id_tipo_tarifa],2,Banco[id_subgrupo],99,Banco[id_posto],9,Banco[id_unidade],3,Banco[id_UC],99999)+SUMIFS(Banco[valor],Banco[IdAgente],BX55,Banco[id_natureza_dado],2,Banco[id_detalhe_natureza],1,Banco[idDet1],51,Banco[idDet2],81,Banco[idDet3],999,Banco[id_grupo_tarifa],3,Banco[id_detalhe_grupo_tarifa],15,Banco[id_tipo_tarifa],1,Banco[id_subgrupo],99,Banco[id_posto],9,Banco[id_unidade],3,Banco[id_UC],99999)</f>
        <v>0</v>
      </c>
      <c r="CD55" s="267">
        <f>SUMIFS(Banco[valor],Banco[IdAgente],BX55,Banco[id_natureza_dado],2,Banco[id_detalhe_natureza],1,Banco[idDet1],51,Banco[idDet2],999999,Banco[idDet3],999,Banco[id_grupo_tarifa],3,Banco[id_detalhe_grupo_tarifa],17,Banco[id_tipo_tarifa],2,Banco[id_subgrupo],99,Banco[id_posto],9,Banco[id_unidade],3,Banco[id_UC],99999)</f>
        <v>0</v>
      </c>
      <c r="CE55" s="267">
        <f>SUMIFS(Banco[valor],Banco[IdAgente],BX55,Banco[id_natureza_dado],2,Banco[id_detalhe_natureza],1,Banco[idDet1],51,Banco[idDet2],999999,Banco[idDet3],999,Banco[id_grupo_tarifa],3,Banco[id_detalhe_grupo_tarifa],18,Banco[id_tipo_tarifa],1,Banco[id_subgrupo],99,Banco[id_posto],9,Banco[id_unidade],3,Banco[id_UC],99999)</f>
        <v>0</v>
      </c>
      <c r="CF55" s="267">
        <f>SUMIFS(Banco[valor],Banco[IdAgente],BX55,Banco[id_natureza_dado],2,Banco[id_detalhe_natureza],1,Banco[idDet1],51,Banco[idDet2],999999,Banco[idDet3],999,Banco[id_grupo_tarifa],3,Banco[id_detalhe_grupo_tarifa],14,Banco[id_tipo_tarifa],1,Banco[id_subgrupo],99,Banco[id_posto],9,Banco[id_unidade],3,Banco[id_UC],99999)</f>
        <v>0</v>
      </c>
      <c r="CG55" s="267">
        <f>SUMIFS(Banco[valor],Banco[IdAgente],BX55,Banco[id_natureza_dado],2,Banco[id_detalhe_natureza],1,Banco[idDet1],51,Banco[idDet2],999999,Banco[idDet3],999,Banco[id_grupo_tarifa],1,Banco[id_detalhe_grupo_tarifa],1,Banco[id_tipo_tarifa],1,Banco[id_subgrupo],99,Banco[id_posto],9,Banco[id_unidade],3,Banco[id_UC],99999)</f>
        <v>0</v>
      </c>
      <c r="CH55" s="267">
        <f>SUMIFS(Banco[valor],Banco[IdAgente],BX55,Banco[id_natureza_dado],2,Banco[id_detalhe_natureza],1,Banco[idDet1],51,Banco[idDet2],999999,Banco[idDet3],999,Banco[id_grupo_tarifa],1,Banco[id_detalhe_grupo_tarifa],2,Banco[id_tipo_tarifa],1,Banco[id_subgrupo],99,Banco[id_posto],9,Banco[id_unidade],3,Banco[id_UC],99999)</f>
        <v>0</v>
      </c>
      <c r="CI55" s="267">
        <f>SUMIFS(Banco[valor],Banco[IdAgente],BX55,Banco[id_natureza_dado],2,Banco[id_detalhe_natureza],1,Banco[idDet1],51,Banco[idDet2],999999,Banco[idDet3],999,Banco[id_grupo_tarifa],1,Banco[id_detalhe_grupo_tarifa],3,Banco[id_tipo_tarifa],1,Banco[id_subgrupo],99,Banco[id_posto],9,Banco[id_unidade],3,Banco[id_UC],99999)</f>
        <v>0</v>
      </c>
      <c r="CJ55" s="267">
        <f>SUMIFS(Banco[valor],Banco[IdAgente],BX55,Banco[id_natureza_dado],2,Banco[id_detalhe_natureza],1,Banco[idDet1],51,Banco[idDet2],999999,Banco[idDet3],999,Banco[id_grupo_tarifa],1,Banco[id_detalhe_grupo_tarifa],7,Banco[id_tipo_tarifa],1,Banco[id_subgrupo],99,Banco[id_posto],9,Banco[id_unidade],3,Banco[id_UC],99999)</f>
        <v>0</v>
      </c>
      <c r="CK55" s="267">
        <f>SUMIFS(Banco[valor],Banco[IdAgente],B55,Banco[id_natureza_dado],4,Banco[id_detalhe_natureza],1,Banco[idDet1],51,Banco[idDet2],55,Banco[idDet3],999,Banco[id_grupo_tarifa],99,Banco[id_detalhe_grupo_tarifa],999,Banco[id_tipo_tarifa],9,Banco[id_subgrupo],99,Banco[id_posto],9,Banco[id_unidade],3,Banco[id_UC],99999)</f>
        <v>0</v>
      </c>
      <c r="CL55" s="267">
        <f>SUMIFS(Banco[valor],Banco[IdAgente],B55,Banco[id_natureza_dado],4,Banco[id_detalhe_natureza],1,Banco[idDet1],51,Banco[idDet2],100,Banco[idDet3],999,Banco[id_grupo_tarifa],99,Banco[id_detalhe_grupo_tarifa],999,Banco[id_tipo_tarifa],9,Banco[id_subgrupo],99,Banco[id_posto],9,Banco[id_unidade],3,Banco[id_UC],99999)</f>
        <v>0</v>
      </c>
      <c r="CM55" s="267">
        <f>SUMIFS(Banco[valor],Banco[IdAgente],B55,Banco[id_natureza_dado],4,Banco[id_detalhe_natureza],1,Banco[idDet1],51,Banco[idDet2],101,Banco[idDet3],999,Banco[id_grupo_tarifa],99,Banco[id_detalhe_grupo_tarifa],999,Banco[id_tipo_tarifa],9,Banco[id_subgrupo],99,Banco[id_posto],9,Banco[id_unidade],3,Banco[id_UC],99999)</f>
        <v>0</v>
      </c>
    </row>
    <row r="56" spans="1:91">
      <c r="C56" s="4"/>
      <c r="D56" s="4"/>
      <c r="E56" s="4"/>
      <c r="F56" s="4"/>
      <c r="G56" s="4"/>
      <c r="J56" s="4"/>
      <c r="K56" s="4"/>
      <c r="L56" s="267"/>
      <c r="M56" s="267"/>
      <c r="N56" s="267"/>
      <c r="O56" s="267"/>
      <c r="P56" s="267"/>
      <c r="Q56" s="267"/>
      <c r="S56" s="4"/>
      <c r="T56" s="4"/>
      <c r="U56" s="4"/>
      <c r="AF56" s="4"/>
      <c r="AH56" s="4"/>
      <c r="AK56" s="4"/>
      <c r="AO56" s="4"/>
      <c r="AQ56" s="4"/>
      <c r="AR56" s="4"/>
      <c r="AT56" s="4"/>
      <c r="AU56" s="4"/>
      <c r="BD56" s="4"/>
      <c r="BE56" s="4"/>
      <c r="BF56" s="4"/>
      <c r="BG56" s="4"/>
      <c r="BH56" s="4"/>
    </row>
    <row r="57" spans="1:91">
      <c r="C57" s="4"/>
      <c r="D57" s="4"/>
      <c r="E57" s="4"/>
      <c r="F57" s="4"/>
      <c r="G57" s="4"/>
      <c r="J57" s="4"/>
      <c r="K57" s="4"/>
      <c r="L57" s="267"/>
      <c r="M57" s="267"/>
      <c r="N57" s="267"/>
      <c r="O57" s="267"/>
      <c r="P57" s="267"/>
      <c r="Q57" s="267"/>
      <c r="S57" s="4"/>
      <c r="T57" s="4"/>
      <c r="U57" s="4"/>
      <c r="V57">
        <f>SUMIFS(financeiro[valor],financeiro[IdAgente],B55,financeiro[idDet1],22,financeiro[idDet2],60,financeiro[idDet3],526,financeiro[id_grupo_tarifa],1,financeiro[id_detalhe_grupo_tarifa],7,financeiro[id_tipo_tarifa],9,financeiro[id_subgrupo],99,financeiro[id_posto],9,financeiro[id_unidade],3)</f>
        <v>0</v>
      </c>
      <c r="AF57" s="4"/>
      <c r="AH57" s="4"/>
      <c r="AK57" s="4"/>
      <c r="AO57" s="4"/>
      <c r="AQ57" s="4"/>
      <c r="AR57" s="4"/>
      <c r="AT57" s="4"/>
      <c r="AU57" s="4"/>
      <c r="BD57" s="4"/>
      <c r="BE57" s="4"/>
      <c r="BF57" s="4"/>
      <c r="BG57" s="4"/>
      <c r="BH57" s="4"/>
    </row>
    <row r="58" spans="1:91">
      <c r="C58" s="281"/>
      <c r="D58" s="281"/>
      <c r="E58" s="281"/>
      <c r="F58" s="281"/>
      <c r="G58" s="281"/>
      <c r="H58" s="281"/>
      <c r="I58" s="281"/>
      <c r="J58" s="281"/>
      <c r="K58" s="281"/>
      <c r="L58" s="281"/>
      <c r="M58" s="281"/>
      <c r="N58" s="281"/>
      <c r="O58" s="281"/>
      <c r="P58" s="281"/>
      <c r="Q58" s="281"/>
      <c r="S58" s="4"/>
      <c r="T58" s="4"/>
      <c r="U58" s="4"/>
      <c r="AF58" s="4"/>
      <c r="AH58" s="4"/>
      <c r="AK58" s="4"/>
      <c r="AO58" s="4"/>
      <c r="AQ58" s="4"/>
      <c r="AR58" s="4"/>
      <c r="AT58" s="4"/>
      <c r="AU58" s="4"/>
      <c r="BD58" s="4"/>
      <c r="BE58" s="4"/>
      <c r="BF58" s="4"/>
      <c r="BG58" s="4"/>
      <c r="BH58" s="4"/>
    </row>
    <row r="59" spans="1:91">
      <c r="S59" s="4"/>
      <c r="T59" s="4"/>
      <c r="U59" s="4"/>
      <c r="W59" s="4"/>
      <c r="X59" s="4"/>
      <c r="Y59" s="4"/>
      <c r="BD59" s="4"/>
      <c r="BE59" s="4"/>
      <c r="BF59" s="4"/>
      <c r="BG59" s="4"/>
      <c r="BH59" s="4"/>
    </row>
    <row r="60" spans="1:91">
      <c r="S60" s="4"/>
      <c r="T60" s="4"/>
      <c r="U60" s="4"/>
      <c r="V60" s="267"/>
      <c r="W60" s="273"/>
      <c r="X60" s="4"/>
      <c r="Y60" s="4"/>
      <c r="BD60" s="4"/>
      <c r="BE60" s="4"/>
      <c r="BF60" s="4"/>
      <c r="BG60" s="4"/>
      <c r="BH60" s="4"/>
    </row>
    <row r="61" spans="1:91">
      <c r="S61" s="4"/>
      <c r="T61" s="4"/>
      <c r="U61" s="4"/>
      <c r="V61" s="267"/>
      <c r="W61" s="273"/>
      <c r="X61" s="4"/>
      <c r="Y61" s="4"/>
      <c r="BD61" s="4"/>
      <c r="BE61" s="4"/>
      <c r="BF61" s="4"/>
      <c r="BG61" s="4"/>
      <c r="BH61" s="4"/>
    </row>
    <row r="62" spans="1:91">
      <c r="S62" s="4"/>
      <c r="T62" s="4"/>
      <c r="U62" s="4"/>
      <c r="V62" s="267"/>
      <c r="W62" s="273"/>
      <c r="X62" s="4"/>
      <c r="Y62" s="4"/>
      <c r="BD62" s="4"/>
      <c r="BE62" s="4"/>
      <c r="BF62" s="4"/>
      <c r="BG62" s="4"/>
      <c r="BH62" s="4"/>
    </row>
    <row r="63" spans="1:91">
      <c r="S63" s="4"/>
      <c r="T63" s="4"/>
      <c r="U63" s="4"/>
      <c r="V63" s="267"/>
      <c r="W63" s="273"/>
      <c r="X63" s="4"/>
      <c r="Y63" s="4"/>
      <c r="BD63" s="4"/>
      <c r="BE63" s="4"/>
      <c r="BF63" s="4"/>
      <c r="BG63" s="4"/>
      <c r="BH63" s="4"/>
    </row>
    <row r="64" spans="1:91">
      <c r="S64" s="4"/>
      <c r="T64" s="4"/>
      <c r="U64" s="4"/>
      <c r="V64" s="267"/>
      <c r="W64" s="273"/>
      <c r="X64" s="4"/>
      <c r="Y64" s="4"/>
      <c r="BD64" s="4"/>
      <c r="BE64" s="4"/>
      <c r="BF64" s="4"/>
      <c r="BG64" s="4"/>
      <c r="BH64" s="4"/>
    </row>
    <row r="65" spans="19:60">
      <c r="S65" s="4"/>
      <c r="T65" s="4"/>
      <c r="U65" s="4"/>
      <c r="V65" s="267"/>
      <c r="W65" s="273"/>
      <c r="X65" s="4"/>
      <c r="Y65" s="4"/>
      <c r="BD65" s="4"/>
      <c r="BE65" s="4"/>
      <c r="BF65" s="4"/>
      <c r="BG65" s="4"/>
      <c r="BH65" s="4"/>
    </row>
    <row r="66" spans="19:60">
      <c r="S66" s="4"/>
      <c r="T66" s="4"/>
      <c r="U66" s="4"/>
      <c r="W66" s="4"/>
      <c r="X66" s="4"/>
      <c r="Y66" s="4"/>
      <c r="BD66" s="4"/>
      <c r="BE66" s="4"/>
      <c r="BF66" s="4"/>
      <c r="BG66" s="4"/>
      <c r="BH66" s="4"/>
    </row>
    <row r="67" spans="19:60">
      <c r="S67" s="4"/>
      <c r="T67" s="4"/>
      <c r="U67" s="4"/>
      <c r="W67" s="4"/>
      <c r="X67" s="4"/>
      <c r="Y67" s="4"/>
      <c r="BD67" s="4"/>
      <c r="BE67" s="4"/>
      <c r="BF67" s="4"/>
      <c r="BG67" s="4"/>
      <c r="BH67" s="4"/>
    </row>
    <row r="68" spans="19:60">
      <c r="S68" s="4"/>
      <c r="T68" s="4"/>
      <c r="U68" s="4"/>
      <c r="W68" s="4"/>
      <c r="X68" s="4"/>
      <c r="Y68" s="4"/>
      <c r="BD68" s="4"/>
      <c r="BE68" s="4"/>
      <c r="BF68" s="4"/>
      <c r="BG68" s="4"/>
      <c r="BH68" s="4"/>
    </row>
    <row r="69" spans="19:60">
      <c r="S69" s="4"/>
      <c r="T69" s="4"/>
      <c r="U69" s="4"/>
      <c r="W69" s="4"/>
      <c r="X69" s="4"/>
      <c r="Y69" s="4"/>
      <c r="BD69" s="4"/>
      <c r="BE69" s="4"/>
      <c r="BF69" s="4"/>
      <c r="BG69" s="4"/>
      <c r="BH69" s="4"/>
    </row>
    <row r="70" spans="19:60">
      <c r="S70" s="4"/>
      <c r="T70" s="4"/>
      <c r="U70" s="4"/>
      <c r="W70" s="4"/>
      <c r="X70" s="4"/>
      <c r="Y70" s="4"/>
      <c r="BD70" s="4"/>
      <c r="BE70" s="4"/>
      <c r="BF70" s="4"/>
      <c r="BG70" s="4"/>
      <c r="BH70" s="4"/>
    </row>
    <row r="71" spans="19:60">
      <c r="S71" s="4"/>
      <c r="T71" s="4"/>
      <c r="U71" s="4"/>
      <c r="W71" s="4"/>
      <c r="X71" s="4"/>
      <c r="Y71" s="4"/>
      <c r="BD71" s="4"/>
      <c r="BE71" s="4"/>
      <c r="BF71" s="4"/>
      <c r="BG71" s="4"/>
      <c r="BH71" s="4"/>
    </row>
    <row r="72" spans="19:60">
      <c r="S72" s="4"/>
      <c r="T72" s="4"/>
      <c r="U72" s="4"/>
      <c r="W72" s="4"/>
      <c r="X72" s="4"/>
      <c r="Y72" s="4"/>
      <c r="BD72" s="4"/>
      <c r="BE72" s="4"/>
      <c r="BF72" s="4"/>
      <c r="BG72" s="4"/>
      <c r="BH72" s="4"/>
    </row>
    <row r="73" spans="19:60">
      <c r="S73" s="4"/>
      <c r="T73" s="4"/>
      <c r="U73" s="4"/>
      <c r="W73" s="4"/>
      <c r="X73" s="4"/>
      <c r="Y73" s="4"/>
      <c r="BD73" s="4"/>
      <c r="BE73" s="4"/>
      <c r="BF73" s="4"/>
      <c r="BG73" s="4"/>
      <c r="BH73" s="4"/>
    </row>
    <row r="74" spans="19:60">
      <c r="S74" s="4"/>
      <c r="T74" s="4"/>
      <c r="U74" s="4"/>
      <c r="W74" s="4"/>
      <c r="X74" s="4"/>
      <c r="Y74" s="4"/>
      <c r="BD74" s="4"/>
      <c r="BE74" s="4"/>
      <c r="BF74" s="4"/>
      <c r="BG74" s="4"/>
      <c r="BH74" s="4"/>
    </row>
    <row r="75" spans="19:60">
      <c r="S75" s="4"/>
      <c r="T75" s="4"/>
      <c r="U75" s="4"/>
      <c r="W75" s="4"/>
      <c r="X75" s="4"/>
      <c r="Y75" s="4"/>
      <c r="BD75" s="4"/>
      <c r="BE75" s="4"/>
      <c r="BF75" s="4"/>
      <c r="BG75" s="4"/>
      <c r="BH75" s="4"/>
    </row>
    <row r="76" spans="19:60">
      <c r="S76" s="4"/>
      <c r="T76" s="4"/>
      <c r="U76" s="4"/>
      <c r="W76" s="4"/>
      <c r="X76" s="4"/>
      <c r="Y76" s="4"/>
      <c r="BD76" s="4"/>
      <c r="BE76" s="4"/>
      <c r="BF76" s="4"/>
      <c r="BG76" s="4"/>
      <c r="BH76" s="4"/>
    </row>
    <row r="77" spans="19:60">
      <c r="S77" s="4"/>
      <c r="T77" s="4"/>
      <c r="U77" s="4"/>
      <c r="W77" s="4"/>
      <c r="X77" s="4"/>
      <c r="Y77" s="4"/>
      <c r="BD77" s="4"/>
      <c r="BE77" s="4"/>
      <c r="BF77" s="4"/>
      <c r="BG77" s="4"/>
      <c r="BH77" s="4"/>
    </row>
    <row r="78" spans="19:60">
      <c r="S78" s="4"/>
      <c r="T78" s="4"/>
      <c r="U78" s="4"/>
      <c r="W78" s="4"/>
      <c r="X78" s="4"/>
      <c r="Y78" s="4"/>
      <c r="BD78" s="4"/>
      <c r="BE78" s="4"/>
      <c r="BF78" s="4"/>
      <c r="BG78" s="4"/>
      <c r="BH78" s="4"/>
    </row>
    <row r="79" spans="19:60">
      <c r="S79" s="4"/>
      <c r="T79" s="4"/>
      <c r="U79" s="4"/>
      <c r="W79" s="4"/>
      <c r="X79" s="4"/>
      <c r="Y79" s="4"/>
      <c r="BD79" s="4"/>
      <c r="BE79" s="4"/>
      <c r="BF79" s="4"/>
      <c r="BG79" s="4"/>
      <c r="BH79" s="4"/>
    </row>
    <row r="80" spans="19:60">
      <c r="S80" s="4"/>
      <c r="T80" s="4"/>
      <c r="U80" s="4"/>
      <c r="W80" s="4"/>
      <c r="X80" s="4"/>
      <c r="Y80" s="4"/>
      <c r="BD80" s="4"/>
      <c r="BE80" s="4"/>
      <c r="BF80" s="4"/>
      <c r="BG80" s="4"/>
      <c r="BH80" s="4"/>
    </row>
    <row r="81" spans="19:60">
      <c r="S81" s="4"/>
      <c r="T81" s="4"/>
      <c r="U81" s="4"/>
      <c r="W81" s="4"/>
      <c r="X81" s="4"/>
      <c r="Y81" s="4"/>
      <c r="BD81" s="4"/>
      <c r="BE81" s="4"/>
      <c r="BF81" s="4"/>
      <c r="BG81" s="4"/>
      <c r="BH81" s="4"/>
    </row>
    <row r="82" spans="19:60">
      <c r="S82" s="4"/>
      <c r="T82" s="4"/>
      <c r="U82" s="4"/>
      <c r="W82" s="4"/>
      <c r="X82" s="4"/>
      <c r="Y82" s="4"/>
      <c r="BD82" s="4"/>
      <c r="BE82" s="4"/>
      <c r="BF82" s="4"/>
      <c r="BG82" s="4"/>
      <c r="BH82" s="4"/>
    </row>
    <row r="83" spans="19:60">
      <c r="S83" s="4"/>
      <c r="T83" s="4"/>
      <c r="U83" s="4"/>
      <c r="W83" s="4"/>
      <c r="X83" s="4"/>
      <c r="Y83" s="4"/>
      <c r="BD83" s="4"/>
      <c r="BE83" s="4"/>
      <c r="BF83" s="4"/>
      <c r="BG83" s="4"/>
      <c r="BH83" s="4"/>
    </row>
    <row r="84" spans="19:60">
      <c r="S84" s="4"/>
      <c r="T84" s="4"/>
      <c r="U84" s="4"/>
      <c r="W84" s="4"/>
      <c r="X84" s="4"/>
      <c r="Y84" s="4"/>
      <c r="BD84" s="4"/>
      <c r="BE84" s="4"/>
      <c r="BF84" s="4"/>
      <c r="BG84" s="4"/>
      <c r="BH84" s="4"/>
    </row>
    <row r="85" spans="19:60">
      <c r="S85" s="4"/>
      <c r="T85" s="4"/>
      <c r="U85" s="4"/>
      <c r="W85" s="4"/>
      <c r="X85" s="4"/>
      <c r="Y85" s="4"/>
      <c r="BD85" s="4"/>
      <c r="BE85" s="4"/>
      <c r="BF85" s="4"/>
      <c r="BG85" s="4"/>
      <c r="BH85" s="4"/>
    </row>
    <row r="86" spans="19:60">
      <c r="S86" s="4"/>
      <c r="T86" s="4"/>
      <c r="U86" s="4"/>
      <c r="W86" s="4"/>
      <c r="X86" s="4"/>
      <c r="Y86" s="4"/>
      <c r="BD86" s="4"/>
      <c r="BE86" s="4"/>
      <c r="BF86" s="4"/>
      <c r="BG86" s="4"/>
      <c r="BH86" s="4"/>
    </row>
    <row r="87" spans="19:60">
      <c r="S87" s="4"/>
      <c r="T87" s="4"/>
      <c r="U87" s="4"/>
      <c r="W87" s="4"/>
      <c r="X87" s="4"/>
      <c r="Y87" s="4"/>
      <c r="BD87" s="4"/>
      <c r="BE87" s="4"/>
      <c r="BF87" s="4"/>
      <c r="BG87" s="4"/>
      <c r="BH87" s="4"/>
    </row>
    <row r="88" spans="19:60">
      <c r="S88" s="4"/>
      <c r="T88" s="4"/>
      <c r="U88" s="4"/>
      <c r="W88" s="4"/>
      <c r="X88" s="4"/>
      <c r="Y88" s="4"/>
      <c r="BD88" s="4"/>
      <c r="BE88" s="4"/>
      <c r="BF88" s="4"/>
      <c r="BG88" s="4"/>
      <c r="BH88" s="4"/>
    </row>
    <row r="89" spans="19:60">
      <c r="S89" s="4"/>
      <c r="T89" s="4"/>
      <c r="U89" s="4"/>
      <c r="W89" s="4"/>
      <c r="X89" s="4"/>
      <c r="Y89" s="4"/>
      <c r="BD89" s="4"/>
      <c r="BE89" s="4"/>
      <c r="BF89" s="4"/>
      <c r="BG89" s="4"/>
      <c r="BH89" s="4"/>
    </row>
    <row r="90" spans="19:60">
      <c r="S90" s="4"/>
      <c r="T90" s="4"/>
      <c r="U90" s="4"/>
      <c r="W90" s="4"/>
      <c r="X90" s="4"/>
      <c r="Y90" s="4"/>
      <c r="BD90" s="4"/>
      <c r="BE90" s="4"/>
      <c r="BF90" s="4"/>
      <c r="BG90" s="4"/>
      <c r="BH90" s="4"/>
    </row>
    <row r="91" spans="19:60">
      <c r="S91" s="4"/>
      <c r="T91" s="4"/>
      <c r="U91" s="4"/>
      <c r="W91" s="4"/>
      <c r="X91" s="4"/>
      <c r="Y91" s="4"/>
      <c r="BD91" s="4"/>
      <c r="BE91" s="4"/>
      <c r="BF91" s="4"/>
      <c r="BG91" s="4"/>
      <c r="BH91" s="4"/>
    </row>
    <row r="92" spans="19:60">
      <c r="S92" s="4"/>
      <c r="T92" s="4"/>
      <c r="U92" s="4"/>
      <c r="W92" s="4"/>
      <c r="X92" s="4"/>
      <c r="Y92" s="4"/>
      <c r="BD92" s="4"/>
      <c r="BE92" s="4"/>
      <c r="BF92" s="4"/>
      <c r="BG92" s="4"/>
      <c r="BH92" s="4"/>
    </row>
    <row r="93" spans="19:60">
      <c r="S93" s="4"/>
      <c r="T93" s="4"/>
      <c r="U93" s="4"/>
      <c r="W93" s="4"/>
      <c r="X93" s="4"/>
      <c r="Y93" s="4"/>
      <c r="BD93" s="4"/>
      <c r="BE93" s="4"/>
      <c r="BF93" s="4"/>
      <c r="BG93" s="4"/>
      <c r="BH93" s="4"/>
    </row>
    <row r="94" spans="19:60">
      <c r="S94" s="4"/>
      <c r="T94" s="4"/>
      <c r="U94" s="4"/>
      <c r="W94" s="4"/>
      <c r="X94" s="4"/>
      <c r="Y94" s="4"/>
      <c r="BD94" s="4"/>
      <c r="BE94" s="4"/>
      <c r="BF94" s="4"/>
      <c r="BG94" s="4"/>
      <c r="BH94" s="4"/>
    </row>
    <row r="95" spans="19:60">
      <c r="S95" s="4"/>
      <c r="T95" s="4"/>
      <c r="U95" s="4"/>
      <c r="W95" s="4"/>
      <c r="X95" s="4"/>
      <c r="Y95" s="4"/>
      <c r="BD95" s="4"/>
      <c r="BE95" s="4"/>
      <c r="BF95" s="4"/>
      <c r="BG95" s="4"/>
      <c r="BH95" s="4"/>
    </row>
    <row r="96" spans="19:60">
      <c r="S96" s="4"/>
      <c r="T96" s="4"/>
      <c r="U96" s="4"/>
      <c r="W96" s="4"/>
      <c r="X96" s="4"/>
      <c r="Y96" s="4"/>
      <c r="BD96" s="4"/>
      <c r="BE96" s="4"/>
      <c r="BF96" s="4"/>
      <c r="BG96" s="4"/>
      <c r="BH96" s="4"/>
    </row>
    <row r="97" spans="19:60">
      <c r="S97" s="4"/>
      <c r="T97" s="4"/>
      <c r="U97" s="4"/>
      <c r="W97" s="4"/>
      <c r="X97" s="4"/>
      <c r="Y97" s="4"/>
      <c r="BD97" s="4"/>
      <c r="BE97" s="4"/>
      <c r="BF97" s="4"/>
      <c r="BG97" s="4"/>
      <c r="BH97" s="4"/>
    </row>
    <row r="98" spans="19:60">
      <c r="S98" s="4"/>
      <c r="T98" s="4"/>
      <c r="U98" s="4"/>
      <c r="W98" s="4"/>
      <c r="X98" s="4"/>
      <c r="Y98" s="4"/>
      <c r="BD98" s="4"/>
      <c r="BE98" s="4"/>
      <c r="BF98" s="4"/>
      <c r="BG98" s="4"/>
      <c r="BH98" s="4"/>
    </row>
    <row r="99" spans="19:60">
      <c r="S99" s="4"/>
      <c r="T99" s="4"/>
      <c r="U99" s="4"/>
      <c r="W99" s="4"/>
      <c r="X99" s="4"/>
      <c r="Y99" s="4"/>
      <c r="BD99" s="4"/>
      <c r="BE99" s="4"/>
      <c r="BF99" s="4"/>
      <c r="BG99" s="4"/>
      <c r="BH99" s="4"/>
    </row>
    <row r="100" spans="19:60">
      <c r="S100" s="4"/>
      <c r="T100" s="4"/>
      <c r="U100" s="4"/>
      <c r="W100" s="4"/>
      <c r="X100" s="4"/>
      <c r="Y100" s="4"/>
      <c r="BD100" s="4"/>
      <c r="BE100" s="4"/>
      <c r="BF100" s="4"/>
      <c r="BG100" s="4"/>
      <c r="BH100" s="4"/>
    </row>
    <row r="101" spans="19:60">
      <c r="S101" s="4"/>
      <c r="T101" s="4"/>
      <c r="U101" s="4"/>
      <c r="W101" s="4"/>
      <c r="X101" s="4"/>
      <c r="Y101" s="4"/>
      <c r="BD101" s="4"/>
      <c r="BE101" s="4"/>
      <c r="BF101" s="4"/>
      <c r="BG101" s="4"/>
      <c r="BH101" s="4"/>
    </row>
    <row r="102" spans="19:60">
      <c r="S102" s="4"/>
      <c r="T102" s="4"/>
      <c r="U102" s="4"/>
      <c r="W102" s="4"/>
      <c r="X102" s="4"/>
      <c r="Y102" s="4"/>
      <c r="BD102" s="4"/>
      <c r="BE102" s="4"/>
      <c r="BF102" s="4"/>
      <c r="BG102" s="4"/>
      <c r="BH102" s="4"/>
    </row>
    <row r="103" spans="19:60">
      <c r="S103" s="4"/>
      <c r="T103" s="4"/>
      <c r="U103" s="4"/>
      <c r="W103" s="4"/>
      <c r="X103" s="4"/>
      <c r="Y103" s="4"/>
      <c r="BD103" s="4"/>
      <c r="BE103" s="4"/>
      <c r="BF103" s="4"/>
      <c r="BG103" s="4"/>
      <c r="BH103" s="4"/>
    </row>
    <row r="104" spans="19:60">
      <c r="S104" s="4"/>
      <c r="T104" s="4"/>
      <c r="U104" s="4"/>
      <c r="W104" s="4"/>
      <c r="X104" s="4"/>
      <c r="Y104" s="4"/>
      <c r="BD104" s="4"/>
      <c r="BE104" s="4"/>
      <c r="BF104" s="4"/>
      <c r="BG104" s="4"/>
      <c r="BH104" s="4"/>
    </row>
    <row r="105" spans="19:60">
      <c r="S105" s="4"/>
      <c r="T105" s="4"/>
      <c r="U105" s="4"/>
      <c r="W105" s="4"/>
      <c r="X105" s="4"/>
      <c r="Y105" s="4"/>
      <c r="BD105" s="4"/>
      <c r="BE105" s="4"/>
      <c r="BF105" s="4"/>
      <c r="BG105" s="4"/>
      <c r="BH105" s="4"/>
    </row>
    <row r="106" spans="19:60">
      <c r="S106" s="4"/>
      <c r="T106" s="4"/>
      <c r="U106" s="4"/>
      <c r="W106" s="4"/>
      <c r="X106" s="4"/>
      <c r="Y106" s="4"/>
      <c r="BD106" s="4"/>
      <c r="BE106" s="4"/>
      <c r="BF106" s="4"/>
      <c r="BG106" s="4"/>
      <c r="BH106" s="4"/>
    </row>
    <row r="107" spans="19:60">
      <c r="S107" s="4"/>
      <c r="T107" s="4"/>
      <c r="U107" s="4"/>
      <c r="W107" s="4"/>
      <c r="X107" s="4"/>
      <c r="Y107" s="4"/>
      <c r="BD107" s="4"/>
      <c r="BE107" s="4"/>
      <c r="BF107" s="4"/>
      <c r="BG107" s="4"/>
      <c r="BH107" s="4"/>
    </row>
    <row r="108" spans="19:60">
      <c r="S108" s="4"/>
      <c r="T108" s="4"/>
      <c r="U108" s="4"/>
      <c r="W108" s="4"/>
      <c r="X108" s="4"/>
      <c r="Y108" s="4"/>
      <c r="BD108" s="4"/>
      <c r="BE108" s="4"/>
      <c r="BF108" s="4"/>
      <c r="BG108" s="4"/>
      <c r="BH108" s="4"/>
    </row>
    <row r="109" spans="19:60">
      <c r="S109" s="4"/>
      <c r="T109" s="4"/>
      <c r="U109" s="4"/>
      <c r="W109" s="4"/>
      <c r="X109" s="4"/>
      <c r="Y109" s="4"/>
      <c r="BD109" s="4"/>
      <c r="BE109" s="4"/>
      <c r="BF109" s="4"/>
      <c r="BG109" s="4"/>
      <c r="BH109" s="4"/>
    </row>
    <row r="110" spans="19:60">
      <c r="S110" s="4"/>
      <c r="T110" s="4"/>
      <c r="U110" s="4"/>
      <c r="W110" s="4"/>
      <c r="X110" s="4"/>
      <c r="Y110" s="4"/>
      <c r="BD110" s="4"/>
      <c r="BE110" s="4"/>
      <c r="BF110" s="4"/>
      <c r="BG110" s="4"/>
      <c r="BH110" s="4"/>
    </row>
    <row r="111" spans="19:60">
      <c r="S111" s="4"/>
      <c r="T111" s="4"/>
      <c r="U111" s="4"/>
      <c r="W111" s="4"/>
      <c r="X111" s="4"/>
      <c r="Y111" s="4"/>
      <c r="BD111" s="4"/>
      <c r="BE111" s="4"/>
      <c r="BF111" s="4"/>
      <c r="BG111" s="4"/>
      <c r="BH111" s="4"/>
    </row>
    <row r="112" spans="19:60">
      <c r="S112" s="4"/>
      <c r="T112" s="4"/>
      <c r="U112" s="4"/>
      <c r="W112" s="4"/>
      <c r="X112" s="4"/>
      <c r="Y112" s="4"/>
      <c r="BD112" s="4"/>
      <c r="BE112" s="4"/>
      <c r="BF112" s="4"/>
      <c r="BG112" s="4"/>
      <c r="BH112" s="4"/>
    </row>
    <row r="113" spans="3:84">
      <c r="C113" s="4"/>
      <c r="D113" s="4"/>
      <c r="E113" s="4"/>
      <c r="F113" s="4"/>
      <c r="G113" s="4"/>
      <c r="J113" s="4"/>
      <c r="K113" s="4"/>
      <c r="N113" s="4"/>
      <c r="Q113" s="4"/>
      <c r="S113" s="4"/>
      <c r="T113" s="4"/>
      <c r="U113" s="4"/>
      <c r="W113" s="4"/>
      <c r="X113" s="4"/>
      <c r="Y113" s="4"/>
      <c r="AF113" s="4"/>
      <c r="AH113" s="4"/>
      <c r="AK113" s="4"/>
      <c r="AO113" s="4"/>
      <c r="AQ113" s="4"/>
      <c r="AR113" s="4"/>
      <c r="AT113" s="4"/>
      <c r="AU113" s="4"/>
      <c r="BD113" s="4"/>
      <c r="BE113" s="4"/>
      <c r="BF113" s="4"/>
      <c r="BG113" s="4"/>
      <c r="BH113" s="4"/>
    </row>
    <row r="114" spans="3:84">
      <c r="C114" s="4"/>
      <c r="D114" s="4"/>
      <c r="E114" s="4"/>
      <c r="F114" s="4"/>
      <c r="G114" s="4"/>
      <c r="J114" s="4"/>
      <c r="K114" s="4"/>
      <c r="N114" s="4"/>
      <c r="Q114" s="4"/>
      <c r="S114" s="4"/>
      <c r="T114" s="4"/>
      <c r="U114" s="4"/>
      <c r="W114" s="4"/>
      <c r="X114" s="4"/>
      <c r="Y114" s="4"/>
      <c r="AF114" s="4"/>
      <c r="AH114" s="4"/>
      <c r="AK114" s="4"/>
      <c r="AO114" s="4"/>
      <c r="AQ114" s="4"/>
      <c r="AR114" s="4"/>
      <c r="AT114" s="4"/>
      <c r="AU114" s="4"/>
      <c r="BD114" s="4"/>
      <c r="BE114" s="4"/>
      <c r="BF114" s="4"/>
      <c r="BG114" s="4"/>
      <c r="BH114" s="4"/>
    </row>
    <row r="115" spans="3:84">
      <c r="C115" s="4"/>
      <c r="D115" s="4"/>
      <c r="E115" s="4"/>
      <c r="F115" s="4"/>
      <c r="G115" s="271"/>
      <c r="J115" s="4"/>
      <c r="K115" s="4"/>
      <c r="N115" s="4"/>
      <c r="Q115" s="4"/>
      <c r="S115" s="4"/>
      <c r="T115" s="4"/>
      <c r="U115" s="4"/>
      <c r="W115" s="4"/>
      <c r="X115" s="4"/>
      <c r="Y115" s="4"/>
      <c r="AF115" s="4"/>
      <c r="AH115" s="4"/>
      <c r="AK115" s="4"/>
      <c r="AO115" s="4"/>
      <c r="AQ115" s="4"/>
      <c r="AR115" s="4"/>
      <c r="AT115" s="4"/>
      <c r="AU115" s="4"/>
      <c r="BD115" s="4"/>
      <c r="BE115" s="4"/>
      <c r="BF115" s="4"/>
      <c r="BG115" s="4"/>
      <c r="BH115" s="4"/>
    </row>
    <row r="116" spans="3:84">
      <c r="C116" s="4"/>
      <c r="D116" s="4"/>
      <c r="E116" s="4"/>
      <c r="F116" s="4"/>
      <c r="G116" s="4"/>
      <c r="J116" s="4"/>
      <c r="K116" s="4"/>
      <c r="N116" s="4"/>
      <c r="Q116" s="4"/>
      <c r="S116" s="4"/>
      <c r="T116" s="4"/>
      <c r="U116" s="4"/>
      <c r="W116" s="4"/>
      <c r="X116" s="4"/>
      <c r="Y116" s="4"/>
      <c r="AF116" s="4"/>
      <c r="AH116" s="4"/>
      <c r="AK116" s="4"/>
      <c r="AO116" s="4"/>
      <c r="AQ116" s="4"/>
      <c r="AR116" s="4"/>
      <c r="AT116" s="4"/>
      <c r="AU116" s="4"/>
      <c r="BD116" s="4"/>
      <c r="BE116" s="4"/>
      <c r="BF116" s="4"/>
      <c r="BG116" s="4"/>
      <c r="BH116" s="4"/>
    </row>
    <row r="117" spans="3:84">
      <c r="C117" s="4"/>
      <c r="D117" s="4"/>
      <c r="E117" s="4"/>
      <c r="F117" s="4"/>
      <c r="G117" s="4"/>
      <c r="J117" s="4"/>
      <c r="K117" s="4"/>
      <c r="N117" s="4"/>
      <c r="Q117" s="4"/>
      <c r="S117" s="4"/>
      <c r="T117" s="4"/>
      <c r="U117" s="4"/>
      <c r="W117" s="4"/>
      <c r="X117" s="4"/>
      <c r="Y117" s="4"/>
      <c r="AF117" s="4"/>
      <c r="AH117" s="4"/>
      <c r="AK117" s="4"/>
      <c r="AO117" s="4"/>
      <c r="AQ117" s="4"/>
      <c r="AR117" s="4"/>
      <c r="AT117" s="4"/>
      <c r="AU117" s="4"/>
      <c r="BD117" s="4"/>
      <c r="BE117" s="4"/>
      <c r="BF117" s="4"/>
      <c r="BG117" s="4"/>
      <c r="BH117" s="4"/>
    </row>
    <row r="118" spans="3:84">
      <c r="C118" s="4"/>
      <c r="D118" s="4"/>
      <c r="E118" s="4"/>
      <c r="F118" s="4"/>
      <c r="G118" s="4"/>
      <c r="J118" s="4"/>
      <c r="K118" s="4"/>
      <c r="N118" s="4"/>
      <c r="Q118" s="4"/>
      <c r="S118" s="4"/>
      <c r="T118" s="4"/>
      <c r="U118" s="4"/>
      <c r="W118" s="4"/>
      <c r="X118" s="4"/>
      <c r="Y118" s="4"/>
      <c r="AF118" s="4"/>
      <c r="AH118" s="4"/>
      <c r="AK118" s="4"/>
      <c r="AO118" s="4"/>
      <c r="AQ118" s="4"/>
      <c r="AR118" s="4"/>
      <c r="AT118" s="4"/>
      <c r="AU118" s="4"/>
      <c r="BD118" s="4"/>
      <c r="BE118" s="4"/>
      <c r="BF118" s="4"/>
      <c r="BG118" s="4"/>
      <c r="BH118" s="4"/>
    </row>
    <row r="119" spans="3:84">
      <c r="C119" s="4"/>
      <c r="D119" s="4"/>
      <c r="E119" s="4"/>
      <c r="F119" s="4"/>
      <c r="G119" s="4"/>
    </row>
    <row r="120" spans="3:84">
      <c r="C120" s="4"/>
      <c r="D120" s="4"/>
      <c r="E120" s="4"/>
      <c r="F120" s="4"/>
      <c r="G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</row>
    <row r="121" spans="3:84">
      <c r="C121" s="4"/>
      <c r="D121" s="4"/>
      <c r="E121" s="4"/>
      <c r="F121" s="4"/>
      <c r="G121" s="4"/>
      <c r="J121" s="4"/>
      <c r="K121" s="4"/>
      <c r="N121" s="4"/>
      <c r="Q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</row>
    <row r="122" spans="3:84">
      <c r="C122" s="4"/>
      <c r="D122" s="4"/>
      <c r="E122" s="4"/>
      <c r="F122" s="4"/>
      <c r="G122" s="4"/>
      <c r="J122" s="4"/>
      <c r="K122" s="4"/>
      <c r="N122" s="4"/>
      <c r="Q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</row>
    <row r="123" spans="3:84">
      <c r="C123" s="4"/>
      <c r="D123" s="4"/>
      <c r="E123" s="4"/>
      <c r="F123" s="4"/>
      <c r="G123" s="4"/>
      <c r="J123" s="4"/>
      <c r="K123" s="4"/>
      <c r="N123" s="4"/>
      <c r="Q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</row>
    <row r="124" spans="3:84">
      <c r="C124" s="4"/>
      <c r="D124" s="4"/>
      <c r="E124" s="4"/>
      <c r="F124" s="4"/>
      <c r="G124" s="4"/>
      <c r="J124" s="4"/>
      <c r="K124" s="4"/>
      <c r="N124" s="4"/>
      <c r="Q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</row>
    <row r="125" spans="3:84">
      <c r="C125" s="4"/>
      <c r="D125" s="4"/>
      <c r="E125" s="4"/>
      <c r="F125" s="4"/>
      <c r="G125" s="4"/>
      <c r="J125" s="4"/>
      <c r="K125" s="4"/>
      <c r="N125" s="4"/>
      <c r="Q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</row>
    <row r="126" spans="3:84">
      <c r="C126" s="4"/>
      <c r="D126" s="4"/>
      <c r="E126" s="4"/>
      <c r="F126" s="4"/>
      <c r="G126" s="4"/>
      <c r="J126" s="4"/>
      <c r="K126" s="4"/>
      <c r="N126" s="4"/>
      <c r="Q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</row>
    <row r="127" spans="3:84">
      <c r="C127" s="4"/>
      <c r="D127" s="4"/>
      <c r="E127" s="4"/>
      <c r="F127" s="4"/>
      <c r="G127" s="4"/>
      <c r="J127" s="4"/>
      <c r="K127" s="4"/>
      <c r="N127" s="4"/>
      <c r="Q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</row>
    <row r="128" spans="3:84">
      <c r="C128" s="4"/>
      <c r="D128" s="4"/>
      <c r="E128" s="4"/>
      <c r="F128" s="4"/>
      <c r="G128" s="4"/>
      <c r="J128" s="4"/>
      <c r="K128" s="4"/>
      <c r="N128" s="4"/>
      <c r="Q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</row>
    <row r="129" spans="3:84">
      <c r="C129" s="4"/>
      <c r="D129" s="4"/>
      <c r="E129" s="4"/>
      <c r="F129" s="4"/>
      <c r="G129" s="4"/>
      <c r="J129" s="4"/>
      <c r="K129" s="4"/>
      <c r="N129" s="4"/>
      <c r="Q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</row>
    <row r="130" spans="3:84">
      <c r="C130" s="4"/>
      <c r="D130" s="4"/>
      <c r="E130" s="4"/>
      <c r="F130" s="4"/>
      <c r="G130" s="4"/>
      <c r="J130" s="4"/>
      <c r="K130" s="4"/>
      <c r="N130" s="4"/>
      <c r="Q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</row>
    <row r="131" spans="3:84">
      <c r="C131" s="4"/>
      <c r="D131" s="4"/>
      <c r="E131" s="4"/>
      <c r="F131" s="4"/>
      <c r="G131" s="4"/>
      <c r="J131" s="4"/>
      <c r="K131" s="4"/>
      <c r="N131" s="4"/>
      <c r="Q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</row>
    <row r="132" spans="3:84">
      <c r="C132" s="4"/>
      <c r="D132" s="4"/>
      <c r="E132" s="4"/>
      <c r="F132" s="4"/>
      <c r="G132" s="4"/>
      <c r="J132" s="4"/>
      <c r="K132" s="4"/>
      <c r="N132" s="4"/>
      <c r="Q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</row>
    <row r="133" spans="3:84">
      <c r="C133" s="4"/>
      <c r="D133" s="4"/>
      <c r="E133" s="4"/>
      <c r="F133" s="4"/>
      <c r="G133" s="4"/>
      <c r="J133" s="4"/>
      <c r="K133" s="4"/>
      <c r="N133" s="4"/>
      <c r="Q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</row>
    <row r="134" spans="3:84">
      <c r="C134" s="4"/>
      <c r="D134" s="4"/>
      <c r="E134" s="4"/>
      <c r="F134" s="4"/>
      <c r="G134" s="4"/>
      <c r="J134" s="4"/>
      <c r="K134" s="4"/>
      <c r="N134" s="4"/>
      <c r="Q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</row>
    <row r="135" spans="3:84">
      <c r="C135" s="4"/>
      <c r="D135" s="4"/>
      <c r="E135" s="4"/>
      <c r="F135" s="4"/>
      <c r="G135" s="4"/>
      <c r="J135" s="4"/>
      <c r="K135" s="4"/>
      <c r="N135" s="4"/>
      <c r="Q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</row>
    <row r="136" spans="3:84">
      <c r="C136" s="4"/>
      <c r="D136" s="4"/>
      <c r="E136" s="4"/>
      <c r="F136" s="4"/>
      <c r="G136" s="4"/>
      <c r="J136" s="4"/>
      <c r="K136" s="4"/>
      <c r="N136" s="4"/>
      <c r="Q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</row>
    <row r="137" spans="3:84">
      <c r="C137" s="4"/>
      <c r="D137" s="4"/>
      <c r="E137" s="4"/>
      <c r="F137" s="4"/>
      <c r="G137" s="4"/>
      <c r="J137" s="4"/>
      <c r="K137" s="4"/>
      <c r="N137" s="4"/>
      <c r="Q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</row>
    <row r="138" spans="3:84">
      <c r="C138" s="4"/>
      <c r="D138" s="4"/>
      <c r="E138" s="4"/>
      <c r="F138" s="4"/>
      <c r="G138" s="4"/>
      <c r="J138" s="4"/>
      <c r="K138" s="4"/>
      <c r="N138" s="4"/>
      <c r="Q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</row>
    <row r="139" spans="3:84">
      <c r="C139" s="4"/>
      <c r="D139" s="4"/>
      <c r="E139" s="4"/>
      <c r="F139" s="4"/>
      <c r="G139" s="4"/>
      <c r="J139" s="4"/>
      <c r="K139" s="4"/>
      <c r="N139" s="4"/>
      <c r="Q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</row>
    <row r="140" spans="3:84">
      <c r="C140" s="4"/>
      <c r="D140" s="4"/>
      <c r="E140" s="4"/>
      <c r="F140" s="4"/>
      <c r="G140" s="4"/>
      <c r="J140" s="4"/>
      <c r="K140" s="4"/>
      <c r="N140" s="4"/>
      <c r="Q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</row>
    <row r="141" spans="3:84">
      <c r="C141" s="4"/>
      <c r="D141" s="4"/>
      <c r="E141" s="4"/>
      <c r="F141" s="4"/>
      <c r="G141" s="4"/>
      <c r="J141" s="4"/>
      <c r="K141" s="4"/>
      <c r="N141" s="4"/>
      <c r="Q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</row>
    <row r="142" spans="3:84">
      <c r="C142" s="4"/>
      <c r="D142" s="4"/>
      <c r="E142" s="4"/>
      <c r="F142" s="4"/>
      <c r="G142" s="4"/>
      <c r="J142" s="4"/>
      <c r="K142" s="4"/>
      <c r="N142" s="4"/>
      <c r="Q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</row>
    <row r="143" spans="3:84">
      <c r="C143" s="4"/>
      <c r="D143" s="4"/>
      <c r="E143" s="4"/>
      <c r="F143" s="4"/>
      <c r="G143" s="4"/>
      <c r="J143" s="4"/>
      <c r="K143" s="4"/>
      <c r="N143" s="4"/>
      <c r="Q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</row>
    <row r="144" spans="3:84">
      <c r="C144" s="4"/>
      <c r="D144" s="4"/>
      <c r="E144" s="4"/>
      <c r="F144" s="4"/>
      <c r="G144" s="4"/>
      <c r="J144" s="4"/>
      <c r="K144" s="4"/>
      <c r="N144" s="4"/>
      <c r="Q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</row>
    <row r="145" spans="3:85">
      <c r="C145" s="4"/>
      <c r="D145" s="4"/>
      <c r="E145" s="4"/>
      <c r="F145" s="4"/>
      <c r="G145" s="4"/>
      <c r="J145" s="4"/>
      <c r="K145" s="4"/>
      <c r="N145" s="4"/>
      <c r="Q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</row>
    <row r="146" spans="3:85">
      <c r="C146" s="4"/>
      <c r="D146" s="4"/>
      <c r="E146" s="4"/>
      <c r="F146" s="4"/>
      <c r="G146" s="4"/>
      <c r="J146" s="4"/>
      <c r="K146" s="4"/>
      <c r="N146" s="4"/>
      <c r="Q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</row>
    <row r="147" spans="3:85">
      <c r="C147" s="4"/>
      <c r="D147" s="4"/>
      <c r="E147" s="4"/>
      <c r="F147" s="4"/>
      <c r="G147" s="4"/>
      <c r="J147" s="4"/>
      <c r="K147" s="4"/>
      <c r="N147" s="4"/>
      <c r="Q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</row>
    <row r="148" spans="3:85">
      <c r="C148" s="4"/>
      <c r="D148" s="4"/>
      <c r="E148" s="4"/>
      <c r="F148" s="4"/>
      <c r="G148" s="4"/>
      <c r="J148" s="4"/>
      <c r="K148" s="4"/>
      <c r="N148" s="4"/>
      <c r="Q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</row>
    <row r="149" spans="3:85">
      <c r="C149" s="4"/>
      <c r="D149" s="4"/>
      <c r="E149" s="4"/>
      <c r="F149" s="4"/>
      <c r="G149" s="4"/>
      <c r="J149" s="4"/>
      <c r="K149" s="4"/>
      <c r="N149" s="4"/>
      <c r="Q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</row>
    <row r="150" spans="3:85">
      <c r="C150" s="4"/>
      <c r="D150" s="4"/>
      <c r="E150" s="4"/>
      <c r="F150" s="4"/>
      <c r="G150" s="4"/>
      <c r="J150" s="4"/>
      <c r="K150" s="4"/>
      <c r="N150" s="4"/>
      <c r="Q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</row>
    <row r="151" spans="3:85">
      <c r="C151" s="4"/>
      <c r="D151" s="4"/>
      <c r="E151" s="4"/>
      <c r="F151" s="4"/>
      <c r="G151" s="4"/>
      <c r="J151" s="4"/>
      <c r="K151" s="4"/>
      <c r="N151" s="4"/>
      <c r="Q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</row>
    <row r="152" spans="3:85">
      <c r="C152" s="4"/>
      <c r="D152" s="4"/>
      <c r="E152" s="4"/>
      <c r="F152" s="4"/>
      <c r="G152" s="4"/>
      <c r="J152" s="4"/>
      <c r="K152" s="4"/>
      <c r="N152" s="4"/>
      <c r="Q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</row>
    <row r="153" spans="3:85">
      <c r="C153" s="4"/>
      <c r="D153" s="4"/>
      <c r="E153" s="4"/>
      <c r="F153" s="4"/>
      <c r="G153" s="4"/>
      <c r="J153" s="4"/>
      <c r="K153" s="4"/>
      <c r="N153" s="4"/>
      <c r="Q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</row>
    <row r="154" spans="3:85">
      <c r="C154" s="4"/>
      <c r="D154" s="4"/>
      <c r="E154" s="4"/>
      <c r="F154" s="4"/>
      <c r="G154" s="4"/>
      <c r="J154" s="4"/>
      <c r="K154" s="4"/>
      <c r="N154" s="4"/>
      <c r="Q154" s="4"/>
      <c r="S154" s="4"/>
      <c r="T154" s="4"/>
      <c r="U154" s="4"/>
      <c r="BD154" s="4"/>
      <c r="BE154" s="4"/>
      <c r="BF154" s="4"/>
      <c r="BG154" s="4"/>
      <c r="BH154" s="4"/>
    </row>
    <row r="155" spans="3:85">
      <c r="C155" s="4"/>
      <c r="D155" s="4"/>
      <c r="E155" s="4"/>
      <c r="F155" s="4"/>
      <c r="G155" s="4"/>
      <c r="J155" s="4"/>
      <c r="K155" s="4"/>
      <c r="N155" s="4"/>
      <c r="Q155" s="4"/>
      <c r="S155" s="4"/>
      <c r="T155" s="4"/>
      <c r="U155" s="4"/>
      <c r="BD155" s="4"/>
      <c r="BE155" s="4"/>
      <c r="BF155" s="4"/>
      <c r="BG155" s="4"/>
      <c r="BH155" s="4"/>
    </row>
    <row r="156" spans="3:85">
      <c r="C156" s="4"/>
      <c r="D156" s="4"/>
      <c r="E156" s="4"/>
      <c r="F156" s="4"/>
      <c r="G156" s="4"/>
      <c r="J156" s="4"/>
      <c r="K156" s="4"/>
      <c r="N156" s="4"/>
      <c r="Q156" s="4"/>
      <c r="S156" s="163"/>
      <c r="T156" s="163"/>
      <c r="U156" s="163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D156" s="4"/>
      <c r="BE156" s="4"/>
      <c r="BF156" s="4"/>
      <c r="BG156" s="4"/>
      <c r="BH156" s="4"/>
    </row>
    <row r="157" spans="3:85">
      <c r="C157" s="4"/>
      <c r="D157" s="4"/>
      <c r="E157" s="4"/>
      <c r="F157" s="4"/>
      <c r="G157" s="4"/>
      <c r="J157" s="4"/>
      <c r="K157" s="4"/>
      <c r="N157" s="4"/>
      <c r="Q157" s="4"/>
      <c r="S157" s="163"/>
      <c r="T157" s="163"/>
      <c r="U157" s="163"/>
      <c r="V157" s="4"/>
      <c r="W157" s="163"/>
      <c r="X157" s="163"/>
      <c r="Y157" s="163"/>
      <c r="Z157" s="163"/>
      <c r="AA157" s="163"/>
      <c r="AB157" s="163"/>
      <c r="AC157" s="163"/>
      <c r="AD157" s="163"/>
      <c r="AE157" s="163"/>
      <c r="AF157" s="163"/>
      <c r="AG157" s="163"/>
      <c r="AH157" s="163"/>
      <c r="AI157" s="163"/>
      <c r="AJ157" s="163"/>
      <c r="AK157" s="163"/>
      <c r="AL157" s="163"/>
      <c r="AM157" s="163"/>
      <c r="AN157" s="163"/>
      <c r="AO157" s="163"/>
      <c r="AP157" s="163"/>
      <c r="AQ157" s="163"/>
      <c r="AR157" s="163"/>
      <c r="AS157" s="163"/>
      <c r="AT157" s="163"/>
      <c r="AU157" s="163"/>
      <c r="AV157" s="163"/>
      <c r="AW157" s="163"/>
      <c r="AX157" s="163"/>
      <c r="AY157" s="163"/>
      <c r="AZ157" s="163"/>
      <c r="BA157" s="163"/>
      <c r="BB157" s="163"/>
      <c r="BC157" s="163"/>
      <c r="BD157" s="163"/>
      <c r="BE157" s="163"/>
      <c r="BF157" s="163"/>
      <c r="BG157" s="163"/>
      <c r="BH157" s="163"/>
      <c r="BI157" s="163"/>
      <c r="BJ157" s="163"/>
      <c r="BK157" s="163"/>
      <c r="BL157" s="163"/>
      <c r="BM157" s="163"/>
      <c r="BN157" s="163"/>
      <c r="BO157" s="163"/>
      <c r="BP157" s="163"/>
      <c r="BQ157" s="163"/>
      <c r="BR157" s="163"/>
      <c r="BS157" s="163"/>
      <c r="BT157" s="163"/>
      <c r="BU157" s="163"/>
      <c r="BV157" s="163"/>
      <c r="BW157" s="163"/>
      <c r="BX157" s="163"/>
      <c r="BY157" s="163"/>
      <c r="BZ157" s="163"/>
      <c r="CA157" s="163"/>
      <c r="CB157" s="163"/>
      <c r="CC157" s="163"/>
      <c r="CD157" s="163"/>
      <c r="CE157" s="163"/>
      <c r="CF157" s="163"/>
      <c r="CG157" s="163"/>
    </row>
    <row r="158" spans="3:85">
      <c r="C158" s="4"/>
      <c r="D158" s="4"/>
      <c r="E158" s="4"/>
      <c r="F158" s="4"/>
      <c r="G158" s="4"/>
      <c r="J158" s="4"/>
      <c r="K158" s="4"/>
      <c r="N158" s="4"/>
      <c r="Q158" s="4"/>
      <c r="S158" s="163"/>
      <c r="T158" s="163"/>
      <c r="U158" s="163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D158" s="4"/>
      <c r="BE158" s="4"/>
      <c r="BF158" s="4"/>
      <c r="BG158" s="4"/>
      <c r="BH158" s="4"/>
    </row>
    <row r="159" spans="3:85">
      <c r="C159" s="4"/>
      <c r="D159" s="4"/>
      <c r="E159" s="4"/>
      <c r="F159" s="4"/>
      <c r="G159" s="4"/>
      <c r="J159" s="4"/>
      <c r="K159" s="4"/>
      <c r="N159" s="4"/>
      <c r="Q159" s="4"/>
      <c r="S159" s="163"/>
      <c r="T159" s="163"/>
      <c r="U159" s="163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D159" s="4"/>
      <c r="BE159" s="4"/>
      <c r="BF159" s="4"/>
      <c r="BG159" s="4"/>
      <c r="BH159" s="4"/>
    </row>
    <row r="160" spans="3:85">
      <c r="C160" s="4"/>
      <c r="D160" s="4"/>
      <c r="E160" s="4"/>
      <c r="F160" s="4"/>
      <c r="G160" s="4"/>
      <c r="J160" s="4"/>
      <c r="K160" s="4"/>
      <c r="N160" s="4"/>
      <c r="Q160" s="4"/>
      <c r="S160" s="163"/>
      <c r="T160" s="163"/>
      <c r="U160" s="163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D160" s="4"/>
      <c r="BE160" s="4"/>
      <c r="BF160" s="4"/>
      <c r="BG160" s="4"/>
      <c r="BH160" s="4"/>
    </row>
    <row r="161" spans="3:60">
      <c r="C161" s="4"/>
      <c r="D161" s="4"/>
      <c r="E161" s="4"/>
      <c r="F161" s="4"/>
      <c r="G161" s="4"/>
      <c r="J161" s="4"/>
      <c r="K161" s="4"/>
      <c r="N161" s="4"/>
      <c r="Q161" s="4"/>
      <c r="S161" s="163"/>
      <c r="T161" s="163"/>
      <c r="U161" s="163"/>
      <c r="BD161" s="4"/>
      <c r="BE161" s="4"/>
      <c r="BF161" s="4"/>
      <c r="BG161" s="4"/>
      <c r="BH161" s="4"/>
    </row>
    <row r="162" spans="3:60">
      <c r="C162" s="4"/>
      <c r="D162" s="4"/>
      <c r="E162" s="4"/>
      <c r="F162" s="4"/>
      <c r="G162" s="4"/>
      <c r="J162" s="4"/>
      <c r="K162" s="4"/>
      <c r="N162" s="4"/>
      <c r="Q162" s="4"/>
      <c r="S162" s="163"/>
      <c r="T162" s="163"/>
      <c r="U162" s="163"/>
      <c r="BD162" s="4"/>
      <c r="BE162" s="4"/>
      <c r="BF162" s="4"/>
      <c r="BG162" s="4"/>
      <c r="BH162" s="4"/>
    </row>
    <row r="163" spans="3:60">
      <c r="C163" s="4"/>
      <c r="D163" s="4"/>
      <c r="E163" s="4"/>
      <c r="F163" s="4"/>
      <c r="G163" s="4"/>
      <c r="J163" s="4"/>
      <c r="K163" s="4"/>
      <c r="N163" s="4"/>
      <c r="Q163" s="4"/>
      <c r="S163" s="163"/>
      <c r="T163" s="163"/>
      <c r="U163" s="163"/>
      <c r="BD163" s="4"/>
      <c r="BE163" s="4"/>
      <c r="BF163" s="4"/>
      <c r="BG163" s="4"/>
      <c r="BH163" s="4"/>
    </row>
    <row r="164" spans="3:60">
      <c r="C164" s="4"/>
      <c r="D164" s="4"/>
      <c r="E164" s="4"/>
      <c r="F164" s="4"/>
      <c r="G164" s="4"/>
      <c r="J164" s="4"/>
      <c r="K164" s="4"/>
      <c r="N164" s="4"/>
      <c r="Q164" s="4"/>
      <c r="S164" s="163"/>
      <c r="T164" s="163"/>
      <c r="U164" s="163"/>
      <c r="BD164" s="4"/>
      <c r="BE164" s="4"/>
      <c r="BF164" s="4"/>
      <c r="BG164" s="4"/>
      <c r="BH164" s="4"/>
    </row>
    <row r="165" spans="3:60">
      <c r="C165" s="4"/>
      <c r="D165" s="4"/>
      <c r="E165" s="4"/>
      <c r="F165" s="4"/>
      <c r="G165" s="4"/>
      <c r="J165" s="4"/>
      <c r="K165" s="4"/>
      <c r="N165" s="4"/>
      <c r="Q165" s="4"/>
      <c r="S165" s="163"/>
      <c r="T165" s="163"/>
      <c r="U165" s="163"/>
      <c r="BD165" s="4"/>
      <c r="BE165" s="4"/>
      <c r="BF165" s="4"/>
      <c r="BG165" s="4"/>
      <c r="BH165" s="4"/>
    </row>
    <row r="166" spans="3:60">
      <c r="C166" s="4"/>
      <c r="D166" s="4"/>
      <c r="E166" s="4"/>
      <c r="F166" s="4"/>
      <c r="G166" s="4"/>
      <c r="J166" s="4"/>
      <c r="K166" s="4"/>
      <c r="N166" s="4"/>
      <c r="Q166" s="4"/>
      <c r="S166" s="163"/>
      <c r="T166" s="163"/>
      <c r="U166" s="163"/>
      <c r="BD166" s="4"/>
      <c r="BE166" s="4"/>
      <c r="BF166" s="4"/>
      <c r="BG166" s="4"/>
      <c r="BH166" s="4"/>
    </row>
    <row r="167" spans="3:60">
      <c r="C167" s="4"/>
      <c r="D167" s="4"/>
      <c r="E167" s="4"/>
      <c r="F167" s="4"/>
      <c r="G167" s="4"/>
      <c r="J167" s="4"/>
      <c r="K167" s="4"/>
      <c r="N167" s="4"/>
      <c r="Q167" s="4"/>
      <c r="S167" s="163"/>
      <c r="T167" s="163"/>
      <c r="U167" s="163"/>
      <c r="BD167" s="4"/>
      <c r="BE167" s="4"/>
      <c r="BF167" s="4"/>
      <c r="BG167" s="4"/>
      <c r="BH167" s="4"/>
    </row>
    <row r="168" spans="3:60">
      <c r="C168" s="4"/>
      <c r="D168" s="4"/>
      <c r="E168" s="4"/>
      <c r="F168" s="4"/>
      <c r="G168" s="4"/>
      <c r="J168" s="4"/>
      <c r="K168" s="4"/>
      <c r="N168" s="4"/>
      <c r="Q168" s="4"/>
      <c r="S168" s="163"/>
      <c r="T168" s="163"/>
      <c r="U168" s="163"/>
      <c r="BD168" s="4"/>
      <c r="BE168" s="4"/>
      <c r="BF168" s="4"/>
      <c r="BG168" s="4"/>
      <c r="BH168" s="4"/>
    </row>
    <row r="169" spans="3:60">
      <c r="C169" s="4"/>
      <c r="D169" s="4"/>
      <c r="E169" s="4"/>
      <c r="F169" s="4"/>
      <c r="G169" s="4"/>
      <c r="J169" s="4"/>
      <c r="K169" s="4"/>
      <c r="N169" s="4"/>
      <c r="Q169" s="4"/>
      <c r="S169" s="163"/>
      <c r="T169" s="163"/>
      <c r="U169" s="163"/>
      <c r="BD169" s="4"/>
      <c r="BE169" s="4"/>
      <c r="BF169" s="4"/>
      <c r="BG169" s="4"/>
      <c r="BH169" s="4"/>
    </row>
    <row r="170" spans="3:60">
      <c r="C170" s="4"/>
      <c r="D170" s="4"/>
      <c r="E170" s="4"/>
      <c r="F170" s="4"/>
      <c r="G170" s="4"/>
      <c r="J170" s="4"/>
      <c r="K170" s="4"/>
      <c r="N170" s="4"/>
      <c r="Q170" s="4"/>
      <c r="S170" s="163"/>
      <c r="T170" s="163"/>
      <c r="U170" s="163"/>
      <c r="BD170" s="4"/>
      <c r="BE170" s="4"/>
      <c r="BF170" s="4"/>
      <c r="BG170" s="4"/>
      <c r="BH170" s="4"/>
    </row>
    <row r="171" spans="3:60">
      <c r="C171" s="4"/>
      <c r="D171" s="4"/>
      <c r="E171" s="4"/>
      <c r="F171" s="4"/>
      <c r="G171" s="4"/>
      <c r="J171" s="4"/>
      <c r="K171" s="4"/>
      <c r="N171" s="4"/>
      <c r="Q171" s="4"/>
      <c r="S171" s="163"/>
      <c r="T171" s="163"/>
      <c r="U171" s="163"/>
      <c r="BD171" s="4"/>
      <c r="BE171" s="4"/>
      <c r="BF171" s="4"/>
      <c r="BG171" s="4"/>
      <c r="BH171" s="4"/>
    </row>
    <row r="172" spans="3:60">
      <c r="C172" s="4"/>
      <c r="D172" s="4"/>
      <c r="E172" s="4"/>
      <c r="F172" s="4"/>
      <c r="G172" s="4"/>
      <c r="J172" s="4"/>
      <c r="K172" s="4"/>
      <c r="N172" s="4"/>
      <c r="Q172" s="4"/>
      <c r="S172" s="163"/>
      <c r="T172" s="163"/>
      <c r="U172" s="163"/>
      <c r="BD172" s="4"/>
      <c r="BE172" s="4"/>
      <c r="BF172" s="4"/>
      <c r="BG172" s="4"/>
      <c r="BH172" s="4"/>
    </row>
    <row r="173" spans="3:60">
      <c r="C173" s="4"/>
      <c r="D173" s="4"/>
      <c r="E173" s="4"/>
      <c r="F173" s="4"/>
      <c r="G173" s="4"/>
      <c r="J173" s="4"/>
      <c r="K173" s="4"/>
      <c r="N173" s="4"/>
      <c r="Q173" s="4"/>
      <c r="S173" s="163"/>
      <c r="T173" s="163"/>
      <c r="U173" s="163"/>
      <c r="W173" s="4"/>
      <c r="X173" s="4"/>
      <c r="Y173" s="4"/>
      <c r="AF173" s="4"/>
      <c r="AH173" s="4"/>
      <c r="AK173" s="4"/>
      <c r="AO173" s="4"/>
      <c r="AQ173" s="4"/>
      <c r="AR173" s="4"/>
      <c r="AT173" s="4"/>
      <c r="AU173" s="4"/>
      <c r="BD173" s="4"/>
      <c r="BE173" s="4"/>
      <c r="BF173" s="4"/>
      <c r="BG173" s="4"/>
      <c r="BH173" s="4"/>
    </row>
    <row r="174" spans="3:60">
      <c r="C174" s="4"/>
      <c r="D174" s="4"/>
      <c r="E174" s="4"/>
      <c r="F174" s="4"/>
      <c r="G174" s="4"/>
      <c r="J174" s="4"/>
      <c r="K174" s="4"/>
      <c r="N174" s="4"/>
      <c r="Q174" s="4"/>
      <c r="S174" s="163"/>
      <c r="T174" s="163"/>
      <c r="U174" s="163"/>
      <c r="W174" s="4"/>
      <c r="X174" s="4"/>
      <c r="Y174" s="4"/>
      <c r="AF174" s="4"/>
      <c r="AH174" s="4"/>
      <c r="AK174" s="4"/>
      <c r="AO174" s="4"/>
      <c r="AQ174" s="4"/>
      <c r="AR174" s="4"/>
      <c r="AT174" s="4"/>
      <c r="AU174" s="4"/>
      <c r="BD174" s="4"/>
      <c r="BE174" s="4"/>
      <c r="BF174" s="4"/>
      <c r="BG174" s="4"/>
      <c r="BH174" s="4"/>
    </row>
    <row r="175" spans="3:60">
      <c r="C175" s="4"/>
      <c r="D175" s="4"/>
      <c r="E175" s="4"/>
      <c r="F175" s="4"/>
      <c r="G175" s="4"/>
      <c r="J175" s="4"/>
      <c r="K175" s="4"/>
      <c r="N175" s="4"/>
      <c r="Q175" s="4"/>
      <c r="S175" s="163"/>
      <c r="T175" s="163"/>
      <c r="U175" s="163"/>
      <c r="W175" s="4"/>
      <c r="X175" s="4"/>
      <c r="Y175" s="4"/>
      <c r="AF175" s="4"/>
      <c r="AH175" s="4"/>
      <c r="AK175" s="4"/>
      <c r="AO175" s="4"/>
      <c r="AQ175" s="4"/>
      <c r="AR175" s="4"/>
      <c r="AT175" s="4"/>
      <c r="AU175" s="4"/>
      <c r="BD175" s="4"/>
      <c r="BE175" s="4"/>
      <c r="BF175" s="4"/>
      <c r="BG175" s="4"/>
      <c r="BH175" s="4"/>
    </row>
    <row r="176" spans="3:60">
      <c r="C176" s="4"/>
      <c r="D176" s="4"/>
      <c r="E176" s="4"/>
      <c r="F176" s="4"/>
      <c r="G176" s="4"/>
      <c r="J176" s="4"/>
      <c r="K176" s="4"/>
      <c r="N176" s="4"/>
      <c r="Q176" s="4"/>
      <c r="S176" s="163"/>
      <c r="T176" s="163"/>
      <c r="U176" s="163"/>
      <c r="W176" s="4"/>
      <c r="X176" s="4"/>
      <c r="Y176" s="4"/>
      <c r="AF176" s="4"/>
      <c r="AH176" s="4"/>
      <c r="AK176" s="4"/>
      <c r="AO176" s="4"/>
      <c r="AQ176" s="4"/>
      <c r="AR176" s="4"/>
      <c r="AT176" s="4"/>
      <c r="AU176" s="4"/>
      <c r="BD176" s="4"/>
      <c r="BE176" s="4"/>
      <c r="BF176" s="4"/>
      <c r="BG176" s="4"/>
      <c r="BH176" s="4"/>
    </row>
    <row r="177" spans="3:60">
      <c r="C177" s="4"/>
      <c r="D177" s="4"/>
      <c r="E177" s="4"/>
      <c r="F177" s="4"/>
      <c r="G177" s="4"/>
      <c r="J177" s="4"/>
      <c r="K177" s="4"/>
      <c r="N177" s="4"/>
      <c r="Q177" s="4"/>
      <c r="S177" s="163"/>
      <c r="T177" s="163"/>
      <c r="U177" s="163"/>
      <c r="W177" s="4"/>
      <c r="X177" s="4"/>
      <c r="Y177" s="4"/>
      <c r="AF177" s="4"/>
      <c r="AH177" s="4"/>
      <c r="AK177" s="4"/>
      <c r="AO177" s="4"/>
      <c r="AQ177" s="4"/>
      <c r="AR177" s="4"/>
      <c r="AT177" s="4"/>
      <c r="AU177" s="4"/>
      <c r="BD177" s="4"/>
      <c r="BE177" s="4"/>
      <c r="BF177" s="4"/>
      <c r="BG177" s="4"/>
      <c r="BH177" s="4"/>
    </row>
    <row r="178" spans="3:60">
      <c r="C178" s="4"/>
      <c r="D178" s="4"/>
      <c r="E178" s="4"/>
      <c r="F178" s="4"/>
      <c r="G178" s="4"/>
      <c r="J178" s="4"/>
      <c r="K178" s="4"/>
      <c r="N178" s="4"/>
      <c r="Q178" s="4"/>
      <c r="S178" s="163"/>
      <c r="T178" s="163"/>
      <c r="U178" s="163"/>
      <c r="W178" s="4"/>
      <c r="X178" s="4"/>
      <c r="Y178" s="4"/>
      <c r="AF178" s="4"/>
      <c r="AH178" s="4"/>
      <c r="AK178" s="4"/>
      <c r="AO178" s="4"/>
      <c r="AQ178" s="4"/>
      <c r="AR178" s="4"/>
      <c r="AT178" s="4"/>
      <c r="AU178" s="4"/>
      <c r="BD178" s="4"/>
      <c r="BE178" s="4"/>
      <c r="BF178" s="4"/>
      <c r="BG178" s="4"/>
      <c r="BH178" s="4"/>
    </row>
    <row r="179" spans="3:60">
      <c r="C179" s="4"/>
      <c r="D179" s="4"/>
      <c r="E179" s="4"/>
      <c r="F179" s="4"/>
      <c r="G179" s="4"/>
      <c r="J179" s="4"/>
      <c r="K179" s="4"/>
      <c r="N179" s="4"/>
      <c r="Q179" s="4"/>
      <c r="S179" s="163"/>
      <c r="T179" s="163"/>
      <c r="U179" s="163"/>
      <c r="W179" s="4"/>
      <c r="X179" s="4"/>
      <c r="Y179" s="4"/>
      <c r="AF179" s="4"/>
      <c r="AH179" s="4"/>
      <c r="AK179" s="4"/>
      <c r="AO179" s="4"/>
      <c r="AQ179" s="4"/>
      <c r="AR179" s="4"/>
      <c r="AT179" s="4"/>
      <c r="AU179" s="4"/>
      <c r="BD179" s="4"/>
      <c r="BE179" s="4"/>
      <c r="BF179" s="4"/>
      <c r="BG179" s="4"/>
      <c r="BH179" s="4"/>
    </row>
    <row r="180" spans="3:60">
      <c r="C180" s="4"/>
      <c r="D180" s="4"/>
      <c r="E180" s="4"/>
      <c r="F180" s="4"/>
      <c r="G180" s="4"/>
      <c r="J180" s="4"/>
      <c r="K180" s="4"/>
      <c r="N180" s="4"/>
      <c r="Q180" s="4"/>
      <c r="S180" s="163"/>
      <c r="T180" s="163"/>
      <c r="U180" s="163"/>
      <c r="W180" s="4"/>
      <c r="X180" s="4"/>
      <c r="Y180" s="4"/>
      <c r="AF180" s="4"/>
      <c r="AH180" s="4"/>
      <c r="AK180" s="4"/>
      <c r="AO180" s="4"/>
      <c r="AQ180" s="4"/>
      <c r="AR180" s="4"/>
      <c r="AT180" s="4"/>
      <c r="AU180" s="4"/>
      <c r="BD180" s="4"/>
      <c r="BE180" s="4"/>
      <c r="BF180" s="4"/>
      <c r="BG180" s="4"/>
      <c r="BH180" s="4"/>
    </row>
    <row r="181" spans="3:60">
      <c r="C181" s="4"/>
      <c r="D181" s="4"/>
      <c r="E181" s="4"/>
      <c r="F181" s="4"/>
      <c r="G181" s="4"/>
      <c r="J181" s="4"/>
      <c r="K181" s="4"/>
      <c r="N181" s="4"/>
      <c r="Q181" s="4"/>
      <c r="S181" s="163"/>
      <c r="T181" s="163"/>
      <c r="U181" s="163"/>
      <c r="W181" s="4"/>
      <c r="X181" s="4"/>
      <c r="Y181" s="4"/>
      <c r="AF181" s="4"/>
      <c r="AH181" s="4"/>
      <c r="AK181" s="4"/>
      <c r="AO181" s="4"/>
      <c r="AQ181" s="4"/>
      <c r="AR181" s="4"/>
      <c r="AT181" s="4"/>
      <c r="AU181" s="4"/>
      <c r="BD181" s="4"/>
      <c r="BE181" s="4"/>
      <c r="BF181" s="4"/>
      <c r="BG181" s="4"/>
      <c r="BH181" s="4"/>
    </row>
    <row r="182" spans="3:60">
      <c r="C182" s="4"/>
      <c r="D182" s="4"/>
      <c r="E182" s="4"/>
      <c r="F182" s="4"/>
      <c r="G182" s="4"/>
      <c r="J182" s="4"/>
      <c r="K182" s="4"/>
      <c r="N182" s="4"/>
      <c r="Q182" s="4"/>
      <c r="S182" s="163"/>
      <c r="T182" s="163"/>
      <c r="U182" s="163"/>
      <c r="W182" s="4"/>
      <c r="X182" s="4"/>
      <c r="Y182" s="4"/>
      <c r="AF182" s="4"/>
      <c r="AH182" s="4"/>
      <c r="AK182" s="4"/>
      <c r="AO182" s="4"/>
      <c r="AQ182" s="4"/>
      <c r="AR182" s="4"/>
      <c r="AT182" s="4"/>
      <c r="AU182" s="4"/>
      <c r="BD182" s="4"/>
      <c r="BE182" s="4"/>
      <c r="BF182" s="4"/>
      <c r="BG182" s="4"/>
      <c r="BH182" s="4"/>
    </row>
    <row r="183" spans="3:60">
      <c r="C183" s="4"/>
      <c r="D183" s="4"/>
      <c r="E183" s="4"/>
      <c r="F183" s="4"/>
      <c r="G183" s="4"/>
      <c r="J183" s="4"/>
      <c r="K183" s="4"/>
      <c r="N183" s="4"/>
      <c r="Q183" s="4"/>
      <c r="S183" s="163"/>
      <c r="T183" s="163"/>
      <c r="U183" s="163"/>
      <c r="W183" s="4"/>
      <c r="X183" s="4"/>
      <c r="Y183" s="4"/>
      <c r="AF183" s="4"/>
      <c r="AH183" s="4"/>
      <c r="AK183" s="4"/>
      <c r="AO183" s="4"/>
      <c r="AQ183" s="4"/>
      <c r="AR183" s="4"/>
      <c r="AT183" s="4"/>
      <c r="AU183" s="4"/>
      <c r="BD183" s="4"/>
      <c r="BE183" s="4"/>
      <c r="BF183" s="4"/>
      <c r="BG183" s="4"/>
      <c r="BH183" s="4"/>
    </row>
    <row r="184" spans="3:60">
      <c r="C184" s="4"/>
      <c r="D184" s="4"/>
      <c r="E184" s="4"/>
      <c r="F184" s="4"/>
      <c r="G184" s="4"/>
      <c r="J184" s="4"/>
      <c r="K184" s="4"/>
      <c r="N184" s="4"/>
      <c r="Q184" s="4"/>
      <c r="S184" s="163"/>
      <c r="T184" s="163"/>
      <c r="U184" s="163"/>
      <c r="W184" s="4"/>
      <c r="X184" s="4"/>
      <c r="Y184" s="4"/>
      <c r="AF184" s="4"/>
      <c r="AH184" s="4"/>
      <c r="AK184" s="4"/>
      <c r="AO184" s="4"/>
      <c r="AQ184" s="4"/>
      <c r="AR184" s="4"/>
      <c r="AT184" s="4"/>
      <c r="AU184" s="4"/>
      <c r="BD184" s="4"/>
      <c r="BE184" s="4"/>
      <c r="BF184" s="4"/>
      <c r="BG184" s="4"/>
      <c r="BH184" s="4"/>
    </row>
    <row r="185" spans="3:60">
      <c r="C185" s="4"/>
      <c r="D185" s="4"/>
      <c r="E185" s="4"/>
      <c r="F185" s="4"/>
      <c r="G185" s="4"/>
      <c r="J185" s="4"/>
      <c r="K185" s="4"/>
      <c r="N185" s="4"/>
      <c r="Q185" s="4"/>
      <c r="S185" s="163"/>
      <c r="T185" s="163"/>
      <c r="U185" s="163"/>
      <c r="W185" s="4"/>
      <c r="X185" s="4"/>
      <c r="Y185" s="4"/>
      <c r="AF185" s="4"/>
      <c r="AH185" s="4"/>
      <c r="AK185" s="4"/>
      <c r="AO185" s="4"/>
      <c r="AQ185" s="4"/>
      <c r="AR185" s="4"/>
      <c r="AT185" s="4"/>
      <c r="AU185" s="4"/>
      <c r="BD185" s="4"/>
      <c r="BE185" s="4"/>
      <c r="BF185" s="4"/>
      <c r="BG185" s="4"/>
      <c r="BH185" s="4"/>
    </row>
    <row r="186" spans="3:60">
      <c r="C186" s="4"/>
      <c r="D186" s="4"/>
      <c r="E186" s="4"/>
      <c r="F186" s="4"/>
      <c r="G186" s="4"/>
      <c r="J186" s="4"/>
      <c r="K186" s="4"/>
      <c r="N186" s="4"/>
      <c r="Q186" s="4"/>
      <c r="S186" s="163"/>
      <c r="T186" s="163"/>
      <c r="U186" s="163"/>
      <c r="W186" s="4"/>
      <c r="X186" s="4"/>
      <c r="Y186" s="4"/>
      <c r="AF186" s="4"/>
      <c r="AH186" s="4"/>
      <c r="AK186" s="4"/>
      <c r="AO186" s="4"/>
      <c r="AQ186" s="4"/>
      <c r="AR186" s="4"/>
      <c r="AT186" s="4"/>
      <c r="AU186" s="4"/>
      <c r="BD186" s="4"/>
      <c r="BE186" s="4"/>
      <c r="BF186" s="4"/>
      <c r="BG186" s="4"/>
      <c r="BH186" s="4"/>
    </row>
    <row r="187" spans="3:60">
      <c r="C187" s="4"/>
      <c r="D187" s="4"/>
      <c r="E187" s="4"/>
      <c r="F187" s="4"/>
      <c r="G187" s="4"/>
      <c r="J187" s="4"/>
      <c r="K187" s="4"/>
      <c r="N187" s="4"/>
      <c r="Q187" s="4"/>
      <c r="S187" s="163"/>
      <c r="T187" s="163"/>
      <c r="U187" s="163"/>
      <c r="W187" s="4"/>
      <c r="X187" s="4"/>
      <c r="Y187" s="4"/>
      <c r="AF187" s="4"/>
      <c r="AH187" s="4"/>
      <c r="AK187" s="4"/>
      <c r="AO187" s="4"/>
      <c r="AQ187" s="4"/>
      <c r="AR187" s="4"/>
      <c r="AT187" s="4"/>
      <c r="AU187" s="4"/>
      <c r="BD187" s="4"/>
      <c r="BE187" s="4"/>
      <c r="BF187" s="4"/>
      <c r="BG187" s="4"/>
      <c r="BH187" s="4"/>
    </row>
    <row r="188" spans="3:60">
      <c r="C188" s="4"/>
      <c r="D188" s="4"/>
      <c r="E188" s="4"/>
      <c r="F188" s="4"/>
      <c r="G188" s="4"/>
      <c r="J188" s="4"/>
      <c r="K188" s="4"/>
      <c r="N188" s="4"/>
      <c r="Q188" s="4"/>
      <c r="S188" s="163"/>
      <c r="T188" s="163"/>
      <c r="U188" s="163"/>
      <c r="W188" s="4"/>
      <c r="X188" s="4"/>
      <c r="Y188" s="4"/>
      <c r="AF188" s="4"/>
      <c r="AH188" s="4"/>
      <c r="AK188" s="4"/>
      <c r="AO188" s="4"/>
      <c r="AQ188" s="4"/>
      <c r="AR188" s="4"/>
      <c r="AT188" s="4"/>
      <c r="AU188" s="4"/>
      <c r="BD188" s="4"/>
      <c r="BE188" s="4"/>
      <c r="BF188" s="4"/>
      <c r="BG188" s="4"/>
      <c r="BH188" s="4"/>
    </row>
    <row r="189" spans="3:60">
      <c r="C189" s="4"/>
      <c r="D189" s="4"/>
      <c r="E189" s="4"/>
      <c r="F189" s="4"/>
      <c r="G189" s="4"/>
      <c r="J189" s="4"/>
      <c r="K189" s="4"/>
      <c r="N189" s="4"/>
      <c r="Q189" s="4"/>
      <c r="S189" s="163"/>
      <c r="T189" s="163"/>
      <c r="U189" s="163"/>
      <c r="W189" s="4"/>
      <c r="X189" s="4"/>
      <c r="Y189" s="4"/>
      <c r="AF189" s="4"/>
      <c r="AH189" s="4"/>
      <c r="AK189" s="4"/>
      <c r="AO189" s="4"/>
      <c r="AQ189" s="4"/>
      <c r="AR189" s="4"/>
      <c r="AT189" s="4"/>
      <c r="AU189" s="4"/>
      <c r="BD189" s="4"/>
      <c r="BE189" s="4"/>
      <c r="BF189" s="4"/>
      <c r="BG189" s="4"/>
      <c r="BH189" s="4"/>
    </row>
    <row r="190" spans="3:60">
      <c r="C190" s="4"/>
      <c r="D190" s="4"/>
      <c r="E190" s="4"/>
      <c r="F190" s="4"/>
      <c r="G190" s="4"/>
      <c r="J190" s="4"/>
      <c r="K190" s="4"/>
      <c r="N190" s="4"/>
      <c r="Q190" s="4"/>
      <c r="S190" s="163"/>
      <c r="T190" s="163"/>
      <c r="U190" s="163"/>
      <c r="W190" s="4"/>
      <c r="X190" s="4"/>
      <c r="Y190" s="4"/>
      <c r="AF190" s="4"/>
      <c r="AH190" s="4"/>
      <c r="AK190" s="4"/>
      <c r="AO190" s="4"/>
      <c r="AQ190" s="4"/>
      <c r="AR190" s="4"/>
      <c r="AT190" s="4"/>
      <c r="AU190" s="4"/>
      <c r="BD190" s="4"/>
      <c r="BE190" s="4"/>
      <c r="BF190" s="4"/>
      <c r="BG190" s="4"/>
      <c r="BH190" s="4"/>
    </row>
    <row r="191" spans="3:60">
      <c r="C191" s="4"/>
      <c r="D191" s="4"/>
      <c r="E191" s="4"/>
      <c r="F191" s="4"/>
      <c r="G191" s="4"/>
      <c r="J191" s="4"/>
      <c r="K191" s="4"/>
      <c r="N191" s="4"/>
      <c r="Q191" s="4"/>
      <c r="S191" s="163"/>
      <c r="T191" s="163"/>
      <c r="U191" s="163"/>
      <c r="W191" s="4"/>
      <c r="X191" s="4"/>
      <c r="Y191" s="4"/>
      <c r="AF191" s="4"/>
      <c r="AH191" s="4"/>
      <c r="AK191" s="4"/>
      <c r="AO191" s="4"/>
      <c r="AQ191" s="4"/>
      <c r="AR191" s="4"/>
      <c r="AT191" s="4"/>
      <c r="AU191" s="4"/>
      <c r="BD191" s="4"/>
      <c r="BE191" s="4"/>
      <c r="BF191" s="4"/>
      <c r="BG191" s="4"/>
      <c r="BH191" s="4"/>
    </row>
    <row r="192" spans="3:60">
      <c r="C192" s="4"/>
      <c r="D192" s="4"/>
      <c r="E192" s="4"/>
      <c r="F192" s="4"/>
      <c r="G192" s="4"/>
      <c r="J192" s="4"/>
      <c r="K192" s="4"/>
      <c r="N192" s="4"/>
      <c r="Q192" s="4"/>
      <c r="S192" s="163"/>
      <c r="T192" s="163"/>
      <c r="U192" s="163"/>
      <c r="W192" s="4"/>
      <c r="X192" s="4"/>
      <c r="Y192" s="4"/>
      <c r="AF192" s="4"/>
      <c r="AH192" s="4"/>
      <c r="AK192" s="4"/>
      <c r="AO192" s="4"/>
      <c r="AQ192" s="4"/>
      <c r="AR192" s="4"/>
      <c r="AT192" s="4"/>
      <c r="AU192" s="4"/>
      <c r="BD192" s="4"/>
      <c r="BE192" s="4"/>
      <c r="BF192" s="4"/>
      <c r="BG192" s="4"/>
      <c r="BH192" s="4"/>
    </row>
    <row r="193" spans="3:60">
      <c r="C193" s="4"/>
      <c r="D193" s="4"/>
      <c r="E193" s="4"/>
      <c r="F193" s="4"/>
      <c r="G193" s="4"/>
      <c r="J193" s="4"/>
      <c r="K193" s="4"/>
      <c r="N193" s="4"/>
      <c r="Q193" s="4"/>
      <c r="S193" s="163"/>
      <c r="T193" s="163"/>
      <c r="U193" s="163"/>
      <c r="W193" s="4"/>
      <c r="X193" s="4"/>
      <c r="Y193" s="4"/>
      <c r="AF193" s="4"/>
      <c r="AH193" s="4"/>
      <c r="AK193" s="4"/>
      <c r="AO193" s="4"/>
      <c r="AQ193" s="4"/>
      <c r="AR193" s="4"/>
      <c r="AT193" s="4"/>
      <c r="AU193" s="4"/>
      <c r="BD193" s="4"/>
      <c r="BE193" s="4"/>
      <c r="BF193" s="4"/>
      <c r="BG193" s="4"/>
      <c r="BH193" s="4"/>
    </row>
    <row r="194" spans="3:60">
      <c r="C194" s="4"/>
      <c r="D194" s="4"/>
      <c r="E194" s="4"/>
      <c r="F194" s="4"/>
      <c r="G194" s="4"/>
      <c r="J194" s="4"/>
      <c r="K194" s="4"/>
      <c r="N194" s="4"/>
      <c r="Q194" s="4"/>
      <c r="S194" s="163"/>
      <c r="T194" s="163"/>
      <c r="U194" s="163"/>
      <c r="W194" s="4"/>
      <c r="X194" s="4"/>
      <c r="Y194" s="4"/>
      <c r="AF194" s="4"/>
      <c r="AH194" s="4"/>
      <c r="AK194" s="4"/>
      <c r="AO194" s="4"/>
      <c r="AQ194" s="4"/>
      <c r="AR194" s="4"/>
      <c r="AT194" s="4"/>
      <c r="AU194" s="4"/>
      <c r="BD194" s="4"/>
      <c r="BE194" s="4"/>
      <c r="BF194" s="4"/>
      <c r="BG194" s="4"/>
      <c r="BH194" s="4"/>
    </row>
    <row r="195" spans="3:60">
      <c r="C195" s="4"/>
      <c r="D195" s="4"/>
      <c r="E195" s="4"/>
      <c r="F195" s="4"/>
      <c r="G195" s="4"/>
      <c r="J195" s="4"/>
      <c r="K195" s="4"/>
      <c r="N195" s="4"/>
      <c r="Q195" s="4"/>
      <c r="S195" s="163"/>
      <c r="T195" s="163"/>
      <c r="U195" s="163"/>
      <c r="W195" s="4"/>
      <c r="X195" s="4"/>
      <c r="Y195" s="4"/>
      <c r="AF195" s="4"/>
      <c r="AH195" s="4"/>
      <c r="AK195" s="4"/>
      <c r="AO195" s="4"/>
      <c r="AQ195" s="4"/>
      <c r="AR195" s="4"/>
      <c r="AT195" s="4"/>
      <c r="AU195" s="4"/>
      <c r="BD195" s="4"/>
      <c r="BE195" s="4"/>
      <c r="BF195" s="4"/>
      <c r="BG195" s="4"/>
      <c r="BH195" s="4"/>
    </row>
    <row r="196" spans="3:60">
      <c r="C196" s="4"/>
      <c r="D196" s="4"/>
      <c r="E196" s="4"/>
      <c r="F196" s="4"/>
      <c r="G196" s="4"/>
      <c r="J196" s="4"/>
      <c r="K196" s="4"/>
      <c r="N196" s="4"/>
      <c r="Q196" s="4"/>
      <c r="S196" s="163"/>
      <c r="T196" s="163"/>
      <c r="U196" s="163"/>
      <c r="W196" s="4"/>
      <c r="X196" s="4"/>
      <c r="Y196" s="4"/>
      <c r="AF196" s="4"/>
      <c r="AH196" s="4"/>
      <c r="AK196" s="4"/>
      <c r="AO196" s="4"/>
      <c r="AQ196" s="4"/>
      <c r="AR196" s="4"/>
      <c r="AT196" s="4"/>
      <c r="AU196" s="4"/>
      <c r="BD196" s="4"/>
      <c r="BE196" s="4"/>
      <c r="BF196" s="4"/>
      <c r="BG196" s="4"/>
      <c r="BH196" s="4"/>
    </row>
    <row r="197" spans="3:60">
      <c r="C197" s="4"/>
      <c r="D197" s="4"/>
      <c r="E197" s="4"/>
      <c r="F197" s="4"/>
      <c r="G197" s="4"/>
      <c r="J197" s="4"/>
      <c r="K197" s="4"/>
      <c r="N197" s="4"/>
      <c r="Q197" s="4"/>
      <c r="S197" s="163"/>
      <c r="T197" s="163"/>
      <c r="U197" s="163"/>
      <c r="W197" s="4"/>
      <c r="X197" s="4"/>
      <c r="Y197" s="4"/>
      <c r="AF197" s="4"/>
      <c r="AH197" s="4"/>
      <c r="AK197" s="4"/>
      <c r="AO197" s="4"/>
      <c r="AQ197" s="4"/>
      <c r="AR197" s="4"/>
      <c r="AT197" s="4"/>
      <c r="AU197" s="4"/>
      <c r="BD197" s="4"/>
      <c r="BE197" s="4"/>
      <c r="BF197" s="4"/>
      <c r="BG197" s="4"/>
      <c r="BH197" s="4"/>
    </row>
    <row r="198" spans="3:60">
      <c r="C198" s="4"/>
      <c r="D198" s="4"/>
      <c r="E198" s="4"/>
      <c r="F198" s="4"/>
      <c r="G198" s="4"/>
      <c r="J198" s="4"/>
      <c r="K198" s="4"/>
      <c r="N198" s="4"/>
      <c r="Q198" s="4"/>
      <c r="S198" s="163"/>
      <c r="T198" s="163"/>
      <c r="U198" s="163"/>
      <c r="W198" s="4"/>
      <c r="X198" s="4"/>
      <c r="Y198" s="4"/>
      <c r="AF198" s="4"/>
      <c r="AH198" s="4"/>
      <c r="AK198" s="4"/>
      <c r="AO198" s="4"/>
      <c r="AQ198" s="4"/>
      <c r="AR198" s="4"/>
      <c r="AT198" s="4"/>
      <c r="AU198" s="4"/>
      <c r="BD198" s="4"/>
      <c r="BE198" s="4"/>
      <c r="BF198" s="4"/>
      <c r="BG198" s="4"/>
      <c r="BH198" s="4"/>
    </row>
    <row r="199" spans="3:60">
      <c r="C199" s="4"/>
      <c r="D199" s="4"/>
      <c r="E199" s="4"/>
      <c r="F199" s="4"/>
      <c r="G199" s="4"/>
      <c r="J199" s="4"/>
      <c r="K199" s="4"/>
      <c r="N199" s="4"/>
      <c r="Q199" s="4"/>
      <c r="S199" s="163"/>
      <c r="T199" s="163"/>
      <c r="U199" s="163"/>
      <c r="W199" s="4"/>
      <c r="X199" s="4"/>
      <c r="Y199" s="4"/>
      <c r="AF199" s="4"/>
      <c r="AH199" s="4"/>
      <c r="AK199" s="4"/>
      <c r="AO199" s="4"/>
      <c r="AQ199" s="4"/>
      <c r="AR199" s="4"/>
      <c r="AT199" s="4"/>
      <c r="AU199" s="4"/>
      <c r="BD199" s="4"/>
      <c r="BE199" s="4"/>
      <c r="BF199" s="4"/>
      <c r="BG199" s="4"/>
      <c r="BH199" s="4"/>
    </row>
    <row r="200" spans="3:60">
      <c r="C200" s="4"/>
      <c r="D200" s="4"/>
      <c r="E200" s="4"/>
      <c r="F200" s="4"/>
      <c r="G200" s="4"/>
      <c r="J200" s="4"/>
      <c r="K200" s="4"/>
      <c r="N200" s="4"/>
      <c r="Q200" s="4"/>
      <c r="S200" s="163"/>
      <c r="T200" s="163"/>
      <c r="U200" s="163"/>
      <c r="W200" s="4"/>
      <c r="X200" s="4"/>
      <c r="Y200" s="4"/>
      <c r="AF200" s="4"/>
      <c r="AH200" s="4"/>
      <c r="AK200" s="4"/>
      <c r="AO200" s="4"/>
      <c r="AQ200" s="4"/>
      <c r="AR200" s="4"/>
      <c r="AT200" s="4"/>
      <c r="AU200" s="4"/>
      <c r="BD200" s="4"/>
      <c r="BE200" s="4"/>
      <c r="BF200" s="4"/>
      <c r="BG200" s="4"/>
      <c r="BH200" s="4"/>
    </row>
    <row r="201" spans="3:60">
      <c r="C201" s="4"/>
      <c r="D201" s="4"/>
      <c r="E201" s="4"/>
      <c r="F201" s="4"/>
      <c r="G201" s="4"/>
      <c r="J201" s="4"/>
      <c r="K201" s="4"/>
      <c r="N201" s="4"/>
      <c r="Q201" s="4"/>
      <c r="S201" s="163"/>
      <c r="T201" s="163"/>
      <c r="U201" s="163"/>
      <c r="W201" s="4"/>
      <c r="X201" s="4"/>
      <c r="Y201" s="4"/>
      <c r="AF201" s="4"/>
      <c r="AH201" s="4"/>
      <c r="AK201" s="4"/>
      <c r="AO201" s="4"/>
      <c r="AQ201" s="4"/>
      <c r="AR201" s="4"/>
      <c r="AT201" s="4"/>
      <c r="AU201" s="4"/>
      <c r="BD201" s="4"/>
      <c r="BE201" s="4"/>
      <c r="BF201" s="4"/>
      <c r="BG201" s="4"/>
      <c r="BH201" s="4"/>
    </row>
    <row r="202" spans="3:60">
      <c r="C202" s="4"/>
      <c r="D202" s="4"/>
      <c r="E202" s="4"/>
      <c r="F202" s="4"/>
      <c r="G202" s="4"/>
      <c r="J202" s="4"/>
      <c r="K202" s="4"/>
      <c r="N202" s="4"/>
      <c r="Q202" s="4"/>
      <c r="S202" s="163"/>
      <c r="T202" s="163"/>
      <c r="U202" s="163"/>
      <c r="W202" s="4"/>
      <c r="X202" s="4"/>
      <c r="Y202" s="4"/>
      <c r="AF202" s="4"/>
      <c r="AH202" s="4"/>
      <c r="AK202" s="4"/>
      <c r="AO202" s="4"/>
      <c r="AQ202" s="4"/>
      <c r="AR202" s="4"/>
      <c r="AT202" s="4"/>
      <c r="AU202" s="4"/>
      <c r="BD202" s="4"/>
      <c r="BE202" s="4"/>
      <c r="BF202" s="4"/>
      <c r="BG202" s="4"/>
      <c r="BH202" s="4"/>
    </row>
    <row r="203" spans="3:60">
      <c r="C203" s="4"/>
      <c r="D203" s="4"/>
      <c r="E203" s="4"/>
      <c r="F203" s="4"/>
      <c r="G203" s="4"/>
      <c r="J203" s="4"/>
      <c r="K203" s="4"/>
      <c r="N203" s="4"/>
      <c r="Q203" s="4"/>
      <c r="S203" s="163"/>
      <c r="T203" s="163"/>
      <c r="U203" s="163"/>
      <c r="W203" s="4"/>
      <c r="X203" s="4"/>
      <c r="Y203" s="4"/>
      <c r="AF203" s="4"/>
      <c r="AH203" s="4"/>
      <c r="AK203" s="4"/>
      <c r="AO203" s="4"/>
      <c r="AQ203" s="4"/>
      <c r="AR203" s="4"/>
      <c r="AT203" s="4"/>
      <c r="AU203" s="4"/>
      <c r="BD203" s="4"/>
      <c r="BE203" s="4"/>
      <c r="BF203" s="4"/>
      <c r="BG203" s="4"/>
      <c r="BH203" s="4"/>
    </row>
    <row r="204" spans="3:60">
      <c r="C204" s="4"/>
      <c r="D204" s="4"/>
      <c r="E204" s="4"/>
      <c r="F204" s="4"/>
      <c r="G204" s="4"/>
      <c r="J204" s="4"/>
      <c r="K204" s="4"/>
      <c r="N204" s="4"/>
      <c r="Q204" s="4"/>
      <c r="S204" s="163"/>
      <c r="T204" s="163"/>
      <c r="U204" s="163"/>
      <c r="W204" s="4"/>
      <c r="X204" s="4"/>
      <c r="Y204" s="4"/>
      <c r="AF204" s="4"/>
      <c r="AH204" s="4"/>
      <c r="AK204" s="4"/>
      <c r="AO204" s="4"/>
      <c r="AQ204" s="4"/>
      <c r="AR204" s="4"/>
      <c r="AT204" s="4"/>
      <c r="AU204" s="4"/>
      <c r="BD204" s="4"/>
      <c r="BE204" s="4"/>
      <c r="BF204" s="4"/>
      <c r="BG204" s="4"/>
      <c r="BH204" s="4"/>
    </row>
    <row r="205" spans="3:60">
      <c r="C205" s="4"/>
      <c r="D205" s="4"/>
      <c r="E205" s="4"/>
      <c r="F205" s="4"/>
      <c r="G205" s="4"/>
      <c r="J205" s="4"/>
      <c r="K205" s="4"/>
      <c r="N205" s="4"/>
      <c r="Q205" s="4"/>
      <c r="S205" s="163"/>
      <c r="T205" s="163"/>
      <c r="U205" s="163"/>
      <c r="W205" s="4"/>
      <c r="X205" s="4"/>
      <c r="Y205" s="4"/>
      <c r="AF205" s="4"/>
      <c r="AH205" s="4"/>
      <c r="AK205" s="4"/>
      <c r="AO205" s="4"/>
      <c r="AQ205" s="4"/>
      <c r="AR205" s="4"/>
      <c r="AT205" s="4"/>
      <c r="AU205" s="4"/>
      <c r="BD205" s="4"/>
      <c r="BE205" s="4"/>
      <c r="BF205" s="4"/>
      <c r="BG205" s="4"/>
      <c r="BH205" s="4"/>
    </row>
  </sheetData>
  <autoFilter ref="A2:CM55" xr:uid="{6F7267B9-3307-437C-B973-27A50CAD7D8D}"/>
  <dataValidations count="1">
    <dataValidation type="list" allowBlank="1" showInputMessage="1" showErrorMessage="1" sqref="BH3" xr:uid="{B1373837-DBB2-44C0-B618-F4B2E1476142}">
      <formula1>$O$10:$O$47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0">
    <tabColor theme="6" tint="0.59999389629810485"/>
  </sheetPr>
  <dimension ref="A1:O76"/>
  <sheetViews>
    <sheetView workbookViewId="0">
      <selection activeCell="K9" sqref="K9"/>
    </sheetView>
  </sheetViews>
  <sheetFormatPr defaultColWidth="9.08984375" defaultRowHeight="14.5"/>
  <cols>
    <col min="1" max="1" width="3.54296875" customWidth="1"/>
    <col min="2" max="2" width="10.453125" bestFit="1" customWidth="1"/>
    <col min="3" max="3" width="8.08984375" customWidth="1"/>
    <col min="4" max="4" width="12.54296875" customWidth="1"/>
    <col min="5" max="5" width="15" customWidth="1"/>
    <col min="6" max="6" width="14.54296875" bestFit="1" customWidth="1"/>
    <col min="7" max="7" width="14.54296875" customWidth="1"/>
    <col min="8" max="8" width="14.90625" customWidth="1"/>
    <col min="9" max="9" width="15.08984375" customWidth="1"/>
    <col min="10" max="10" width="14.54296875" customWidth="1"/>
    <col min="11" max="11" width="14.08984375" bestFit="1" customWidth="1"/>
    <col min="12" max="12" width="15" bestFit="1" customWidth="1"/>
    <col min="13" max="13" width="13.54296875" customWidth="1"/>
    <col min="14" max="14" width="15.08984375" customWidth="1"/>
    <col min="15" max="15" width="15.90625" customWidth="1"/>
    <col min="16" max="16" width="16.54296875" customWidth="1"/>
    <col min="19" max="19" width="28.54296875" customWidth="1"/>
  </cols>
  <sheetData>
    <row r="1" spans="1:12">
      <c r="B1" t="s">
        <v>268</v>
      </c>
    </row>
    <row r="4" spans="1:12">
      <c r="E4" s="10" t="s">
        <v>266</v>
      </c>
    </row>
    <row r="5" spans="1:12" ht="26">
      <c r="B5" t="s">
        <v>283</v>
      </c>
      <c r="C5" t="s">
        <v>281</v>
      </c>
      <c r="D5" t="s">
        <v>280</v>
      </c>
      <c r="E5" s="68" t="s">
        <v>11</v>
      </c>
      <c r="F5" s="68" t="s">
        <v>34</v>
      </c>
      <c r="G5" s="68" t="s">
        <v>517</v>
      </c>
      <c r="H5" s="68" t="s">
        <v>76</v>
      </c>
      <c r="I5" s="68" t="s">
        <v>35</v>
      </c>
      <c r="J5" s="68" t="s">
        <v>36</v>
      </c>
      <c r="K5" s="68" t="s">
        <v>75</v>
      </c>
    </row>
    <row r="6" spans="1:12" hidden="1">
      <c r="A6" s="89"/>
      <c r="C6" t="str">
        <f>IFERROR(VLOOKUP(D6,CAPA!$C$12:$C$32,1,FALSE),"NO SELECT")</f>
        <v>NO SELECT</v>
      </c>
      <c r="D6">
        <v>5381</v>
      </c>
      <c r="E6" s="91" t="s">
        <v>147</v>
      </c>
      <c r="F6" s="141">
        <f>SUMIFS(Banco[valor],Banco[IdAgente],C6,Banco[id_natureza_dado],1,Banco[idDet1],15,Banco[idDet2],176)</f>
        <v>0</v>
      </c>
      <c r="G6" s="141">
        <f>SUMIFS(Banco[valor],Banco[IdAgente],C6,Banco[id_natureza_dado],1,Banco[idDet1],196,Banco[idDet2],250)</f>
        <v>0</v>
      </c>
      <c r="H6" s="141">
        <f t="shared" ref="H6:H8" si="0">G6+F6</f>
        <v>0</v>
      </c>
      <c r="I6" s="295">
        <f>SUMIFS(Banco[valor],Banco[IdAgente],C6,Banco[id_natureza_dado],1,Banco[idDet1],15,Banco[idDet2],86)</f>
        <v>0</v>
      </c>
      <c r="J6" s="114">
        <f>SUMIFS(Banco[valor],Banco[IdAgente],C6,Banco[id_natureza_dado],1,Banco[idDet1],203,Banco[idDet2],247)</f>
        <v>0</v>
      </c>
      <c r="K6" s="136" t="e">
        <f>I6/J6-1</f>
        <v>#DIV/0!</v>
      </c>
    </row>
    <row r="7" spans="1:12" hidden="1">
      <c r="A7" s="89"/>
      <c r="C7" t="str">
        <f>IFERROR(VLOOKUP(D7,CAPA!$C$12:$C$32,1,FALSE),"NO SELECT")</f>
        <v>NO SELECT</v>
      </c>
      <c r="D7">
        <v>5366</v>
      </c>
      <c r="E7" s="3" t="s">
        <v>51</v>
      </c>
      <c r="F7" s="141">
        <f>SUMIFS(Banco[valor],Banco[IdAgente],C7,Banco[id_natureza_dado],1,Banco[idDet1],15,Banco[idDet2],176)</f>
        <v>0</v>
      </c>
      <c r="G7" s="141">
        <f>SUMIFS(Banco[valor],Banco[IdAgente],C7,Banco[id_natureza_dado],1,Banco[idDet1],196,Banco[idDet2],250)</f>
        <v>0</v>
      </c>
      <c r="H7" s="141">
        <f t="shared" si="0"/>
        <v>0</v>
      </c>
      <c r="I7" s="295">
        <f>SUMIFS(Banco[valor],Banco[IdAgente],C7,Banco[id_natureza_dado],1,Banco[idDet1],15,Banco[idDet2],86)</f>
        <v>0</v>
      </c>
      <c r="J7" s="114">
        <f>SUMIFS(Banco[valor],Banco[IdAgente],C7,Banco[id_natureza_dado],1,Banco[idDet1],203,Banco[idDet2],247)</f>
        <v>0</v>
      </c>
      <c r="K7" s="90" t="e">
        <f>ABS(J7/I7-1)</f>
        <v>#DIV/0!</v>
      </c>
      <c r="L7" s="158" t="e">
        <f>J7/I7-1</f>
        <v>#DIV/0!</v>
      </c>
    </row>
    <row r="8" spans="1:12" hidden="1">
      <c r="A8" s="89"/>
      <c r="C8" t="str">
        <f>IFERROR(VLOOKUP(D8,CAPA!$C$12:$C$32,1,FALSE),"NO SELECT")</f>
        <v>NO SELECT</v>
      </c>
      <c r="D8">
        <v>5372</v>
      </c>
      <c r="E8" s="3" t="s">
        <v>65</v>
      </c>
      <c r="F8" s="141">
        <f>SUMIFS(Banco[valor],Banco[IdAgente],C8,Banco[id_natureza_dado],1,Banco[idDet1],15,Banco[idDet2],176)</f>
        <v>0</v>
      </c>
      <c r="G8" s="141">
        <f>SUMIFS(Banco[valor],Banco[IdAgente],C8,Banco[id_natureza_dado],1,Banco[idDet1],196,Banco[idDet2],250)</f>
        <v>0</v>
      </c>
      <c r="H8" s="141">
        <f t="shared" si="0"/>
        <v>0</v>
      </c>
      <c r="I8" s="295">
        <f>SUMIFS(Banco[valor],Banco[IdAgente],C8,Banco[id_natureza_dado],1,Banco[idDet1],15,Banco[idDet2],86)</f>
        <v>0</v>
      </c>
      <c r="J8" s="114">
        <f>SUMIFS(Banco[valor],Banco[IdAgente],C8,Banco[id_natureza_dado],1,Banco[idDet1],203,Banco[idDet2],247)</f>
        <v>0</v>
      </c>
      <c r="K8" s="90" t="e">
        <f t="shared" ref="K8:K53" si="1">ABS(J8/I8-1)</f>
        <v>#DIV/0!</v>
      </c>
      <c r="L8" s="158">
        <f t="shared" ref="L8:L11" si="2">H8-I8</f>
        <v>0</v>
      </c>
    </row>
    <row r="9" spans="1:12">
      <c r="A9" s="89"/>
      <c r="C9">
        <f>IFERROR(VLOOKUP(D9,CAPA!$C$12:$C$32,1,FALSE),"NO SELECT")</f>
        <v>5367</v>
      </c>
      <c r="D9">
        <v>5367</v>
      </c>
      <c r="E9" s="3" t="s">
        <v>150</v>
      </c>
      <c r="F9" s="141">
        <f>SUMIFS(Banco[valor],Banco[IdAgente],C9,Banco[id_natureza_dado],1,Banco[idDet1],15,Banco[idDet2],176)</f>
        <v>5350000</v>
      </c>
      <c r="G9" s="141">
        <f>SUMIFS(Banco[valor],Banco[IdAgente],C9,Banco[id_natureza_dado],1,Banco[idDet1],196,Banco[idDet2],250)</f>
        <v>22650000</v>
      </c>
      <c r="H9" s="141">
        <f>G9+F9</f>
        <v>28000000</v>
      </c>
      <c r="I9" s="295">
        <f>SUMIFS(Banco[valor],Banco[IdAgente],C9,Banco[id_natureza_dado],1,Banco[idDet1],15,Banco[idDet2],86)</f>
        <v>0</v>
      </c>
      <c r="J9" s="114">
        <f>SUMIFS(Banco[valor],Banco[IdAgente],C9,Banco[id_natureza_dado],1,Banco[idDet1],203,Banco[idDet2],247)</f>
        <v>28000000</v>
      </c>
      <c r="K9" s="90" t="e">
        <f t="shared" si="1"/>
        <v>#DIV/0!</v>
      </c>
      <c r="L9" s="158">
        <f t="shared" si="2"/>
        <v>28000000</v>
      </c>
    </row>
    <row r="10" spans="1:12" hidden="1">
      <c r="A10" s="89"/>
      <c r="C10" t="str">
        <f>IFERROR(VLOOKUP(D10,CAPA!$C$12:$C$32,1,FALSE),"NO SELECT")</f>
        <v>NO SELECT</v>
      </c>
      <c r="D10">
        <v>6897</v>
      </c>
      <c r="E10" s="3" t="s">
        <v>66</v>
      </c>
      <c r="F10" s="141">
        <f>SUMIFS(Banco[valor],Banco[IdAgente],C10,Banco[id_natureza_dado],1,Banco[idDet1],15,Banco[idDet2],176)</f>
        <v>0</v>
      </c>
      <c r="G10" s="141">
        <f>SUMIFS(Banco[valor],Banco[IdAgente],C10,Banco[id_natureza_dado],1,Banco[idDet1],196,Banco[idDet2],250)</f>
        <v>0</v>
      </c>
      <c r="H10" s="141">
        <f t="shared" ref="H10:H57" si="3">G10+F10</f>
        <v>0</v>
      </c>
      <c r="I10" s="295">
        <f>SUMIFS(Banco[valor],Banco[IdAgente],C10,Banco[id_natureza_dado],1,Banco[idDet1],15,Banco[idDet2],86)</f>
        <v>0</v>
      </c>
      <c r="J10" s="114">
        <f>SUMIFS(Banco[valor],Banco[IdAgente],C10,Banco[id_natureza_dado],1,Banco[idDet1],203,Banco[idDet2],247)</f>
        <v>0</v>
      </c>
      <c r="K10" s="90" t="e">
        <f t="shared" si="1"/>
        <v>#DIV/0!</v>
      </c>
      <c r="L10" s="158">
        <f t="shared" si="2"/>
        <v>0</v>
      </c>
    </row>
    <row r="11" spans="1:12" hidden="1">
      <c r="A11" s="89"/>
      <c r="C11" t="str">
        <f>IFERROR(VLOOKUP(D11,CAPA!$C$12:$C$32,1,FALSE),"NO SELECT")</f>
        <v>NO SELECT</v>
      </c>
      <c r="D11">
        <v>5351</v>
      </c>
      <c r="E11" s="3" t="s">
        <v>153</v>
      </c>
      <c r="F11" s="141">
        <f>SUMIFS(Banco[valor],Banco[IdAgente],C11,Banco[id_natureza_dado],1,Banco[idDet1],15,Banco[idDet2],176)</f>
        <v>0</v>
      </c>
      <c r="G11" s="141">
        <f>SUMIFS(Banco[valor],Banco[IdAgente],C11,Banco[id_natureza_dado],1,Banco[idDet1],196,Banco[idDet2],250)</f>
        <v>0</v>
      </c>
      <c r="H11" s="141">
        <f t="shared" si="3"/>
        <v>0</v>
      </c>
      <c r="I11" s="295">
        <f>SUMIFS(Banco[valor],Banco[IdAgente],C11,Banco[id_natureza_dado],1,Banco[idDet1],15,Banco[idDet2],86)</f>
        <v>0</v>
      </c>
      <c r="J11" s="114">
        <f>SUMIFS(Banco[valor],Banco[IdAgente],C11,Banco[id_natureza_dado],1,Banco[idDet1],203,Banco[idDet2],247)</f>
        <v>0</v>
      </c>
      <c r="K11" s="90" t="e">
        <f t="shared" si="1"/>
        <v>#DIV/0!</v>
      </c>
      <c r="L11" s="158">
        <f t="shared" si="2"/>
        <v>0</v>
      </c>
    </row>
    <row r="12" spans="1:12" hidden="1">
      <c r="A12" s="89"/>
      <c r="C12" t="str">
        <f>IFERROR(VLOOKUP(D12,CAPA!$C$12:$C$32,1,FALSE),"NO SELECT")</f>
        <v>NO SELECT</v>
      </c>
      <c r="D12">
        <v>4248</v>
      </c>
      <c r="E12" s="3" t="s">
        <v>156</v>
      </c>
      <c r="F12" s="141">
        <f>SUMIFS(Banco[valor],Banco[IdAgente],C12,Banco[id_natureza_dado],1,Banco[idDet1],15,Banco[idDet2],176)</f>
        <v>0</v>
      </c>
      <c r="G12" s="141">
        <f>SUMIFS(Banco[valor],Banco[IdAgente],C12,Banco[id_natureza_dado],1,Banco[idDet1],196,Banco[idDet2],250)</f>
        <v>0</v>
      </c>
      <c r="H12" s="141">
        <f t="shared" si="3"/>
        <v>0</v>
      </c>
      <c r="I12" s="295">
        <f>SUMIFS(Banco[valor],Banco[IdAgente],C12,Banco[id_natureza_dado],1,Banco[idDet1],15,Banco[idDet2],86)</f>
        <v>0</v>
      </c>
      <c r="J12" s="114">
        <f>SUMIFS(Banco[valor],Banco[IdAgente],C12,Banco[id_natureza_dado],1,Banco[idDet1],203,Banco[idDet2],247)</f>
        <v>0</v>
      </c>
      <c r="K12" s="90" t="e">
        <f t="shared" si="1"/>
        <v>#DIV/0!</v>
      </c>
      <c r="L12" s="158">
        <f t="shared" ref="L12:L19" si="4">H12-I12</f>
        <v>0</v>
      </c>
    </row>
    <row r="13" spans="1:12" hidden="1">
      <c r="A13" s="89"/>
      <c r="C13" t="str">
        <f>IFERROR(VLOOKUP(D13,CAPA!$C$12:$C$32,1,FALSE),"NO SELECT")</f>
        <v>NO SELECT</v>
      </c>
      <c r="D13">
        <v>6898</v>
      </c>
      <c r="E13" s="3" t="s">
        <v>54</v>
      </c>
      <c r="F13" s="141">
        <f>SUMIFS(Banco[valor],Banco[IdAgente],C13,Banco[id_natureza_dado],1,Banco[idDet1],15,Banco[idDet2],176)</f>
        <v>0</v>
      </c>
      <c r="G13" s="141">
        <f>SUMIFS(Banco[valor],Banco[IdAgente],C13,Banco[id_natureza_dado],1,Banco[idDet1],196,Banco[idDet2],250)</f>
        <v>0</v>
      </c>
      <c r="H13" s="141">
        <f t="shared" si="3"/>
        <v>0</v>
      </c>
      <c r="I13" s="295">
        <f>SUMIFS(Banco[valor],Banco[IdAgente],C13,Banco[id_natureza_dado],1,Banco[idDet1],15,Banco[idDet2],86)</f>
        <v>0</v>
      </c>
      <c r="J13" s="114">
        <f>SUMIFS(Banco[valor],Banco[IdAgente],C13,Banco[id_natureza_dado],1,Banco[idDet1],203,Banco[idDet2],247)</f>
        <v>0</v>
      </c>
      <c r="K13" s="90" t="e">
        <f t="shared" si="1"/>
        <v>#DIV/0!</v>
      </c>
      <c r="L13" s="158">
        <f t="shared" si="4"/>
        <v>0</v>
      </c>
    </row>
    <row r="14" spans="1:12" hidden="1">
      <c r="A14" s="89"/>
      <c r="C14" t="str">
        <f>IFERROR(VLOOKUP(D14,CAPA!$C$12:$C$32,1,FALSE),"NO SELECT")</f>
        <v>NO SELECT</v>
      </c>
      <c r="D14">
        <v>5377</v>
      </c>
      <c r="E14" s="3" t="s">
        <v>159</v>
      </c>
      <c r="F14" s="141">
        <f>SUMIFS(Banco[valor],Banco[IdAgente],C14,Banco[id_natureza_dado],1,Banco[idDet1],15,Banco[idDet2],176)</f>
        <v>0</v>
      </c>
      <c r="G14" s="141">
        <f>SUMIFS(Banco[valor],Banco[IdAgente],C14,Banco[id_natureza_dado],1,Banco[idDet1],196,Banco[idDet2],250)</f>
        <v>0</v>
      </c>
      <c r="H14" s="141">
        <f t="shared" si="3"/>
        <v>0</v>
      </c>
      <c r="I14" s="295">
        <f>SUMIFS(Banco[valor],Banco[IdAgente],C14,Banco[id_natureza_dado],1,Banco[idDet1],15,Banco[idDet2],86)</f>
        <v>0</v>
      </c>
      <c r="J14" s="114">
        <f>SUMIFS(Banco[valor],Banco[IdAgente],C14,Banco[id_natureza_dado],1,Banco[idDet1],203,Banco[idDet2],247)</f>
        <v>0</v>
      </c>
      <c r="K14" s="90" t="e">
        <f t="shared" si="1"/>
        <v>#DIV/0!</v>
      </c>
      <c r="L14" s="158">
        <f t="shared" si="4"/>
        <v>0</v>
      </c>
    </row>
    <row r="15" spans="1:12" hidden="1">
      <c r="A15" s="89"/>
      <c r="C15" t="str">
        <f>IFERROR(VLOOKUP(D15,CAPA!$C$12:$C$32,1,FALSE),"NO SELECT")</f>
        <v>NO SELECT</v>
      </c>
      <c r="D15">
        <v>5352</v>
      </c>
      <c r="E15" s="3" t="s">
        <v>56</v>
      </c>
      <c r="F15" s="141">
        <f>SUMIFS(Banco[valor],Banco[IdAgente],C15,Banco[id_natureza_dado],1,Banco[idDet1],15,Banco[idDet2],176)</f>
        <v>0</v>
      </c>
      <c r="G15" s="141">
        <f>SUMIFS(Banco[valor],Banco[IdAgente],C15,Banco[id_natureza_dado],1,Banco[idDet1],196,Banco[idDet2],250)</f>
        <v>0</v>
      </c>
      <c r="H15" s="141">
        <f t="shared" si="3"/>
        <v>0</v>
      </c>
      <c r="I15" s="295">
        <f>SUMIFS(Banco[valor],Banco[IdAgente],C15,Banco[id_natureza_dado],1,Banco[idDet1],15,Banco[idDet2],86)</f>
        <v>0</v>
      </c>
      <c r="J15" s="114">
        <f>SUMIFS(Banco[valor],Banco[IdAgente],C15,Banco[id_natureza_dado],1,Banco[idDet1],203,Banco[idDet2],247)</f>
        <v>0</v>
      </c>
      <c r="K15" s="90" t="e">
        <f t="shared" si="1"/>
        <v>#DIV/0!</v>
      </c>
      <c r="L15" s="158">
        <f t="shared" si="4"/>
        <v>0</v>
      </c>
    </row>
    <row r="16" spans="1:12" hidden="1">
      <c r="A16" s="89"/>
      <c r="C16" t="str">
        <f>IFERROR(VLOOKUP(D16,CAPA!$C$12:$C$32,1,FALSE),"NO SELECT")</f>
        <v>NO SELECT</v>
      </c>
      <c r="D16">
        <v>5274</v>
      </c>
      <c r="E16" s="3" t="s">
        <v>162</v>
      </c>
      <c r="F16" s="141">
        <f>SUMIFS(Banco[valor],Banco[IdAgente],C16,Banco[id_natureza_dado],1,Banco[idDet1],15,Banco[idDet2],176)</f>
        <v>0</v>
      </c>
      <c r="G16" s="141">
        <f>SUMIFS(Banco[valor],Banco[IdAgente],C16,Banco[id_natureza_dado],1,Banco[idDet1],196,Banco[idDet2],250)</f>
        <v>0</v>
      </c>
      <c r="H16" s="141">
        <f t="shared" si="3"/>
        <v>0</v>
      </c>
      <c r="I16" s="295">
        <f>SUMIFS(Banco[valor],Banco[IdAgente],C16,Banco[id_natureza_dado],1,Banco[idDet1],15,Banco[idDet2],86)</f>
        <v>0</v>
      </c>
      <c r="J16" s="114">
        <f>SUMIFS(Banco[valor],Banco[IdAgente],C16,Banco[id_natureza_dado],1,Banco[idDet1],203,Banco[idDet2],247)</f>
        <v>0</v>
      </c>
      <c r="K16" s="90" t="e">
        <f t="shared" si="1"/>
        <v>#DIV/0!</v>
      </c>
      <c r="L16" s="158">
        <f t="shared" si="4"/>
        <v>0</v>
      </c>
    </row>
    <row r="17" spans="1:12" hidden="1">
      <c r="A17" s="89"/>
      <c r="C17" t="str">
        <f>IFERROR(VLOOKUP(D17,CAPA!$C$12:$C$32,1,FALSE),"NO SELECT")</f>
        <v>NO SELECT</v>
      </c>
      <c r="D17">
        <v>5353</v>
      </c>
      <c r="E17" s="3" t="s">
        <v>55</v>
      </c>
      <c r="F17" s="141">
        <f>SUMIFS(Banco[valor],Banco[IdAgente],C17,Banco[id_natureza_dado],1,Banco[idDet1],15,Banco[idDet2],176)</f>
        <v>0</v>
      </c>
      <c r="G17" s="141">
        <f>SUMIFS(Banco[valor],Banco[IdAgente],C17,Banco[id_natureza_dado],1,Banco[idDet1],196,Banco[idDet2],250)</f>
        <v>0</v>
      </c>
      <c r="H17" s="141">
        <f t="shared" si="3"/>
        <v>0</v>
      </c>
      <c r="I17" s="295">
        <f>SUMIFS(Banco[valor],Banco[IdAgente],C17,Banco[id_natureza_dado],1,Banco[idDet1],15,Banco[idDet2],86)</f>
        <v>0</v>
      </c>
      <c r="J17" s="114">
        <f>SUMIFS(Banco[valor],Banco[IdAgente],C17,Banco[id_natureza_dado],1,Banco[idDet1],203,Banco[idDet2],247)</f>
        <v>0</v>
      </c>
      <c r="K17" s="90" t="e">
        <f t="shared" si="1"/>
        <v>#DIV/0!</v>
      </c>
      <c r="L17" s="158">
        <f t="shared" si="4"/>
        <v>0</v>
      </c>
    </row>
    <row r="18" spans="1:12" hidden="1">
      <c r="A18" s="89"/>
      <c r="C18" t="str">
        <f>IFERROR(VLOOKUP(D18,CAPA!$C$12:$C$32,1,FALSE),"NO SELECT")</f>
        <v>NO SELECT</v>
      </c>
      <c r="D18">
        <v>5355</v>
      </c>
      <c r="E18" s="3" t="s">
        <v>57</v>
      </c>
      <c r="F18" s="141">
        <f>SUMIFS(Banco[valor],Banco[IdAgente],C18,Banco[id_natureza_dado],1,Banco[idDet1],15,Banco[idDet2],176)</f>
        <v>0</v>
      </c>
      <c r="G18" s="141">
        <f>SUMIFS(Banco[valor],Banco[IdAgente],C18,Banco[id_natureza_dado],1,Banco[idDet1],196,Banco[idDet2],250)</f>
        <v>0</v>
      </c>
      <c r="H18" s="141">
        <f t="shared" si="3"/>
        <v>0</v>
      </c>
      <c r="I18" s="295">
        <f>SUMIFS(Banco[valor],Banco[IdAgente],C18,Banco[id_natureza_dado],1,Banco[idDet1],15,Banco[idDet2],86)</f>
        <v>0</v>
      </c>
      <c r="J18" s="114">
        <f>SUMIFS(Banco[valor],Banco[IdAgente],C18,Banco[id_natureza_dado],1,Banco[idDet1],203,Banco[idDet2],247)</f>
        <v>0</v>
      </c>
      <c r="K18" s="90" t="e">
        <f t="shared" si="1"/>
        <v>#DIV/0!</v>
      </c>
      <c r="L18" s="158">
        <f t="shared" si="4"/>
        <v>0</v>
      </c>
    </row>
    <row r="19" spans="1:12" hidden="1">
      <c r="A19" s="89"/>
      <c r="C19" t="str">
        <f>IFERROR(VLOOKUP(D19,CAPA!$C$12:$C$32,1,FALSE),"NO SELECT")</f>
        <v>NO SELECT</v>
      </c>
      <c r="D19">
        <v>5363</v>
      </c>
      <c r="E19" s="3" t="s">
        <v>58</v>
      </c>
      <c r="F19" s="141">
        <f>SUMIFS(Banco[valor],Banco[IdAgente],C19,Banco[id_natureza_dado],1,Banco[idDet1],15,Banco[idDet2],176)</f>
        <v>0</v>
      </c>
      <c r="G19" s="141">
        <f>SUMIFS(Banco[valor],Banco[IdAgente],C19,Banco[id_natureza_dado],1,Banco[idDet1],196,Banco[idDet2],250)</f>
        <v>0</v>
      </c>
      <c r="H19" s="141">
        <f t="shared" si="3"/>
        <v>0</v>
      </c>
      <c r="I19" s="295">
        <f>SUMIFS(Banco[valor],Banco[IdAgente],C19,Banco[id_natureza_dado],1,Banco[idDet1],15,Banco[idDet2],86)</f>
        <v>0</v>
      </c>
      <c r="J19" s="114">
        <f>SUMIFS(Banco[valor],Banco[IdAgente],C19,Banco[id_natureza_dado],1,Banco[idDet1],203,Banco[idDet2],247)</f>
        <v>0</v>
      </c>
      <c r="K19" s="90" t="e">
        <f t="shared" si="1"/>
        <v>#DIV/0!</v>
      </c>
      <c r="L19" s="158">
        <f t="shared" si="4"/>
        <v>0</v>
      </c>
    </row>
    <row r="20" spans="1:12" hidden="1">
      <c r="A20" s="89"/>
      <c r="C20" t="str">
        <f>IFERROR(VLOOKUP(D20,CAPA!$C$12:$C$32,1,FALSE),"NO SELECT")</f>
        <v>NO SELECT</v>
      </c>
      <c r="D20">
        <v>2763</v>
      </c>
      <c r="E20" s="3" t="s">
        <v>165</v>
      </c>
      <c r="F20" s="141">
        <f>SUMIFS(Banco[valor],Banco[IdAgente],C20,Banco[id_natureza_dado],1,Banco[idDet1],15,Banco[idDet2],176)</f>
        <v>0</v>
      </c>
      <c r="G20" s="141">
        <f>SUMIFS(Banco[valor],Banco[IdAgente],C20,Banco[id_natureza_dado],1,Banco[idDet1],196,Banco[idDet2],250)</f>
        <v>0</v>
      </c>
      <c r="H20" s="141">
        <f t="shared" si="3"/>
        <v>0</v>
      </c>
      <c r="I20" s="295">
        <f>SUMIFS(Banco[valor],Banco[IdAgente],C20,Banco[id_natureza_dado],1,Banco[idDet1],15,Banco[idDet2],86)</f>
        <v>0</v>
      </c>
      <c r="J20" s="114">
        <f>SUMIFS(Banco[valor],Banco[IdAgente],C20,Banco[id_natureza_dado],1,Banco[idDet1],203,Banco[idDet2],247)</f>
        <v>0</v>
      </c>
      <c r="K20" s="90" t="e">
        <f t="shared" si="1"/>
        <v>#DIV/0!</v>
      </c>
      <c r="L20" s="158">
        <f t="shared" ref="L20:L57" si="5">H20-I20</f>
        <v>0</v>
      </c>
    </row>
    <row r="21" spans="1:12" hidden="1">
      <c r="A21" s="89"/>
      <c r="C21" t="str">
        <f>IFERROR(VLOOKUP(D21,CAPA!$C$12:$C$32,1,FALSE),"NO SELECT")</f>
        <v>NO SELECT</v>
      </c>
      <c r="D21">
        <v>5386</v>
      </c>
      <c r="E21" s="3" t="s">
        <v>168</v>
      </c>
      <c r="F21" s="141">
        <f>SUMIFS(Banco[valor],Banco[IdAgente],C21,Banco[id_natureza_dado],1,Banco[idDet1],15,Banco[idDet2],176)</f>
        <v>0</v>
      </c>
      <c r="G21" s="141">
        <f>SUMIFS(Banco[valor],Banco[IdAgente],C21,Banco[id_natureza_dado],1,Banco[idDet1],196,Banco[idDet2],250)</f>
        <v>0</v>
      </c>
      <c r="H21" s="141">
        <f t="shared" si="3"/>
        <v>0</v>
      </c>
      <c r="I21" s="295">
        <f>SUMIFS(Banco[valor],Banco[IdAgente],C21,Banco[id_natureza_dado],1,Banco[idDet1],15,Banco[idDet2],86)</f>
        <v>0</v>
      </c>
      <c r="J21" s="114">
        <f>SUMIFS(Banco[valor],Banco[IdAgente],C21,Banco[id_natureza_dado],1,Banco[idDet1],203,Banco[idDet2],247)</f>
        <v>0</v>
      </c>
      <c r="K21" s="90" t="e">
        <f t="shared" si="1"/>
        <v>#DIV/0!</v>
      </c>
      <c r="L21" s="158">
        <f t="shared" si="5"/>
        <v>0</v>
      </c>
    </row>
    <row r="22" spans="1:12" hidden="1">
      <c r="A22" s="89"/>
      <c r="C22" t="str">
        <f>IFERROR(VLOOKUP(D22,CAPA!$C$12:$C$32,1,FALSE),"NO SELECT")</f>
        <v>NO SELECT</v>
      </c>
      <c r="D22">
        <v>5378</v>
      </c>
      <c r="E22" s="3" t="s">
        <v>171</v>
      </c>
      <c r="F22" s="141">
        <f>SUMIFS(Banco[valor],Banco[IdAgente],C22,Banco[id_natureza_dado],1,Banco[idDet1],15,Banco[idDet2],176)</f>
        <v>0</v>
      </c>
      <c r="G22" s="141">
        <f>SUMIFS(Banco[valor],Banco[IdAgente],C22,Banco[id_natureza_dado],1,Banco[idDet1],196,Banco[idDet2],250)</f>
        <v>0</v>
      </c>
      <c r="H22" s="141">
        <f t="shared" si="3"/>
        <v>0</v>
      </c>
      <c r="I22" s="295">
        <f>SUMIFS(Banco[valor],Banco[IdAgente],C22,Banco[id_natureza_dado],1,Banco[idDet1],15,Banco[idDet2],86)</f>
        <v>0</v>
      </c>
      <c r="J22" s="114">
        <f>SUMIFS(Banco[valor],Banco[IdAgente],C22,Banco[id_natureza_dado],1,Banco[idDet1],203,Banco[idDet2],247)</f>
        <v>0</v>
      </c>
      <c r="K22" s="90" t="e">
        <f t="shared" si="1"/>
        <v>#DIV/0!</v>
      </c>
      <c r="L22" s="158">
        <f>H22-J22</f>
        <v>0</v>
      </c>
    </row>
    <row r="23" spans="1:12" hidden="1">
      <c r="A23" s="89"/>
      <c r="C23" t="str">
        <f>IFERROR(VLOOKUP(D23,CAPA!$C$12:$C$32,1,FALSE),"NO SELECT")</f>
        <v>NO SELECT</v>
      </c>
      <c r="D23">
        <v>5382</v>
      </c>
      <c r="E23" s="3" t="s">
        <v>174</v>
      </c>
      <c r="F23" s="141">
        <f>SUMIFS(Banco[valor],Banco[IdAgente],C23,Banco[id_natureza_dado],1,Banco[idDet1],15,Banco[idDet2],176)</f>
        <v>0</v>
      </c>
      <c r="G23" s="141">
        <f>SUMIFS(Banco[valor],Banco[IdAgente],C23,Banco[id_natureza_dado],1,Banco[idDet1],196,Banco[idDet2],250)</f>
        <v>0</v>
      </c>
      <c r="H23" s="141">
        <f t="shared" si="3"/>
        <v>0</v>
      </c>
      <c r="I23" s="295">
        <f>SUMIFS(Banco[valor],Banco[IdAgente],C23,Banco[id_natureza_dado],1,Banco[idDet1],15,Banco[idDet2],86)</f>
        <v>0</v>
      </c>
      <c r="J23" s="114">
        <f>SUMIFS(Banco[valor],Banco[IdAgente],C23,Banco[id_natureza_dado],1,Banco[idDet1],203,Banco[idDet2],247)</f>
        <v>0</v>
      </c>
      <c r="K23" s="90" t="e">
        <f t="shared" si="1"/>
        <v>#DIV/0!</v>
      </c>
      <c r="L23" s="158">
        <f t="shared" si="5"/>
        <v>0</v>
      </c>
    </row>
    <row r="24" spans="1:12" hidden="1">
      <c r="A24" s="89"/>
      <c r="C24" t="str">
        <f>IFERROR(VLOOKUP(D24,CAPA!$C$12:$C$32,1,FALSE),"NO SELECT")</f>
        <v>NO SELECT</v>
      </c>
      <c r="D24">
        <v>6610</v>
      </c>
      <c r="E24" s="3" t="s">
        <v>177</v>
      </c>
      <c r="F24" s="141">
        <f>SUMIFS(Banco[valor],Banco[IdAgente],C24,Banco[id_natureza_dado],1,Banco[idDet1],15,Banco[idDet2],176)</f>
        <v>0</v>
      </c>
      <c r="G24" s="141">
        <f>SUMIFS(Banco[valor],Banco[IdAgente],C24,Banco[id_natureza_dado],1,Banco[idDet1],196,Banco[idDet2],250)</f>
        <v>0</v>
      </c>
      <c r="H24" s="141">
        <f t="shared" si="3"/>
        <v>0</v>
      </c>
      <c r="I24" s="295">
        <f>SUMIFS(Banco[valor],Banco[IdAgente],C24,Banco[id_natureza_dado],1,Banco[idDet1],15,Banco[idDet2],86)</f>
        <v>0</v>
      </c>
      <c r="J24" s="114">
        <f>SUMIFS(Banco[valor],Banco[IdAgente],C24,Banco[id_natureza_dado],1,Banco[idDet1],203,Banco[idDet2],247)</f>
        <v>0</v>
      </c>
      <c r="K24" s="90" t="e">
        <f>ABS(J24/I24-1)</f>
        <v>#DIV/0!</v>
      </c>
      <c r="L24" s="158">
        <f t="shared" si="5"/>
        <v>0</v>
      </c>
    </row>
    <row r="25" spans="1:12" hidden="1">
      <c r="A25" s="89"/>
      <c r="C25" t="str">
        <f>IFERROR(VLOOKUP(D25,CAPA!$C$12:$C$32,1,FALSE),"NO SELECT")</f>
        <v>NO SELECT</v>
      </c>
      <c r="D25">
        <v>2381</v>
      </c>
      <c r="E25" s="3" t="s">
        <v>180</v>
      </c>
      <c r="F25" s="141">
        <f>SUMIFS(Banco[valor],Banco[IdAgente],C25,Banco[id_natureza_dado],1,Banco[idDet1],15,Banco[idDet2],176)</f>
        <v>0</v>
      </c>
      <c r="G25" s="141">
        <f>SUMIFS(Banco[valor],Banco[IdAgente],C25,Banco[id_natureza_dado],1,Banco[idDet1],196,Banco[idDet2],250)</f>
        <v>0</v>
      </c>
      <c r="H25" s="141">
        <f t="shared" si="3"/>
        <v>0</v>
      </c>
      <c r="I25" s="295">
        <f>SUMIFS(Banco[valor],Banco[IdAgente],C25,Banco[id_natureza_dado],1,Banco[idDet1],15,Banco[idDet2],86)</f>
        <v>0</v>
      </c>
      <c r="J25" s="114">
        <f>SUMIFS(Banco[valor],Banco[IdAgente],C25,Banco[id_natureza_dado],1,Banco[idDet1],203,Banco[idDet2],247)</f>
        <v>0</v>
      </c>
      <c r="K25" s="90" t="e">
        <f t="shared" si="1"/>
        <v>#DIV/0!</v>
      </c>
      <c r="L25" s="158">
        <f t="shared" si="5"/>
        <v>0</v>
      </c>
    </row>
    <row r="26" spans="1:12" hidden="1">
      <c r="A26" s="89"/>
      <c r="C26" t="str">
        <f>IFERROR(VLOOKUP(D26,CAPA!$C$12:$C$32,1,FALSE),"NO SELECT")</f>
        <v>NO SELECT</v>
      </c>
      <c r="D26">
        <v>5364</v>
      </c>
      <c r="E26" s="3" t="s">
        <v>52</v>
      </c>
      <c r="F26" s="141">
        <f>SUMIFS(Banco[valor],Banco[IdAgente],C26,Banco[id_natureza_dado],1,Banco[idDet1],15,Banco[idDet2],176)</f>
        <v>0</v>
      </c>
      <c r="G26" s="141">
        <f>SUMIFS(Banco[valor],Banco[IdAgente],C26,Banco[id_natureza_dado],1,Banco[idDet1],196,Banco[idDet2],250)</f>
        <v>0</v>
      </c>
      <c r="H26" s="141">
        <f t="shared" si="3"/>
        <v>0</v>
      </c>
      <c r="I26" s="295">
        <f>SUMIFS(Banco[valor],Banco[IdAgente],C26,Banco[id_natureza_dado],1,Banco[idDet1],15,Banco[idDet2],86)</f>
        <v>0</v>
      </c>
      <c r="J26" s="114">
        <f>SUMIFS(Banco[valor],Banco[IdAgente],C26,Banco[id_natureza_dado],1,Banco[idDet1],203,Banco[idDet2],247)</f>
        <v>0</v>
      </c>
      <c r="K26" s="90" t="e">
        <f t="shared" si="1"/>
        <v>#DIV/0!</v>
      </c>
      <c r="L26" s="158">
        <f t="shared" si="5"/>
        <v>0</v>
      </c>
    </row>
    <row r="27" spans="1:12" hidden="1">
      <c r="A27" s="89"/>
      <c r="C27" t="str">
        <f>IFERROR(VLOOKUP(D27,CAPA!$C$12:$C$32,1,FALSE),"NO SELECT")</f>
        <v>NO SELECT</v>
      </c>
      <c r="D27">
        <v>6609</v>
      </c>
      <c r="E27" s="3" t="s">
        <v>183</v>
      </c>
      <c r="F27" s="141">
        <f>SUMIFS(Banco[valor],Banco[IdAgente],C27,Banco[id_natureza_dado],1,Banco[idDet1],15,Banco[idDet2],176)</f>
        <v>0</v>
      </c>
      <c r="G27" s="141">
        <f>SUMIFS(Banco[valor],Banco[IdAgente],C27,Banco[id_natureza_dado],1,Banco[idDet1],196,Banco[idDet2],250)</f>
        <v>0</v>
      </c>
      <c r="H27" s="141">
        <f t="shared" si="3"/>
        <v>0</v>
      </c>
      <c r="I27" s="295">
        <f>SUMIFS(Banco[valor],Banco[IdAgente],C27,Banco[id_natureza_dado],1,Banco[idDet1],15,Banco[idDet2],86)</f>
        <v>0</v>
      </c>
      <c r="J27" s="114">
        <f>SUMIFS(Banco[valor],Banco[IdAgente],C27,Banco[id_natureza_dado],1,Banco[idDet1],203,Banco[idDet2],247)</f>
        <v>0</v>
      </c>
      <c r="K27" s="90" t="e">
        <f t="shared" si="1"/>
        <v>#DIV/0!</v>
      </c>
      <c r="L27" s="158">
        <f t="shared" si="5"/>
        <v>0</v>
      </c>
    </row>
    <row r="28" spans="1:12" hidden="1">
      <c r="A28" s="89"/>
      <c r="C28" t="str">
        <f>IFERROR(VLOOKUP(D28,CAPA!$C$12:$C$32,1,FALSE),"NO SELECT")</f>
        <v>NO SELECT</v>
      </c>
      <c r="D28">
        <v>5365</v>
      </c>
      <c r="E28" s="3" t="s">
        <v>59</v>
      </c>
      <c r="F28" s="141">
        <f>SUMIFS(Banco[valor],Banco[IdAgente],C28,Banco[id_natureza_dado],1,Banco[idDet1],15,Banco[idDet2],176)</f>
        <v>0</v>
      </c>
      <c r="G28" s="141">
        <f>SUMIFS(Banco[valor],Banco[IdAgente],C28,Banco[id_natureza_dado],1,Banco[idDet1],196,Banco[idDet2],250)</f>
        <v>0</v>
      </c>
      <c r="H28" s="141">
        <f t="shared" si="3"/>
        <v>0</v>
      </c>
      <c r="I28" s="295">
        <f>SUMIFS(Banco[valor],Banco[IdAgente],C28,Banco[id_natureza_dado],1,Banco[idDet1],15,Banco[idDet2],86)</f>
        <v>0</v>
      </c>
      <c r="J28" s="114">
        <f>SUMIFS(Banco[valor],Banco[IdAgente],C28,Banco[id_natureza_dado],1,Banco[idDet1],203,Banco[idDet2],247)</f>
        <v>0</v>
      </c>
      <c r="K28" s="90" t="e">
        <f t="shared" si="1"/>
        <v>#DIV/0!</v>
      </c>
      <c r="L28" s="158">
        <f t="shared" si="5"/>
        <v>0</v>
      </c>
    </row>
    <row r="29" spans="1:12" hidden="1">
      <c r="A29" s="89"/>
      <c r="C29" t="str">
        <f>IFERROR(VLOOKUP(D29,CAPA!$C$12:$C$32,1,FALSE),"NO SELECT")</f>
        <v>NO SELECT</v>
      </c>
      <c r="D29">
        <v>5384</v>
      </c>
      <c r="E29" s="3" t="s">
        <v>186</v>
      </c>
      <c r="F29" s="141">
        <f>SUMIFS(Banco[valor],Banco[IdAgente],C29,Banco[id_natureza_dado],1,Banco[idDet1],15,Banco[idDet2],176)</f>
        <v>0</v>
      </c>
      <c r="G29" s="141">
        <f>SUMIFS(Banco[valor],Banco[IdAgente],C29,Banco[id_natureza_dado],1,Banco[idDet1],196,Banco[idDet2],250)</f>
        <v>0</v>
      </c>
      <c r="H29" s="141">
        <f t="shared" si="3"/>
        <v>0</v>
      </c>
      <c r="I29" s="295">
        <f>SUMIFS(Banco[valor],Banco[IdAgente],C29,Banco[id_natureza_dado],1,Banco[idDet1],15,Banco[idDet2],86)</f>
        <v>0</v>
      </c>
      <c r="J29" s="114">
        <f>SUMIFS(Banco[valor],Banco[IdAgente],C29,Banco[id_natureza_dado],1,Banco[idDet1],203,Banco[idDet2],247)</f>
        <v>0</v>
      </c>
      <c r="K29" s="90" t="e">
        <f t="shared" si="1"/>
        <v>#DIV/0!</v>
      </c>
      <c r="L29" s="158">
        <f t="shared" si="5"/>
        <v>0</v>
      </c>
    </row>
    <row r="30" spans="1:12" hidden="1">
      <c r="A30" s="89"/>
      <c r="C30" t="str">
        <f>IFERROR(VLOOKUP(D30,CAPA!$C$12:$C$32,1,FALSE),"NO SELECT")</f>
        <v>NO SELECT</v>
      </c>
      <c r="D30">
        <v>5385</v>
      </c>
      <c r="E30" s="3" t="s">
        <v>189</v>
      </c>
      <c r="F30" s="141">
        <f>SUMIFS(Banco[valor],Banco[IdAgente],C30,Banco[id_natureza_dado],1,Banco[idDet1],15,Banco[idDet2],176)</f>
        <v>0</v>
      </c>
      <c r="G30" s="141">
        <f>SUMIFS(Banco[valor],Banco[IdAgente],C30,Banco[id_natureza_dado],1,Banco[idDet1],196,Banco[idDet2],250)</f>
        <v>0</v>
      </c>
      <c r="H30" s="141">
        <f t="shared" si="3"/>
        <v>0</v>
      </c>
      <c r="I30" s="295">
        <f>SUMIFS(Banco[valor],Banco[IdAgente],C30,Banco[id_natureza_dado],1,Banco[idDet1],15,Banco[idDet2],86)</f>
        <v>0</v>
      </c>
      <c r="J30" s="114">
        <f>SUMIFS(Banco[valor],Banco[IdAgente],C30,Banco[id_natureza_dado],1,Banco[idDet1],203,Banco[idDet2],247)</f>
        <v>0</v>
      </c>
      <c r="K30" s="90" t="e">
        <f t="shared" si="1"/>
        <v>#DIV/0!</v>
      </c>
      <c r="L30" s="158">
        <f t="shared" si="5"/>
        <v>0</v>
      </c>
    </row>
    <row r="31" spans="1:12" hidden="1">
      <c r="A31" s="89"/>
      <c r="C31" t="str">
        <f>IFERROR(VLOOKUP(D31,CAPA!$C$12:$C$32,1,FALSE),"NO SELECT")</f>
        <v>NO SELECT</v>
      </c>
      <c r="D31">
        <v>5368</v>
      </c>
      <c r="E31" s="3" t="s">
        <v>60</v>
      </c>
      <c r="F31" s="141">
        <f>SUMIFS(Banco[valor],Banco[IdAgente],C31,Banco[id_natureza_dado],1,Banco[idDet1],15,Banco[idDet2],176)</f>
        <v>0</v>
      </c>
      <c r="G31" s="141">
        <f>SUMIFS(Banco[valor],Banco[IdAgente],C31,Banco[id_natureza_dado],1,Banco[idDet1],196,Banco[idDet2],250)</f>
        <v>0</v>
      </c>
      <c r="H31" s="141">
        <f t="shared" si="3"/>
        <v>0</v>
      </c>
      <c r="I31" s="295">
        <f>SUMIFS(Banco[valor],Banco[IdAgente],C31,Banco[id_natureza_dado],1,Banco[idDet1],15,Banco[idDet2],86)</f>
        <v>0</v>
      </c>
      <c r="J31" s="114">
        <f>SUMIFS(Banco[valor],Banco[IdAgente],C31,Banco[id_natureza_dado],1,Banco[idDet1],203,Banco[idDet2],247)</f>
        <v>0</v>
      </c>
      <c r="K31" s="90" t="e">
        <f t="shared" si="1"/>
        <v>#DIV/0!</v>
      </c>
      <c r="L31" s="158">
        <f t="shared" si="5"/>
        <v>0</v>
      </c>
    </row>
    <row r="32" spans="1:12" hidden="1">
      <c r="A32" s="89"/>
      <c r="C32" t="str">
        <f>IFERROR(VLOOKUP(D32,CAPA!$C$12:$C$32,1,FALSE),"NO SELECT")</f>
        <v>NO SELECT</v>
      </c>
      <c r="D32">
        <v>3223</v>
      </c>
      <c r="E32" s="3" t="s">
        <v>192</v>
      </c>
      <c r="F32" s="141">
        <f>SUMIFS(Banco[valor],Banco[IdAgente],C32,Banco[id_natureza_dado],1,Banco[idDet1],15,Banco[idDet2],176)</f>
        <v>0</v>
      </c>
      <c r="G32" s="141">
        <f>SUMIFS(Banco[valor],Banco[IdAgente],C32,Banco[id_natureza_dado],1,Banco[idDet1],196,Banco[idDet2],250)</f>
        <v>0</v>
      </c>
      <c r="H32" s="141">
        <f t="shared" si="3"/>
        <v>0</v>
      </c>
      <c r="I32" s="295">
        <f>SUMIFS(Banco[valor],Banco[IdAgente],C32,Banco[id_natureza_dado],1,Banco[idDet1],15,Banco[idDet2],86)</f>
        <v>0</v>
      </c>
      <c r="J32" s="114">
        <f>SUMIFS(Banco[valor],Banco[IdAgente],C32,Banco[id_natureza_dado],1,Banco[idDet1],203,Banco[idDet2],247)</f>
        <v>0</v>
      </c>
      <c r="K32" s="90" t="e">
        <f t="shared" si="1"/>
        <v>#DIV/0!</v>
      </c>
      <c r="L32" s="158">
        <f t="shared" si="5"/>
        <v>0</v>
      </c>
    </row>
    <row r="33" spans="1:12" hidden="1">
      <c r="A33" s="89"/>
      <c r="C33" t="str">
        <f>IFERROR(VLOOKUP(D33,CAPA!$C$12:$C$32,1,FALSE),"NO SELECT")</f>
        <v>NO SELECT</v>
      </c>
      <c r="D33">
        <v>7371</v>
      </c>
      <c r="E33" s="3" t="s">
        <v>195</v>
      </c>
      <c r="F33" s="141">
        <f>SUMIFS(Banco[valor],Banco[IdAgente],C33,Banco[id_natureza_dado],1,Banco[idDet1],15,Banco[idDet2],176)</f>
        <v>0</v>
      </c>
      <c r="G33" s="141">
        <f>SUMIFS(Banco[valor],Banco[IdAgente],C33,Banco[id_natureza_dado],1,Banco[idDet1],196,Banco[idDet2],250)</f>
        <v>0</v>
      </c>
      <c r="H33" s="141">
        <f t="shared" si="3"/>
        <v>0</v>
      </c>
      <c r="I33" s="295">
        <f>SUMIFS(Banco[valor],Banco[IdAgente],C33,Banco[id_natureza_dado],1,Banco[idDet1],15,Banco[idDet2],86)</f>
        <v>0</v>
      </c>
      <c r="J33" s="114">
        <f>SUMIFS(Banco[valor],Banco[IdAgente],C33,Banco[id_natureza_dado],1,Banco[idDet1],203,Banco[idDet2],247)</f>
        <v>0</v>
      </c>
      <c r="K33" s="90" t="e">
        <f t="shared" si="1"/>
        <v>#DIV/0!</v>
      </c>
      <c r="L33" s="158">
        <f t="shared" si="5"/>
        <v>0</v>
      </c>
    </row>
    <row r="34" spans="1:12" hidden="1">
      <c r="A34" s="89"/>
      <c r="C34" t="str">
        <f>IFERROR(VLOOKUP(D34,CAPA!$C$12:$C$32,1,FALSE),"NO SELECT")</f>
        <v>NO SELECT</v>
      </c>
      <c r="D34">
        <v>5369</v>
      </c>
      <c r="E34" s="3" t="s">
        <v>61</v>
      </c>
      <c r="F34" s="141">
        <f>SUMIFS(Banco[valor],Banco[IdAgente],C34,Banco[id_natureza_dado],1,Banco[idDet1],15,Banco[idDet2],176)</f>
        <v>0</v>
      </c>
      <c r="G34" s="141">
        <f>SUMIFS(Banco[valor],Banco[IdAgente],C34,Banco[id_natureza_dado],1,Banco[idDet1],196,Banco[idDet2],250)</f>
        <v>0</v>
      </c>
      <c r="H34" s="141">
        <f t="shared" si="3"/>
        <v>0</v>
      </c>
      <c r="I34" s="295">
        <f>SUMIFS(Banco[valor],Banco[IdAgente],C34,Banco[id_natureza_dado],1,Banco[idDet1],15,Banco[idDet2],86)</f>
        <v>0</v>
      </c>
      <c r="J34" s="114">
        <f>SUMIFS(Banco[valor],Banco[IdAgente],C34,Banco[id_natureza_dado],1,Banco[idDet1],203,Banco[idDet2],247)</f>
        <v>0</v>
      </c>
      <c r="K34" s="90" t="e">
        <f t="shared" si="1"/>
        <v>#DIV/0!</v>
      </c>
      <c r="L34" s="158">
        <f t="shared" si="5"/>
        <v>0</v>
      </c>
    </row>
    <row r="35" spans="1:12" hidden="1">
      <c r="A35" s="89"/>
      <c r="C35" t="str">
        <f>IFERROR(VLOOKUP(D35,CAPA!$C$12:$C$32,1,FALSE),"NO SELECT")</f>
        <v>NO SELECT</v>
      </c>
      <c r="D35">
        <v>5379</v>
      </c>
      <c r="E35" s="3" t="s">
        <v>198</v>
      </c>
      <c r="F35" s="141">
        <f>SUMIFS(Banco[valor],Banco[IdAgente],C35,Banco[id_natureza_dado],1,Banco[idDet1],15,Banco[idDet2],176)</f>
        <v>0</v>
      </c>
      <c r="G35" s="141">
        <f>SUMIFS(Banco[valor],Banco[IdAgente],C35,Banco[id_natureza_dado],1,Banco[idDet1],196,Banco[idDet2],250)</f>
        <v>0</v>
      </c>
      <c r="H35" s="141">
        <f t="shared" si="3"/>
        <v>0</v>
      </c>
      <c r="I35" s="295">
        <f>SUMIFS(Banco[valor],Banco[IdAgente],C35,Banco[id_natureza_dado],1,Banco[idDet1],15,Banco[idDet2],86)</f>
        <v>0</v>
      </c>
      <c r="J35" s="114">
        <f>SUMIFS(Banco[valor],Banco[IdAgente],C35,Banco[id_natureza_dado],1,Banco[idDet1],203,Banco[idDet2],247)</f>
        <v>0</v>
      </c>
      <c r="K35" s="90" t="e">
        <f t="shared" si="1"/>
        <v>#DIV/0!</v>
      </c>
      <c r="L35" s="158">
        <f t="shared" si="5"/>
        <v>0</v>
      </c>
    </row>
    <row r="36" spans="1:12" hidden="1">
      <c r="A36" s="89"/>
      <c r="C36" t="str">
        <f>IFERROR(VLOOKUP(D36,CAPA!$C$12:$C$32,1,FALSE),"NO SELECT")</f>
        <v>NO SELECT</v>
      </c>
      <c r="D36">
        <v>5370</v>
      </c>
      <c r="E36" s="3" t="s">
        <v>62</v>
      </c>
      <c r="F36" s="141">
        <f>SUMIFS(Banco[valor],Banco[IdAgente],C36,Banco[id_natureza_dado],1,Banco[idDet1],15,Banco[idDet2],176)</f>
        <v>0</v>
      </c>
      <c r="G36" s="141">
        <f>SUMIFS(Banco[valor],Banco[IdAgente],C36,Banco[id_natureza_dado],1,Banco[idDet1],196,Banco[idDet2],250)</f>
        <v>0</v>
      </c>
      <c r="H36" s="141">
        <f t="shared" si="3"/>
        <v>0</v>
      </c>
      <c r="I36" s="295">
        <f>SUMIFS(Banco[valor],Banco[IdAgente],C36,Banco[id_natureza_dado],1,Banco[idDet1],15,Banco[idDet2],86)</f>
        <v>0</v>
      </c>
      <c r="J36" s="114">
        <f>SUMIFS(Banco[valor],Banco[IdAgente],C36,Banco[id_natureza_dado],1,Banco[idDet1],203,Banco[idDet2],247)</f>
        <v>0</v>
      </c>
      <c r="K36" s="90" t="e">
        <f>ABS(J36/I36-1)</f>
        <v>#DIV/0!</v>
      </c>
      <c r="L36" s="158">
        <f t="shared" si="5"/>
        <v>0</v>
      </c>
    </row>
    <row r="37" spans="1:12" hidden="1">
      <c r="A37" s="89"/>
      <c r="C37" t="str">
        <f>IFERROR(VLOOKUP(D37,CAPA!$C$12:$C$32,1,FALSE),"NO SELECT")</f>
        <v>NO SELECT</v>
      </c>
      <c r="D37">
        <v>5371</v>
      </c>
      <c r="E37" s="3" t="s">
        <v>53</v>
      </c>
      <c r="F37" s="141">
        <f>SUMIFS(Banco[valor],Banco[IdAgente],C37,Banco[id_natureza_dado],1,Banco[idDet1],15,Banco[idDet2],176)</f>
        <v>0</v>
      </c>
      <c r="G37" s="141">
        <f>SUMIFS(Banco[valor],Banco[IdAgente],C37,Banco[id_natureza_dado],1,Banco[idDet1],196,Banco[idDet2],250)</f>
        <v>0</v>
      </c>
      <c r="H37" s="141">
        <f t="shared" si="3"/>
        <v>0</v>
      </c>
      <c r="I37" s="295">
        <f>SUMIFS(Banco[valor],Banco[IdAgente],C37,Banco[id_natureza_dado],1,Banco[idDet1],15,Banco[idDet2],86)</f>
        <v>0</v>
      </c>
      <c r="J37" s="114">
        <f>SUMIFS(Banco[valor],Banco[IdAgente],C37,Banco[id_natureza_dado],1,Banco[idDet1],203,Banco[idDet2],247)</f>
        <v>0</v>
      </c>
      <c r="K37" s="90" t="e">
        <f t="shared" si="1"/>
        <v>#DIV/0!</v>
      </c>
      <c r="L37" s="158">
        <f t="shared" si="5"/>
        <v>0</v>
      </c>
    </row>
    <row r="38" spans="1:12" hidden="1">
      <c r="A38" s="89"/>
      <c r="C38" t="str">
        <f>IFERROR(VLOOKUP(D38,CAPA!$C$12:$C$32,1,FALSE),"NO SELECT")</f>
        <v>NO SELECT</v>
      </c>
      <c r="D38">
        <v>3627</v>
      </c>
      <c r="E38" s="3" t="s">
        <v>201</v>
      </c>
      <c r="F38" s="141">
        <f>SUMIFS(Banco[valor],Banco[IdAgente],C38,Banco[id_natureza_dado],1,Banco[idDet1],15,Banco[idDet2],176)</f>
        <v>0</v>
      </c>
      <c r="G38" s="141">
        <f>SUMIFS(Banco[valor],Banco[IdAgente],C38,Banco[id_natureza_dado],1,Banco[idDet1],196,Banco[idDet2],250)</f>
        <v>0</v>
      </c>
      <c r="H38" s="141">
        <f t="shared" si="3"/>
        <v>0</v>
      </c>
      <c r="I38" s="295">
        <f>SUMIFS(Banco[valor],Banco[IdAgente],C38,Banco[id_natureza_dado],1,Banco[idDet1],15,Banco[idDet2],86)</f>
        <v>0</v>
      </c>
      <c r="J38" s="114">
        <f>SUMIFS(Banco[valor],Banco[IdAgente],C38,Banco[id_natureza_dado],1,Banco[idDet1],203,Banco[idDet2],247)</f>
        <v>0</v>
      </c>
      <c r="K38" s="90" t="e">
        <f t="shared" si="1"/>
        <v>#DIV/0!</v>
      </c>
      <c r="L38" s="158">
        <f t="shared" si="5"/>
        <v>0</v>
      </c>
    </row>
    <row r="39" spans="1:12" hidden="1">
      <c r="A39" s="89"/>
      <c r="C39" t="str">
        <f>IFERROR(VLOOKUP(D39,CAPA!$C$12:$C$32,1,FALSE),"NO SELECT")</f>
        <v>NO SELECT</v>
      </c>
      <c r="D39">
        <v>5373</v>
      </c>
      <c r="E39" s="3" t="s">
        <v>63</v>
      </c>
      <c r="F39" s="141">
        <f>SUMIFS(Banco[valor],Banco[IdAgente],C39,Banco[id_natureza_dado],1,Banco[idDet1],15,Banco[idDet2],176)</f>
        <v>0</v>
      </c>
      <c r="G39" s="141">
        <f>SUMIFS(Banco[valor],Banco[IdAgente],C39,Banco[id_natureza_dado],1,Banco[idDet1],196,Banco[idDet2],250)</f>
        <v>0</v>
      </c>
      <c r="H39" s="141">
        <f t="shared" si="3"/>
        <v>0</v>
      </c>
      <c r="I39" s="295">
        <f>SUMIFS(Banco[valor],Banco[IdAgente],C39,Banco[id_natureza_dado],1,Banco[idDet1],15,Banco[idDet2],86)</f>
        <v>0</v>
      </c>
      <c r="J39" s="114">
        <f>SUMIFS(Banco[valor],Banco[IdAgente],C39,Banco[id_natureza_dado],1,Banco[idDet1],203,Banco[idDet2],247)</f>
        <v>0</v>
      </c>
      <c r="K39" s="90" t="e">
        <f t="shared" si="1"/>
        <v>#DIV/0!</v>
      </c>
      <c r="L39" s="158">
        <f t="shared" si="5"/>
        <v>0</v>
      </c>
    </row>
    <row r="40" spans="1:12" hidden="1">
      <c r="A40" s="89"/>
      <c r="C40" t="str">
        <f>IFERROR(VLOOKUP(D40,CAPA!$C$12:$C$32,1,FALSE),"NO SELECT")</f>
        <v>NO SELECT</v>
      </c>
      <c r="D40">
        <v>7016</v>
      </c>
      <c r="E40" s="3" t="s">
        <v>64</v>
      </c>
      <c r="F40" s="141">
        <f>SUMIFS(Banco[valor],Banco[IdAgente],C40,Banco[id_natureza_dado],1,Banco[idDet1],15,Banco[idDet2],176)</f>
        <v>0</v>
      </c>
      <c r="G40" s="141">
        <f>SUMIFS(Banco[valor],Banco[IdAgente],C40,Banco[id_natureza_dado],1,Banco[idDet1],196,Banco[idDet2],250)</f>
        <v>0</v>
      </c>
      <c r="H40" s="141">
        <f t="shared" si="3"/>
        <v>0</v>
      </c>
      <c r="I40" s="295">
        <f>SUMIFS(Banco[valor],Banco[IdAgente],C40,Banco[id_natureza_dado],1,Banco[idDet1],15,Banco[idDet2],86)</f>
        <v>0</v>
      </c>
      <c r="J40" s="114">
        <f>SUMIFS(Banco[valor],Banco[IdAgente],C40,Banco[id_natureza_dado],1,Banco[idDet1],203,Banco[idDet2],247)</f>
        <v>0</v>
      </c>
      <c r="K40" s="90" t="e">
        <f t="shared" si="1"/>
        <v>#DIV/0!</v>
      </c>
      <c r="L40" s="158">
        <f t="shared" si="5"/>
        <v>0</v>
      </c>
    </row>
    <row r="41" spans="1:12" hidden="1">
      <c r="A41" s="89"/>
      <c r="C41" t="str">
        <f>IFERROR(VLOOKUP(D41,CAPA!$C$12:$C$32,1,FALSE),"NO SELECT")</f>
        <v>NO SELECT</v>
      </c>
      <c r="D41">
        <v>2351</v>
      </c>
      <c r="E41" s="3" t="s">
        <v>204</v>
      </c>
      <c r="F41" s="141">
        <f>SUMIFS(Banco[valor],Banco[IdAgente],C41,Banco[id_natureza_dado],1,Banco[idDet1],15,Banco[idDet2],176)</f>
        <v>0</v>
      </c>
      <c r="G41" s="141">
        <f>SUMIFS(Banco[valor],Banco[IdAgente],C41,Banco[id_natureza_dado],1,Banco[idDet1],196,Banco[idDet2],250)</f>
        <v>0</v>
      </c>
      <c r="H41" s="141">
        <f t="shared" si="3"/>
        <v>0</v>
      </c>
      <c r="I41" s="295">
        <f>SUMIFS(Banco[valor],Banco[IdAgente],C41,Banco[id_natureza_dado],1,Banco[idDet1],15,Banco[idDet2],86)</f>
        <v>0</v>
      </c>
      <c r="J41" s="114">
        <f>SUMIFS(Banco[valor],Banco[IdAgente],C41,Banco[id_natureza_dado],1,Banco[idDet1],203,Banco[idDet2],247)</f>
        <v>0</v>
      </c>
      <c r="K41" s="90" t="e">
        <f t="shared" si="1"/>
        <v>#DIV/0!</v>
      </c>
      <c r="L41" s="158">
        <f t="shared" si="5"/>
        <v>0</v>
      </c>
    </row>
    <row r="42" spans="1:12" hidden="1">
      <c r="A42" s="89"/>
      <c r="C42" t="str">
        <f>IFERROR(VLOOKUP(D42,CAPA!$C$12:$C$32,1,FALSE),"NO SELECT")</f>
        <v>NO SELECT</v>
      </c>
      <c r="D42">
        <v>598</v>
      </c>
      <c r="E42" s="3" t="s">
        <v>276</v>
      </c>
      <c r="F42" s="141">
        <f>SUMIFS(Banco[valor],Banco[IdAgente],C42,Banco[id_natureza_dado],1,Banco[idDet1],15,Banco[idDet2],176)</f>
        <v>0</v>
      </c>
      <c r="G42" s="141">
        <f>SUMIFS(Banco[valor],Banco[IdAgente],C42,Banco[id_natureza_dado],1,Banco[idDet1],196,Banco[idDet2],250)</f>
        <v>0</v>
      </c>
      <c r="H42" s="141">
        <f t="shared" si="3"/>
        <v>0</v>
      </c>
      <c r="I42" s="295">
        <f>SUMIFS(Banco[valor],Banco[IdAgente],C42,Banco[id_natureza_dado],1,Banco[idDet1],15,Banco[idDet2],86)</f>
        <v>0</v>
      </c>
      <c r="J42" s="114">
        <f>SUMIFS(Banco[valor],Banco[IdAgente],C42,Banco[id_natureza_dado],1,Banco[idDet1],203,Banco[idDet2],247)</f>
        <v>0</v>
      </c>
      <c r="K42" s="90" t="e">
        <f t="shared" si="1"/>
        <v>#DIV/0!</v>
      </c>
      <c r="L42" s="158">
        <f t="shared" si="5"/>
        <v>0</v>
      </c>
    </row>
    <row r="43" spans="1:12" hidden="1">
      <c r="A43" s="89"/>
      <c r="C43" t="str">
        <f>IFERROR(VLOOKUP(D43,CAPA!$C$12:$C$32,1,FALSE),"NO SELECT")</f>
        <v>NO SELECT</v>
      </c>
      <c r="D43">
        <v>2783</v>
      </c>
      <c r="E43" s="3" t="s">
        <v>210</v>
      </c>
      <c r="F43" s="141">
        <f>SUMIFS(Banco[valor],Banco[IdAgente],C43,Banco[id_natureza_dado],1,Banco[idDet1],15,Banco[idDet2],176)</f>
        <v>0</v>
      </c>
      <c r="G43" s="141">
        <f>SUMIFS(Banco[valor],Banco[IdAgente],C43,Banco[id_natureza_dado],1,Banco[idDet1],196,Banco[idDet2],250)</f>
        <v>0</v>
      </c>
      <c r="H43" s="141">
        <f t="shared" si="3"/>
        <v>0</v>
      </c>
      <c r="I43" s="295">
        <f>SUMIFS(Banco[valor],Banco[IdAgente],C43,Banco[id_natureza_dado],1,Banco[idDet1],15,Banco[idDet2],86)</f>
        <v>0</v>
      </c>
      <c r="J43" s="114">
        <f>SUMIFS(Banco[valor],Banco[IdAgente],C43,Banco[id_natureza_dado],1,Banco[idDet1],203,Banco[idDet2],247)</f>
        <v>0</v>
      </c>
      <c r="K43" s="90" t="e">
        <f t="shared" si="1"/>
        <v>#DIV/0!</v>
      </c>
      <c r="L43" s="158">
        <f t="shared" si="5"/>
        <v>0</v>
      </c>
    </row>
    <row r="44" spans="1:12" hidden="1">
      <c r="A44" s="89"/>
      <c r="C44" t="str">
        <f>IFERROR(VLOOKUP(D44,CAPA!$C$12:$C$32,1,FALSE),"NO SELECT")</f>
        <v>NO SELECT</v>
      </c>
      <c r="D44">
        <v>5279</v>
      </c>
      <c r="E44" s="3" t="s">
        <v>213</v>
      </c>
      <c r="F44" s="141">
        <f>SUMIFS(Banco[valor],Banco[IdAgente],C44,Banco[id_natureza_dado],1,Banco[idDet1],15,Banco[idDet2],176)</f>
        <v>0</v>
      </c>
      <c r="G44" s="141">
        <f>SUMIFS(Banco[valor],Banco[IdAgente],C44,Banco[id_natureza_dado],1,Banco[idDet1],196,Banco[idDet2],250)</f>
        <v>0</v>
      </c>
      <c r="H44" s="141">
        <f t="shared" si="3"/>
        <v>0</v>
      </c>
      <c r="I44" s="295">
        <f>SUMIFS(Banco[valor],Banco[IdAgente],C44,Banco[id_natureza_dado],1,Banco[idDet1],15,Banco[idDet2],86)</f>
        <v>0</v>
      </c>
      <c r="J44" s="114">
        <f>SUMIFS(Banco[valor],Banco[IdAgente],C44,Banco[id_natureza_dado],1,Banco[idDet1],203,Banco[idDet2],247)</f>
        <v>0</v>
      </c>
      <c r="K44" s="90" t="e">
        <f t="shared" si="1"/>
        <v>#DIV/0!</v>
      </c>
      <c r="L44" s="158">
        <f t="shared" si="5"/>
        <v>0</v>
      </c>
    </row>
    <row r="45" spans="1:12" hidden="1">
      <c r="A45" s="89"/>
      <c r="C45" t="str">
        <f>IFERROR(VLOOKUP(D45,CAPA!$C$12:$C$32,1,FALSE),"NO SELECT")</f>
        <v>NO SELECT</v>
      </c>
      <c r="D45">
        <v>6603</v>
      </c>
      <c r="E45" s="3" t="s">
        <v>215</v>
      </c>
      <c r="F45" s="141">
        <f>SUMIFS(Banco[valor],Banco[IdAgente],C45,Banco[id_natureza_dado],1,Banco[idDet1],15,Banco[idDet2],176)</f>
        <v>0</v>
      </c>
      <c r="G45" s="141">
        <f>SUMIFS(Banco[valor],Banco[IdAgente],C45,Banco[id_natureza_dado],1,Banco[idDet1],196,Banco[idDet2],250)</f>
        <v>0</v>
      </c>
      <c r="H45" s="141">
        <f t="shared" si="3"/>
        <v>0</v>
      </c>
      <c r="I45" s="295">
        <f>SUMIFS(Banco[valor],Banco[IdAgente],C45,Banco[id_natureza_dado],1,Banco[idDet1],15,Banco[idDet2],86)</f>
        <v>0</v>
      </c>
      <c r="J45" s="114">
        <f>SUMIFS(Banco[valor],Banco[IdAgente],C45,Banco[id_natureza_dado],1,Banco[idDet1],203,Banco[idDet2],247)</f>
        <v>0</v>
      </c>
      <c r="K45" s="90" t="e">
        <f t="shared" si="1"/>
        <v>#DIV/0!</v>
      </c>
      <c r="L45" s="158">
        <f t="shared" si="5"/>
        <v>0</v>
      </c>
    </row>
    <row r="46" spans="1:12" hidden="1">
      <c r="A46" s="89"/>
      <c r="C46" t="str">
        <f>IFERROR(VLOOKUP(D46,CAPA!$C$12:$C$32,1,FALSE),"NO SELECT")</f>
        <v>NO SELECT</v>
      </c>
      <c r="D46">
        <v>504</v>
      </c>
      <c r="E46" s="3" t="s">
        <v>217</v>
      </c>
      <c r="F46" s="141">
        <f>SUMIFS(Banco[valor],Banco[IdAgente],C46,Banco[id_natureza_dado],1,Banco[idDet1],15,Banco[idDet2],176)</f>
        <v>0</v>
      </c>
      <c r="G46" s="141">
        <f>SUMIFS(Banco[valor],Banco[IdAgente],C46,Banco[id_natureza_dado],1,Banco[idDet1],196,Banco[idDet2],250)</f>
        <v>0</v>
      </c>
      <c r="H46" s="141">
        <f t="shared" si="3"/>
        <v>0</v>
      </c>
      <c r="I46" s="295">
        <f>SUMIFS(Banco[valor],Banco[IdAgente],C46,Banco[id_natureza_dado],1,Banco[idDet1],15,Banco[idDet2],86)</f>
        <v>0</v>
      </c>
      <c r="J46" s="114">
        <f>SUMIFS(Banco[valor],Banco[IdAgente],C46,Banco[id_natureza_dado],1,Banco[idDet1],203,Banco[idDet2],247)</f>
        <v>0</v>
      </c>
      <c r="K46" s="90" t="e">
        <f t="shared" si="1"/>
        <v>#DIV/0!</v>
      </c>
      <c r="L46" s="158">
        <f t="shared" si="5"/>
        <v>0</v>
      </c>
    </row>
    <row r="47" spans="1:12" hidden="1">
      <c r="A47" s="89"/>
      <c r="C47" t="str">
        <f>IFERROR(VLOOKUP(D47,CAPA!$C$12:$C$32,1,FALSE),"NO SELECT")</f>
        <v>NO SELECT</v>
      </c>
      <c r="D47">
        <v>527</v>
      </c>
      <c r="E47" s="3" t="s">
        <v>219</v>
      </c>
      <c r="F47" s="141">
        <f>SUMIFS(Banco[valor],Banco[IdAgente],C47,Banco[id_natureza_dado],1,Banco[idDet1],15,Banco[idDet2],176)</f>
        <v>0</v>
      </c>
      <c r="G47" s="141">
        <f>SUMIFS(Banco[valor],Banco[IdAgente],C47,Banco[id_natureza_dado],1,Banco[idDet1],196,Banco[idDet2],250)</f>
        <v>0</v>
      </c>
      <c r="H47" s="141">
        <f t="shared" si="3"/>
        <v>0</v>
      </c>
      <c r="I47" s="295">
        <f>SUMIFS(Banco[valor],Banco[IdAgente],C47,Banco[id_natureza_dado],1,Banco[idDet1],15,Banco[idDet2],86)</f>
        <v>0</v>
      </c>
      <c r="J47" s="114">
        <f>SUMIFS(Banco[valor],Banco[IdAgente],C47,Banco[id_natureza_dado],1,Banco[idDet1],203,Banco[idDet2],247)</f>
        <v>0</v>
      </c>
      <c r="K47" s="90" t="e">
        <f t="shared" si="1"/>
        <v>#DIV/0!</v>
      </c>
      <c r="L47" s="158">
        <f t="shared" si="5"/>
        <v>0</v>
      </c>
    </row>
    <row r="48" spans="1:12" hidden="1">
      <c r="A48" s="89"/>
      <c r="C48" t="str">
        <f>IFERROR(VLOOKUP(D48,CAPA!$C$12:$C$32,1,FALSE),"NO SELECT")</f>
        <v>NO SELECT</v>
      </c>
      <c r="D48">
        <v>11825</v>
      </c>
      <c r="E48" s="3" t="s">
        <v>221</v>
      </c>
      <c r="F48" s="141">
        <f>SUMIFS(Banco[valor],Banco[IdAgente],C48,Banco[id_natureza_dado],1,Banco[idDet1],15,Banco[idDet2],176)</f>
        <v>0</v>
      </c>
      <c r="G48" s="141">
        <f>SUMIFS(Banco[valor],Banco[IdAgente],C48,Banco[id_natureza_dado],1,Banco[idDet1],196,Banco[idDet2],250)</f>
        <v>0</v>
      </c>
      <c r="H48" s="141">
        <f t="shared" si="3"/>
        <v>0</v>
      </c>
      <c r="I48" s="295">
        <f>SUMIFS(Banco[valor],Banco[IdAgente],C48,Banco[id_natureza_dado],1,Banco[idDet1],15,Banco[idDet2],86)</f>
        <v>0</v>
      </c>
      <c r="J48" s="114">
        <f>SUMIFS(Banco[valor],Banco[IdAgente],C48,Banco[id_natureza_dado],1,Banco[idDet1],203,Banco[idDet2],247)</f>
        <v>0</v>
      </c>
      <c r="K48" s="90" t="e">
        <f t="shared" si="1"/>
        <v>#DIV/0!</v>
      </c>
      <c r="L48" s="158">
        <f t="shared" si="5"/>
        <v>0</v>
      </c>
    </row>
    <row r="49" spans="1:15" hidden="1">
      <c r="A49" s="89"/>
      <c r="C49" t="str">
        <f>IFERROR(VLOOKUP(D49,CAPA!$C$12:$C$32,1,FALSE),"NO SELECT")</f>
        <v>NO SELECT</v>
      </c>
      <c r="D49">
        <v>5375</v>
      </c>
      <c r="E49" s="3" t="s">
        <v>223</v>
      </c>
      <c r="F49" s="141">
        <f>SUMIFS(Banco[valor],Banco[IdAgente],C49,Banco[id_natureza_dado],1,Banco[idDet1],15,Banco[idDet2],176)</f>
        <v>0</v>
      </c>
      <c r="G49" s="141">
        <f>SUMIFS(Banco[valor],Banco[IdAgente],C49,Banco[id_natureza_dado],1,Banco[idDet1],196,Banco[idDet2],250)</f>
        <v>0</v>
      </c>
      <c r="H49" s="141">
        <f t="shared" si="3"/>
        <v>0</v>
      </c>
      <c r="I49" s="295">
        <f>SUMIFS(Banco[valor],Banco[IdAgente],C49,Banco[id_natureza_dado],1,Banco[idDet1],15,Banco[idDet2],86)</f>
        <v>0</v>
      </c>
      <c r="J49" s="114">
        <f>SUMIFS(Banco[valor],Banco[IdAgente],C49,Banco[id_natureza_dado],1,Banco[idDet1],203,Banco[idDet2],247)</f>
        <v>0</v>
      </c>
      <c r="K49" s="90" t="e">
        <f t="shared" si="1"/>
        <v>#DIV/0!</v>
      </c>
      <c r="L49" s="158">
        <f t="shared" si="5"/>
        <v>0</v>
      </c>
    </row>
    <row r="50" spans="1:15" hidden="1">
      <c r="A50" s="89"/>
      <c r="C50" t="str">
        <f>IFERROR(VLOOKUP(D50,CAPA!$C$12:$C$32,1,FALSE),"NO SELECT")</f>
        <v>NO SELECT</v>
      </c>
      <c r="D50">
        <v>5356</v>
      </c>
      <c r="E50" s="3" t="s">
        <v>225</v>
      </c>
      <c r="F50" s="141">
        <f>SUMIFS(Banco[valor],Banco[IdAgente],C50,Banco[id_natureza_dado],1,Banco[idDet1],15,Banco[idDet2],176)</f>
        <v>0</v>
      </c>
      <c r="G50" s="141">
        <f>SUMIFS(Banco[valor],Banco[IdAgente],C50,Banco[id_natureza_dado],1,Banco[idDet1],196,Banco[idDet2],250)</f>
        <v>0</v>
      </c>
      <c r="H50" s="141">
        <f t="shared" si="3"/>
        <v>0</v>
      </c>
      <c r="I50" s="295">
        <f>SUMIFS(Banco[valor],Banco[IdAgente],C50,Banco[id_natureza_dado],1,Banco[idDet1],15,Banco[idDet2],86)</f>
        <v>0</v>
      </c>
      <c r="J50" s="114">
        <f>SUMIFS(Banco[valor],Banco[IdAgente],C50,Banco[id_natureza_dado],1,Banco[idDet1],203,Banco[idDet2],247)</f>
        <v>0</v>
      </c>
      <c r="K50" s="90" t="e">
        <f t="shared" si="1"/>
        <v>#DIV/0!</v>
      </c>
      <c r="L50" s="158">
        <f t="shared" si="5"/>
        <v>0</v>
      </c>
    </row>
    <row r="51" spans="1:15" hidden="1">
      <c r="A51" s="89"/>
      <c r="C51" t="str">
        <f>IFERROR(VLOOKUP(D51,CAPA!$C$12:$C$32,1,FALSE),"NO SELECT")</f>
        <v>NO SELECT</v>
      </c>
      <c r="D51">
        <v>7883</v>
      </c>
      <c r="E51" s="3" t="s">
        <v>227</v>
      </c>
      <c r="F51" s="141">
        <f>SUMIFS(Banco[valor],Banco[IdAgente],C51,Banco[id_natureza_dado],1,Banco[idDet1],15,Banco[idDet2],176)</f>
        <v>0</v>
      </c>
      <c r="G51" s="141">
        <f>SUMIFS(Banco[valor],Banco[IdAgente],C51,Banco[id_natureza_dado],1,Banco[idDet1],196,Banco[idDet2],250)</f>
        <v>0</v>
      </c>
      <c r="H51" s="141">
        <f t="shared" si="3"/>
        <v>0</v>
      </c>
      <c r="I51" s="295">
        <f>SUMIFS(Banco[valor],Banco[IdAgente],C51,Banco[id_natureza_dado],1,Banco[idDet1],15,Banco[idDet2],86)</f>
        <v>0</v>
      </c>
      <c r="J51" s="114">
        <f>SUMIFS(Banco[valor],Banco[IdAgente],C51,Banco[id_natureza_dado],1,Banco[idDet1],203,Banco[idDet2],247)</f>
        <v>0</v>
      </c>
      <c r="K51" s="90" t="e">
        <f t="shared" si="1"/>
        <v>#DIV/0!</v>
      </c>
      <c r="L51" s="158">
        <f t="shared" si="5"/>
        <v>0</v>
      </c>
    </row>
    <row r="52" spans="1:15" hidden="1">
      <c r="A52" s="89"/>
      <c r="C52" t="str">
        <f>IFERROR(VLOOKUP(D52,CAPA!$C$12:$C$32,1,FALSE),"NO SELECT")</f>
        <v>NO SELECT</v>
      </c>
      <c r="D52">
        <v>11763</v>
      </c>
      <c r="E52" s="3" t="s">
        <v>229</v>
      </c>
      <c r="F52" s="141">
        <f>SUMIFS(Banco[valor],Banco[IdAgente],C52,Banco[id_natureza_dado],1,Banco[idDet1],15,Banco[idDet2],176)</f>
        <v>0</v>
      </c>
      <c r="G52" s="141">
        <f>SUMIFS(Banco[valor],Banco[IdAgente],C52,Banco[id_natureza_dado],1,Banco[idDet1],196,Banco[idDet2],250)</f>
        <v>0</v>
      </c>
      <c r="H52" s="141">
        <f t="shared" si="3"/>
        <v>0</v>
      </c>
      <c r="I52" s="295">
        <f>SUMIFS(Banco[valor],Banco[IdAgente],C52,Banco[id_natureza_dado],1,Banco[idDet1],15,Banco[idDet2],86)</f>
        <v>0</v>
      </c>
      <c r="J52" s="114">
        <f>SUMIFS(Banco[valor],Banco[IdAgente],C52,Banco[id_natureza_dado],1,Banco[idDet1],203,Banco[idDet2],247)</f>
        <v>0</v>
      </c>
      <c r="K52" s="90" t="e">
        <f t="shared" si="1"/>
        <v>#DIV/0!</v>
      </c>
      <c r="L52" s="158">
        <f t="shared" si="5"/>
        <v>0</v>
      </c>
    </row>
    <row r="53" spans="1:15" hidden="1">
      <c r="A53" s="89"/>
      <c r="C53" t="str">
        <f>IFERROR(VLOOKUP(D53,CAPA!$C$12:$C$32,1,FALSE),"NO SELECT")</f>
        <v>NO SELECT</v>
      </c>
      <c r="D53">
        <v>5374</v>
      </c>
      <c r="E53" s="3" t="s">
        <v>231</v>
      </c>
      <c r="F53" s="141">
        <f>SUMIFS(Banco[valor],Banco[IdAgente],C53,Banco[id_natureza_dado],1,Banco[idDet1],15,Banco[idDet2],176)</f>
        <v>0</v>
      </c>
      <c r="G53" s="141">
        <f>SUMIFS(Banco[valor],Banco[IdAgente],C53,Banco[id_natureza_dado],1,Banco[idDet1],196,Banco[idDet2],250)</f>
        <v>0</v>
      </c>
      <c r="H53" s="141">
        <f t="shared" si="3"/>
        <v>0</v>
      </c>
      <c r="I53" s="295">
        <f>SUMIFS(Banco[valor],Banco[IdAgente],C53,Banco[id_natureza_dado],1,Banco[idDet1],15,Banco[idDet2],86)</f>
        <v>0</v>
      </c>
      <c r="J53" s="114">
        <f>SUMIFS(Banco[valor],Banco[IdAgente],C53,Banco[id_natureza_dado],1,Banco[idDet1],203,Banco[idDet2],247)</f>
        <v>0</v>
      </c>
      <c r="K53" s="90" t="e">
        <f t="shared" si="1"/>
        <v>#DIV/0!</v>
      </c>
      <c r="L53" s="158">
        <f t="shared" si="5"/>
        <v>0</v>
      </c>
    </row>
    <row r="54" spans="1:15">
      <c r="A54" s="89"/>
      <c r="C54">
        <f>IFERROR(VLOOKUP(D54,CAPA!$C$12:$C$32,1,FALSE),"NO SELECT")</f>
        <v>5346</v>
      </c>
      <c r="D54">
        <v>5346</v>
      </c>
      <c r="E54" s="3" t="s">
        <v>277</v>
      </c>
      <c r="F54" s="141">
        <f>SUMIFS(Banco[valor],Banco[IdAgente],C54,Banco[id_natureza_dado],1,Banco[idDet1],15,Banco[idDet2],176)</f>
        <v>6109644.9800000004</v>
      </c>
      <c r="G54" s="141">
        <f>SUMIFS(Banco[valor],Banco[IdAgente],C54,Banco[id_natureza_dado],1,Banco[idDet1],196,Banco[idDet2],250)</f>
        <v>7322855.4299999997</v>
      </c>
      <c r="H54" s="141">
        <f t="shared" si="3"/>
        <v>13432500.41</v>
      </c>
      <c r="I54" s="295">
        <f>SUMIFS(Banco[valor],Banco[IdAgente],C54,Banco[id_natureza_dado],1,Banco[idDet1],15,Banco[idDet2],86)</f>
        <v>13432500.4026065</v>
      </c>
      <c r="J54" s="114">
        <f>SUMIFS(Banco[valor],Banco[IdAgente],C54,Banco[id_natureza_dado],1,Banco[idDet1],203,Banco[idDet2],247)</f>
        <v>13432500.4026065</v>
      </c>
      <c r="K54" s="90">
        <f t="shared" ref="K54:K55" si="6">I54/J54-1</f>
        <v>0</v>
      </c>
      <c r="L54" s="158">
        <f t="shared" si="5"/>
        <v>7.3934998363256454E-3</v>
      </c>
    </row>
    <row r="55" spans="1:15">
      <c r="A55" s="89"/>
      <c r="C55">
        <f>IFERROR(VLOOKUP(D55,CAPA!$C$12:$C$32,1,FALSE),"NO SELECT")</f>
        <v>5345</v>
      </c>
      <c r="D55">
        <v>5345</v>
      </c>
      <c r="E55" s="3" t="s">
        <v>234</v>
      </c>
      <c r="F55" s="141">
        <f>SUMIFS(Banco[valor],Banco[IdAgente],C55,Banco[id_natureza_dado],1,Banco[idDet1],15,Banco[idDet2],176)</f>
        <v>2326167.2999999998</v>
      </c>
      <c r="G55" s="141">
        <f>SUMIFS(Banco[valor],Banco[IdAgente],C55,Banco[id_natureza_dado],1,Banco[idDet1],196,Banco[idDet2],250)</f>
        <v>11080000</v>
      </c>
      <c r="H55" s="141">
        <f t="shared" si="3"/>
        <v>13406167.300000001</v>
      </c>
      <c r="I55" s="295">
        <f>SUMIFS(Banco[valor],Banco[IdAgente],C55,Banco[id_natureza_dado],1,Banco[idDet1],15,Banco[idDet2],86)</f>
        <v>0</v>
      </c>
      <c r="J55" s="114">
        <f>SUMIFS(Banco[valor],Banco[IdAgente],C55,Banco[id_natureza_dado],1,Banco[idDet1],203,Banco[idDet2],247)</f>
        <v>13406167.2978734</v>
      </c>
      <c r="K55" s="90">
        <f t="shared" si="6"/>
        <v>-1</v>
      </c>
      <c r="L55" s="158">
        <f t="shared" si="5"/>
        <v>13406167.300000001</v>
      </c>
    </row>
    <row r="56" spans="1:15" hidden="1">
      <c r="A56" s="89"/>
      <c r="C56" t="str">
        <f>IFERROR(VLOOKUP(D56,CAPA!$C$12:$C$32,1,FALSE),"NO SELECT")</f>
        <v>NO SELECT</v>
      </c>
      <c r="D56">
        <v>7467</v>
      </c>
      <c r="E56" s="3" t="s">
        <v>286</v>
      </c>
      <c r="F56" s="141">
        <f>SUMIFS(Banco[valor],Banco[IdAgente],C56,Banco[id_natureza_dado],1,Banco[idDet1],15,Banco[idDet2],176)</f>
        <v>0</v>
      </c>
      <c r="G56" s="141">
        <f>SUMIFS(Banco[valor],Banco[IdAgente],C56,Banco[id_natureza_dado],1,Banco[idDet1],196,Banco[idDet2],250)</f>
        <v>0</v>
      </c>
      <c r="H56" s="141">
        <f t="shared" si="3"/>
        <v>0</v>
      </c>
      <c r="I56" s="295">
        <f>SUMIFS(Banco[valor],Banco[IdAgente],C56,Banco[id_natureza_dado],1,Banco[idDet1],15,Banco[idDet2],86)</f>
        <v>0</v>
      </c>
      <c r="J56" s="114">
        <f>SUMIFS(Banco[valor],Banco[IdAgente],C56,Banco[id_natureza_dado],1,Banco[idDet1],203,Banco[idDet2],247)</f>
        <v>0</v>
      </c>
      <c r="K56" s="90" t="e">
        <f t="shared" ref="K56" si="7">I56/J56-1</f>
        <v>#DIV/0!</v>
      </c>
      <c r="L56" s="158">
        <f t="shared" si="5"/>
        <v>0</v>
      </c>
    </row>
    <row r="57" spans="1:15" hidden="1">
      <c r="A57" s="89"/>
      <c r="C57" t="str">
        <f>IFERROR(VLOOKUP(D57,CAPA!$C$12:$C$32,1,FALSE),"NO SELECT")</f>
        <v>NO SELECT</v>
      </c>
      <c r="D57">
        <v>5343</v>
      </c>
      <c r="E57" s="69" t="s">
        <v>302</v>
      </c>
      <c r="F57" s="254">
        <f>SUMIFS(Banco[valor],Banco[IdAgente],C57,Banco[id_natureza_dado],1,Banco[idDet1],15,Banco[idDet2],176)</f>
        <v>0</v>
      </c>
      <c r="G57" s="254">
        <f>SUMIFS(Banco[valor],Banco[IdAgente],C57,Banco[id_natureza_dado],1,Banco[idDet1],196,Banco[idDet2],250)</f>
        <v>0</v>
      </c>
      <c r="H57" s="254">
        <f t="shared" si="3"/>
        <v>0</v>
      </c>
      <c r="I57" s="296">
        <f>SUMIFS(Banco[valor],Banco[IdAgente],C57,Banco[id_natureza_dado],1,Banco[idDet1],15,Banco[idDet2],86)</f>
        <v>0</v>
      </c>
      <c r="J57" s="130">
        <f>SUMIFS(Banco[valor],Banco[IdAgente],C57,Banco[id_natureza_dado],1,Banco[idDet1],203,Banco[idDet2],247)</f>
        <v>0</v>
      </c>
      <c r="K57" s="131" t="e">
        <f t="shared" ref="K57" si="8">I57/J57-1</f>
        <v>#DIV/0!</v>
      </c>
      <c r="L57" s="158">
        <f t="shared" si="5"/>
        <v>0</v>
      </c>
    </row>
    <row r="58" spans="1:15">
      <c r="A58" s="89"/>
      <c r="E58" s="115"/>
      <c r="F58" s="116"/>
      <c r="G58" s="116"/>
      <c r="H58" s="116"/>
      <c r="I58" s="116"/>
      <c r="J58" s="116"/>
      <c r="K58" s="117"/>
    </row>
    <row r="59" spans="1:15">
      <c r="A59" s="89"/>
      <c r="E59" s="115"/>
      <c r="F59" s="116"/>
      <c r="G59" s="116"/>
      <c r="H59" s="116"/>
      <c r="I59" s="116"/>
      <c r="J59" s="116"/>
      <c r="K59" s="117"/>
    </row>
    <row r="61" spans="1:15">
      <c r="L61" s="145"/>
      <c r="M61" s="145"/>
      <c r="N61" s="145"/>
      <c r="O61" s="145"/>
    </row>
    <row r="62" spans="1:15">
      <c r="L62" s="115"/>
      <c r="M62" s="317"/>
      <c r="N62" s="161"/>
      <c r="O62" s="161"/>
    </row>
    <row r="63" spans="1:15">
      <c r="L63" s="115"/>
      <c r="M63" s="317"/>
      <c r="N63" s="161"/>
      <c r="O63" s="161"/>
    </row>
    <row r="64" spans="1:15">
      <c r="L64" s="115"/>
      <c r="M64" s="317"/>
      <c r="N64" s="161"/>
      <c r="O64" s="161"/>
    </row>
    <row r="65" spans="12:15">
      <c r="O65" s="161"/>
    </row>
    <row r="66" spans="12:15">
      <c r="L66" s="91"/>
      <c r="M66" s="315"/>
      <c r="N66" s="316"/>
      <c r="O66" s="161"/>
    </row>
    <row r="67" spans="12:15">
      <c r="L67" s="3"/>
      <c r="M67" s="141"/>
      <c r="N67" s="156"/>
      <c r="O67" s="161"/>
    </row>
    <row r="70" spans="12:15">
      <c r="L70" s="68" t="s">
        <v>11</v>
      </c>
      <c r="M70" s="68" t="s">
        <v>332</v>
      </c>
      <c r="N70" s="68" t="s">
        <v>333</v>
      </c>
    </row>
    <row r="71" spans="12:15">
      <c r="L71" s="3">
        <f>L62</f>
        <v>0</v>
      </c>
      <c r="M71" s="141">
        <f>J9</f>
        <v>28000000</v>
      </c>
      <c r="N71" s="169">
        <f>N62</f>
        <v>0</v>
      </c>
    </row>
    <row r="72" spans="12:15">
      <c r="L72" s="3">
        <f t="shared" ref="L72:L73" si="9">L63</f>
        <v>0</v>
      </c>
      <c r="M72" s="141">
        <f>J54</f>
        <v>13432500.4026065</v>
      </c>
      <c r="N72" s="169">
        <f t="shared" ref="N72:N73" si="10">N63</f>
        <v>0</v>
      </c>
    </row>
    <row r="73" spans="12:15">
      <c r="L73" s="3">
        <f t="shared" si="9"/>
        <v>0</v>
      </c>
      <c r="M73" s="141">
        <f>J55</f>
        <v>13406167.2978734</v>
      </c>
      <c r="N73" s="169">
        <f t="shared" si="10"/>
        <v>0</v>
      </c>
    </row>
    <row r="74" spans="12:15">
      <c r="L74" s="115"/>
      <c r="M74" s="168"/>
      <c r="N74" s="170"/>
    </row>
    <row r="75" spans="12:15">
      <c r="L75" s="3"/>
      <c r="M75" s="141"/>
      <c r="N75" s="169"/>
    </row>
    <row r="76" spans="12:15">
      <c r="L76" s="3"/>
      <c r="M76" s="141"/>
      <c r="N76" s="156"/>
    </row>
  </sheetData>
  <sortState xmlns:xlrd2="http://schemas.microsoft.com/office/spreadsheetml/2017/richdata2" ref="L62:N67">
    <sortCondition descending="1" ref="N62:N67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4">
    <tabColor theme="5" tint="0.79998168889431442"/>
  </sheetPr>
  <dimension ref="A1:BV96"/>
  <sheetViews>
    <sheetView zoomScale="70" zoomScaleNormal="70" workbookViewId="0">
      <selection activeCell="BN59" sqref="BN59"/>
    </sheetView>
  </sheetViews>
  <sheetFormatPr defaultColWidth="9.08984375" defaultRowHeight="14.5"/>
  <cols>
    <col min="1" max="1" width="6" style="255" bestFit="1" customWidth="1"/>
    <col min="2" max="2" width="12.54296875" bestFit="1" customWidth="1"/>
    <col min="3" max="3" width="17.54296875" bestFit="1" customWidth="1"/>
    <col min="4" max="4" width="16.453125" customWidth="1"/>
    <col min="5" max="5" width="13.54296875" hidden="1" customWidth="1"/>
    <col min="6" max="6" width="11.54296875" hidden="1" customWidth="1"/>
    <col min="7" max="7" width="12.08984375" hidden="1" customWidth="1"/>
    <col min="8" max="8" width="16.453125" customWidth="1"/>
    <col min="9" max="9" width="21.08984375" bestFit="1" customWidth="1"/>
    <col min="10" max="10" width="10.54296875" customWidth="1"/>
    <col min="11" max="11" width="17" bestFit="1" customWidth="1"/>
    <col min="12" max="12" width="14.54296875" customWidth="1"/>
    <col min="13" max="13" width="12.90625" bestFit="1" customWidth="1"/>
    <col min="14" max="14" width="13.90625" bestFit="1" customWidth="1"/>
    <col min="15" max="15" width="12.453125" bestFit="1" customWidth="1"/>
    <col min="16" max="17" width="13.90625" customWidth="1"/>
    <col min="18" max="18" width="15.90625" bestFit="1" customWidth="1"/>
    <col min="19" max="19" width="16.08984375" bestFit="1" customWidth="1"/>
    <col min="20" max="20" width="20.54296875" bestFit="1" customWidth="1"/>
    <col min="21" max="21" width="15.54296875" bestFit="1" customWidth="1"/>
    <col min="22" max="22" width="15.54296875" customWidth="1"/>
    <col min="23" max="23" width="14" hidden="1" customWidth="1"/>
    <col min="24" max="25" width="13.453125" hidden="1" customWidth="1"/>
    <col min="26" max="26" width="18.54296875" customWidth="1"/>
    <col min="27" max="27" width="22.90625" customWidth="1"/>
    <col min="28" max="28" width="15.54296875" bestFit="1" customWidth="1"/>
    <col min="29" max="29" width="16.453125" customWidth="1"/>
    <col min="30" max="30" width="17.08984375" bestFit="1" customWidth="1"/>
    <col min="31" max="31" width="19.453125" customWidth="1"/>
    <col min="32" max="32" width="16.08984375" customWidth="1"/>
    <col min="33" max="35" width="15" customWidth="1"/>
    <col min="36" max="36" width="17" bestFit="1" customWidth="1"/>
    <col min="37" max="37" width="10.453125" bestFit="1" customWidth="1"/>
    <col min="38" max="38" width="11.453125" bestFit="1" customWidth="1"/>
    <col min="39" max="39" width="18.54296875" bestFit="1" customWidth="1"/>
    <col min="40" max="40" width="13.54296875" hidden="1" customWidth="1"/>
    <col min="41" max="41" width="13.90625" bestFit="1" customWidth="1"/>
    <col min="42" max="42" width="15.08984375" customWidth="1"/>
    <col min="43" max="43" width="12" customWidth="1"/>
    <col min="44" max="44" width="14.453125" customWidth="1"/>
    <col min="45" max="45" width="14.90625" customWidth="1"/>
    <col min="46" max="46" width="13.90625" bestFit="1" customWidth="1"/>
    <col min="47" max="47" width="12.54296875" customWidth="1"/>
    <col min="48" max="48" width="21.08984375" bestFit="1" customWidth="1"/>
    <col min="49" max="49" width="14.08984375" style="44" customWidth="1"/>
    <col min="50" max="50" width="56.90625" customWidth="1"/>
    <col min="51" max="52" width="15.54296875" style="4" customWidth="1"/>
    <col min="53" max="53" width="11.54296875" style="4" bestFit="1" customWidth="1"/>
    <col min="54" max="54" width="14.453125" customWidth="1"/>
    <col min="55" max="55" width="20.54296875" customWidth="1"/>
    <col min="56" max="56" width="14.453125" customWidth="1"/>
    <col min="57" max="57" width="12.453125" style="4" bestFit="1" customWidth="1"/>
    <col min="58" max="58" width="18.453125" hidden="1" customWidth="1"/>
    <col min="59" max="59" width="17.08984375" hidden="1" customWidth="1"/>
    <col min="60" max="60" width="12.453125" bestFit="1" customWidth="1"/>
    <col min="61" max="61" width="12.453125" customWidth="1"/>
    <col min="62" max="62" width="15" bestFit="1" customWidth="1"/>
    <col min="63" max="63" width="15.08984375" bestFit="1" customWidth="1"/>
    <col min="64" max="64" width="15.453125" bestFit="1" customWidth="1"/>
    <col min="65" max="65" width="27.90625" customWidth="1"/>
    <col min="66" max="66" width="15.6328125" bestFit="1" customWidth="1"/>
    <col min="67" max="67" width="13" bestFit="1" customWidth="1"/>
    <col min="68" max="70" width="13" customWidth="1"/>
    <col min="71" max="71" width="13" hidden="1" customWidth="1"/>
    <col min="72" max="72" width="13" customWidth="1"/>
    <col min="73" max="73" width="15.08984375" bestFit="1" customWidth="1"/>
    <col min="74" max="74" width="13" customWidth="1"/>
  </cols>
  <sheetData>
    <row r="1" spans="1:74">
      <c r="C1" t="s">
        <v>269</v>
      </c>
    </row>
    <row r="2" spans="1:74">
      <c r="AM2" t="s">
        <v>269</v>
      </c>
      <c r="AW2" s="44" t="s">
        <v>33</v>
      </c>
    </row>
    <row r="3" spans="1:74">
      <c r="C3" s="10" t="s">
        <v>72</v>
      </c>
      <c r="H3" s="10"/>
      <c r="K3" s="10" t="s">
        <v>2</v>
      </c>
      <c r="V3" s="10" t="s">
        <v>73</v>
      </c>
      <c r="AD3" s="10" t="s">
        <v>74</v>
      </c>
      <c r="AE3" s="22" t="s">
        <v>26</v>
      </c>
      <c r="AM3" s="10" t="s">
        <v>293</v>
      </c>
      <c r="AN3" s="10"/>
      <c r="AO3" s="10"/>
      <c r="AR3" s="236"/>
      <c r="BC3" t="s">
        <v>521</v>
      </c>
    </row>
    <row r="4" spans="1:74" ht="50.25" customHeight="1">
      <c r="B4" t="s">
        <v>248</v>
      </c>
      <c r="C4" s="68" t="s">
        <v>11</v>
      </c>
      <c r="D4" s="68" t="s">
        <v>26</v>
      </c>
      <c r="E4" s="68" t="s">
        <v>144</v>
      </c>
      <c r="F4" s="68" t="s">
        <v>41</v>
      </c>
      <c r="G4" s="68" t="s">
        <v>41</v>
      </c>
      <c r="H4" s="68" t="s">
        <v>143</v>
      </c>
      <c r="I4" s="68" t="s">
        <v>20</v>
      </c>
      <c r="K4" s="68" t="s">
        <v>11</v>
      </c>
      <c r="L4" s="68" t="s">
        <v>4</v>
      </c>
      <c r="M4" s="68" t="s">
        <v>336</v>
      </c>
      <c r="N4" s="68" t="s">
        <v>307</v>
      </c>
      <c r="O4" s="68" t="s">
        <v>320</v>
      </c>
      <c r="P4" s="68" t="s">
        <v>337</v>
      </c>
      <c r="Q4" s="68" t="s">
        <v>338</v>
      </c>
      <c r="R4" s="68" t="s">
        <v>292</v>
      </c>
      <c r="S4" s="68" t="s">
        <v>21</v>
      </c>
      <c r="T4" s="68" t="s">
        <v>142</v>
      </c>
      <c r="V4" s="68" t="s">
        <v>11</v>
      </c>
      <c r="W4" s="68" t="s">
        <v>6</v>
      </c>
      <c r="X4" s="68" t="s">
        <v>22</v>
      </c>
      <c r="Y4" s="68" t="s">
        <v>23</v>
      </c>
      <c r="Z4" s="68" t="s">
        <v>24</v>
      </c>
      <c r="AA4" s="68" t="s">
        <v>25</v>
      </c>
      <c r="AD4" s="68" t="s">
        <v>11</v>
      </c>
      <c r="AE4" s="68" t="s">
        <v>99</v>
      </c>
      <c r="AF4" s="68" t="s">
        <v>601</v>
      </c>
      <c r="AG4" s="68" t="s">
        <v>602</v>
      </c>
      <c r="AH4" s="322" t="s">
        <v>599</v>
      </c>
      <c r="AI4" s="322" t="s">
        <v>600</v>
      </c>
      <c r="AJ4" s="68" t="s">
        <v>27</v>
      </c>
      <c r="AM4" s="124" t="s">
        <v>11</v>
      </c>
      <c r="AN4" s="68" t="s">
        <v>28</v>
      </c>
      <c r="AO4" s="124" t="s">
        <v>294</v>
      </c>
      <c r="AP4" s="124" t="s">
        <v>295</v>
      </c>
      <c r="AQ4" s="124" t="s">
        <v>29</v>
      </c>
      <c r="AR4" s="124" t="s">
        <v>326</v>
      </c>
      <c r="AS4" s="124" t="s">
        <v>30</v>
      </c>
      <c r="AT4" s="124" t="s">
        <v>31</v>
      </c>
      <c r="AU4" s="68" t="s">
        <v>32</v>
      </c>
      <c r="AV4" s="124" t="s">
        <v>33</v>
      </c>
      <c r="AW4" s="44" t="s">
        <v>280</v>
      </c>
      <c r="BC4" s="391" t="s">
        <v>11</v>
      </c>
      <c r="BD4" s="391" t="s">
        <v>68</v>
      </c>
      <c r="BE4" s="391" t="s">
        <v>522</v>
      </c>
      <c r="BF4" s="391" t="s">
        <v>41</v>
      </c>
      <c r="BG4" s="391" t="s">
        <v>41</v>
      </c>
      <c r="BH4" s="391" t="s">
        <v>67</v>
      </c>
      <c r="BI4" s="391" t="s">
        <v>41</v>
      </c>
      <c r="BJ4" s="391" t="s">
        <v>20</v>
      </c>
      <c r="BK4" s="126" t="s">
        <v>523</v>
      </c>
      <c r="BL4" s="126" t="s">
        <v>521</v>
      </c>
      <c r="BM4" s="126" t="s">
        <v>524</v>
      </c>
      <c r="BP4" s="351" t="s">
        <v>11</v>
      </c>
      <c r="BQ4" s="351" t="s">
        <v>544</v>
      </c>
      <c r="BR4" s="351" t="s">
        <v>545</v>
      </c>
      <c r="BS4" s="351" t="s">
        <v>41</v>
      </c>
      <c r="BT4" s="351" t="s">
        <v>546</v>
      </c>
      <c r="BU4" s="351" t="s">
        <v>547</v>
      </c>
      <c r="BV4" s="351" t="s">
        <v>548</v>
      </c>
    </row>
    <row r="5" spans="1:74" hidden="1">
      <c r="A5" s="255">
        <v>5381</v>
      </c>
      <c r="B5" t="str">
        <f>IFERROR(VLOOKUP(A5,CAPA!$C$12:$C$32,1,FALSE),"NO SELECT")</f>
        <v>NO SELECT</v>
      </c>
      <c r="C5" s="91" t="s">
        <v>147</v>
      </c>
      <c r="D5" s="137">
        <f>SUMIFS(Banco[valor],Banco[IdAgente],A5,Banco[idDet1],50,Banco[id_subgrupo],99,Banco[id_posto],9,Banco[id_unidade],2)</f>
        <v>0</v>
      </c>
      <c r="E5" s="137">
        <f>SUMIFS(Banco[valor],Banco[IdAgente],A5,Banco[idDet1],50,Banco[idDet2],51,Banco[id_subgrupo],99,Banco[id_posto],9,Banco[id_unidade],2)</f>
        <v>0</v>
      </c>
      <c r="F5" s="137">
        <f>SUMIFS(Banco[valor],Banco[IdAgente],A5,Banco[idDet1],50,Banco[idDet2],53,Banco[id_subgrupo],99,Banco[id_posto],9,Banco[id_unidade],2)</f>
        <v>0</v>
      </c>
      <c r="G5" s="137">
        <f>SUMIFS(Banco[valor],Banco[IdAgente],A5,Banco[idDet1],50,Banco[idDet2],53,Banco[id_subgrupo],99,Banco[id_posto],9,Banco[id_unidade],2)</f>
        <v>0</v>
      </c>
      <c r="H5" s="257">
        <f>D5+E5+F5</f>
        <v>0</v>
      </c>
      <c r="I5" s="259">
        <f>SUMIFS(Banco[valor],Banco[IdAgente],A5,Banco[id_natureza_dado],4,Banco[id_detalhe_natureza],1,Banco[idDet1],52,Banco[idDet2],106,Banco[id_subgrupo],99,Banco[id_posto],9,Banco[id_unidade],3)</f>
        <v>0</v>
      </c>
      <c r="J5" s="16"/>
      <c r="K5" s="91" t="str">
        <f t="shared" ref="K5:K36" si="0">C5</f>
        <v>Cedrap</v>
      </c>
      <c r="L5" s="261">
        <f>SUMIFS(Banco[valor],Banco[IdAgente],A5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5" s="261">
        <f>SUMIFS(Banco[valor],Banco[IdAgente],A5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5" s="85">
        <f>SUMIFS(Banco[valor],Banco[IdAgente],A5,Banco[id_natureza_dado],2,Banco[id_detalhe_natureza],1,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5" s="85">
        <f>SUMIFS(Banco[valor],Banco[IdAgente],A5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5" s="85">
        <f>SUMIFS(Banco[valor],Banco[IdAgente],A5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5" s="261">
        <f>SUMIFS(Banco[valor],Banco[IdAgente],A5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5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5" s="261">
        <f>SUMIFS(Banco[valor],Banco[IdAgente],A5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5" s="261">
        <f>SUMIFS(Banco[valor],Banco[IdAgente],A5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5" s="263">
        <f>SUMIFS(Banco[valor],Banco[IdAgente],A5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5" s="157">
        <f t="shared" ref="U5:U56" si="1">SUM(L5:S5)</f>
        <v>0</v>
      </c>
      <c r="V5" s="91" t="str">
        <f t="shared" ref="V5:V36" si="2">C5</f>
        <v>Cedrap</v>
      </c>
      <c r="W5" s="261">
        <f>SUMIFS(Banco[valor],Banco[IdAgente],A5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5" s="261">
        <f>SUMIFS(Banco[valor],Banco[IdAgente],A5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5" s="261">
        <f>SUMIFS(Banco[valor],Banco[IdAgente],A5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5" s="261">
        <f>SUMIFS(Banco[valor],Banco[IdAgente],A5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5" s="93">
        <f t="shared" ref="AA5:AA39" si="3">SUM(W5:Z5)</f>
        <v>0</v>
      </c>
      <c r="AD5" s="91" t="s">
        <v>147</v>
      </c>
      <c r="AE5" s="92">
        <f>SUMIFS(Banco[valor],Banco[IdAgente],A5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5" s="138" t="e">
        <f>AG5/(AE5+AG5)</f>
        <v>#DIV/0!</v>
      </c>
      <c r="AG5" s="92">
        <f>SUMIFS(Banco[valor],Banco[IdAgente],A5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5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5" s="92">
        <f>SUMIFS(Banco[valor],Banco[IdAgente],A5,Banco[id_natureza_dado],1,Banco[id_detalhe_natureza],1,Banco[idDet1],51,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5" s="92">
        <f>SUMIFS(Banco[valor],Banco[IdAgente],A5,Banco[id_natureza_dado],1,Banco[id_detalhe_natureza],1,Banco[idDet1],51,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5" s="86">
        <f t="shared" ref="AJ5" si="4">AE5+AG5</f>
        <v>0</v>
      </c>
      <c r="AM5" s="265" t="s">
        <v>147</v>
      </c>
      <c r="AN5" s="266">
        <f>SUMIFS(Banco[valor],Banco[IdAgente],A5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5" s="413">
        <f>SUMIFS(Banco[valor],Banco[IdAgente],A5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5" s="413">
        <f>SUMIFS(Banco[valor],Banco[IdAgente],A5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5" s="414">
        <f>SUMIFS(Banco[valor],Banco[IdAgente],A5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5" s="414">
        <f>SUMIFS(Banco[valor],Banco[IdAgente],A5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5" s="414">
        <f>SUMIFS(Banco[valor],Banco[IdAgente],A5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5" s="414">
        <f>SUMIFS(Banco[valor],Banco[IdAgente],A5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5" s="414">
        <f>SUMIFS(Banco[valor],Banco[IdAgente],A5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5" s="139">
        <f>AT5*AU5</f>
        <v>0</v>
      </c>
      <c r="AW5" s="329"/>
      <c r="AX5" s="157">
        <f>AJ5-AT5</f>
        <v>0</v>
      </c>
      <c r="BB5" s="96"/>
      <c r="BC5" s="392" t="s">
        <v>147</v>
      </c>
      <c r="BD5" s="393">
        <f>T5</f>
        <v>0</v>
      </c>
      <c r="BE5" s="393">
        <f>AA5</f>
        <v>0</v>
      </c>
      <c r="BF5" s="393">
        <f>SUMIFS(Banco[valor],Banco[IdAgente],BA5,Banco[idDet1],50,Banco[idDet2],53,Banco[id_subgrupo],99,Banco[id_posto],9,Banco[id_unidade],2)</f>
        <v>0</v>
      </c>
      <c r="BG5" s="393">
        <f>SUMIFS(Banco[valor],Banco[IdAgente],BA5,Banco[idDet1],50,Banco[idDet2],53,Banco[id_subgrupo],99,Banco[id_posto],9,Banco[id_unidade],2)</f>
        <v>0</v>
      </c>
      <c r="BH5" s="393">
        <f>erro[[#This Row],[Despesa (R$)]]</f>
        <v>0</v>
      </c>
      <c r="BI5" s="393">
        <f>'Parcela B'!J6</f>
        <v>0</v>
      </c>
      <c r="BJ5" s="394">
        <f>SUM(BD5:BI5)</f>
        <v>0</v>
      </c>
      <c r="BK5" s="395">
        <f>SUM(Apoio_Efeito!V4:BI4)</f>
        <v>0</v>
      </c>
      <c r="BL5" s="396">
        <f>BJ5+BK5</f>
        <v>0</v>
      </c>
      <c r="BP5" s="352" t="s">
        <v>147</v>
      </c>
      <c r="BQ5" s="353">
        <f>SUMIFS(Banco[valor],Banco[IdAgente],A5,Banco[idDet1],50,Banco[id_subgrupo],99,Banco[id_posto],9,Banco[id_unidade],2)</f>
        <v>0</v>
      </c>
      <c r="BR5" s="353">
        <f>SUMIFS(Banco[valor],Banco[IdAgente],A5,Banco[idDet1],50,Banco[idDet2],52,Banco[idDet3],11,Banco[id_subgrupo],99,Banco[id_posto],9,Banco[id_unidade],2)</f>
        <v>0</v>
      </c>
      <c r="BS5" s="353">
        <f>SUMIFS(Banco[valor],Banco[IdAgente],A5,Banco[idDet1],50,Banco[idDet2],53,Banco[id_subgrupo],99,Banco[id_posto],9,Banco[id_unidade],2)</f>
        <v>0</v>
      </c>
      <c r="BT5" s="353">
        <f t="shared" ref="BT5:BT36" si="5">BQ5+BS5</f>
        <v>0</v>
      </c>
      <c r="BU5" s="354">
        <f>SUMIFS(Banco[valor],Banco[IdAgente],A5,Banco[id_natureza_dado],4,Banco[id_detalhe_natureza],1,Banco[idDet1],52,Banco[idDet2],106,Banco[id_subgrupo],99,Banco[id_posto],9,Banco[id_unidade],3)</f>
        <v>0</v>
      </c>
      <c r="BV5" s="353">
        <f>SUMIFS(Banco[valor],Banco[IdAgente],A5,Banco[idDet1],205,Banco[idDet2],350,Banco[idDet3],201,Banco[id_subgrupo],99,Banco[id_posto],9,Banco[id_unidade],99)</f>
        <v>0</v>
      </c>
    </row>
    <row r="6" spans="1:74" hidden="1">
      <c r="A6" s="255">
        <v>5366</v>
      </c>
      <c r="B6" t="str">
        <f>IFERROR(VLOOKUP(A6,CAPA!$C$12:$C$32,1,FALSE),"NO SELECT")</f>
        <v>NO SELECT</v>
      </c>
      <c r="C6" s="3" t="s">
        <v>51</v>
      </c>
      <c r="D6" s="137">
        <f>SUMIFS(Banco[valor],Banco[IdAgente],A6,Banco[idDet1],50,Banco[id_subgrupo],99,Banco[id_posto],9,Banco[id_unidade],2)</f>
        <v>0</v>
      </c>
      <c r="E6" s="137">
        <f>SUMIFS(Banco[valor],Banco[IdAgente],A6,Banco[idDet1],50,Banco[idDet2],51,Banco[id_subgrupo],99,Banco[id_posto],9,Banco[id_unidade],2)</f>
        <v>0</v>
      </c>
      <c r="F6" s="137">
        <f>SUMIFS(Banco[valor],Banco[IdAgente],A6,Banco[idDet1],50,Banco[idDet2],53,Banco[id_subgrupo],99,Banco[id_posto],9,Banco[id_unidade],2)</f>
        <v>0</v>
      </c>
      <c r="G6" s="137">
        <f>SUMIFS(Banco[valor],Banco[IdAgente],A6,Banco[idDet1],50,Banco[idDet2],53,Banco[id_subgrupo],99,Banco[id_posto],9,Banco[id_unidade],2)</f>
        <v>0</v>
      </c>
      <c r="H6" s="137">
        <f t="shared" ref="H6:H56" si="6">D6+E6+F6</f>
        <v>0</v>
      </c>
      <c r="I6" s="93">
        <f>SUMIFS(Banco[valor],Banco[IdAgente],A6,Banco[id_natureza_dado],4,Banco[id_detalhe_natureza],1,Banco[idDet1],52,Banco[idDet2],106,Banco[id_subgrupo],99,Banco[id_posto],9,Banco[id_unidade],3)</f>
        <v>0</v>
      </c>
      <c r="J6" s="16"/>
      <c r="K6" s="3" t="str">
        <f t="shared" si="0"/>
        <v>Cedri</v>
      </c>
      <c r="L6" s="92">
        <f>SUMIFS(Banco[valor],Banco[IdAgente],A6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6" s="92">
        <f>SUMIFS(Banco[valor],Banco[IdAgente],A6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6" s="85">
        <f>SUMIFS(Banco[valor],Banco[IdAgente],A6,Banco[id_natureza_dado],2,Banco[id_detalhe_natureza],1,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6" s="85">
        <f>SUMIFS(Banco[valor],Banco[IdAgente],A6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6" s="85">
        <f>SUMIFS(Banco[valor],Banco[IdAgente],A6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6" s="85">
        <f>SUMIFS(Banco[valor],Banco[IdAgente],A6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6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6" s="92">
        <f>SUMIFS(Banco[valor],Banco[IdAgente],A6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6" s="92">
        <f>SUMIFS(Banco[valor],Banco[IdAgente],A6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6" s="190">
        <f>SUMIFS(Banco[valor],Banco[IdAgente],A6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6" s="157">
        <f t="shared" si="1"/>
        <v>0</v>
      </c>
      <c r="V6" s="3" t="str">
        <f t="shared" si="2"/>
        <v>Cedri</v>
      </c>
      <c r="W6" s="92">
        <f>SUMIFS(Banco[valor],Banco[IdAgente],A6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6" s="92">
        <f>SUMIFS(Banco[valor],Banco[IdAgente],A6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6" s="85">
        <f>SUMIFS(Banco[valor],Banco[IdAgente],A6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6" s="92">
        <f>SUMIFS(Banco[valor],Banco[IdAgente],A6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6" s="86">
        <f t="shared" si="3"/>
        <v>0</v>
      </c>
      <c r="AC6" s="158"/>
      <c r="AD6" s="3" t="s">
        <v>51</v>
      </c>
      <c r="AE6" s="92">
        <f>SUMIFS(Banco[valor],Banco[IdAgente],A6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6" s="138" t="e">
        <f>AG6/(AE6+AG6)</f>
        <v>#DIV/0!</v>
      </c>
      <c r="AG6" s="92">
        <f>SUMIFS(Banco[valor],Banco[IdAgente],A6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6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6" s="92">
        <f>SUMIFS(Banco[valor],Banco[IdAgente],A6,Banco[id_natureza_dado],1,Banco[id_detalhe_natureza],1,Banco[idDet1],51,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6" s="92">
        <f>SUMIFS(Banco[valor],Banco[IdAgente],A6,Banco[id_natureza_dado],1,Banco[id_detalhe_natureza],1,Banco[idDet1],51,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6" s="86">
        <f>AE6+AG6+AH6+AI6</f>
        <v>0</v>
      </c>
      <c r="AL6" s="158"/>
      <c r="AM6" s="122" t="s">
        <v>51</v>
      </c>
      <c r="AN6" s="264">
        <f>SUMIFS(Banco[valor],Banco[IdAgente],A6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6" s="330">
        <f>SUMIFS(Banco[valor],Banco[IdAgente],A6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6" s="330">
        <f>SUMIFS(Banco[valor],Banco[IdAgente],A6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6" s="331">
        <f>SUMIFS(Banco[valor],Banco[IdAgente],A6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6" s="331">
        <f>SUMIFS(Banco[valor],Banco[IdAgente],A6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6" s="331">
        <f>SUMIFS(Banco[valor],Banco[IdAgente],A6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6" s="332">
        <f>SUMIFS(Banco[valor],Banco[IdAgente],A6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6" s="331">
        <f>SUMIFS(Banco[valor],Banco[IdAgente],A6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6" s="123">
        <f>AT6*AU6</f>
        <v>0</v>
      </c>
      <c r="AW6" s="329"/>
      <c r="AX6" s="157">
        <f t="shared" ref="AX6:AX9" si="7">AJ6-AT6</f>
        <v>0</v>
      </c>
      <c r="BC6" s="397" t="s">
        <v>51</v>
      </c>
      <c r="BD6" s="398">
        <f t="shared" ref="BD6:BD56" si="8">T6</f>
        <v>0</v>
      </c>
      <c r="BE6" s="398">
        <f t="shared" ref="BE6:BE56" si="9">AA6</f>
        <v>0</v>
      </c>
      <c r="BF6" s="398">
        <f>SUMIFS(Banco[valor],Banco[IdAgente],BA6,Banco[idDet1],50,Banco[idDet2],53,Banco[id_subgrupo],99,Banco[id_posto],9,Banco[id_unidade],2)</f>
        <v>0</v>
      </c>
      <c r="BG6" s="398">
        <f>SUMIFS(Banco[valor],Banco[IdAgente],BA6,Banco[idDet1],50,Banco[idDet2],53,Banco[id_subgrupo],99,Banco[id_posto],9,Banco[id_unidade],2)</f>
        <v>0</v>
      </c>
      <c r="BH6" s="398">
        <f>erro[[#This Row],[Despesa (R$)]]</f>
        <v>0</v>
      </c>
      <c r="BI6" s="398">
        <f>'Parcela B'!J7</f>
        <v>0</v>
      </c>
      <c r="BJ6" s="399">
        <f t="shared" ref="BJ6:BJ56" si="10">SUM(BD6:BI6)</f>
        <v>0</v>
      </c>
      <c r="BK6" s="400">
        <f>SUM(Apoio_Efeito!V5:BI5)</f>
        <v>0</v>
      </c>
      <c r="BL6" s="401">
        <f t="shared" ref="BL6:BL56" si="11">BJ6+BK6</f>
        <v>0</v>
      </c>
      <c r="BP6" s="355" t="s">
        <v>51</v>
      </c>
      <c r="BQ6" s="353">
        <f>SUMIFS(Banco[valor],Banco[IdAgente],A6,Banco[idDet1],50,Banco[id_subgrupo],99,Banco[id_posto],9,Banco[id_unidade],2)</f>
        <v>0</v>
      </c>
      <c r="BR6" s="353">
        <f>SUMIFS(Banco[valor],Banco[IdAgente],A6,Banco[idDet1],50,Banco[idDet2],52,Banco[idDet3],11,Banco[id_subgrupo],99,Banco[id_posto],9,Banco[id_unidade],2)</f>
        <v>0</v>
      </c>
      <c r="BS6" s="353">
        <f>SUMIFS(Banco[valor],Banco[IdAgente],A6,Banco[idDet1],50,Banco[idDet2],53,Banco[id_subgrupo],99,Banco[id_posto],9,Banco[id_unidade],2)</f>
        <v>0</v>
      </c>
      <c r="BT6" s="353">
        <f t="shared" si="5"/>
        <v>0</v>
      </c>
      <c r="BU6" s="354">
        <f>SUMIFS(Banco[valor],Banco[IdAgente],A6,Banco[id_natureza_dado],4,Banco[id_detalhe_natureza],1,Banco[idDet1],52,Banco[idDet2],106,Banco[id_subgrupo],99,Banco[id_posto],9,Banco[id_unidade],3)</f>
        <v>0</v>
      </c>
      <c r="BV6" s="353">
        <f>SUMIFS(Banco[valor],Banco[IdAgente],A6,Banco[idDet1],205,Banco[idDet2],350,Banco[idDet3],201,Banco[id_subgrupo],99,Banco[id_posto],9,Banco[id_unidade],99)</f>
        <v>0</v>
      </c>
    </row>
    <row r="7" spans="1:74" hidden="1">
      <c r="A7" s="255">
        <v>5372</v>
      </c>
      <c r="B7" t="str">
        <f>IFERROR(VLOOKUP(A7,CAPA!$C$12:$C$32,1,FALSE),"NO SELECT")</f>
        <v>NO SELECT</v>
      </c>
      <c r="C7" s="3" t="s">
        <v>65</v>
      </c>
      <c r="D7" s="137">
        <f>SUMIFS(Banco[valor],Banco[IdAgente],A7,Banco[idDet1],50,Banco[id_subgrupo],99,Banco[id_posto],9,Banco[id_unidade],2)</f>
        <v>0</v>
      </c>
      <c r="E7" s="137">
        <f>SUMIFS(Banco[valor],Banco[IdAgente],A7,Banco[idDet1],50,Banco[idDet2],51,Banco[id_subgrupo],99,Banco[id_posto],9,Banco[id_unidade],2)</f>
        <v>0</v>
      </c>
      <c r="F7" s="137">
        <f>SUMIFS(Banco[valor],Banco[IdAgente],A7,Banco[idDet1],50,Banco[idDet2],53,Banco[id_subgrupo],99,Banco[id_posto],9,Banco[id_unidade],2)</f>
        <v>0</v>
      </c>
      <c r="G7" s="137">
        <f>SUMIFS(Banco[valor],Banco[IdAgente],A7,Banco[idDet1],50,Banco[idDet2],53,Banco[id_subgrupo],99,Banco[id_posto],9,Banco[id_unidade],2)</f>
        <v>0</v>
      </c>
      <c r="H7" s="137">
        <f t="shared" si="6"/>
        <v>0</v>
      </c>
      <c r="I7" s="93">
        <f>SUMIFS(Banco[valor],Banco[IdAgente],A7,Banco[id_natureza_dado],4,Banco[id_detalhe_natureza],1,Banco[idDet1],52,Banco[idDet2],106,Banco[id_subgrupo],99,Banco[id_posto],9,Banco[id_unidade],3)</f>
        <v>0</v>
      </c>
      <c r="J7" s="16"/>
      <c r="K7" s="3" t="str">
        <f t="shared" si="0"/>
        <v>Cejama</v>
      </c>
      <c r="L7" s="92">
        <f>SUMIFS(Banco[valor],Banco[IdAgente],A7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7" s="92">
        <f>SUMIFS(Banco[valor],Banco[IdAgente],A7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7" s="85">
        <f>SUMIFS(Banco[valor],Banco[IdAgente],A7,Banco[id_natureza_dado],2,Banco[id_detalhe_natureza],1,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7" s="85">
        <f>SUMIFS(Banco[valor],Banco[IdAgente],A7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7" s="85">
        <f>SUMIFS(Banco[valor],Banco[IdAgente],A7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7" s="85">
        <f>SUMIFS(Banco[valor],Banco[IdAgente],A7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7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7" s="92">
        <f>SUMIFS(Banco[valor],Banco[IdAgente],A7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7" s="92">
        <f>SUMIFS(Banco[valor],Banco[IdAgente],A7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7" s="190">
        <f>SUMIFS(Banco[valor],Banco[IdAgente],A7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7" s="157">
        <f t="shared" si="1"/>
        <v>0</v>
      </c>
      <c r="V7" s="3" t="str">
        <f t="shared" si="2"/>
        <v>Cejama</v>
      </c>
      <c r="W7" s="92">
        <f>SUMIFS(Banco[valor],Banco[IdAgente],A7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7" s="92">
        <f>SUMIFS(Banco[valor],Banco[IdAgente],A7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7" s="85">
        <f>SUMIFS(Banco[valor],Banco[IdAgente],A7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7" s="92">
        <f>SUMIFS(Banco[valor],Banco[IdAgente],A7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7" s="86">
        <f t="shared" si="3"/>
        <v>0</v>
      </c>
      <c r="AC7" s="158"/>
      <c r="AD7" s="3" t="s">
        <v>65</v>
      </c>
      <c r="AE7" s="92">
        <f>SUMIFS(Banco[valor],Banco[IdAgente],A7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7" s="138" t="e">
        <f t="shared" ref="AF7:AF56" si="12">AG7/(AE7+AG7)</f>
        <v>#DIV/0!</v>
      </c>
      <c r="AG7" s="92">
        <f>SUMIFS(Banco[valor],Banco[IdAgente],A7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7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7" s="92">
        <f>SUMIFS(Banco[valor],Banco[IdAgente],A7,Banco[id_natureza_dado],1,Banco[id_detalhe_natureza],1,Banco[idDet1],51,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7" s="92">
        <f>SUMIFS(Banco[valor],Banco[IdAgente],A7,Banco[id_natureza_dado],1,Banco[id_detalhe_natureza],1,Banco[idDet1],51,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7" s="86">
        <f>AE7+AG7+AH7+AI7</f>
        <v>0</v>
      </c>
      <c r="AL7" s="158"/>
      <c r="AM7" s="122" t="s">
        <v>65</v>
      </c>
      <c r="AN7" s="264">
        <f>SUMIFS(Banco[valor],Banco[IdAgente],A7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7" s="330">
        <f>SUMIFS(Banco[valor],Banco[IdAgente],A7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7" s="330">
        <f>SUMIFS(Banco[valor],Banco[IdAgente],A7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7" s="331">
        <f>SUMIFS(Banco[valor],Banco[IdAgente],A7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7" s="331">
        <f>SUMIFS(Banco[valor],Banco[IdAgente],A7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7" s="331">
        <f>SUMIFS(Banco[valor],Banco[IdAgente],A7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7" s="332">
        <f>SUMIFS(Banco[valor],Banco[IdAgente],A7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7" s="331">
        <f>SUMIFS(Banco[valor],Banco[IdAgente],A7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7" s="123">
        <f t="shared" ref="AV7:AV36" si="13">AT7*AU7</f>
        <v>0</v>
      </c>
      <c r="AW7" s="329"/>
      <c r="AX7" s="157">
        <f t="shared" si="7"/>
        <v>0</v>
      </c>
      <c r="BC7" s="397" t="s">
        <v>65</v>
      </c>
      <c r="BD7" s="398">
        <f t="shared" si="8"/>
        <v>0</v>
      </c>
      <c r="BE7" s="398">
        <f t="shared" si="9"/>
        <v>0</v>
      </c>
      <c r="BF7" s="398">
        <f>SUMIFS(Banco[valor],Banco[IdAgente],BA7,Banco[idDet1],50,Banco[idDet2],53,Banco[id_subgrupo],99,Banco[id_posto],9,Banco[id_unidade],2)</f>
        <v>0</v>
      </c>
      <c r="BG7" s="398">
        <f>SUMIFS(Banco[valor],Banco[IdAgente],BA7,Banco[idDet1],50,Banco[idDet2],53,Banco[id_subgrupo],99,Banco[id_posto],9,Banco[id_unidade],2)</f>
        <v>0</v>
      </c>
      <c r="BH7" s="398">
        <f>erro[[#This Row],[Despesa (R$)]]</f>
        <v>0</v>
      </c>
      <c r="BI7" s="398">
        <f>'Parcela B'!J8</f>
        <v>0</v>
      </c>
      <c r="BJ7" s="399">
        <f t="shared" si="10"/>
        <v>0</v>
      </c>
      <c r="BK7" s="400">
        <f>SUM(Apoio_Efeito!V6:BI6)</f>
        <v>0</v>
      </c>
      <c r="BL7" s="401">
        <f t="shared" si="11"/>
        <v>0</v>
      </c>
      <c r="BP7" s="355" t="s">
        <v>65</v>
      </c>
      <c r="BQ7" s="353">
        <f>SUMIFS(Banco[valor],Banco[IdAgente],A7,Banco[idDet1],50,Banco[id_subgrupo],99,Banco[id_posto],9,Banco[id_unidade],2)</f>
        <v>0</v>
      </c>
      <c r="BR7" s="353">
        <f>SUMIFS(Banco[valor],Banco[IdAgente],A7,Banco[idDet1],50,Banco[idDet2],52,Banco[idDet3],11,Banco[id_subgrupo],99,Banco[id_posto],9,Banco[id_unidade],2)</f>
        <v>0</v>
      </c>
      <c r="BS7" s="353">
        <f>SUMIFS(Banco[valor],Banco[IdAgente],A7,Banco[idDet1],50,Banco[idDet2],53,Banco[id_subgrupo],99,Banco[id_posto],9,Banco[id_unidade],2)</f>
        <v>0</v>
      </c>
      <c r="BT7" s="353">
        <f t="shared" si="5"/>
        <v>0</v>
      </c>
      <c r="BU7" s="354">
        <f>SUMIFS(Banco[valor],Banco[IdAgente],A7,Banco[id_natureza_dado],4,Banco[id_detalhe_natureza],1,Banco[idDet1],52,Banco[idDet2],106,Banco[id_subgrupo],99,Banco[id_posto],9,Banco[id_unidade],3)</f>
        <v>0</v>
      </c>
      <c r="BV7" s="353">
        <f>SUMIFS(Banco[valor],Banco[IdAgente],A7,Banco[idDet1],205,Banco[idDet2],350,Banco[idDet3],201,Banco[id_subgrupo],99,Banco[id_posto],9,Banco[id_unidade],99)</f>
        <v>0</v>
      </c>
    </row>
    <row r="8" spans="1:74">
      <c r="A8" s="255">
        <v>5367</v>
      </c>
      <c r="B8">
        <f>IFERROR(VLOOKUP(A8,CAPA!$C$12:$C$32,1,FALSE),"NO SELECT")</f>
        <v>5367</v>
      </c>
      <c r="C8" s="3" t="s">
        <v>150</v>
      </c>
      <c r="D8" s="137">
        <f>SUMIFS(Banco[valor],Banco[IdAgente],A8,Banco[idDet1],50,Banco[id_subgrupo],99,Banco[id_posto],9,Banco[id_unidade],2)</f>
        <v>64547.196000000004</v>
      </c>
      <c r="E8" s="137">
        <f>SUMIFS(Banco[valor],Banco[IdAgente],A8,Banco[idDet1],50,Banco[idDet2],51,Banco[id_subgrupo],99,Banco[id_posto],9,Banco[id_unidade],2)</f>
        <v>0</v>
      </c>
      <c r="F8" s="137">
        <f>SUMIFS(Banco[valor],Banco[IdAgente],A8,Banco[idDet1],50,Banco[idDet2],53,Banco[id_subgrupo],99,Banco[id_posto],9,Banco[id_unidade],2)</f>
        <v>0</v>
      </c>
      <c r="G8" s="137">
        <f>SUMIFS(Banco[valor],Banco[IdAgente],A8,Banco[idDet1],50,Banco[idDet2],53,Banco[id_subgrupo],99,Banco[id_posto],9,Banco[id_unidade],2)</f>
        <v>0</v>
      </c>
      <c r="H8" s="137">
        <f t="shared" si="6"/>
        <v>64547.196000000004</v>
      </c>
      <c r="I8" s="93">
        <f>SUMIFS(Banco[valor],Banco[IdAgente],A8,Banco[id_natureza_dado],4,Banco[id_detalhe_natureza],1,Banco[idDet1],52,Banco[idDet2],106,Banco[id_subgrupo],99,Banco[id_posto],9,Banco[id_unidade],3)</f>
        <v>57253163.039799899</v>
      </c>
      <c r="J8" s="16"/>
      <c r="K8" s="3" t="str">
        <f t="shared" si="0"/>
        <v>Ceprag</v>
      </c>
      <c r="L8" s="92">
        <f>SUMIFS(Banco[valor],Banco[IdAgente],A8,Banco[id_natureza_dado],2,Banco[id_detalhe_natureza],1,Banco[idDet1],51,Banco[idDet2],999999,Banco[idDet3],999,Banco[id_grupo_tarifa],3,Banco[id_detalhe_grupo_tarifa],14,Banco[id_tipo_tarifa],1,Banco[id_subgrupo],99,Banco[id_posto],9,Banco[id_unidade],3)</f>
        <v>110021.877859115</v>
      </c>
      <c r="M8" s="92">
        <f>SUMIFS(Banco[valor],Banco[IdAgente],A8,Banco[id_natureza_dado],2,Banco[id_detalhe_natureza],1,Banco[idDet1],51,Banco[idDet2],999999,Banco[idDet3],999,Banco[id_grupo_tarifa],3,Banco[id_detalhe_grupo_tarifa],15,Banco[id_tipo_tarifa],1,Banco[id_subgrupo],99,Banco[id_posto],9,Banco[id_unidade],3)</f>
        <v>5202011.8445100002</v>
      </c>
      <c r="N8" s="85">
        <f>SUMIFS(Banco[valor],Banco[IdAgente],A8,Banco[id_natureza_dado],2,Banco[id_detalhe_natureza],1,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8" s="85">
        <f>SUMIFS(Banco[valor],Banco[IdAgente],A8,Banco[id_natureza_dado],2,Banco[id_detalhe_natureza],1,Banco[idDet1],51,Banco[idDet2],999999,Banco[idDet3],999,Banco[id_grupo_tarifa],3,Banco[id_detalhe_grupo_tarifa],28,Banco[id_tipo_tarifa],2,Banco[id_subgrupo],99,Banco[id_posto],9,Banco[id_unidade],3)</f>
        <v>-102804.124043207</v>
      </c>
      <c r="P8" s="85">
        <f>SUMIFS(Banco[valor],Banco[IdAgente],A8,Banco[id_natureza_dado],2,Banco[id_detalhe_natureza],1,Banco[idDet1],51,Banco[idDet2],999999,Banco[idDet3],999,Banco[id_grupo_tarifa],3,Banco[id_detalhe_grupo_tarifa],29,Banco[id_tipo_tarifa],2,Banco[id_subgrupo],99,Banco[id_posto],9,Banco[id_unidade],3)</f>
        <v>399058.48950999998</v>
      </c>
      <c r="Q8" s="85">
        <f>SUMIFS(Banco[valor],Banco[IdAgente],A8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8,Banco[id_natureza_dado],2,Banco[id_detalhe_natureza],1,Banco[idDet1],51,Banco[idDet2],81,Banco[idDet3],999,Banco[id_grupo_tarifa],3,Banco[id_detalhe_grupo_tarifa],15,Banco[id_tipo_tarifa],1,Banco[id_subgrupo],99,Banco[id_posto],9,Banco[id_unidade],3)</f>
        <v>781587.37920289475</v>
      </c>
      <c r="R8" s="92">
        <f>SUMIFS(Banco[valor],Banco[IdAgente],A8,Banco[id_natureza_dado],2,Banco[id_detalhe_natureza],1,Banco[idDet1],51,Banco[idDet2],999999,Banco[idDet3],999,Banco[id_grupo_tarifa],3,Banco[id_detalhe_grupo_tarifa],17,Banco[id_tipo_tarifa],2,Banco[id_subgrupo],99,Banco[id_posto],9,Banco[id_unidade],3)</f>
        <v>1242481.9441147</v>
      </c>
      <c r="S8" s="92">
        <f>SUMIFS(Banco[valor],Banco[IdAgente],A8,Banco[id_natureza_dado],2,Banco[id_detalhe_natureza],1,Banco[idDet1],51,Banco[idDet2],999999,Banco[idDet3],999,Banco[id_grupo_tarifa],3,Banco[id_detalhe_grupo_tarifa],18,Banco[id_tipo_tarifa],1,Banco[id_subgrupo],99,Banco[id_posto],9,Banco[id_unidade],3)</f>
        <v>744177.82493999903</v>
      </c>
      <c r="T8" s="190">
        <f>SUMIFS(Banco[valor],Banco[IdAgente],A8,Banco[id_natureza_dado],4,Banco[id_detalhe_natureza],1,Banco[idDet1],51,Banco[idDet2],104,Banco[idDet3],999,Banco[id_grupo_tarifa],3,Banco[id_detalhe_grupo_tarifa],999,Banco[id_tipo_tarifa],9,Banco[id_subgrupo],99,Banco[id_posto],9,Banco[id_unidade],3)</f>
        <v>8376535.2360934997</v>
      </c>
      <c r="U8" s="157">
        <f t="shared" si="1"/>
        <v>8376535.2360935016</v>
      </c>
      <c r="V8" s="3" t="str">
        <f t="shared" si="2"/>
        <v>Ceprag</v>
      </c>
      <c r="W8" s="92">
        <f>SUMIFS(Banco[valor],Banco[IdAgente],A8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8" s="92">
        <f>SUMIFS(Banco[valor],Banco[IdAgente],A8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8" s="85">
        <f>SUMIFS(Banco[valor],Banco[IdAgente],A8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8" s="92">
        <f>SUMIFS(Banco[valor],Banco[IdAgente],A8,Banco[id_natureza_dado],2,Banco[id_detalhe_natureza],1,Banco[idDet1],51,Banco[idDet2],999999,Banco[idDet3],999,Banco[id_grupo_tarifa],1,Banco[id_detalhe_grupo_tarifa],7,Banco[id_tipo_tarifa],1,Banco[id_subgrupo],99,Banco[id_posto],9,Banco[id_unidade],3)</f>
        <v>7462030.3475799998</v>
      </c>
      <c r="AA8" s="86">
        <f t="shared" si="3"/>
        <v>7462030.3475799998</v>
      </c>
      <c r="AC8" s="158"/>
      <c r="AD8" s="3" t="s">
        <v>150</v>
      </c>
      <c r="AE8" s="92">
        <f>SUMIFS(Banco[valor],Banco[IdAgente],A8,Banco[id_natureza_dado],1,Banco[id_detalhe_natureza],1,Banco[idDet1],51,Banco[idDet2],999999,Banco[idDet3],999,Banco[id_grupo_tarifa],2,Banco[id_detalhe_grupo_tarifa],11,Banco[id_tipo_tarifa],2,Banco[id_subgrupo],99,Banco[id_posto],9,Banco[id_unidade],2)</f>
        <v>61260.214999999997</v>
      </c>
      <c r="AF8" s="138">
        <f t="shared" si="12"/>
        <v>0.14054433457378801</v>
      </c>
      <c r="AG8" s="92">
        <f>SUMIFS(Banco[valor],Banco[IdAgente],A8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8,Banco[id_natureza_dado],1,Banco[id_detalhe_natureza],1,Banco[idDet1],51,Banco[idDet2],999999,Banco[idDet3],999,Banco[id_grupo_tarifa],2,Banco[id_detalhe_grupo_tarifa],9,Banco[id_tipo_tarifa],9,Banco[id_subgrupo],99,Banco[id_posto],9,Banco[id_unidade],2)</f>
        <v>10017.7083</v>
      </c>
      <c r="AH8" s="92">
        <f>SUMIFS(Banco[valor],Banco[IdAgente],A8,Banco[id_natureza_dado],1,Banco[id_detalhe_natureza],1,Banco[idDet1],51,
Banco[idDet2],999999,
Banco[idDet3],999,
Banco[id_grupo_tarifa],2,Banco[id_detalhe_grupo_tarifa],10,Banco[id_tipo_tarifa],9,Banco[id_subgrupo],99,
Banco[id_posto],9,
Banco[id_unidade],2)</f>
        <v>257.290943478136</v>
      </c>
      <c r="AI8" s="92">
        <f>SUMIFS(Banco[valor],Banco[IdAgente],A8,Banco[id_natureza_dado],1,Banco[id_detalhe_natureza],1,Banco[idDet1],51,
Banco[idDet2],999999,
Banco[idDet3],999,
Banco[id_grupo_tarifa],2,Banco[id_detalhe_grupo_tarifa],24,Banco[id_tipo_tarifa],9,Banco[id_subgrupo],99,
Banco[id_posto],9,
Banco[id_unidade],2)</f>
        <v>1573.3836565218601</v>
      </c>
      <c r="AJ8" s="86">
        <f t="shared" ref="AJ8:AJ56" si="14">AE8+AG8+AH8+AI8</f>
        <v>73108.597899999993</v>
      </c>
      <c r="AL8" s="158"/>
      <c r="AM8" s="122" t="s">
        <v>150</v>
      </c>
      <c r="AN8" s="264">
        <f>SUMIFS(Banco[valor],Banco[IdAgente],A8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8" s="330">
        <f>SUMIFS(Banco[valor],Banco[IdAgente],A8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2447.7233152507201</v>
      </c>
      <c r="AP8" s="330">
        <f>SUMIFS(Banco[valor],Banco[IdAgente],A8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11423.951178941799</v>
      </c>
      <c r="AQ8" s="331">
        <f>SUMIFS(Banco[valor],Banco[IdAgente],A8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1234.8076370455899</v>
      </c>
      <c r="AR8" s="331">
        <f>SUMIFS(Banco[valor],Banco[IdAgente],A8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8" s="331">
        <f>SUMIFS(Banco[valor],Banco[IdAgente],A8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8" s="332">
        <f>SUMIFS(Banco[valor],Banco[IdAgente],A8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73108.597899999906</v>
      </c>
      <c r="AU8" s="331">
        <f>SUMIFS(Banco[valor],Banco[IdAgente],A8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166.418280847039</v>
      </c>
      <c r="AV8" s="123">
        <f>AT8*AU8</f>
        <v>12166607.177655431</v>
      </c>
      <c r="AW8" s="329"/>
      <c r="AX8" s="157">
        <f t="shared" si="7"/>
        <v>0</v>
      </c>
      <c r="BC8" s="397" t="s">
        <v>150</v>
      </c>
      <c r="BD8" s="398">
        <f t="shared" si="8"/>
        <v>8376535.2360934997</v>
      </c>
      <c r="BE8" s="398">
        <f t="shared" si="9"/>
        <v>7462030.3475799998</v>
      </c>
      <c r="BF8" s="398">
        <f>SUMIFS(Banco[valor],Banco[IdAgente],BA8,Banco[idDet1],50,Banco[idDet2],53,Banco[id_subgrupo],99,Banco[id_posto],9,Banco[id_unidade],2)</f>
        <v>0</v>
      </c>
      <c r="BG8" s="398">
        <f>SUMIFS(Banco[valor],Banco[IdAgente],BA8,Banco[idDet1],50,Banco[idDet2],53,Banco[id_subgrupo],99,Banco[id_posto],9,Banco[id_unidade],2)</f>
        <v>0</v>
      </c>
      <c r="BH8" s="398">
        <f>erro[[#This Row],[Despesa (R$)]]</f>
        <v>12166607.177655431</v>
      </c>
      <c r="BI8" s="398">
        <f>'Parcela B'!J9</f>
        <v>28000000</v>
      </c>
      <c r="BJ8" s="399">
        <f t="shared" si="10"/>
        <v>56005172.761328928</v>
      </c>
      <c r="BK8" s="400">
        <f>SUM(Apoio_Efeito!V7:BI7)</f>
        <v>-15422849.02886557</v>
      </c>
      <c r="BL8" s="401">
        <f t="shared" si="11"/>
        <v>40582323.73246336</v>
      </c>
      <c r="BP8" s="355" t="s">
        <v>150</v>
      </c>
      <c r="BQ8" s="353">
        <f>SUMIFS(Banco[valor],Banco[IdAgente],A8,Banco[idDet1],50,Banco[id_subgrupo],99,Banco[id_posto],9,Banco[id_unidade],2)</f>
        <v>64547.196000000004</v>
      </c>
      <c r="BR8" s="353">
        <f>SUMIFS(Banco[valor],Banco[IdAgente],A8,Banco[idDet1],50,Banco[idDet2],52,Banco[idDet3],11,Banco[id_subgrupo],99,Banco[id_posto],9,Banco[id_unidade],2)</f>
        <v>0</v>
      </c>
      <c r="BS8" s="353">
        <f>SUMIFS(Banco[valor],Banco[IdAgente],A8,Banco[idDet1],50,Banco[idDet2],53,Banco[id_subgrupo],99,Banco[id_posto],9,Banco[id_unidade],2)</f>
        <v>0</v>
      </c>
      <c r="BT8" s="353">
        <f t="shared" si="5"/>
        <v>64547.196000000004</v>
      </c>
      <c r="BU8" s="354">
        <f>SUMIFS(Banco[valor],Banco[IdAgente],A8,Banco[id_natureza_dado],4,Banco[id_detalhe_natureza],1,Banco[idDet1],52,Banco[idDet2],106,Banco[id_subgrupo],99,Banco[id_posto],9,Banco[id_unidade],3)</f>
        <v>57253163.039799899</v>
      </c>
      <c r="BV8" s="353">
        <f>SUMIFS(Banco[valor],Banco[IdAgente],A8,Banco[idDet1],205,Banco[idDet2],350,Banco[idDet3],201,Banco[id_subgrupo],99,Banco[id_posto],9,Banco[id_unidade],99)</f>
        <v>20475</v>
      </c>
    </row>
    <row r="9" spans="1:74" hidden="1">
      <c r="A9" s="255">
        <v>6897</v>
      </c>
      <c r="B9" t="str">
        <f>IFERROR(VLOOKUP(A9,CAPA!$C$12:$C$32,1,FALSE),"NO SELECT")</f>
        <v>NO SELECT</v>
      </c>
      <c r="C9" s="3" t="s">
        <v>66</v>
      </c>
      <c r="D9" s="137">
        <f>SUMIFS(Banco[valor],Banco[IdAgente],A9,Banco[idDet1],50,Banco[id_subgrupo],99,Banco[id_posto],9,Banco[id_unidade],2)</f>
        <v>0</v>
      </c>
      <c r="E9" s="137">
        <f>SUMIFS(Banco[valor],Banco[IdAgente],A9,Banco[idDet1],50,Banco[idDet2],51,Banco[id_subgrupo],99,Banco[id_posto],9,Banco[id_unidade],2)</f>
        <v>0</v>
      </c>
      <c r="F9" s="137">
        <f>SUMIFS(Banco[valor],Banco[IdAgente],A9,Banco[idDet1],50,Banco[idDet2],53,Banco[id_subgrupo],99,Banco[id_posto],9,Banco[id_unidade],2)</f>
        <v>0</v>
      </c>
      <c r="G9" s="137">
        <f>SUMIFS(Banco[valor],Banco[IdAgente],A9,Banco[idDet1],50,Banco[idDet2],53,Banco[id_subgrupo],99,Banco[id_posto],9,Banco[id_unidade],2)</f>
        <v>0</v>
      </c>
      <c r="H9" s="137">
        <f t="shared" si="6"/>
        <v>0</v>
      </c>
      <c r="I9" s="93">
        <f>SUMIFS(Banco[valor],Banco[IdAgente],A9,Banco[id_natureza_dado],4,Banco[id_detalhe_natureza],1,Banco[idDet1],52,Banco[idDet2],106,Banco[id_subgrupo],99,Banco[id_posto],9,Banco[id_unidade],3)</f>
        <v>0</v>
      </c>
      <c r="J9" s="16"/>
      <c r="K9" s="3" t="str">
        <f t="shared" si="0"/>
        <v>Ceraçá</v>
      </c>
      <c r="L9" s="92">
        <f>SUMIFS(Banco[valor],Banco[IdAgente],A9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9" s="92">
        <f>SUMIFS(Banco[valor],Banco[IdAgente],A9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9" s="85">
        <f>SUMIFS(Banco[valor],Banco[IdAgente],A9,Banco[id_natureza_dado],2,Banco[id_detalhe_natureza],1,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9" s="85">
        <f>SUMIFS(Banco[valor],Banco[IdAgente],A9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9" s="85">
        <f>SUMIFS(Banco[valor],Banco[IdAgente],A9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9" s="85">
        <f>SUMIFS(Banco[valor],Banco[IdAgente],A9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9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9" s="92">
        <f>SUMIFS(Banco[valor],Banco[IdAgente],A9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9" s="92">
        <f>SUMIFS(Banco[valor],Banco[IdAgente],A9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9" s="190">
        <f>SUMIFS(Banco[valor],Banco[IdAgente],A9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9" s="157">
        <f t="shared" si="1"/>
        <v>0</v>
      </c>
      <c r="V9" s="3" t="str">
        <f t="shared" si="2"/>
        <v>Ceraçá</v>
      </c>
      <c r="W9" s="92">
        <f>SUMIFS(Banco[valor],Banco[IdAgente],A9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9" s="92">
        <f>SUMIFS(Banco[valor],Banco[IdAgente],A9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9" s="85">
        <f>SUMIFS(Banco[valor],Banco[IdAgente],A9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9" s="92">
        <f>SUMIFS(Banco[valor],Banco[IdAgente],A9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9" s="86">
        <f t="shared" si="3"/>
        <v>0</v>
      </c>
      <c r="AC9" s="158"/>
      <c r="AD9" s="3" t="s">
        <v>66</v>
      </c>
      <c r="AE9" s="92">
        <f>SUMIFS(Banco[valor],Banco[IdAgente],A9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9" s="138" t="e">
        <f t="shared" si="12"/>
        <v>#DIV/0!</v>
      </c>
      <c r="AG9" s="92">
        <f>SUMIFS(Banco[valor],Banco[IdAgente],A9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9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9" s="92">
        <f>SUMIFS(Banco[valor],Banco[IdAgente],A9,Banco[id_natureza_dado],1,Banco[id_detalhe_natureza],1,Banco[idDet1],51,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9" s="92">
        <f>SUMIFS(Banco[valor],Banco[IdAgente],A9,Banco[id_natureza_dado],1,Banco[id_detalhe_natureza],1,Banco[idDet1],51,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9" s="86">
        <f t="shared" si="14"/>
        <v>0</v>
      </c>
      <c r="AL9" s="158"/>
      <c r="AM9" s="122" t="s">
        <v>66</v>
      </c>
      <c r="AN9" s="264">
        <f>SUMIFS(Banco[valor],Banco[IdAgente],A9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9" s="330">
        <f>SUMIFS(Banco[valor],Banco[IdAgente],A9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9" s="330">
        <f>SUMIFS(Banco[valor],Banco[IdAgente],A9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9" s="331">
        <f>SUMIFS(Banco[valor],Banco[IdAgente],A9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9" s="331">
        <f>SUMIFS(Banco[valor],Banco[IdAgente],A9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9" s="331">
        <f>SUMIFS(Banco[valor],Banco[IdAgente],A9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9" s="332">
        <f>SUMIFS(Banco[valor],Banco[IdAgente],A9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9" s="331">
        <f>SUMIFS(Banco[valor],Banco[IdAgente],A9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9" s="123">
        <f t="shared" si="13"/>
        <v>0</v>
      </c>
      <c r="AW9" s="329"/>
      <c r="AX9" s="157">
        <f t="shared" si="7"/>
        <v>0</v>
      </c>
      <c r="BC9" s="397" t="s">
        <v>66</v>
      </c>
      <c r="BD9" s="398">
        <f t="shared" si="8"/>
        <v>0</v>
      </c>
      <c r="BE9" s="398">
        <f t="shared" si="9"/>
        <v>0</v>
      </c>
      <c r="BF9" s="398">
        <f>SUMIFS(Banco[valor],Banco[IdAgente],BA9,Banco[idDet1],50,Banco[idDet2],53,Banco[id_subgrupo],99,Banco[id_posto],9,Banco[id_unidade],2)</f>
        <v>0</v>
      </c>
      <c r="BG9" s="398">
        <f>SUMIFS(Banco[valor],Banco[IdAgente],BA9,Banco[idDet1],50,Banco[idDet2],53,Banco[id_subgrupo],99,Banco[id_posto],9,Banco[id_unidade],2)</f>
        <v>0</v>
      </c>
      <c r="BH9" s="398">
        <f>erro[[#This Row],[Despesa (R$)]]</f>
        <v>0</v>
      </c>
      <c r="BI9" s="398">
        <f>'Parcela B'!J10</f>
        <v>0</v>
      </c>
      <c r="BJ9" s="399">
        <f t="shared" si="10"/>
        <v>0</v>
      </c>
      <c r="BK9" s="400">
        <f>SUM(Apoio_Efeito!V8:BI8)</f>
        <v>0</v>
      </c>
      <c r="BL9" s="401">
        <f t="shared" si="11"/>
        <v>0</v>
      </c>
      <c r="BP9" s="355" t="s">
        <v>66</v>
      </c>
      <c r="BQ9" s="353">
        <f>SUMIFS(Banco[valor],Banco[IdAgente],A9,Banco[idDet1],50,Banco[id_subgrupo],99,Banco[id_posto],9,Banco[id_unidade],2)</f>
        <v>0</v>
      </c>
      <c r="BR9" s="353">
        <f>SUMIFS(Banco[valor],Banco[IdAgente],A9,Banco[idDet1],50,Banco[idDet2],52,Banco[idDet3],11,Banco[id_subgrupo],99,Banco[id_posto],9,Banco[id_unidade],2)</f>
        <v>0</v>
      </c>
      <c r="BS9" s="353">
        <f>SUMIFS(Banco[valor],Banco[IdAgente],A9,Banco[idDet1],50,Banco[idDet2],53,Banco[id_subgrupo],99,Banco[id_posto],9,Banco[id_unidade],2)</f>
        <v>0</v>
      </c>
      <c r="BT9" s="353">
        <f t="shared" si="5"/>
        <v>0</v>
      </c>
      <c r="BU9" s="354">
        <f>SUMIFS(Banco[valor],Banco[IdAgente],A9,Banco[id_natureza_dado],4,Banco[id_detalhe_natureza],1,Banco[idDet1],52,Banco[idDet2],106,Banco[id_subgrupo],99,Banco[id_posto],9,Banco[id_unidade],3)</f>
        <v>0</v>
      </c>
      <c r="BV9" s="353">
        <f>SUMIFS(Banco[valor],Banco[IdAgente],A9,Banco[idDet1],205,Banco[idDet2],350,Banco[idDet3],201,Banco[id_subgrupo],99,Banco[id_posto],9,Banco[id_unidade],99)</f>
        <v>0</v>
      </c>
    </row>
    <row r="10" spans="1:74" hidden="1">
      <c r="A10" s="255">
        <v>5351</v>
      </c>
      <c r="B10" t="str">
        <f>IFERROR(VLOOKUP(A10,CAPA!$C$12:$C$32,1,FALSE),"NO SELECT")</f>
        <v>NO SELECT</v>
      </c>
      <c r="C10" s="3" t="s">
        <v>153</v>
      </c>
      <c r="D10" s="137">
        <f>SUMIFS(Banco[valor],Banco[IdAgente],A10,Banco[idDet1],50,Banco[id_subgrupo],99,Banco[id_posto],9,Banco[id_unidade],2)</f>
        <v>0</v>
      </c>
      <c r="E10" s="137">
        <f>SUMIFS(Banco[valor],Banco[IdAgente],A10,Banco[idDet1],50,Banco[idDet2],51,Banco[id_subgrupo],99,Banco[id_posto],9,Banco[id_unidade],2)</f>
        <v>0</v>
      </c>
      <c r="F10" s="137">
        <f>SUMIFS(Banco[valor],Banco[IdAgente],A10,Banco[idDet1],50,Banco[idDet2],53,Banco[id_subgrupo],99,Banco[id_posto],9,Banco[id_unidade],2)</f>
        <v>0</v>
      </c>
      <c r="G10" s="137">
        <f>SUMIFS(Banco[valor],Banco[IdAgente],A10,Banco[idDet1],50,Banco[idDet2],53,Banco[id_subgrupo],99,Banco[id_posto],9,Banco[id_unidade],2)</f>
        <v>0</v>
      </c>
      <c r="H10" s="137">
        <f t="shared" si="6"/>
        <v>0</v>
      </c>
      <c r="I10" s="93">
        <f>SUMIFS(Banco[valor],Banco[IdAgente],A10,Banco[id_natureza_dado],4,Banco[id_detalhe_natureza],1,Banco[idDet1],52,Banco[idDet2],106,Banco[id_subgrupo],99,Banco[id_posto],9,Banco[id_unidade],3)</f>
        <v>0</v>
      </c>
      <c r="J10" s="16"/>
      <c r="K10" s="3" t="str">
        <f t="shared" si="0"/>
        <v>Ceral Anitápolis</v>
      </c>
      <c r="L10" s="92">
        <f>SUMIFS(Banco[valor],Banco[IdAgente],A10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10" s="92">
        <f>SUMIFS(Banco[valor],Banco[IdAgente],A10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10" s="85">
        <f>SUMIFS(Banco[valor],Banco[IdAgente],A10,Banco[id_natureza_dado],2,Banco[id_detalhe_natureza],1,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10" s="85">
        <f>SUMIFS(Banco[valor],Banco[IdAgente],A10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10" s="85">
        <f>SUMIFS(Banco[valor],Banco[IdAgente],A10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10" s="85">
        <f>SUMIFS(Banco[valor],Banco[IdAgente],A10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10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10" s="92">
        <f>SUMIFS(Banco[valor],Banco[IdAgente],A10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10" s="92">
        <f>SUMIFS(Banco[valor],Banco[IdAgente],A10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10" s="190">
        <f>SUMIFS(Banco[valor],Banco[IdAgente],A10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10" s="157">
        <f t="shared" si="1"/>
        <v>0</v>
      </c>
      <c r="V10" s="3" t="str">
        <f t="shared" si="2"/>
        <v>Ceral Anitápolis</v>
      </c>
      <c r="W10" s="92">
        <f>SUMIFS(Banco[valor],Banco[IdAgente],A10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10" s="92">
        <f>SUMIFS(Banco[valor],Banco[IdAgente],A10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10" s="85">
        <f>SUMIFS(Banco[valor],Banco[IdAgente],A10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10" s="92">
        <f>SUMIFS(Banco[valor],Banco[IdAgente],A10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10" s="86">
        <f t="shared" si="3"/>
        <v>0</v>
      </c>
      <c r="AC10" s="158"/>
      <c r="AD10" s="3" t="s">
        <v>153</v>
      </c>
      <c r="AE10" s="92">
        <f>SUMIFS(Banco[valor],Banco[IdAgente],A10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10" s="138" t="e">
        <f t="shared" si="12"/>
        <v>#DIV/0!</v>
      </c>
      <c r="AG10" s="92">
        <f>SUMIFS(Banco[valor],Banco[IdAgente],A10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10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10" s="92">
        <f>SUMIFS(Banco[valor],Banco[IdAgente],A10,Banco[id_natureza_dado],1,Banco[id_detalhe_natureza],1,Banco[idDet1],51,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10" s="92">
        <f>SUMIFS(Banco[valor],Banco[IdAgente],A10,Banco[id_natureza_dado],1,Banco[id_detalhe_natureza],1,Banco[idDet1],51,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10" s="86">
        <f t="shared" si="14"/>
        <v>0</v>
      </c>
      <c r="AL10" s="158"/>
      <c r="AM10" s="122" t="s">
        <v>153</v>
      </c>
      <c r="AN10" s="264">
        <f>SUMIFS(Banco[valor],Banco[IdAgente],A10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10" s="330">
        <f>SUMIFS(Banco[valor],Banco[IdAgente],A10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10" s="330">
        <f>SUMIFS(Banco[valor],Banco[IdAgente],A10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10" s="331">
        <f>SUMIFS(Banco[valor],Banco[IdAgente],A10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10" s="331">
        <f>SUMIFS(Banco[valor],Banco[IdAgente],A10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10" s="331">
        <f>SUMIFS(Banco[valor],Banco[IdAgente],A10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10" s="332">
        <f>SUMIFS(Banco[valor],Banco[IdAgente],A10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10" s="331">
        <f>SUMIFS(Banco[valor],Banco[IdAgente],A10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10" s="123">
        <f>AT10*AU10</f>
        <v>0</v>
      </c>
      <c r="AW10" s="329"/>
      <c r="AX10" s="157">
        <f>AJ10-AT10</f>
        <v>0</v>
      </c>
      <c r="BB10" s="96"/>
      <c r="BC10" s="397" t="s">
        <v>153</v>
      </c>
      <c r="BD10" s="398">
        <f t="shared" si="8"/>
        <v>0</v>
      </c>
      <c r="BE10" s="398">
        <f t="shared" si="9"/>
        <v>0</v>
      </c>
      <c r="BF10" s="398">
        <f>SUMIFS(Banco[valor],Banco[IdAgente],BA10,Banco[idDet1],50,Banco[idDet2],53,Banco[id_subgrupo],99,Banco[id_posto],9,Banco[id_unidade],2)</f>
        <v>0</v>
      </c>
      <c r="BG10" s="398">
        <f>SUMIFS(Banco[valor],Banco[IdAgente],BA10,Banco[idDet1],50,Banco[idDet2],53,Banco[id_subgrupo],99,Banco[id_posto],9,Banco[id_unidade],2)</f>
        <v>0</v>
      </c>
      <c r="BH10" s="398">
        <f>erro[[#This Row],[Despesa (R$)]]</f>
        <v>0</v>
      </c>
      <c r="BI10" s="398">
        <f>'Parcela B'!J11</f>
        <v>0</v>
      </c>
      <c r="BJ10" s="399">
        <f t="shared" si="10"/>
        <v>0</v>
      </c>
      <c r="BK10" s="400">
        <f>SUM(Apoio_Efeito!V9:BI9)</f>
        <v>0</v>
      </c>
      <c r="BL10" s="401">
        <f t="shared" si="11"/>
        <v>0</v>
      </c>
      <c r="BP10" s="355" t="s">
        <v>153</v>
      </c>
      <c r="BQ10" s="353">
        <f>SUMIFS(Banco[valor],Banco[IdAgente],A10,Banco[idDet1],50,Banco[id_subgrupo],99,Banco[id_posto],9,Banco[id_unidade],2)</f>
        <v>0</v>
      </c>
      <c r="BR10" s="353">
        <f>SUMIFS(Banco[valor],Banco[IdAgente],A10,Banco[idDet1],50,Banco[idDet2],52,Banco[idDet3],11,Banco[id_subgrupo],99,Banco[id_posto],9,Banco[id_unidade],2)</f>
        <v>0</v>
      </c>
      <c r="BS10" s="353">
        <f>SUMIFS(Banco[valor],Banco[IdAgente],A10,Banco[idDet1],50,Banco[idDet2],53,Banco[id_subgrupo],99,Banco[id_posto],9,Banco[id_unidade],2)</f>
        <v>0</v>
      </c>
      <c r="BT10" s="353">
        <f t="shared" si="5"/>
        <v>0</v>
      </c>
      <c r="BU10" s="354">
        <f>SUMIFS(Banco[valor],Banco[IdAgente],A10,Banco[id_natureza_dado],4,Banco[id_detalhe_natureza],1,Banco[idDet1],52,Banco[idDet2],106,Banco[id_subgrupo],99,Banco[id_posto],9,Banco[id_unidade],3)</f>
        <v>0</v>
      </c>
      <c r="BV10" s="353">
        <f>SUMIFS(Banco[valor],Banco[IdAgente],A10,Banco[idDet1],205,Banco[idDet2],350,Banco[idDet3],201,Banco[id_subgrupo],99,Banco[id_posto],9,Banco[id_unidade],99)</f>
        <v>0</v>
      </c>
    </row>
    <row r="11" spans="1:74" hidden="1">
      <c r="A11" s="255">
        <v>4248</v>
      </c>
      <c r="B11" t="str">
        <f>IFERROR(VLOOKUP(A11,CAPA!$C$12:$C$32,1,FALSE),"NO SELECT")</f>
        <v>NO SELECT</v>
      </c>
      <c r="C11" s="3" t="s">
        <v>156</v>
      </c>
      <c r="D11" s="137">
        <f>SUMIFS(Banco[valor],Banco[IdAgente],A11,Banco[idDet1],50,Banco[id_subgrupo],99,Banco[id_posto],9,Banco[id_unidade],2)</f>
        <v>0</v>
      </c>
      <c r="E11" s="137">
        <f>SUMIFS(Banco[valor],Banco[IdAgente],A11,Banco[idDet1],50,Banco[idDet2],51,Banco[id_subgrupo],99,Banco[id_posto],9,Banco[id_unidade],2)</f>
        <v>0</v>
      </c>
      <c r="F11" s="137">
        <f>SUMIFS(Banco[valor],Banco[IdAgente],A11,Banco[idDet1],50,Banco[idDet2],53,Banco[id_subgrupo],99,Banco[id_posto],9,Banco[id_unidade],2)</f>
        <v>0</v>
      </c>
      <c r="G11" s="137">
        <f>SUMIFS(Banco[valor],Banco[IdAgente],A11,Banco[idDet1],50,Banco[idDet2],53,Banco[id_subgrupo],99,Banco[id_posto],9,Banco[id_unidade],2)</f>
        <v>0</v>
      </c>
      <c r="H11" s="137">
        <f t="shared" si="6"/>
        <v>0</v>
      </c>
      <c r="I11" s="93">
        <f>SUMIFS(Banco[valor],Banco[IdAgente],A11,Banco[id_natureza_dado],4,Banco[id_detalhe_natureza],1,Banco[idDet1],52,Banco[idDet2],106,Banco[id_subgrupo],99,Banco[id_posto],9,Banco[id_unidade],3)</f>
        <v>0</v>
      </c>
      <c r="J11" s="16"/>
      <c r="K11" s="3" t="str">
        <f t="shared" si="0"/>
        <v>Ceral Dis</v>
      </c>
      <c r="L11" s="92">
        <f>SUMIFS(Banco[valor],Banco[IdAgente],A11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11" s="92">
        <f>SUMIFS(Banco[valor],Banco[IdAgente],A11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11" s="85">
        <f>SUMIFS(Banco[valor],Banco[IdAgente],A11,Banco[id_natureza_dado],2,Banco[id_detalhe_natureza],1,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11" s="85">
        <f>SUMIFS(Banco[valor],Banco[IdAgente],A11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11" s="85">
        <f>SUMIFS(Banco[valor],Banco[IdAgente],A11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11" s="85">
        <f>SUMIFS(Banco[valor],Banco[IdAgente],A11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11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11" s="92">
        <f>SUMIFS(Banco[valor],Banco[IdAgente],A11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11" s="92">
        <f>SUMIFS(Banco[valor],Banco[IdAgente],A11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11" s="190">
        <f>SUMIFS(Banco[valor],Banco[IdAgente],A11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11" s="157">
        <f t="shared" si="1"/>
        <v>0</v>
      </c>
      <c r="V11" s="3" t="str">
        <f t="shared" si="2"/>
        <v>Ceral Dis</v>
      </c>
      <c r="W11" s="92">
        <f>SUMIFS(Banco[valor],Banco[IdAgente],A11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11" s="92">
        <f>SUMIFS(Banco[valor],Banco[IdAgente],A11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11" s="85">
        <f>SUMIFS(Banco[valor],Banco[IdAgente],A11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11" s="92">
        <f>SUMIFS(Banco[valor],Banco[IdAgente],A11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11" s="86">
        <f t="shared" si="3"/>
        <v>0</v>
      </c>
      <c r="AC11" s="158"/>
      <c r="AD11" s="3" t="s">
        <v>156</v>
      </c>
      <c r="AE11" s="92">
        <f>SUMIFS(Banco[valor],Banco[IdAgente],A11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11" s="138" t="e">
        <f t="shared" si="12"/>
        <v>#DIV/0!</v>
      </c>
      <c r="AG11" s="92">
        <f>SUMIFS(Banco[valor],Banco[IdAgente],A11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11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11" s="92">
        <f>SUMIFS(Banco[valor],Banco[IdAgente],A11,Banco[id_natureza_dado],1,Banco[id_detalhe_natureza],1,Banco[idDet1],51,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11" s="92">
        <f>SUMIFS(Banco[valor],Banco[IdAgente],A11,Banco[id_natureza_dado],1,Banco[id_detalhe_natureza],1,Banco[idDet1],51,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11" s="86">
        <f t="shared" si="14"/>
        <v>0</v>
      </c>
      <c r="AL11" s="158"/>
      <c r="AM11" s="122" t="s">
        <v>156</v>
      </c>
      <c r="AN11" s="330">
        <f>SUMIFS(Banco[valor],Banco[IdAgente],A11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11" s="330">
        <f>SUMIFS(Banco[valor],Banco[IdAgente],A11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11" s="330">
        <f>SUMIFS(Banco[valor],Banco[IdAgente],A11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11" s="331">
        <f>SUMIFS(Banco[valor],Banco[IdAgente],A11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11" s="331">
        <f>SUMIFS(Banco[valor],Banco[IdAgente],A11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11" s="331">
        <f>SUMIFS(Banco[valor],Banco[IdAgente],A11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11" s="332">
        <f>SUMIFS(Banco[valor],Banco[IdAgente],A11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11" s="331">
        <f>SUMIFS(Banco[valor],Banco[IdAgente],A11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11" s="333">
        <f t="shared" si="13"/>
        <v>0</v>
      </c>
      <c r="AW11" s="329"/>
      <c r="AX11" s="157">
        <f t="shared" ref="AX11:AX52" si="15">AJ11-AT11</f>
        <v>0</v>
      </c>
      <c r="BC11" s="397" t="s">
        <v>156</v>
      </c>
      <c r="BD11" s="398">
        <f t="shared" si="8"/>
        <v>0</v>
      </c>
      <c r="BE11" s="398">
        <f t="shared" si="9"/>
        <v>0</v>
      </c>
      <c r="BF11" s="398">
        <f>SUMIFS(Banco[valor],Banco[IdAgente],BA11,Banco[idDet1],50,Banco[idDet2],53,Banco[id_subgrupo],99,Banco[id_posto],9,Banco[id_unidade],2)</f>
        <v>0</v>
      </c>
      <c r="BG11" s="398">
        <f>SUMIFS(Banco[valor],Banco[IdAgente],BA11,Banco[idDet1],50,Banco[idDet2],53,Banco[id_subgrupo],99,Banco[id_posto],9,Banco[id_unidade],2)</f>
        <v>0</v>
      </c>
      <c r="BH11" s="398">
        <f>erro[[#This Row],[Despesa (R$)]]</f>
        <v>0</v>
      </c>
      <c r="BI11" s="398">
        <f>'Parcela B'!J12</f>
        <v>0</v>
      </c>
      <c r="BJ11" s="399">
        <f t="shared" si="10"/>
        <v>0</v>
      </c>
      <c r="BK11" s="400">
        <f>SUM(Apoio_Efeito!V10:BI10)</f>
        <v>0</v>
      </c>
      <c r="BL11" s="401">
        <f t="shared" si="11"/>
        <v>0</v>
      </c>
      <c r="BM11" s="17"/>
      <c r="BN11" s="32"/>
      <c r="BP11" s="355" t="s">
        <v>156</v>
      </c>
      <c r="BQ11" s="353">
        <f>SUMIFS(Banco[valor],Banco[IdAgente],A11,Banco[idDet1],50,Banco[id_subgrupo],99,Banco[id_posto],9,Banco[id_unidade],2)</f>
        <v>0</v>
      </c>
      <c r="BR11" s="353">
        <f>SUMIFS(Banco[valor],Banco[IdAgente],A11,Banco[idDet1],50,Banco[idDet2],52,Banco[idDet3],11,Banco[id_subgrupo],99,Banco[id_posto],9,Banco[id_unidade],2)</f>
        <v>0</v>
      </c>
      <c r="BS11" s="353">
        <f>SUMIFS(Banco[valor],Banco[IdAgente],A11,Banco[idDet1],50,Banco[idDet2],53,Banco[id_subgrupo],99,Banco[id_posto],9,Banco[id_unidade],2)</f>
        <v>0</v>
      </c>
      <c r="BT11" s="353">
        <f t="shared" si="5"/>
        <v>0</v>
      </c>
      <c r="BU11" s="354">
        <f>SUMIFS(Banco[valor],Banco[IdAgente],A11,Banco[id_natureza_dado],4,Banco[id_detalhe_natureza],1,Banco[idDet1],52,Banco[idDet2],106,Banco[id_subgrupo],99,Banco[id_posto],9,Banco[id_unidade],3)</f>
        <v>0</v>
      </c>
      <c r="BV11" s="356">
        <f>SUMIFS(Banco[valor],Banco[IdAgente],A11,Banco[idDet1],205,Banco[idDet2],350,Banco[idDet3],201,Banco[id_subgrupo],99,Banco[id_posto],9,Banco[id_unidade],99)</f>
        <v>0</v>
      </c>
    </row>
    <row r="12" spans="1:74" hidden="1">
      <c r="A12" s="255">
        <v>6898</v>
      </c>
      <c r="B12" t="str">
        <f>IFERROR(VLOOKUP(A12,CAPA!$C$12:$C$32,1,FALSE),"NO SELECT")</f>
        <v>NO SELECT</v>
      </c>
      <c r="C12" s="3" t="s">
        <v>54</v>
      </c>
      <c r="D12" s="137">
        <f>SUMIFS(Banco[valor],Banco[IdAgente],A12,Banco[idDet1],50,Banco[id_subgrupo],99,Banco[id_posto],9,Banco[id_unidade],2)</f>
        <v>0</v>
      </c>
      <c r="E12" s="137">
        <f>SUMIFS(Banco[valor],Banco[IdAgente],A12,Banco[idDet1],50,Banco[idDet2],51,Banco[id_subgrupo],99,Banco[id_posto],9,Banco[id_unidade],2)</f>
        <v>0</v>
      </c>
      <c r="F12" s="137">
        <f>SUMIFS(Banco[valor],Banco[IdAgente],A12,Banco[idDet1],50,Banco[idDet2],53,Banco[id_subgrupo],99,Banco[id_posto],9,Banco[id_unidade],2)</f>
        <v>0</v>
      </c>
      <c r="G12" s="137">
        <f>SUMIFS(Banco[valor],Banco[IdAgente],A12,Banco[idDet1],50,Banco[idDet2],53,Banco[id_subgrupo],99,Banco[id_posto],9,Banco[id_unidade],2)</f>
        <v>0</v>
      </c>
      <c r="H12" s="137">
        <f t="shared" si="6"/>
        <v>0</v>
      </c>
      <c r="I12" s="93">
        <f>SUMIFS(Banco[valor],Banco[IdAgente],A12,Banco[id_natureza_dado],4,Banco[id_detalhe_natureza],1,Banco[idDet1],52,Banco[idDet2],106,Banco[id_subgrupo],99,Banco[id_posto],9,Banco[id_unidade],3)</f>
        <v>0</v>
      </c>
      <c r="J12" s="16"/>
      <c r="K12" s="3" t="str">
        <f t="shared" si="0"/>
        <v>Cerbranorte</v>
      </c>
      <c r="L12" s="92">
        <f>SUMIFS(Banco[valor],Banco[IdAgente],A12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12" s="92">
        <f>SUMIFS(Banco[valor],Banco[IdAgente],A12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12" s="85">
        <f>SUMIFS(Banco[valor],Banco[IdAgente],A12,Banco[id_natureza_dado],2,Banco[id_detalhe_natureza],1,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12" s="85">
        <f>SUMIFS(Banco[valor],Banco[IdAgente],A12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12" s="85">
        <f>SUMIFS(Banco[valor],Banco[IdAgente],A12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12" s="85">
        <f>SUMIFS(Banco[valor],Banco[IdAgente],A12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12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12" s="92">
        <f>SUMIFS(Banco[valor],Banco[IdAgente],A12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12" s="92">
        <f>SUMIFS(Banco[valor],Banco[IdAgente],A12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12" s="190">
        <f>SUMIFS(Banco[valor],Banco[IdAgente],A12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12" s="157">
        <f t="shared" si="1"/>
        <v>0</v>
      </c>
      <c r="V12" s="3" t="str">
        <f t="shared" si="2"/>
        <v>Cerbranorte</v>
      </c>
      <c r="W12" s="92">
        <f>SUMIFS(Banco[valor],Banco[IdAgente],A12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12" s="92">
        <f>SUMIFS(Banco[valor],Banco[IdAgente],A12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12" s="85">
        <f>SUMIFS(Banco[valor],Banco[IdAgente],A12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12" s="92">
        <f>SUMIFS(Banco[valor],Banco[IdAgente],A12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12" s="86">
        <f t="shared" si="3"/>
        <v>0</v>
      </c>
      <c r="AC12" s="158"/>
      <c r="AD12" s="3" t="s">
        <v>54</v>
      </c>
      <c r="AE12" s="92">
        <f>SUMIFS(Banco[valor],Banco[IdAgente],A12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12" s="138" t="e">
        <f t="shared" si="12"/>
        <v>#DIV/0!</v>
      </c>
      <c r="AG12" s="92">
        <f>SUMIFS(Banco[valor],Banco[IdAgente],A12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12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12" s="92">
        <f>SUMIFS(Banco[valor],Banco[IdAgente],A12,Banco[id_natureza_dado],1,Banco[id_detalhe_natureza],1,Banco[idDet1],51,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12" s="92">
        <f>SUMIFS(Banco[valor],Banco[IdAgente],A12,Banco[id_natureza_dado],1,Banco[id_detalhe_natureza],1,Banco[idDet1],51,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12" s="86">
        <f t="shared" si="14"/>
        <v>0</v>
      </c>
      <c r="AL12" s="158"/>
      <c r="AM12" s="122" t="s">
        <v>54</v>
      </c>
      <c r="AN12" s="330">
        <f>SUMIFS(Banco[valor],Banco[IdAgente],A12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12" s="330">
        <f>SUMIFS(Banco[valor],Banco[IdAgente],A12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12" s="330">
        <f>SUMIFS(Banco[valor],Banco[IdAgente],A12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12" s="331">
        <f>SUMIFS(Banco[valor],Banco[IdAgente],A12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12" s="331">
        <f>SUMIFS(Banco[valor],Banco[IdAgente],A12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12" s="331">
        <f>SUMIFS(Banco[valor],Banco[IdAgente],A12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12" s="332">
        <f>SUMIFS(Banco[valor],Banco[IdAgente],A12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12" s="331">
        <f>SUMIFS(Banco[valor],Banco[IdAgente],A12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12" s="333">
        <f t="shared" si="13"/>
        <v>0</v>
      </c>
      <c r="AW12" s="329"/>
      <c r="AX12" s="157">
        <f t="shared" si="15"/>
        <v>0</v>
      </c>
      <c r="BC12" s="397" t="s">
        <v>54</v>
      </c>
      <c r="BD12" s="398">
        <f t="shared" si="8"/>
        <v>0</v>
      </c>
      <c r="BE12" s="398">
        <f t="shared" si="9"/>
        <v>0</v>
      </c>
      <c r="BF12" s="398">
        <f>SUMIFS(Banco[valor],Banco[IdAgente],BA12,Banco[idDet1],50,Banco[idDet2],53,Banco[id_subgrupo],99,Banco[id_posto],9,Banco[id_unidade],2)</f>
        <v>0</v>
      </c>
      <c r="BG12" s="398">
        <f>SUMIFS(Banco[valor],Banco[IdAgente],BA12,Banco[idDet1],50,Banco[idDet2],53,Banco[id_subgrupo],99,Banco[id_posto],9,Banco[id_unidade],2)</f>
        <v>0</v>
      </c>
      <c r="BH12" s="398">
        <f>erro[[#This Row],[Despesa (R$)]]</f>
        <v>0</v>
      </c>
      <c r="BI12" s="398">
        <f>'Parcela B'!J13</f>
        <v>0</v>
      </c>
      <c r="BJ12" s="399">
        <f t="shared" si="10"/>
        <v>0</v>
      </c>
      <c r="BK12" s="400">
        <f>SUM(Apoio_Efeito!V11:BI11)</f>
        <v>0</v>
      </c>
      <c r="BL12" s="401">
        <f t="shared" si="11"/>
        <v>0</v>
      </c>
      <c r="BM12" s="17"/>
      <c r="BN12" s="32"/>
      <c r="BP12" s="355" t="s">
        <v>54</v>
      </c>
      <c r="BQ12" s="353">
        <f>SUMIFS(Banco[valor],Banco[IdAgente],A12,Banco[idDet1],50,Banco[id_subgrupo],99,Banco[id_posto],9,Banco[id_unidade],2)</f>
        <v>0</v>
      </c>
      <c r="BR12" s="353">
        <f>SUMIFS(Banco[valor],Banco[IdAgente],A12,Banco[idDet1],50,Banco[idDet2],52,Banco[idDet3],11,Banco[id_subgrupo],99,Banco[id_posto],9,Banco[id_unidade],2)</f>
        <v>0</v>
      </c>
      <c r="BS12" s="353">
        <f>SUMIFS(Banco[valor],Banco[IdAgente],A12,Banco[idDet1],50,Banco[idDet2],53,Banco[id_subgrupo],99,Banco[id_posto],9,Banco[id_unidade],2)</f>
        <v>0</v>
      </c>
      <c r="BT12" s="353">
        <f t="shared" si="5"/>
        <v>0</v>
      </c>
      <c r="BU12" s="354">
        <f>SUMIFS(Banco[valor],Banco[IdAgente],A12,Banco[id_natureza_dado],4,Banco[id_detalhe_natureza],1,Banco[idDet1],52,Banco[idDet2],106,Banco[id_subgrupo],99,Banco[id_posto],9,Banco[id_unidade],3)</f>
        <v>0</v>
      </c>
      <c r="BV12" s="356">
        <f>SUMIFS(Banco[valor],Banco[IdAgente],A12,Banco[idDet1],205,Banco[idDet2],350,Banco[idDet3],201,Banco[id_subgrupo],99,Banco[id_posto],9,Banco[id_unidade],99)</f>
        <v>0</v>
      </c>
    </row>
    <row r="13" spans="1:74" hidden="1">
      <c r="A13" s="255">
        <v>5377</v>
      </c>
      <c r="B13" t="str">
        <f>IFERROR(VLOOKUP(A13,CAPA!$C$12:$C$32,1,FALSE),"NO SELECT")</f>
        <v>NO SELECT</v>
      </c>
      <c r="C13" s="3" t="s">
        <v>159</v>
      </c>
      <c r="D13" s="137">
        <f>SUMIFS(Banco[valor],Banco[IdAgente],A13,Banco[idDet1],50,Banco[id_subgrupo],99,Banco[id_posto],9,Banco[id_unidade],2)</f>
        <v>0</v>
      </c>
      <c r="E13" s="137">
        <f>SUMIFS(Banco[valor],Banco[IdAgente],A13,Banco[idDet1],50,Banco[idDet2],51,Banco[id_subgrupo],99,Banco[id_posto],9,Banco[id_unidade],2)</f>
        <v>0</v>
      </c>
      <c r="F13" s="137">
        <f>SUMIFS(Banco[valor],Banco[IdAgente],A13,Banco[idDet1],50,Banco[idDet2],53,Banco[id_subgrupo],99,Banco[id_posto],9,Banco[id_unidade],2)</f>
        <v>0</v>
      </c>
      <c r="G13" s="137">
        <f>SUMIFS(Banco[valor],Banco[IdAgente],A13,Banco[idDet1],50,Banco[idDet2],53,Banco[id_subgrupo],99,Banco[id_posto],9,Banco[id_unidade],2)</f>
        <v>0</v>
      </c>
      <c r="H13" s="137">
        <f t="shared" si="6"/>
        <v>0</v>
      </c>
      <c r="I13" s="93">
        <f>SUMIFS(Banco[valor],Banco[IdAgente],A13,Banco[id_natureza_dado],4,Banco[id_detalhe_natureza],1,Banco[idDet1],52,Banco[idDet2],106,Banco[id_subgrupo],99,Banco[id_posto],9,Banco[id_unidade],3)</f>
        <v>0</v>
      </c>
      <c r="J13" s="16"/>
      <c r="K13" s="3" t="str">
        <f t="shared" si="0"/>
        <v>Cercos</v>
      </c>
      <c r="L13" s="92">
        <f>SUMIFS(Banco[valor],Banco[IdAgente],A13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13" s="92">
        <f>SUMIFS(Banco[valor],Banco[IdAgente],A13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13" s="85">
        <f>SUMIFS(Banco[valor],Banco[IdAgente],A13,Banco[id_natureza_dado],2,Banco[id_detalhe_natureza],1,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13" s="85">
        <f>SUMIFS(Banco[valor],Banco[IdAgente],A13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13" s="85">
        <f>SUMIFS(Banco[valor],Banco[IdAgente],A13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13" s="85">
        <f>SUMIFS(Banco[valor],Banco[IdAgente],A13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13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13" s="92">
        <f>SUMIFS(Banco[valor],Banco[IdAgente],A13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13" s="92">
        <f>SUMIFS(Banco[valor],Banco[IdAgente],A13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13" s="190">
        <f>SUMIFS(Banco[valor],Banco[IdAgente],A13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13" s="157">
        <f t="shared" si="1"/>
        <v>0</v>
      </c>
      <c r="V13" s="3" t="str">
        <f t="shared" si="2"/>
        <v>Cercos</v>
      </c>
      <c r="W13" s="92">
        <f>SUMIFS(Banco[valor],Banco[IdAgente],A13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13" s="92">
        <f>SUMIFS(Banco[valor],Banco[IdAgente],A13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13" s="85">
        <f>SUMIFS(Banco[valor],Banco[IdAgente],A13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13" s="92">
        <f>SUMIFS(Banco[valor],Banco[IdAgente],A13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13" s="86">
        <f t="shared" si="3"/>
        <v>0</v>
      </c>
      <c r="AC13" s="158"/>
      <c r="AD13" s="3" t="s">
        <v>159</v>
      </c>
      <c r="AE13" s="92">
        <f>SUMIFS(Banco[valor],Banco[IdAgente],A13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13" s="138" t="e">
        <f t="shared" si="12"/>
        <v>#DIV/0!</v>
      </c>
      <c r="AG13" s="92">
        <f>SUMIFS(Banco[valor],Banco[IdAgente],A13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13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13" s="92">
        <f>SUMIFS(Banco[valor],Banco[IdAgente],A13,Banco[id_natureza_dado],1,Banco[id_detalhe_natureza],1,Banco[idDet1],51,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13" s="92">
        <f>SUMIFS(Banco[valor],Banco[IdAgente],A13,Banco[id_natureza_dado],1,Banco[id_detalhe_natureza],1,Banco[idDet1],51,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13" s="86">
        <f t="shared" si="14"/>
        <v>0</v>
      </c>
      <c r="AL13" s="158"/>
      <c r="AM13" s="122" t="s">
        <v>159</v>
      </c>
      <c r="AN13" s="330">
        <f>SUMIFS(Banco[valor],Banco[IdAgente],A13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13" s="330">
        <f>SUMIFS(Banco[valor],Banco[IdAgente],A13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13" s="330">
        <f>SUMIFS(Banco[valor],Banco[IdAgente],A13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13" s="331">
        <f>SUMIFS(Banco[valor],Banco[IdAgente],A13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13" s="331">
        <f>SUMIFS(Banco[valor],Banco[IdAgente],A13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13" s="331">
        <f>SUMIFS(Banco[valor],Banco[IdAgente],A13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13" s="332">
        <f>SUMIFS(Banco[valor],Banco[IdAgente],A13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13" s="331">
        <f>SUMIFS(Banco[valor],Banco[IdAgente],A13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13" s="333">
        <f t="shared" si="13"/>
        <v>0</v>
      </c>
      <c r="AW13" s="329"/>
      <c r="AX13" s="157">
        <f t="shared" si="15"/>
        <v>0</v>
      </c>
      <c r="BC13" s="397" t="s">
        <v>159</v>
      </c>
      <c r="BD13" s="398">
        <f t="shared" si="8"/>
        <v>0</v>
      </c>
      <c r="BE13" s="398">
        <f t="shared" si="9"/>
        <v>0</v>
      </c>
      <c r="BF13" s="398">
        <f>SUMIFS(Banco[valor],Banco[IdAgente],BA13,Banco[idDet1],50,Banco[idDet2],53,Banco[id_subgrupo],99,Banco[id_posto],9,Banco[id_unidade],2)</f>
        <v>0</v>
      </c>
      <c r="BG13" s="398">
        <f>SUMIFS(Banco[valor],Banco[IdAgente],BA13,Banco[idDet1],50,Banco[idDet2],53,Banco[id_subgrupo],99,Banco[id_posto],9,Banco[id_unidade],2)</f>
        <v>0</v>
      </c>
      <c r="BH13" s="398">
        <f>erro[[#This Row],[Despesa (R$)]]</f>
        <v>0</v>
      </c>
      <c r="BI13" s="398">
        <f>'Parcela B'!J14</f>
        <v>0</v>
      </c>
      <c r="BJ13" s="399">
        <f t="shared" si="10"/>
        <v>0</v>
      </c>
      <c r="BK13" s="400">
        <f>SUM(Apoio_Efeito!V12:BI12)</f>
        <v>0</v>
      </c>
      <c r="BL13" s="401">
        <f t="shared" si="11"/>
        <v>0</v>
      </c>
      <c r="BM13" s="17"/>
      <c r="BN13" s="32"/>
      <c r="BP13" s="355" t="s">
        <v>159</v>
      </c>
      <c r="BQ13" s="353">
        <f>SUMIFS(Banco[valor],Banco[IdAgente],A13,Banco[idDet1],50,Banco[id_subgrupo],99,Banco[id_posto],9,Banco[id_unidade],2)</f>
        <v>0</v>
      </c>
      <c r="BR13" s="353">
        <f>SUMIFS(Banco[valor],Banco[IdAgente],A13,Banco[idDet1],50,Banco[idDet2],52,Banco[idDet3],11,Banco[id_subgrupo],99,Banco[id_posto],9,Banco[id_unidade],2)</f>
        <v>0</v>
      </c>
      <c r="BS13" s="353">
        <f>SUMIFS(Banco[valor],Banco[IdAgente],A13,Banco[idDet1],50,Banco[idDet2],53,Banco[id_subgrupo],99,Banco[id_posto],9,Banco[id_unidade],2)</f>
        <v>0</v>
      </c>
      <c r="BT13" s="353">
        <f t="shared" si="5"/>
        <v>0</v>
      </c>
      <c r="BU13" s="354">
        <f>SUMIFS(Banco[valor],Banco[IdAgente],A13,Banco[id_natureza_dado],4,Banco[id_detalhe_natureza],1,Banco[idDet1],52,Banco[idDet2],106,Banco[id_subgrupo],99,Banco[id_posto],9,Banco[id_unidade],3)</f>
        <v>0</v>
      </c>
      <c r="BV13" s="356">
        <f>SUMIFS(Banco[valor],Banco[IdAgente],A13,Banco[idDet1],205,Banco[idDet2],350,Banco[idDet3],201,Banco[id_subgrupo],99,Banco[id_posto],9,Banco[id_unidade],99)</f>
        <v>0</v>
      </c>
    </row>
    <row r="14" spans="1:74" hidden="1">
      <c r="A14" s="255">
        <v>5352</v>
      </c>
      <c r="B14" t="str">
        <f>IFERROR(VLOOKUP(A14,CAPA!$C$12:$C$32,1,FALSE),"NO SELECT")</f>
        <v>NO SELECT</v>
      </c>
      <c r="C14" s="3" t="s">
        <v>56</v>
      </c>
      <c r="D14" s="137">
        <f>SUMIFS(Banco[valor],Banco[IdAgente],A14,Banco[idDet1],50,Banco[id_subgrupo],99,Banco[id_posto],9,Banco[id_unidade],2)</f>
        <v>0</v>
      </c>
      <c r="E14" s="137">
        <f>SUMIFS(Banco[valor],Banco[IdAgente],A14,Banco[idDet1],50,Banco[idDet2],51,Banco[id_subgrupo],99,Banco[id_posto],9,Banco[id_unidade],2)</f>
        <v>0</v>
      </c>
      <c r="F14" s="137">
        <f>SUMIFS(Banco[valor],Banco[IdAgente],A14,Banco[idDet1],50,Banco[idDet2],53,Banco[id_subgrupo],99,Banco[id_posto],9,Banco[id_unidade],2)</f>
        <v>0</v>
      </c>
      <c r="G14" s="137">
        <f>SUMIFS(Banco[valor],Banco[IdAgente],A14,Banco[idDet1],50,Banco[idDet2],53,Banco[id_subgrupo],99,Banco[id_posto],9,Banco[id_unidade],2)</f>
        <v>0</v>
      </c>
      <c r="H14" s="137">
        <f t="shared" si="6"/>
        <v>0</v>
      </c>
      <c r="I14" s="93">
        <f>SUMIFS(Banco[valor],Banco[IdAgente],A14,Banco[id_natureza_dado],4,Banco[id_detalhe_natureza],1,Banco[idDet1],52,Banco[idDet2],106,Banco[id_subgrupo],99,Banco[id_posto],9,Banco[id_unidade],3)</f>
        <v>0</v>
      </c>
      <c r="J14" s="16"/>
      <c r="K14" s="3" t="str">
        <f t="shared" si="0"/>
        <v>Cerej</v>
      </c>
      <c r="L14" s="92">
        <f>SUMIFS(Banco[valor],Banco[IdAgente],A14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14" s="92">
        <f>SUMIFS(Banco[valor],Banco[IdAgente],A14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14" s="85">
        <f>SUMIFS(Banco[valor],Banco[IdAgente],A14,Banco[id_natureza_dado],2,Banco[id_detalhe_natureza],1,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14" s="85">
        <f>SUMIFS(Banco[valor],Banco[IdAgente],A14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14" s="85">
        <f>SUMIFS(Banco[valor],Banco[IdAgente],A14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14" s="85">
        <f>SUMIFS(Banco[valor],Banco[IdAgente],A14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14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14" s="92">
        <f>SUMIFS(Banco[valor],Banco[IdAgente],A14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14" s="92">
        <f>SUMIFS(Banco[valor],Banco[IdAgente],A14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14" s="190">
        <f>SUMIFS(Banco[valor],Banco[IdAgente],A14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14" s="157">
        <f t="shared" si="1"/>
        <v>0</v>
      </c>
      <c r="V14" s="3" t="str">
        <f t="shared" si="2"/>
        <v>Cerej</v>
      </c>
      <c r="W14" s="92">
        <f>SUMIFS(Banco[valor],Banco[IdAgente],A14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14" s="92">
        <f>SUMIFS(Banco[valor],Banco[IdAgente],A14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14" s="85">
        <f>SUMIFS(Banco[valor],Banco[IdAgente],A14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14" s="92">
        <f>SUMIFS(Banco[valor],Banco[IdAgente],A14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14" s="86">
        <f t="shared" si="3"/>
        <v>0</v>
      </c>
      <c r="AC14" s="158"/>
      <c r="AD14" s="3" t="s">
        <v>56</v>
      </c>
      <c r="AE14" s="92">
        <f>SUMIFS(Banco[valor],Banco[IdAgente],A14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14" s="138" t="e">
        <f t="shared" si="12"/>
        <v>#DIV/0!</v>
      </c>
      <c r="AG14" s="92">
        <f>SUMIFS(Banco[valor],Banco[IdAgente],A14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14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14" s="92">
        <f>SUMIFS(Banco[valor],Banco[IdAgente],A14,Banco[id_natureza_dado],1,Banco[id_detalhe_natureza],1,Banco[idDet1],51,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14" s="92">
        <f>SUMIFS(Banco[valor],Banco[IdAgente],A14,Banco[id_natureza_dado],1,Banco[id_detalhe_natureza],1,Banco[idDet1],51,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14" s="86">
        <f t="shared" si="14"/>
        <v>0</v>
      </c>
      <c r="AL14" s="158"/>
      <c r="AM14" s="122" t="s">
        <v>56</v>
      </c>
      <c r="AN14" s="330">
        <f>SUMIFS(Banco[valor],Banco[IdAgente],A14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14" s="330">
        <f>SUMIFS(Banco[valor],Banco[IdAgente],A14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14" s="330">
        <f>SUMIFS(Banco[valor],Banco[IdAgente],A14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14" s="331">
        <f>SUMIFS(Banco[valor],Banco[IdAgente],A14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14" s="331">
        <f>SUMIFS(Banco[valor],Banco[IdAgente],A14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14" s="331">
        <f>SUMIFS(Banco[valor],Banco[IdAgente],A14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14" s="332">
        <f>SUMIFS(Banco[valor],Banco[IdAgente],A14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14" s="331">
        <f>SUMIFS(Banco[valor],Banco[IdAgente],A14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14" s="333">
        <f t="shared" si="13"/>
        <v>0</v>
      </c>
      <c r="AW14" s="329"/>
      <c r="AX14" s="157">
        <f t="shared" si="15"/>
        <v>0</v>
      </c>
      <c r="BC14" s="397" t="s">
        <v>56</v>
      </c>
      <c r="BD14" s="398">
        <f t="shared" si="8"/>
        <v>0</v>
      </c>
      <c r="BE14" s="398">
        <f t="shared" si="9"/>
        <v>0</v>
      </c>
      <c r="BF14" s="398">
        <f>SUMIFS(Banco[valor],Banco[IdAgente],BA14,Banco[idDet1],50,Banco[idDet2],53,Banco[id_subgrupo],99,Banco[id_posto],9,Banco[id_unidade],2)</f>
        <v>0</v>
      </c>
      <c r="BG14" s="398">
        <f>SUMIFS(Banco[valor],Banco[IdAgente],BA14,Banco[idDet1],50,Banco[idDet2],53,Banco[id_subgrupo],99,Banco[id_posto],9,Banco[id_unidade],2)</f>
        <v>0</v>
      </c>
      <c r="BH14" s="398">
        <f>erro[[#This Row],[Despesa (R$)]]</f>
        <v>0</v>
      </c>
      <c r="BI14" s="398">
        <f>'Parcela B'!J15</f>
        <v>0</v>
      </c>
      <c r="BJ14" s="399">
        <f t="shared" si="10"/>
        <v>0</v>
      </c>
      <c r="BK14" s="400">
        <f>SUM(Apoio_Efeito!V13:BI13)</f>
        <v>0</v>
      </c>
      <c r="BL14" s="401">
        <f t="shared" si="11"/>
        <v>0</v>
      </c>
      <c r="BM14" s="17"/>
      <c r="BN14" s="32"/>
      <c r="BP14" s="355" t="s">
        <v>56</v>
      </c>
      <c r="BQ14" s="353">
        <f>SUMIFS(Banco[valor],Banco[IdAgente],A14,Banco[idDet1],50,Banco[id_subgrupo],99,Banco[id_posto],9,Banco[id_unidade],2)</f>
        <v>0</v>
      </c>
      <c r="BR14" s="353">
        <f>SUMIFS(Banco[valor],Banco[IdAgente],A14,Banco[idDet1],50,Banco[idDet2],52,Banco[idDet3],11,Banco[id_subgrupo],99,Banco[id_posto],9,Banco[id_unidade],2)</f>
        <v>0</v>
      </c>
      <c r="BS14" s="353">
        <f>SUMIFS(Banco[valor],Banco[IdAgente],A14,Banco[idDet1],50,Banco[idDet2],53,Banco[id_subgrupo],99,Banco[id_posto],9,Banco[id_unidade],2)</f>
        <v>0</v>
      </c>
      <c r="BT14" s="353">
        <f t="shared" si="5"/>
        <v>0</v>
      </c>
      <c r="BU14" s="354">
        <f>SUMIFS(Banco[valor],Banco[IdAgente],A14,Banco[id_natureza_dado],4,Banco[id_detalhe_natureza],1,Banco[idDet1],52,Banco[idDet2],106,Banco[id_subgrupo],99,Banco[id_posto],9,Banco[id_unidade],3)</f>
        <v>0</v>
      </c>
      <c r="BV14" s="356">
        <f>SUMIFS(Banco[valor],Banco[IdAgente],A14,Banco[idDet1],205,Banco[idDet2],350,Banco[idDet3],201,Banco[id_subgrupo],99,Banco[id_posto],9,Banco[id_unidade],99)</f>
        <v>0</v>
      </c>
    </row>
    <row r="15" spans="1:74" hidden="1">
      <c r="A15" s="255">
        <v>5274</v>
      </c>
      <c r="B15" t="str">
        <f>IFERROR(VLOOKUP(A15,CAPA!$C$12:$C$32,1,FALSE),"NO SELECT")</f>
        <v>NO SELECT</v>
      </c>
      <c r="C15" s="3" t="s">
        <v>162</v>
      </c>
      <c r="D15" s="137">
        <f>SUMIFS(Banco[valor],Banco[IdAgente],A15,Banco[idDet1],50,Banco[id_subgrupo],99,Banco[id_posto],9,Banco[id_unidade],2)</f>
        <v>0</v>
      </c>
      <c r="E15" s="137">
        <f>SUMIFS(Banco[valor],Banco[IdAgente],A15,Banco[idDet1],50,Banco[idDet2],51,Banco[id_subgrupo],99,Banco[id_posto],9,Banco[id_unidade],2)</f>
        <v>0</v>
      </c>
      <c r="F15" s="137">
        <f>SUMIFS(Banco[valor],Banco[IdAgente],A15,Banco[idDet1],50,Banco[idDet2],53,Banco[id_subgrupo],99,Banco[id_posto],9,Banco[id_unidade],2)</f>
        <v>0</v>
      </c>
      <c r="G15" s="137">
        <f>SUMIFS(Banco[valor],Banco[IdAgente],A15,Banco[idDet1],50,Banco[idDet2],53,Banco[id_subgrupo],99,Banco[id_posto],9,Banco[id_unidade],2)</f>
        <v>0</v>
      </c>
      <c r="H15" s="137">
        <f t="shared" si="6"/>
        <v>0</v>
      </c>
      <c r="I15" s="93">
        <f>SUMIFS(Banco[valor],Banco[IdAgente],A15,Banco[id_natureza_dado],4,Banco[id_detalhe_natureza],1,Banco[idDet1],52,Banco[idDet2],106,Banco[id_subgrupo],99,Banco[id_posto],9,Banco[id_unidade],3)</f>
        <v>0</v>
      </c>
      <c r="J15" s="16"/>
      <c r="K15" s="3" t="str">
        <f t="shared" si="0"/>
        <v>Ceres</v>
      </c>
      <c r="L15" s="92">
        <f>SUMIFS(Banco[valor],Banco[IdAgente],A15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15" s="92">
        <f>SUMIFS(Banco[valor],Banco[IdAgente],A15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15" s="85">
        <f>SUMIFS(Banco[valor],Banco[IdAgente],A15,Banco[id_natureza_dado],2,Banco[id_detalhe_natureza],1,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15" s="85">
        <f>SUMIFS(Banco[valor],Banco[IdAgente],A15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15" s="85">
        <f>SUMIFS(Banco[valor],Banco[IdAgente],A15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15" s="85">
        <f>SUMIFS(Banco[valor],Banco[IdAgente],A15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15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15" s="92">
        <f>SUMIFS(Banco[valor],Banco[IdAgente],A15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15" s="92">
        <f>SUMIFS(Banco[valor],Banco[IdAgente],A15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15" s="190">
        <f>SUMIFS(Banco[valor],Banco[IdAgente],A15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15" s="157">
        <f>SUM(L15:S15)</f>
        <v>0</v>
      </c>
      <c r="V15" s="3" t="str">
        <f t="shared" si="2"/>
        <v>Ceres</v>
      </c>
      <c r="W15" s="92">
        <f>SUMIFS(Banco[valor],Banco[IdAgente],A15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15" s="92">
        <f>SUMIFS(Banco[valor],Banco[IdAgente],A15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15" s="85">
        <f>SUMIFS(Banco[valor],Banco[IdAgente],A15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15" s="92">
        <f>SUMIFS(Banco[valor],Banco[IdAgente],A15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15" s="86">
        <f t="shared" si="3"/>
        <v>0</v>
      </c>
      <c r="AC15" s="158"/>
      <c r="AD15" s="3" t="s">
        <v>162</v>
      </c>
      <c r="AE15" s="92">
        <f>SUMIFS(Banco[valor],Banco[IdAgente],A15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15" s="138" t="e">
        <f t="shared" si="12"/>
        <v>#DIV/0!</v>
      </c>
      <c r="AG15" s="92">
        <f>SUMIFS(Banco[valor],Banco[IdAgente],A15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15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15" s="92">
        <f>SUMIFS(Banco[valor],Banco[IdAgente],A15,Banco[id_natureza_dado],1,Banco[id_detalhe_natureza],1,Banco[idDet1],51,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15" s="92">
        <f>SUMIFS(Banco[valor],Banco[IdAgente],A15,Banco[id_natureza_dado],1,Banco[id_detalhe_natureza],1,Banco[idDet1],51,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15" s="86">
        <f t="shared" si="14"/>
        <v>0</v>
      </c>
      <c r="AL15" s="158"/>
      <c r="AM15" s="122" t="s">
        <v>162</v>
      </c>
      <c r="AN15" s="330">
        <f>SUMIFS(Banco[valor],Banco[IdAgente],A15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15" s="330">
        <f>SUMIFS(Banco[valor],Banco[IdAgente],A15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15" s="330">
        <f>SUMIFS(Banco[valor],Banco[IdAgente],A15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15" s="331">
        <f>SUMIFS(Banco[valor],Banco[IdAgente],A15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15" s="331">
        <f>SUMIFS(Banco[valor],Banco[IdAgente],A15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15" s="331">
        <f>SUMIFS(Banco[valor],Banco[IdAgente],A15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15" s="332">
        <f>SUMIFS(Banco[valor],Banco[IdAgente],A15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15" s="331">
        <f>SUMIFS(Banco[valor],Banco[IdAgente],A15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15" s="333">
        <f t="shared" si="13"/>
        <v>0</v>
      </c>
      <c r="AW15" s="329"/>
      <c r="AX15" s="157">
        <f t="shared" si="15"/>
        <v>0</v>
      </c>
      <c r="BC15" s="397" t="s">
        <v>162</v>
      </c>
      <c r="BD15" s="398">
        <f t="shared" si="8"/>
        <v>0</v>
      </c>
      <c r="BE15" s="398">
        <f t="shared" si="9"/>
        <v>0</v>
      </c>
      <c r="BF15" s="398">
        <f>SUMIFS(Banco[valor],Banco[IdAgente],BA15,Banco[idDet1],50,Banco[idDet2],53,Banco[id_subgrupo],99,Banco[id_posto],9,Banco[id_unidade],2)</f>
        <v>0</v>
      </c>
      <c r="BG15" s="398">
        <f>SUMIFS(Banco[valor],Banco[IdAgente],BA15,Banco[idDet1],50,Banco[idDet2],53,Banco[id_subgrupo],99,Banco[id_posto],9,Banco[id_unidade],2)</f>
        <v>0</v>
      </c>
      <c r="BH15" s="398">
        <f>erro[[#This Row],[Despesa (R$)]]</f>
        <v>0</v>
      </c>
      <c r="BI15" s="398">
        <f>'Parcela B'!J16</f>
        <v>0</v>
      </c>
      <c r="BJ15" s="399">
        <f t="shared" si="10"/>
        <v>0</v>
      </c>
      <c r="BK15" s="400">
        <f>SUM(Apoio_Efeito!V14:BI14)</f>
        <v>0</v>
      </c>
      <c r="BL15" s="401">
        <f t="shared" si="11"/>
        <v>0</v>
      </c>
      <c r="BM15" s="17"/>
      <c r="BN15" s="32"/>
      <c r="BP15" s="355" t="s">
        <v>162</v>
      </c>
      <c r="BQ15" s="353">
        <f>SUMIFS(Banco[valor],Banco[IdAgente],A15,Banco[idDet1],50,Banco[id_subgrupo],99,Banco[id_posto],9,Banco[id_unidade],2)</f>
        <v>0</v>
      </c>
      <c r="BR15" s="353">
        <f>SUMIFS(Banco[valor],Banco[IdAgente],A15,Banco[idDet1],50,Banco[idDet2],52,Banco[idDet3],11,Banco[id_subgrupo],99,Banco[id_posto],9,Banco[id_unidade],2)</f>
        <v>0</v>
      </c>
      <c r="BS15" s="353">
        <f>SUMIFS(Banco[valor],Banco[IdAgente],A15,Banco[idDet1],50,Banco[idDet2],53,Banco[id_subgrupo],99,Banco[id_posto],9,Banco[id_unidade],2)</f>
        <v>0</v>
      </c>
      <c r="BT15" s="353">
        <f t="shared" si="5"/>
        <v>0</v>
      </c>
      <c r="BU15" s="354">
        <f>SUMIFS(Banco[valor],Banco[IdAgente],A15,Banco[id_natureza_dado],4,Banco[id_detalhe_natureza],1,Banco[idDet1],52,Banco[idDet2],106,Banco[id_subgrupo],99,Banco[id_posto],9,Banco[id_unidade],3)</f>
        <v>0</v>
      </c>
      <c r="BV15" s="356">
        <f>SUMIFS(Banco[valor],Banco[IdAgente],A15,Banco[idDet1],205,Banco[idDet2],350,Banco[idDet3],201,Banco[id_subgrupo],99,Banco[id_posto],9,Banco[id_unidade],99)</f>
        <v>0</v>
      </c>
    </row>
    <row r="16" spans="1:74" hidden="1">
      <c r="A16" s="255">
        <v>5353</v>
      </c>
      <c r="B16" t="str">
        <f>IFERROR(VLOOKUP(A16,CAPA!$C$12:$C$32,1,FALSE),"NO SELECT")</f>
        <v>NO SELECT</v>
      </c>
      <c r="C16" s="3" t="s">
        <v>55</v>
      </c>
      <c r="D16" s="137">
        <f>SUMIFS(Banco[valor],Banco[IdAgente],A16,Banco[idDet1],50,Banco[id_subgrupo],99,Banco[id_posto],9,Banco[id_unidade],2)</f>
        <v>0</v>
      </c>
      <c r="E16" s="137">
        <f>SUMIFS(Banco[valor],Banco[IdAgente],A16,Banco[idDet1],50,Banco[idDet2],51,Banco[id_subgrupo],99,Banco[id_posto],9,Banco[id_unidade],2)</f>
        <v>0</v>
      </c>
      <c r="F16" s="137">
        <f>SUMIFS(Banco[valor],Banco[IdAgente],A16,Banco[idDet1],50,Banco[idDet2],53,Banco[id_subgrupo],99,Banco[id_posto],9,Banco[id_unidade],2)</f>
        <v>0</v>
      </c>
      <c r="G16" s="137">
        <f>SUMIFS(Banco[valor],Banco[IdAgente],A16,Banco[idDet1],50,Banco[idDet2],53,Banco[id_subgrupo],99,Banco[id_posto],9,Banco[id_unidade],2)</f>
        <v>0</v>
      </c>
      <c r="H16" s="137">
        <f t="shared" si="6"/>
        <v>0</v>
      </c>
      <c r="I16" s="93">
        <f>SUMIFS(Banco[valor],Banco[IdAgente],A16,Banco[id_natureza_dado],4,Banco[id_detalhe_natureza],1,Banco[idDet1],52,Banco[idDet2],106,Banco[id_subgrupo],99,Banco[id_posto],9,Banco[id_unidade],3)</f>
        <v>0</v>
      </c>
      <c r="J16" s="16"/>
      <c r="K16" s="3" t="str">
        <f t="shared" si="0"/>
        <v>Cergal</v>
      </c>
      <c r="L16" s="92">
        <f>SUMIFS(Banco[valor],Banco[IdAgente],A16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16" s="92">
        <f>SUMIFS(Banco[valor],Banco[IdAgente],A16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16" s="85">
        <f>SUMIFS(Banco[valor],Banco[IdAgente],A16,Banco[id_natureza_dado],2,Banco[id_detalhe_natureza],1,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16" s="85">
        <f>SUMIFS(Banco[valor],Banco[IdAgente],A16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16" s="85">
        <f>SUMIFS(Banco[valor],Banco[IdAgente],A16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16" s="85">
        <f>SUMIFS(Banco[valor],Banco[IdAgente],A16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16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16" s="92">
        <f>SUMIFS(Banco[valor],Banco[IdAgente],A16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16" s="92">
        <f>SUMIFS(Banco[valor],Banco[IdAgente],A16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16" s="190">
        <f>SUMIFS(Banco[valor],Banco[IdAgente],A16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16" s="157">
        <f t="shared" si="1"/>
        <v>0</v>
      </c>
      <c r="V16" s="3" t="str">
        <f t="shared" si="2"/>
        <v>Cergal</v>
      </c>
      <c r="W16" s="92">
        <f>SUMIFS(Banco[valor],Banco[IdAgente],A16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16" s="92">
        <f>SUMIFS(Banco[valor],Banco[IdAgente],A16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16" s="85">
        <f>SUMIFS(Banco[valor],Banco[IdAgente],A16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16" s="92">
        <f>SUMIFS(Banco[valor],Banco[IdAgente],A16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16" s="86">
        <f t="shared" si="3"/>
        <v>0</v>
      </c>
      <c r="AC16" s="158"/>
      <c r="AD16" s="3" t="s">
        <v>55</v>
      </c>
      <c r="AE16" s="92">
        <f>SUMIFS(Banco[valor],Banco[IdAgente],A16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16" s="138" t="e">
        <f t="shared" si="12"/>
        <v>#DIV/0!</v>
      </c>
      <c r="AG16" s="92">
        <f>SUMIFS(Banco[valor],Banco[IdAgente],A16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16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16" s="92">
        <f>SUMIFS(Banco[valor],Banco[IdAgente],A16,Banco[id_natureza_dado],1,Banco[id_detalhe_natureza],1,Banco[idDet1],51,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16" s="92">
        <f>SUMIFS(Banco[valor],Banco[IdAgente],A16,Banco[id_natureza_dado],1,Banco[id_detalhe_natureza],1,Banco[idDet1],51,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16" s="86">
        <f t="shared" si="14"/>
        <v>0</v>
      </c>
      <c r="AL16" s="158"/>
      <c r="AM16" s="122" t="s">
        <v>55</v>
      </c>
      <c r="AN16" s="330">
        <f>SUMIFS(Banco[valor],Banco[IdAgente],A16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16" s="330">
        <f>SUMIFS(Banco[valor],Banco[IdAgente],A16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16" s="330">
        <f>SUMIFS(Banco[valor],Banco[IdAgente],A16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16" s="331">
        <f>SUMIFS(Banco[valor],Banco[IdAgente],A16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16" s="331">
        <f>SUMIFS(Banco[valor],Banco[IdAgente],A16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16" s="331">
        <f>SUMIFS(Banco[valor],Banco[IdAgente],A16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16" s="332">
        <f>SUMIFS(Banco[valor],Banco[IdAgente],A16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16" s="331">
        <f>SUMIFS(Banco[valor],Banco[IdAgente],A16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16" s="333">
        <f t="shared" si="13"/>
        <v>0</v>
      </c>
      <c r="AW16" s="329"/>
      <c r="AX16" s="157">
        <f t="shared" si="15"/>
        <v>0</v>
      </c>
      <c r="BC16" s="397" t="s">
        <v>55</v>
      </c>
      <c r="BD16" s="398">
        <f t="shared" si="8"/>
        <v>0</v>
      </c>
      <c r="BE16" s="398">
        <f t="shared" si="9"/>
        <v>0</v>
      </c>
      <c r="BF16" s="398">
        <f>SUMIFS(Banco[valor],Banco[IdAgente],BA16,Banco[idDet1],50,Banco[idDet2],53,Banco[id_subgrupo],99,Banco[id_posto],9,Banco[id_unidade],2)</f>
        <v>0</v>
      </c>
      <c r="BG16" s="398">
        <f>SUMIFS(Banco[valor],Banco[IdAgente],BA16,Banco[idDet1],50,Banco[idDet2],53,Banco[id_subgrupo],99,Banco[id_posto],9,Banco[id_unidade],2)</f>
        <v>0</v>
      </c>
      <c r="BH16" s="398">
        <f>erro[[#This Row],[Despesa (R$)]]</f>
        <v>0</v>
      </c>
      <c r="BI16" s="398">
        <f>'Parcela B'!J17</f>
        <v>0</v>
      </c>
      <c r="BJ16" s="399">
        <f t="shared" si="10"/>
        <v>0</v>
      </c>
      <c r="BK16" s="400">
        <f>SUM(Apoio_Efeito!V15:BI15)</f>
        <v>0</v>
      </c>
      <c r="BL16" s="401">
        <f t="shared" si="11"/>
        <v>0</v>
      </c>
      <c r="BM16" s="17"/>
      <c r="BN16" s="32"/>
      <c r="BP16" s="355" t="s">
        <v>55</v>
      </c>
      <c r="BQ16" s="353">
        <f>SUMIFS(Banco[valor],Banco[IdAgente],A16,Banco[idDet1],50,Banco[id_subgrupo],99,Banco[id_posto],9,Banco[id_unidade],2)</f>
        <v>0</v>
      </c>
      <c r="BR16" s="353">
        <f>SUMIFS(Banco[valor],Banco[IdAgente],A16,Banco[idDet1],50,Banco[idDet2],52,Banco[idDet3],11,Banco[id_subgrupo],99,Banco[id_posto],9,Banco[id_unidade],2)</f>
        <v>0</v>
      </c>
      <c r="BS16" s="353">
        <f>SUMIFS(Banco[valor],Banco[IdAgente],A16,Banco[idDet1],50,Banco[idDet2],53,Banco[id_subgrupo],99,Banco[id_posto],9,Banco[id_unidade],2)</f>
        <v>0</v>
      </c>
      <c r="BT16" s="353">
        <f t="shared" si="5"/>
        <v>0</v>
      </c>
      <c r="BU16" s="354">
        <f>SUMIFS(Banco[valor],Banco[IdAgente],A16,Banco[id_natureza_dado],4,Banco[id_detalhe_natureza],1,Banco[idDet1],52,Banco[idDet2],106,Banco[id_subgrupo],99,Banco[id_posto],9,Banco[id_unidade],3)</f>
        <v>0</v>
      </c>
      <c r="BV16" s="356">
        <f>SUMIFS(Banco[valor],Banco[IdAgente],A16,Banco[idDet1],205,Banco[idDet2],350,Banco[idDet3],201,Banco[id_subgrupo],99,Banco[id_posto],9,Banco[id_unidade],99)</f>
        <v>0</v>
      </c>
    </row>
    <row r="17" spans="1:74" hidden="1">
      <c r="A17" s="255">
        <v>5355</v>
      </c>
      <c r="B17" t="str">
        <f>IFERROR(VLOOKUP(A17,CAPA!$C$12:$C$32,1,FALSE),"NO SELECT")</f>
        <v>NO SELECT</v>
      </c>
      <c r="C17" s="3" t="s">
        <v>57</v>
      </c>
      <c r="D17" s="137">
        <f>SUMIFS(Banco[valor],Banco[IdAgente],A17,Banco[idDet1],50,Banco[id_subgrupo],99,Banco[id_posto],9,Banco[id_unidade],2)</f>
        <v>0</v>
      </c>
      <c r="E17" s="137">
        <f>SUMIFS(Banco[valor],Banco[IdAgente],A17,Banco[idDet1],50,Banco[idDet2],51,Banco[id_subgrupo],99,Banco[id_posto],9,Banco[id_unidade],2)</f>
        <v>0</v>
      </c>
      <c r="F17" s="137">
        <f>SUMIFS(Banco[valor],Banco[IdAgente],A17,Banco[idDet1],50,Banco[idDet2],53,Banco[id_subgrupo],99,Banco[id_posto],9,Banco[id_unidade],2)</f>
        <v>0</v>
      </c>
      <c r="G17" s="137">
        <f>SUMIFS(Banco[valor],Banco[IdAgente],A17,Banco[idDet1],50,Banco[idDet2],53,Banco[id_subgrupo],99,Banco[id_posto],9,Banco[id_unidade],2)</f>
        <v>0</v>
      </c>
      <c r="H17" s="137">
        <f t="shared" si="6"/>
        <v>0</v>
      </c>
      <c r="I17" s="93">
        <f>SUMIFS(Banco[valor],Banco[IdAgente],A17,Banco[id_natureza_dado],4,Banco[id_detalhe_natureza],1,Banco[idDet1],52,Banco[idDet2],106,Banco[id_subgrupo],99,Banco[id_posto],9,Banco[id_unidade],3)</f>
        <v>0</v>
      </c>
      <c r="J17" s="16"/>
      <c r="K17" s="3" t="str">
        <f t="shared" si="0"/>
        <v>Cergapa</v>
      </c>
      <c r="L17" s="92">
        <f>SUMIFS(Banco[valor],Banco[IdAgente],A17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17" s="92">
        <f>SUMIFS(Banco[valor],Banco[IdAgente],A17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17" s="85">
        <f>SUMIFS(Banco[valor],Banco[IdAgente],A17,Banco[id_natureza_dado],2,Banco[id_detalhe_natureza],1,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17" s="85">
        <f>SUMIFS(Banco[valor],Banco[IdAgente],A17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17" s="85">
        <f>SUMIFS(Banco[valor],Banco[IdAgente],A17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17" s="85">
        <f>SUMIFS(Banco[valor],Banco[IdAgente],A17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17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17" s="92">
        <f>SUMIFS(Banco[valor],Banco[IdAgente],A17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17" s="92">
        <f>SUMIFS(Banco[valor],Banco[IdAgente],A17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17" s="190">
        <f>SUMIFS(Banco[valor],Banco[IdAgente],A17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17" s="157">
        <f t="shared" si="1"/>
        <v>0</v>
      </c>
      <c r="V17" s="3" t="str">
        <f t="shared" si="2"/>
        <v>Cergapa</v>
      </c>
      <c r="W17" s="92">
        <f>SUMIFS(Banco[valor],Banco[IdAgente],A17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17" s="92">
        <f>SUMIFS(Banco[valor],Banco[IdAgente],A17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17" s="85">
        <f>SUMIFS(Banco[valor],Banco[IdAgente],A17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17" s="92">
        <f>SUMIFS(Banco[valor],Banco[IdAgente],A17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17" s="86">
        <f t="shared" si="3"/>
        <v>0</v>
      </c>
      <c r="AC17" s="158"/>
      <c r="AD17" s="3" t="s">
        <v>57</v>
      </c>
      <c r="AE17" s="92">
        <f>SUMIFS(Banco[valor],Banco[IdAgente],A17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17" s="138" t="e">
        <f t="shared" si="12"/>
        <v>#DIV/0!</v>
      </c>
      <c r="AG17" s="92">
        <f>SUMIFS(Banco[valor],Banco[IdAgente],A17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17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17" s="92">
        <f>SUMIFS(Banco[valor],Banco[IdAgente],A17,Banco[id_natureza_dado],1,Banco[id_detalhe_natureza],1,Banco[idDet1],51,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17" s="92">
        <f>SUMIFS(Banco[valor],Banco[IdAgente],A17,Banco[id_natureza_dado],1,Banco[id_detalhe_natureza],1,Banco[idDet1],51,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17" s="86">
        <f t="shared" si="14"/>
        <v>0</v>
      </c>
      <c r="AL17" s="158"/>
      <c r="AM17" s="122" t="s">
        <v>57</v>
      </c>
      <c r="AN17" s="330">
        <f>SUMIFS(Banco[valor],Banco[IdAgente],A17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17" s="330">
        <f>SUMIFS(Banco[valor],Banco[IdAgente],A17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17" s="330">
        <f>SUMIFS(Banco[valor],Banco[IdAgente],A17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17" s="331">
        <f>SUMIFS(Banco[valor],Banco[IdAgente],A17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17" s="331">
        <f>SUMIFS(Banco[valor],Banco[IdAgente],A17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17" s="331">
        <f>SUMIFS(Banco[valor],Banco[IdAgente],A17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17" s="332">
        <f>SUMIFS(Banco[valor],Banco[IdAgente],A17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17" s="331">
        <f>SUMIFS(Banco[valor],Banco[IdAgente],A17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17" s="333">
        <f t="shared" si="13"/>
        <v>0</v>
      </c>
      <c r="AW17" s="329"/>
      <c r="AX17" s="157">
        <f t="shared" si="15"/>
        <v>0</v>
      </c>
      <c r="BC17" s="397" t="s">
        <v>57</v>
      </c>
      <c r="BD17" s="398">
        <f t="shared" si="8"/>
        <v>0</v>
      </c>
      <c r="BE17" s="398">
        <f t="shared" si="9"/>
        <v>0</v>
      </c>
      <c r="BF17" s="398">
        <f>SUMIFS(Banco[valor],Banco[IdAgente],BA17,Banco[idDet1],50,Banco[idDet2],53,Banco[id_subgrupo],99,Banco[id_posto],9,Banco[id_unidade],2)</f>
        <v>0</v>
      </c>
      <c r="BG17" s="398">
        <f>SUMIFS(Banco[valor],Banco[IdAgente],BA17,Banco[idDet1],50,Banco[idDet2],53,Banco[id_subgrupo],99,Banco[id_posto],9,Banco[id_unidade],2)</f>
        <v>0</v>
      </c>
      <c r="BH17" s="398">
        <f>erro[[#This Row],[Despesa (R$)]]</f>
        <v>0</v>
      </c>
      <c r="BI17" s="398">
        <f>'Parcela B'!J18</f>
        <v>0</v>
      </c>
      <c r="BJ17" s="399">
        <f t="shared" si="10"/>
        <v>0</v>
      </c>
      <c r="BK17" s="400">
        <f>SUM(Apoio_Efeito!V16:BI16)</f>
        <v>0</v>
      </c>
      <c r="BL17" s="401">
        <f t="shared" si="11"/>
        <v>0</v>
      </c>
      <c r="BM17" s="17"/>
      <c r="BN17" s="32"/>
      <c r="BP17" s="355" t="s">
        <v>57</v>
      </c>
      <c r="BQ17" s="353">
        <f>SUMIFS(Banco[valor],Banco[IdAgente],A17,Banco[idDet1],50,Banco[id_subgrupo],99,Banco[id_posto],9,Banco[id_unidade],2)</f>
        <v>0</v>
      </c>
      <c r="BR17" s="353">
        <f>SUMIFS(Banco[valor],Banco[IdAgente],A17,Banco[idDet1],50,Banco[idDet2],52,Banco[idDet3],11,Banco[id_subgrupo],99,Banco[id_posto],9,Banco[id_unidade],2)</f>
        <v>0</v>
      </c>
      <c r="BS17" s="353">
        <f>SUMIFS(Banco[valor],Banco[IdAgente],A17,Banco[idDet1],50,Banco[idDet2],53,Banco[id_subgrupo],99,Banco[id_posto],9,Banco[id_unidade],2)</f>
        <v>0</v>
      </c>
      <c r="BT17" s="353">
        <f t="shared" si="5"/>
        <v>0</v>
      </c>
      <c r="BU17" s="354">
        <f>SUMIFS(Banco[valor],Banco[IdAgente],A17,Banco[id_natureza_dado],4,Banco[id_detalhe_natureza],1,Banco[idDet1],52,Banco[idDet2],106,Banco[id_subgrupo],99,Banco[id_posto],9,Banco[id_unidade],3)</f>
        <v>0</v>
      </c>
      <c r="BV17" s="356">
        <f>SUMIFS(Banco[valor],Banco[IdAgente],A17,Banco[idDet1],205,Banco[idDet2],350,Banco[idDet3],201,Banco[id_subgrupo],99,Banco[id_posto],9,Banco[id_unidade],99)</f>
        <v>0</v>
      </c>
    </row>
    <row r="18" spans="1:74" hidden="1">
      <c r="A18" s="255">
        <v>5363</v>
      </c>
      <c r="B18" t="str">
        <f>IFERROR(VLOOKUP(A18,CAPA!$C$12:$C$32,1,FALSE),"NO SELECT")</f>
        <v>NO SELECT</v>
      </c>
      <c r="C18" s="3" t="s">
        <v>58</v>
      </c>
      <c r="D18" s="137">
        <f>SUMIFS(Banco[valor],Banco[IdAgente],A18,Banco[idDet1],50,Banco[id_subgrupo],99,Banco[id_posto],9,Banco[id_unidade],2)</f>
        <v>0</v>
      </c>
      <c r="E18" s="137">
        <f>SUMIFS(Banco[valor],Banco[IdAgente],A18,Banco[idDet1],50,Banco[idDet2],51,Banco[id_subgrupo],99,Banco[id_posto],9,Banco[id_unidade],2)</f>
        <v>0</v>
      </c>
      <c r="F18" s="137">
        <f>SUMIFS(Banco[valor],Banco[IdAgente],A18,Banco[idDet1],50,Banco[idDet2],53,Banco[id_subgrupo],99,Banco[id_posto],9,Banco[id_unidade],2)</f>
        <v>0</v>
      </c>
      <c r="G18" s="137">
        <f>SUMIFS(Banco[valor],Banco[IdAgente],A18,Banco[idDet1],50,Banco[idDet2],53,Banco[id_subgrupo],99,Banco[id_posto],9,Banco[id_unidade],2)</f>
        <v>0</v>
      </c>
      <c r="H18" s="137">
        <f t="shared" si="6"/>
        <v>0</v>
      </c>
      <c r="I18" s="93">
        <f>SUMIFS(Banco[valor],Banco[IdAgente],A18,Banco[id_natureza_dado],4,Banco[id_detalhe_natureza],1,Banco[idDet1],52,Banco[idDet2],106,Banco[id_subgrupo],99,Banco[id_posto],9,Banco[id_unidade],3)</f>
        <v>0</v>
      </c>
      <c r="J18" s="16"/>
      <c r="K18" s="3" t="str">
        <f t="shared" si="0"/>
        <v>Cergral</v>
      </c>
      <c r="L18" s="92">
        <f>SUMIFS(Banco[valor],Banco[IdAgente],A18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18" s="92">
        <f>SUMIFS(Banco[valor],Banco[IdAgente],A18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18" s="85">
        <f>SUMIFS(Banco[valor],Banco[IdAgente],A18,Banco[id_natureza_dado],2,Banco[id_detalhe_natureza],1,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18" s="85">
        <f>SUMIFS(Banco[valor],Banco[IdAgente],A18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18" s="85">
        <f>SUMIFS(Banco[valor],Banco[IdAgente],A18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18" s="85">
        <f>SUMIFS(Banco[valor],Banco[IdAgente],A18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18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18" s="92">
        <f>SUMIFS(Banco[valor],Banco[IdAgente],A18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18" s="92">
        <f>SUMIFS(Banco[valor],Banco[IdAgente],A18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18" s="190">
        <f>SUMIFS(Banco[valor],Banco[IdAgente],A18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18" s="157">
        <f t="shared" si="1"/>
        <v>0</v>
      </c>
      <c r="V18" s="3" t="str">
        <f t="shared" si="2"/>
        <v>Cergral</v>
      </c>
      <c r="W18" s="92">
        <f>SUMIFS(Banco[valor],Banco[IdAgente],A18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18" s="92">
        <f>SUMIFS(Banco[valor],Banco[IdAgente],A18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18" s="85">
        <f>SUMIFS(Banco[valor],Banco[IdAgente],A18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18" s="92">
        <f>SUMIFS(Banco[valor],Banco[IdAgente],A18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18" s="86">
        <f t="shared" si="3"/>
        <v>0</v>
      </c>
      <c r="AC18" s="158"/>
      <c r="AD18" s="3" t="s">
        <v>58</v>
      </c>
      <c r="AE18" s="92">
        <f>SUMIFS(Banco[valor],Banco[IdAgente],A18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18" s="138" t="e">
        <f t="shared" si="12"/>
        <v>#DIV/0!</v>
      </c>
      <c r="AG18" s="92">
        <f>SUMIFS(Banco[valor],Banco[IdAgente],A18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18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18" s="92">
        <f>SUMIFS(Banco[valor],Banco[IdAgente],A18,Banco[id_natureza_dado],1,Banco[id_detalhe_natureza],1,Banco[idDet1],51,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18" s="92">
        <f>SUMIFS(Banco[valor],Banco[IdAgente],A18,Banco[id_natureza_dado],1,Banco[id_detalhe_natureza],1,Banco[idDet1],51,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18" s="86">
        <f>AE18+AG18+AH18+AI18</f>
        <v>0</v>
      </c>
      <c r="AL18" s="158"/>
      <c r="AM18" s="122" t="s">
        <v>58</v>
      </c>
      <c r="AN18" s="330">
        <f>SUMIFS(Banco[valor],Banco[IdAgente],A18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18" s="330">
        <f>SUMIFS(Banco[valor],Banco[IdAgente],A18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18" s="330">
        <f>SUMIFS(Banco[valor],Banco[IdAgente],A18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18" s="331">
        <f>SUMIFS(Banco[valor],Banco[IdAgente],A18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18" s="331">
        <f>SUMIFS(Banco[valor],Banco[IdAgente],A18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18" s="331">
        <f>SUMIFS(Banco[valor],Banco[IdAgente],A18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18" s="332">
        <f>SUMIFS(Banco[valor],Banco[IdAgente],A18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18" s="331">
        <f>SUMIFS(Banco[valor],Banco[IdAgente],A18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18" s="333">
        <f t="shared" si="13"/>
        <v>0</v>
      </c>
      <c r="AW18" s="329"/>
      <c r="AX18" s="157">
        <f t="shared" si="15"/>
        <v>0</v>
      </c>
      <c r="BC18" s="397" t="s">
        <v>58</v>
      </c>
      <c r="BD18" s="398">
        <f t="shared" si="8"/>
        <v>0</v>
      </c>
      <c r="BE18" s="398">
        <f t="shared" si="9"/>
        <v>0</v>
      </c>
      <c r="BF18" s="398">
        <f>SUMIFS(Banco[valor],Banco[IdAgente],BA18,Banco[idDet1],50,Banco[idDet2],53,Banco[id_subgrupo],99,Banco[id_posto],9,Banco[id_unidade],2)</f>
        <v>0</v>
      </c>
      <c r="BG18" s="398">
        <f>SUMIFS(Banco[valor],Banco[IdAgente],BA18,Banco[idDet1],50,Banco[idDet2],53,Banco[id_subgrupo],99,Banco[id_posto],9,Banco[id_unidade],2)</f>
        <v>0</v>
      </c>
      <c r="BH18" s="398">
        <f>erro[[#This Row],[Despesa (R$)]]</f>
        <v>0</v>
      </c>
      <c r="BI18" s="398">
        <f>'Parcela B'!J19</f>
        <v>0</v>
      </c>
      <c r="BJ18" s="399">
        <f t="shared" si="10"/>
        <v>0</v>
      </c>
      <c r="BK18" s="400">
        <f>SUM(Apoio_Efeito!V17:BI17)</f>
        <v>0</v>
      </c>
      <c r="BL18" s="401">
        <f t="shared" si="11"/>
        <v>0</v>
      </c>
      <c r="BM18" s="17"/>
      <c r="BN18" s="32"/>
      <c r="BP18" s="355" t="s">
        <v>58</v>
      </c>
      <c r="BQ18" s="353">
        <f>SUMIFS(Banco[valor],Banco[IdAgente],A18,Banco[idDet1],50,Banco[id_subgrupo],99,Banco[id_posto],9,Banco[id_unidade],2)</f>
        <v>0</v>
      </c>
      <c r="BR18" s="353">
        <f>SUMIFS(Banco[valor],Banco[IdAgente],A18,Banco[idDet1],50,Banco[idDet2],52,Banco[idDet3],11,Banco[id_subgrupo],99,Banco[id_posto],9,Banco[id_unidade],2)</f>
        <v>0</v>
      </c>
      <c r="BS18" s="353">
        <f>SUMIFS(Banco[valor],Banco[IdAgente],A18,Banco[idDet1],50,Banco[idDet2],53,Banco[id_subgrupo],99,Banco[id_posto],9,Banco[id_unidade],2)</f>
        <v>0</v>
      </c>
      <c r="BT18" s="353">
        <f t="shared" si="5"/>
        <v>0</v>
      </c>
      <c r="BU18" s="354">
        <f>SUMIFS(Banco[valor],Banco[IdAgente],A18,Banco[id_natureza_dado],4,Banco[id_detalhe_natureza],1,Banco[idDet1],52,Banco[idDet2],106,Banco[id_subgrupo],99,Banco[id_posto],9,Banco[id_unidade],3)</f>
        <v>0</v>
      </c>
      <c r="BV18" s="356">
        <f>SUMIFS(Banco[valor],Banco[IdAgente],A18,Banco[idDet1],205,Banco[idDet2],350,Banco[idDet3],201,Banco[id_subgrupo],99,Banco[id_posto],9,Banco[id_unidade],99)</f>
        <v>0</v>
      </c>
    </row>
    <row r="19" spans="1:74" hidden="1">
      <c r="A19" s="255">
        <v>2763</v>
      </c>
      <c r="B19" t="str">
        <f>IFERROR(VLOOKUP(A19,CAPA!$C$12:$C$32,1,FALSE),"NO SELECT")</f>
        <v>NO SELECT</v>
      </c>
      <c r="C19" s="3" t="s">
        <v>165</v>
      </c>
      <c r="D19" s="137">
        <f>SUMIFS(Banco[valor],Banco[IdAgente],A19,Banco[idDet1],50,Banco[id_subgrupo],99,Banco[id_posto],9,Banco[id_unidade],2)</f>
        <v>0</v>
      </c>
      <c r="E19" s="137">
        <f>SUMIFS(Banco[valor],Banco[IdAgente],A19,Banco[idDet1],50,Banco[idDet2],51,Banco[id_subgrupo],99,Banco[id_posto],9,Banco[id_unidade],2)</f>
        <v>0</v>
      </c>
      <c r="F19" s="137">
        <f>SUMIFS(Banco[valor],Banco[IdAgente],A19,Banco[idDet1],50,Banco[idDet2],53,Banco[id_subgrupo],99,Banco[id_posto],9,Banco[id_unidade],2)</f>
        <v>0</v>
      </c>
      <c r="G19" s="137">
        <f>SUMIFS(Banco[valor],Banco[IdAgente],A19,Banco[idDet1],50,Banco[idDet2],53,Banco[id_subgrupo],99,Banco[id_posto],9,Banco[id_unidade],2)</f>
        <v>0</v>
      </c>
      <c r="H19" s="137">
        <f t="shared" si="6"/>
        <v>0</v>
      </c>
      <c r="I19" s="93">
        <f>SUMIFS(Banco[valor],Banco[IdAgente],A19,Banco[id_natureza_dado],4,Banco[id_detalhe_natureza],1,Banco[idDet1],52,Banco[idDet2],106,Banco[id_subgrupo],99,Banco[id_posto],9,Banco[id_unidade],3)</f>
        <v>0</v>
      </c>
      <c r="J19" s="16"/>
      <c r="K19" s="3" t="str">
        <f t="shared" si="0"/>
        <v>Ceriluz</v>
      </c>
      <c r="L19" s="92">
        <f>SUMIFS(Banco[valor],Banco[IdAgente],A19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19" s="92">
        <f>SUMIFS(Banco[valor],Banco[IdAgente],A19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19" s="85">
        <f>SUMIFS(Banco[valor],Banco[IdAgente],A19,Banco[id_natureza_dado],2,Banco[id_detalhe_natureza],1,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19" s="85">
        <f>SUMIFS(Banco[valor],Banco[IdAgente],A19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19" s="85">
        <f>SUMIFS(Banco[valor],Banco[IdAgente],A19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19" s="85">
        <f>SUMIFS(Banco[valor],Banco[IdAgente],A19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19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19" s="92">
        <f>SUMIFS(Banco[valor],Banco[IdAgente],A19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19" s="92">
        <f>SUMIFS(Banco[valor],Banco[IdAgente],A19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19" s="190">
        <f>SUMIFS(Banco[valor],Banco[IdAgente],A19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19" s="157">
        <f t="shared" si="1"/>
        <v>0</v>
      </c>
      <c r="V19" s="3" t="str">
        <f t="shared" si="2"/>
        <v>Ceriluz</v>
      </c>
      <c r="W19" s="92">
        <f>SUMIFS(Banco[valor],Banco[IdAgente],A19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19" s="92">
        <f>SUMIFS(Banco[valor],Banco[IdAgente],A19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19" s="85">
        <f>SUMIFS(Banco[valor],Banco[IdAgente],A19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19" s="92">
        <f>SUMIFS(Banco[valor],Banco[IdAgente],A19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19" s="86">
        <f>SUM(W19:Z19)</f>
        <v>0</v>
      </c>
      <c r="AC19" s="158"/>
      <c r="AD19" s="3" t="s">
        <v>165</v>
      </c>
      <c r="AE19" s="92">
        <f>SUMIFS(Banco[valor],Banco[IdAgente],A19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19" s="138" t="e">
        <f t="shared" si="12"/>
        <v>#DIV/0!</v>
      </c>
      <c r="AG19" s="92">
        <f>SUMIFS(Banco[valor],Banco[IdAgente],A19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19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19" s="92">
        <f>SUMIFS(Banco[valor],Banco[IdAgente],A19,Banco[id_natureza_dado],1,Banco[id_detalhe_natureza],1,Banco[idDet1],51,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19" s="92">
        <f>SUMIFS(Banco[valor],Banco[IdAgente],A19,Banco[id_natureza_dado],1,Banco[id_detalhe_natureza],1,Banco[idDet1],51,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19" s="86">
        <f t="shared" si="14"/>
        <v>0</v>
      </c>
      <c r="AL19" s="158"/>
      <c r="AM19" s="122" t="s">
        <v>165</v>
      </c>
      <c r="AN19" s="330">
        <f>SUMIFS(Banco[valor],Banco[IdAgente],A19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19" s="330">
        <f>SUMIFS(Banco[valor],Banco[IdAgente],A19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19" s="330">
        <f>SUMIFS(Banco[valor],Banco[IdAgente],A19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19" s="331">
        <f>SUMIFS(Banco[valor],Banco[IdAgente],A19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19" s="331">
        <f>SUMIFS(Banco[valor],Banco[IdAgente],A19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19" s="331">
        <f>SUMIFS(Banco[valor],Banco[IdAgente],A19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19" s="332">
        <f>SUMIFS(Banco[valor],Banco[IdAgente],A19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19" s="331">
        <f>SUMIFS(Banco[valor],Banco[IdAgente],A19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19" s="333">
        <f t="shared" si="13"/>
        <v>0</v>
      </c>
      <c r="AW19" s="329"/>
      <c r="AX19" s="157">
        <f t="shared" si="15"/>
        <v>0</v>
      </c>
      <c r="BC19" s="397" t="s">
        <v>165</v>
      </c>
      <c r="BD19" s="398">
        <f t="shared" si="8"/>
        <v>0</v>
      </c>
      <c r="BE19" s="398">
        <f t="shared" si="9"/>
        <v>0</v>
      </c>
      <c r="BF19" s="398">
        <f>SUMIFS(Banco[valor],Banco[IdAgente],BA19,Banco[idDet1],50,Banco[idDet2],53,Banco[id_subgrupo],99,Banco[id_posto],9,Banco[id_unidade],2)</f>
        <v>0</v>
      </c>
      <c r="BG19" s="398">
        <f>SUMIFS(Banco[valor],Banco[IdAgente],BA19,Banco[idDet1],50,Banco[idDet2],53,Banco[id_subgrupo],99,Banco[id_posto],9,Banco[id_unidade],2)</f>
        <v>0</v>
      </c>
      <c r="BH19" s="398">
        <f>erro[[#This Row],[Despesa (R$)]]</f>
        <v>0</v>
      </c>
      <c r="BI19" s="398">
        <f>'Parcela B'!J20</f>
        <v>0</v>
      </c>
      <c r="BJ19" s="399">
        <f t="shared" si="10"/>
        <v>0</v>
      </c>
      <c r="BK19" s="400">
        <f>SUM(Apoio_Efeito!V18:BI18)</f>
        <v>0</v>
      </c>
      <c r="BL19" s="401">
        <f t="shared" si="11"/>
        <v>0</v>
      </c>
      <c r="BM19" s="17">
        <v>77773931.401289999</v>
      </c>
      <c r="BN19" s="32">
        <f>IF(BM19&gt;BL19,0,BL19-BM19)</f>
        <v>0</v>
      </c>
      <c r="BP19" s="355" t="s">
        <v>165</v>
      </c>
      <c r="BQ19" s="353">
        <f>SUMIFS(Banco[valor],Banco[IdAgente],A19,Banco[idDet1],50,Banco[id_subgrupo],99,Banco[id_posto],9,Banco[id_unidade],2)</f>
        <v>0</v>
      </c>
      <c r="BR19" s="353">
        <f>SUMIFS(Banco[valor],Banco[IdAgente],A19,Banco[idDet1],50,Banco[idDet2],52,Banco[idDet3],11,Banco[id_subgrupo],99,Banco[id_posto],9,Banco[id_unidade],2)</f>
        <v>0</v>
      </c>
      <c r="BS19" s="353">
        <f>SUMIFS(Banco[valor],Banco[IdAgente],A19,Banco[idDet1],50,Banco[idDet2],53,Banco[id_subgrupo],99,Banco[id_posto],9,Banco[id_unidade],2)</f>
        <v>0</v>
      </c>
      <c r="BT19" s="353">
        <f t="shared" si="5"/>
        <v>0</v>
      </c>
      <c r="BU19" s="354">
        <f>SUMIFS(Banco[valor],Banco[IdAgente],A19,Banco[id_natureza_dado],4,Banco[id_detalhe_natureza],1,Banco[idDet1],52,Banco[idDet2],106,Banco[id_subgrupo],99,Banco[id_posto],9,Banco[id_unidade],3)</f>
        <v>0</v>
      </c>
      <c r="BV19" s="356">
        <f>SUMIFS(Banco[valor],Banco[IdAgente],A19,Banco[idDet1],205,Banco[idDet2],350,Banco[idDet3],201,Banco[id_subgrupo],99,Banco[id_posto],9,Banco[id_unidade],99)</f>
        <v>0</v>
      </c>
    </row>
    <row r="20" spans="1:74" hidden="1">
      <c r="A20" s="255">
        <v>5386</v>
      </c>
      <c r="B20" t="str">
        <f>IFERROR(VLOOKUP(A20,CAPA!$C$12:$C$32,1,FALSE),"NO SELECT")</f>
        <v>NO SELECT</v>
      </c>
      <c r="C20" s="3" t="s">
        <v>168</v>
      </c>
      <c r="D20" s="137">
        <f>SUMIFS(Banco[valor],Banco[IdAgente],A20,Banco[idDet1],50,Banco[id_subgrupo],99,Banco[id_posto],9,Banco[id_unidade],2)</f>
        <v>0</v>
      </c>
      <c r="E20" s="137">
        <f>SUMIFS(Banco[valor],Banco[IdAgente],A20,Banco[idDet1],50,Banco[idDet2],51,Banco[id_subgrupo],99,Banco[id_posto],9,Banco[id_unidade],2)</f>
        <v>0</v>
      </c>
      <c r="F20" s="137">
        <f>SUMIFS(Banco[valor],Banco[IdAgente],A20,Banco[idDet1],50,Banco[idDet2],53,Banco[id_subgrupo],99,Banco[id_posto],9,Banco[id_unidade],2)</f>
        <v>0</v>
      </c>
      <c r="G20" s="137">
        <f>SUMIFS(Banco[valor],Banco[IdAgente],A20,Banco[idDet1],50,Banco[idDet2],53,Banco[id_subgrupo],99,Banco[id_posto],9,Banco[id_unidade],2)</f>
        <v>0</v>
      </c>
      <c r="H20" s="137">
        <f t="shared" si="6"/>
        <v>0</v>
      </c>
      <c r="I20" s="93">
        <f>SUMIFS(Banco[valor],Banco[IdAgente],A20,Banco[id_natureza_dado],4,Banco[id_detalhe_natureza],1,Banco[idDet1],52,Banco[idDet2],106,Banco[id_subgrupo],99,Banco[id_posto],9,Banco[id_unidade],3)</f>
        <v>0</v>
      </c>
      <c r="J20" s="16"/>
      <c r="K20" s="3" t="str">
        <f t="shared" si="0"/>
        <v>Cerim</v>
      </c>
      <c r="L20" s="92">
        <f>SUMIFS(Banco[valor],Banco[IdAgente],A20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20" s="92">
        <f>SUMIFS(Banco[valor],Banco[IdAgente],A20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20" s="85">
        <f>SUMIFS(Banco[valor],Banco[IdAgente],A20,Banco[id_natureza_dado],2,Banco[id_detalhe_natureza],1,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20" s="85">
        <f>SUMIFS(Banco[valor],Banco[IdAgente],A20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20" s="85">
        <f>SUMIFS(Banco[valor],Banco[IdAgente],A20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20" s="85">
        <f>SUMIFS(Banco[valor],Banco[IdAgente],A20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20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20" s="92">
        <f>SUMIFS(Banco[valor],Banco[IdAgente],A20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20" s="92">
        <f>SUMIFS(Banco[valor],Banco[IdAgente],A20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20" s="190">
        <f>SUMIFS(Banco[valor],Banco[IdAgente],A20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20" s="157">
        <f t="shared" si="1"/>
        <v>0</v>
      </c>
      <c r="V20" s="3" t="str">
        <f t="shared" si="2"/>
        <v>Cerim</v>
      </c>
      <c r="W20" s="92">
        <f>SUMIFS(Banco[valor],Banco[IdAgente],A20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20" s="92">
        <f>SUMIFS(Banco[valor],Banco[IdAgente],A20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20" s="85">
        <f>SUMIFS(Banco[valor],Banco[IdAgente],A20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20" s="92">
        <f>SUMIFS(Banco[valor],Banco[IdAgente],A20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20" s="86">
        <f t="shared" si="3"/>
        <v>0</v>
      </c>
      <c r="AC20" s="158"/>
      <c r="AD20" s="3" t="s">
        <v>168</v>
      </c>
      <c r="AE20" s="92">
        <f>SUMIFS(Banco[valor],Banco[IdAgente],A20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20" s="138" t="e">
        <f t="shared" si="12"/>
        <v>#DIV/0!</v>
      </c>
      <c r="AG20" s="92">
        <f>SUMIFS(Banco[valor],Banco[IdAgente],A20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20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20" s="92">
        <f>SUMIFS(Banco[valor],Banco[IdAgente],A20,Banco[id_natureza_dado],1,Banco[id_detalhe_natureza],1,Banco[idDet1],51,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20" s="92">
        <f>SUMIFS(Banco[valor],Banco[IdAgente],A20,Banco[id_natureza_dado],1,Banco[id_detalhe_natureza],1,Banco[idDet1],51,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20" s="86">
        <f>AE20+AG20+AH20+AI20</f>
        <v>0</v>
      </c>
      <c r="AL20" s="158"/>
      <c r="AM20" s="122" t="s">
        <v>168</v>
      </c>
      <c r="AN20" s="330">
        <f>SUMIFS(Banco[valor],Banco[IdAgente],A20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20" s="330">
        <f>SUMIFS(Banco[valor],Banco[IdAgente],A20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20" s="330">
        <f>SUMIFS(Banco[valor],Banco[IdAgente],A20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20" s="331">
        <f>SUMIFS(Banco[valor],Banco[IdAgente],A20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20" s="331">
        <f>SUMIFS(Banco[valor],Banco[IdAgente],A20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20" s="331">
        <f>SUMIFS(Banco[valor],Banco[IdAgente],A20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20" s="332">
        <f>SUMIFS(Banco[valor],Banco[IdAgente],A20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20" s="331">
        <f>SUMIFS(Banco[valor],Banco[IdAgente],A20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20" s="333">
        <f t="shared" si="13"/>
        <v>0</v>
      </c>
      <c r="AW20" s="329"/>
      <c r="AX20" s="157">
        <f t="shared" si="15"/>
        <v>0</v>
      </c>
      <c r="BC20" s="397" t="s">
        <v>168</v>
      </c>
      <c r="BD20" s="398">
        <f t="shared" si="8"/>
        <v>0</v>
      </c>
      <c r="BE20" s="398">
        <f t="shared" si="9"/>
        <v>0</v>
      </c>
      <c r="BF20" s="398">
        <f>SUMIFS(Banco[valor],Banco[IdAgente],BA20,Banco[idDet1],50,Banco[idDet2],53,Banco[id_subgrupo],99,Banco[id_posto],9,Banco[id_unidade],2)</f>
        <v>0</v>
      </c>
      <c r="BG20" s="398">
        <f>SUMIFS(Banco[valor],Banco[IdAgente],BA20,Banco[idDet1],50,Banco[idDet2],53,Banco[id_subgrupo],99,Banco[id_posto],9,Banco[id_unidade],2)</f>
        <v>0</v>
      </c>
      <c r="BH20" s="398">
        <f>erro[[#This Row],[Despesa (R$)]]</f>
        <v>0</v>
      </c>
      <c r="BI20" s="398">
        <f>'Parcela B'!J21</f>
        <v>0</v>
      </c>
      <c r="BJ20" s="399">
        <f t="shared" si="10"/>
        <v>0</v>
      </c>
      <c r="BK20" s="400">
        <f>SUM(Apoio_Efeito!V19:BI19)</f>
        <v>0</v>
      </c>
      <c r="BL20" s="401">
        <f t="shared" si="11"/>
        <v>0</v>
      </c>
      <c r="BM20" s="17"/>
      <c r="BN20" s="32">
        <f t="shared" ref="BN20:BN52" si="16">IF(BM20&gt;BL20,0,BL20-BM20)</f>
        <v>0</v>
      </c>
      <c r="BP20" s="355" t="s">
        <v>168</v>
      </c>
      <c r="BQ20" s="353">
        <f>SUMIFS(Banco[valor],Banco[IdAgente],A20,Banco[idDet1],50,Banco[id_subgrupo],99,Banco[id_posto],9,Banco[id_unidade],2)</f>
        <v>0</v>
      </c>
      <c r="BR20" s="353">
        <f>SUMIFS(Banco[valor],Banco[IdAgente],A20,Banco[idDet1],50,Banco[idDet2],52,Banco[idDet3],11,Banco[id_subgrupo],99,Banco[id_posto],9,Banco[id_unidade],2)</f>
        <v>0</v>
      </c>
      <c r="BS20" s="353">
        <f>SUMIFS(Banco[valor],Banco[IdAgente],A20,Banco[idDet1],50,Banco[idDet2],53,Banco[id_subgrupo],99,Banco[id_posto],9,Banco[id_unidade],2)</f>
        <v>0</v>
      </c>
      <c r="BT20" s="353">
        <f t="shared" si="5"/>
        <v>0</v>
      </c>
      <c r="BU20" s="354">
        <f>SUMIFS(Banco[valor],Banco[IdAgente],A20,Banco[id_natureza_dado],4,Banco[id_detalhe_natureza],1,Banco[idDet1],52,Banco[idDet2],106,Banco[id_subgrupo],99,Banco[id_posto],9,Banco[id_unidade],3)</f>
        <v>0</v>
      </c>
      <c r="BV20" s="356">
        <f>SUMIFS(Banco[valor],Banco[IdAgente],A20,Banco[idDet1],205,Banco[idDet2],350,Banco[idDet3],201,Banco[id_subgrupo],99,Banco[id_posto],9,Banco[id_unidade],99)</f>
        <v>0</v>
      </c>
    </row>
    <row r="21" spans="1:74" hidden="1">
      <c r="A21" s="255">
        <v>5378</v>
      </c>
      <c r="B21" t="str">
        <f>IFERROR(VLOOKUP(A21,CAPA!$C$12:$C$32,1,FALSE),"NO SELECT")</f>
        <v>NO SELECT</v>
      </c>
      <c r="C21" s="3" t="s">
        <v>171</v>
      </c>
      <c r="D21" s="137">
        <f>SUMIFS(Banco[valor],Banco[IdAgente],A21,Banco[idDet1],50,Banco[id_subgrupo],99,Banco[id_posto],9,Banco[id_unidade],2)</f>
        <v>0</v>
      </c>
      <c r="E21" s="137">
        <f>SUMIFS(Banco[valor],Banco[IdAgente],A21,Banco[idDet1],50,Banco[idDet2],51,Banco[id_subgrupo],99,Banco[id_posto],9,Banco[id_unidade],2)</f>
        <v>0</v>
      </c>
      <c r="F21" s="137">
        <f>SUMIFS(Banco[valor],Banco[IdAgente],A21,Banco[idDet1],50,Banco[idDet2],53,Banco[id_subgrupo],99,Banco[id_posto],9,Banco[id_unidade],2)</f>
        <v>0</v>
      </c>
      <c r="G21" s="137">
        <f>SUMIFS(Banco[valor],Banco[IdAgente],A21,Banco[idDet1],50,Banco[idDet2],53,Banco[id_subgrupo],99,Banco[id_posto],9,Banco[id_unidade],2)</f>
        <v>0</v>
      </c>
      <c r="H21" s="137">
        <f t="shared" si="6"/>
        <v>0</v>
      </c>
      <c r="I21" s="93">
        <f>SUMIFS(Banco[valor],Banco[IdAgente],A21,Banco[id_natureza_dado],4,Banco[id_detalhe_natureza],1,Banco[idDet1],52,Banco[idDet2],106,Banco[id_subgrupo],99,Banco[id_posto],9,Banco[id_unidade],3)</f>
        <v>0</v>
      </c>
      <c r="J21" s="16"/>
      <c r="K21" s="3" t="str">
        <f t="shared" si="0"/>
        <v>Ceripa</v>
      </c>
      <c r="L21" s="92">
        <f>SUMIFS(Banco[valor],Banco[IdAgente],A21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21" s="92">
        <f>SUMIFS(Banco[valor],Banco[IdAgente],A21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21" s="85">
        <f>SUMIFS(Banco[valor],Banco[IdAgente],A21,Banco[id_natureza_dado],2,Banco[id_detalhe_natureza],1,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21" s="85">
        <f>SUMIFS(Banco[valor],Banco[IdAgente],A21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21" s="85">
        <f>SUMIFS(Banco[valor],Banco[IdAgente],A21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21" s="85">
        <f>SUMIFS(Banco[valor],Banco[IdAgente],A21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21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21" s="92">
        <f>SUMIFS(Banco[valor],Banco[IdAgente],A21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21" s="92">
        <f>SUMIFS(Banco[valor],Banco[IdAgente],A21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21" s="190">
        <f>SUMIFS(Banco[valor],Banco[IdAgente],A21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21" s="157">
        <f t="shared" si="1"/>
        <v>0</v>
      </c>
      <c r="V21" s="3" t="str">
        <f t="shared" si="2"/>
        <v>Ceripa</v>
      </c>
      <c r="W21" s="92">
        <f>SUMIFS(Banco[valor],Banco[IdAgente],A21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21" s="92">
        <f>SUMIFS(Banco[valor],Banco[IdAgente],A21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21" s="85">
        <f>SUMIFS(Banco[valor],Banco[IdAgente],A21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21" s="92">
        <f>SUMIFS(Banco[valor],Banco[IdAgente],A21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21" s="86">
        <f t="shared" si="3"/>
        <v>0</v>
      </c>
      <c r="AC21" s="158"/>
      <c r="AD21" s="3" t="s">
        <v>171</v>
      </c>
      <c r="AE21" s="92">
        <f>SUMIFS(Banco[valor],Banco[IdAgente],A21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21" s="138" t="e">
        <f t="shared" si="12"/>
        <v>#DIV/0!</v>
      </c>
      <c r="AG21" s="92">
        <f>SUMIFS(Banco[valor],Banco[IdAgente],A21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21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21" s="92">
        <f>SUMIFS(Banco[valor],Banco[IdAgente],A21,Banco[id_natureza_dado],1,Banco[id_detalhe_natureza],1,Banco[idDet1],51,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21" s="92">
        <f>SUMIFS(Banco[valor],Banco[IdAgente],A21,Banco[id_natureza_dado],1,Banco[id_detalhe_natureza],1,Banco[idDet1],51,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21" s="86">
        <f t="shared" si="14"/>
        <v>0</v>
      </c>
      <c r="AL21" s="158"/>
      <c r="AM21" s="122" t="s">
        <v>171</v>
      </c>
      <c r="AN21" s="330">
        <f>SUMIFS(Banco[valor],Banco[IdAgente],A21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21" s="330">
        <f>SUMIFS(Banco[valor],Banco[IdAgente],A21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21" s="330">
        <f>SUMIFS(Banco[valor],Banco[IdAgente],A21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21" s="331">
        <f>SUMIFS(Banco[valor],Banco[IdAgente],A21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21" s="331">
        <f>SUMIFS(Banco[valor],Banco[IdAgente],A21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21" s="331">
        <f>SUMIFS(Banco[valor],Banco[IdAgente],A21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21" s="332">
        <f>SUMIFS(Banco[valor],Banco[IdAgente],A21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21" s="331">
        <f>SUMIFS(Banco[valor],Banco[IdAgente],A21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21" s="333">
        <f>AT21*AU21</f>
        <v>0</v>
      </c>
      <c r="AW21" s="329"/>
      <c r="AX21" s="157">
        <f t="shared" si="15"/>
        <v>0</v>
      </c>
      <c r="BC21" s="397" t="s">
        <v>171</v>
      </c>
      <c r="BD21" s="398">
        <f t="shared" si="8"/>
        <v>0</v>
      </c>
      <c r="BE21" s="398">
        <f t="shared" si="9"/>
        <v>0</v>
      </c>
      <c r="BF21" s="398">
        <f>SUMIFS(Banco[valor],Banco[IdAgente],BA21,Banco[idDet1],50,Banco[idDet2],53,Banco[id_subgrupo],99,Banco[id_posto],9,Banco[id_unidade],2)</f>
        <v>0</v>
      </c>
      <c r="BG21" s="398">
        <f>SUMIFS(Banco[valor],Banco[IdAgente],BA21,Banco[idDet1],50,Banco[idDet2],53,Banco[id_subgrupo],99,Banco[id_posto],9,Banco[id_unidade],2)</f>
        <v>0</v>
      </c>
      <c r="BH21" s="398">
        <f>erro[[#This Row],[Despesa (R$)]]</f>
        <v>0</v>
      </c>
      <c r="BI21" s="398">
        <f>'Parcela B'!J22</f>
        <v>0</v>
      </c>
      <c r="BJ21" s="399">
        <f t="shared" si="10"/>
        <v>0</v>
      </c>
      <c r="BK21" s="400">
        <f>SUM(Apoio_Efeito!V20:BI20)</f>
        <v>0</v>
      </c>
      <c r="BL21" s="401">
        <f t="shared" si="11"/>
        <v>0</v>
      </c>
      <c r="BM21" s="17"/>
      <c r="BN21" s="32">
        <f t="shared" si="16"/>
        <v>0</v>
      </c>
      <c r="BP21" s="355" t="s">
        <v>171</v>
      </c>
      <c r="BQ21" s="353">
        <f>SUMIFS(Banco[valor],Banco[IdAgente],A21,Banco[idDet1],50,Banco[id_subgrupo],99,Banco[id_posto],9,Banco[id_unidade],2)</f>
        <v>0</v>
      </c>
      <c r="BR21" s="353">
        <f>SUMIFS(Banco[valor],Banco[IdAgente],A21,Banco[idDet1],50,Banco[idDet2],52,Banco[idDet3],11,Banco[id_subgrupo],99,Banco[id_posto],9,Banco[id_unidade],2)</f>
        <v>0</v>
      </c>
      <c r="BS21" s="353">
        <f>SUMIFS(Banco[valor],Banco[IdAgente],A21,Banco[idDet1],50,Banco[idDet2],53,Banco[id_subgrupo],99,Banco[id_posto],9,Banco[id_unidade],2)</f>
        <v>0</v>
      </c>
      <c r="BT21" s="353">
        <f t="shared" si="5"/>
        <v>0</v>
      </c>
      <c r="BU21" s="354">
        <f>SUMIFS(Banco[valor],Banco[IdAgente],A21,Banco[id_natureza_dado],4,Banco[id_detalhe_natureza],1,Banco[idDet1],52,Banco[idDet2],106,Banco[id_subgrupo],99,Banco[id_posto],9,Banco[id_unidade],3)</f>
        <v>0</v>
      </c>
      <c r="BV21" s="356">
        <f>SUMIFS(Banco[valor],Banco[IdAgente],A21,Banco[idDet1],205,Banco[idDet2],350,Banco[idDet3],201,Banco[id_subgrupo],99,Banco[id_posto],9,Banco[id_unidade],99)</f>
        <v>0</v>
      </c>
    </row>
    <row r="22" spans="1:74" hidden="1">
      <c r="A22" s="255">
        <v>5382</v>
      </c>
      <c r="B22" t="str">
        <f>IFERROR(VLOOKUP(A22,CAPA!$C$12:$C$32,1,FALSE),"NO SELECT")</f>
        <v>NO SELECT</v>
      </c>
      <c r="C22" s="3" t="s">
        <v>174</v>
      </c>
      <c r="D22" s="137">
        <f>SUMIFS(Banco[valor],Banco[IdAgente],A22,Banco[idDet1],50,Banco[id_subgrupo],99,Banco[id_posto],9,Banco[id_unidade],2)</f>
        <v>0</v>
      </c>
      <c r="E22" s="137">
        <f>SUMIFS(Banco[valor],Banco[IdAgente],A22,Banco[idDet1],50,Banco[idDet2],51,Banco[id_subgrupo],99,Banco[id_posto],9,Banco[id_unidade],2)</f>
        <v>0</v>
      </c>
      <c r="F22" s="137">
        <f>SUMIFS(Banco[valor],Banco[IdAgente],A22,Banco[idDet1],50,Banco[idDet2],53,Banco[id_subgrupo],99,Banco[id_posto],9,Banco[id_unidade],2)</f>
        <v>0</v>
      </c>
      <c r="G22" s="137">
        <f>SUMIFS(Banco[valor],Banco[IdAgente],A22,Banco[idDet1],50,Banco[idDet2],53,Banco[id_subgrupo],99,Banco[id_posto],9,Banco[id_unidade],2)</f>
        <v>0</v>
      </c>
      <c r="H22" s="137">
        <f t="shared" si="6"/>
        <v>0</v>
      </c>
      <c r="I22" s="93">
        <f>SUMIFS(Banco[valor],Banco[IdAgente],A22,Banco[id_natureza_dado],4,Banco[id_detalhe_natureza],1,Banco[idDet1],52,Banco[idDet2],106,Banco[id_subgrupo],99,Banco[id_posto],9,Banco[id_unidade],3)</f>
        <v>0</v>
      </c>
      <c r="J22" s="16"/>
      <c r="K22" s="3" t="str">
        <f t="shared" si="0"/>
        <v>Ceris</v>
      </c>
      <c r="L22" s="92">
        <f>SUMIFS(Banco[valor],Banco[IdAgente],A22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22" s="92">
        <f>SUMIFS(Banco[valor],Banco[IdAgente],A22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22" s="85">
        <f>SUMIFS(Banco[valor],Banco[IdAgente],A22,Banco[id_natureza_dado],2,Banco[id_detalhe_natureza],1,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22" s="85">
        <f>SUMIFS(Banco[valor],Banco[IdAgente],A22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22" s="85">
        <f>SUMIFS(Banco[valor],Banco[IdAgente],A22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22" s="85">
        <f>SUMIFS(Banco[valor],Banco[IdAgente],A22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22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22" s="92">
        <f>SUMIFS(Banco[valor],Banco[IdAgente],A22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22" s="92">
        <f>SUMIFS(Banco[valor],Banco[IdAgente],A22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22" s="190">
        <f>SUMIFS(Banco[valor],Banco[IdAgente],A22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22" s="157">
        <f t="shared" si="1"/>
        <v>0</v>
      </c>
      <c r="V22" s="3" t="str">
        <f t="shared" si="2"/>
        <v>Ceris</v>
      </c>
      <c r="W22" s="92">
        <f>SUMIFS(Banco[valor],Banco[IdAgente],A22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22" s="92">
        <f>SUMIFS(Banco[valor],Banco[IdAgente],A22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22" s="85">
        <f>SUMIFS(Banco[valor],Banco[IdAgente],A22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22" s="92">
        <f>SUMIFS(Banco[valor],Banco[IdAgente],A22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22" s="86">
        <f t="shared" si="3"/>
        <v>0</v>
      </c>
      <c r="AC22" s="158"/>
      <c r="AD22" s="3" t="s">
        <v>174</v>
      </c>
      <c r="AE22" s="92">
        <f>SUMIFS(Banco[valor],Banco[IdAgente],A22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22" s="138" t="e">
        <f t="shared" si="12"/>
        <v>#DIV/0!</v>
      </c>
      <c r="AG22" s="92">
        <f>SUMIFS(Banco[valor],Banco[IdAgente],A22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22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22" s="92">
        <f>SUMIFS(Banco[valor],Banco[IdAgente],A22,Banco[id_natureza_dado],1,Banco[id_detalhe_natureza],1,Banco[idDet1],51,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22" s="92">
        <f>SUMIFS(Banco[valor],Banco[IdAgente],A22,Banco[id_natureza_dado],1,Banco[id_detalhe_natureza],1,Banco[idDet1],51,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22" s="86">
        <f t="shared" si="14"/>
        <v>0</v>
      </c>
      <c r="AL22" s="158"/>
      <c r="AM22" s="122" t="s">
        <v>174</v>
      </c>
      <c r="AN22" s="330">
        <f>SUMIFS(Banco[valor],Banco[IdAgente],A22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22" s="330">
        <f>SUMIFS(Banco[valor],Banco[IdAgente],A22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22" s="330">
        <f>SUMIFS(Banco[valor],Banco[IdAgente],A22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22" s="331">
        <f>SUMIFS(Banco[valor],Banco[IdAgente],A22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22" s="331">
        <f>SUMIFS(Banco[valor],Banco[IdAgente],A22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22" s="331">
        <f>SUMIFS(Banco[valor],Banco[IdAgente],A22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22" s="332">
        <f>SUMIFS(Banco[valor],Banco[IdAgente],A22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22" s="331">
        <f>SUMIFS(Banco[valor],Banco[IdAgente],A22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22" s="333">
        <f t="shared" si="13"/>
        <v>0</v>
      </c>
      <c r="AW22" s="329"/>
      <c r="AX22" s="157">
        <f t="shared" si="15"/>
        <v>0</v>
      </c>
      <c r="BC22" s="397" t="s">
        <v>174</v>
      </c>
      <c r="BD22" s="398">
        <f t="shared" si="8"/>
        <v>0</v>
      </c>
      <c r="BE22" s="398">
        <f t="shared" si="9"/>
        <v>0</v>
      </c>
      <c r="BF22" s="398">
        <f>SUMIFS(Banco[valor],Banco[IdAgente],BA22,Banco[idDet1],50,Banco[idDet2],53,Banco[id_subgrupo],99,Banco[id_posto],9,Banco[id_unidade],2)</f>
        <v>0</v>
      </c>
      <c r="BG22" s="398">
        <f>SUMIFS(Banco[valor],Banco[IdAgente],BA22,Banco[idDet1],50,Banco[idDet2],53,Banco[id_subgrupo],99,Banco[id_posto],9,Banco[id_unidade],2)</f>
        <v>0</v>
      </c>
      <c r="BH22" s="398">
        <f>erro[[#This Row],[Despesa (R$)]]</f>
        <v>0</v>
      </c>
      <c r="BI22" s="398">
        <f>'Parcela B'!J23</f>
        <v>0</v>
      </c>
      <c r="BJ22" s="399">
        <f t="shared" si="10"/>
        <v>0</v>
      </c>
      <c r="BK22" s="400">
        <f>SUM(Apoio_Efeito!V21:BI21)</f>
        <v>0</v>
      </c>
      <c r="BL22" s="401">
        <f t="shared" si="11"/>
        <v>0</v>
      </c>
      <c r="BM22" s="17"/>
      <c r="BN22" s="32">
        <f t="shared" si="16"/>
        <v>0</v>
      </c>
      <c r="BP22" s="355" t="s">
        <v>174</v>
      </c>
      <c r="BQ22" s="353">
        <f>SUMIFS(Banco[valor],Banco[IdAgente],A22,Banco[idDet1],50,Banco[id_subgrupo],99,Banco[id_posto],9,Banco[id_unidade],2)</f>
        <v>0</v>
      </c>
      <c r="BR22" s="353">
        <f>SUMIFS(Banco[valor],Banco[IdAgente],A22,Banco[idDet1],50,Banco[idDet2],52,Banco[idDet3],11,Banco[id_subgrupo],99,Banco[id_posto],9,Banco[id_unidade],2)</f>
        <v>0</v>
      </c>
      <c r="BS22" s="353">
        <f>SUMIFS(Banco[valor],Banco[IdAgente],A22,Banco[idDet1],50,Banco[idDet2],53,Banco[id_subgrupo],99,Banco[id_posto],9,Banco[id_unidade],2)</f>
        <v>0</v>
      </c>
      <c r="BT22" s="353">
        <f t="shared" si="5"/>
        <v>0</v>
      </c>
      <c r="BU22" s="354">
        <f>SUMIFS(Banco[valor],Banco[IdAgente],A22,Banco[id_natureza_dado],4,Banco[id_detalhe_natureza],1,Banco[idDet1],52,Banco[idDet2],106,Banco[id_subgrupo],99,Banco[id_posto],9,Banco[id_unidade],3)</f>
        <v>0</v>
      </c>
      <c r="BV22" s="356">
        <f>SUMIFS(Banco[valor],Banco[IdAgente],A22,Banco[idDet1],205,Banco[idDet2],350,Banco[idDet3],201,Banco[id_subgrupo],99,Banco[id_posto],9,Banco[id_unidade],99)</f>
        <v>0</v>
      </c>
    </row>
    <row r="23" spans="1:74" hidden="1">
      <c r="A23" s="255">
        <v>6610</v>
      </c>
      <c r="B23" t="str">
        <f>IFERROR(VLOOKUP(A23,CAPA!$C$12:$C$32,1,FALSE),"NO SELECT")</f>
        <v>NO SELECT</v>
      </c>
      <c r="C23" s="3" t="s">
        <v>177</v>
      </c>
      <c r="D23" s="137">
        <f>SUMIFS(Banco[valor],Banco[IdAgente],A23,Banco[idDet1],50,Banco[id_subgrupo],99,Banco[id_posto],9,Banco[id_unidade],2)</f>
        <v>0</v>
      </c>
      <c r="E23" s="137">
        <f>SUMIFS(Banco[valor],Banco[IdAgente],A23,Banco[idDet1],50,Banco[idDet2],51,Banco[id_subgrupo],99,Banco[id_posto],9,Banco[id_unidade],2)</f>
        <v>0</v>
      </c>
      <c r="F23" s="137">
        <f>SUMIFS(Banco[valor],Banco[IdAgente],A23,Banco[idDet1],50,Banco[idDet2],53,Banco[id_subgrupo],99,Banco[id_posto],9,Banco[id_unidade],2)</f>
        <v>0</v>
      </c>
      <c r="G23" s="137">
        <f>SUMIFS(Banco[valor],Banco[IdAgente],A23,Banco[idDet1],50,Banco[idDet2],53,Banco[id_subgrupo],99,Banco[id_posto],9,Banco[id_unidade],2)</f>
        <v>0</v>
      </c>
      <c r="H23" s="137">
        <f t="shared" si="6"/>
        <v>0</v>
      </c>
      <c r="I23" s="93">
        <f>SUMIFS(Banco[valor],Banco[IdAgente],A23,Banco[id_natureza_dado],4,Banco[id_detalhe_natureza],1,Banco[idDet1],52,Banco[idDet2],106,Banco[id_subgrupo],99,Banco[id_posto],9,Banco[id_unidade],3)</f>
        <v>0</v>
      </c>
      <c r="J23" s="16"/>
      <c r="K23" s="3" t="str">
        <f t="shared" si="0"/>
        <v>CERMC</v>
      </c>
      <c r="L23" s="92">
        <f>SUMIFS(Banco[valor],Banco[IdAgente],A23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23" s="92">
        <f>SUMIFS(Banco[valor],Banco[IdAgente],A23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23" s="85">
        <f>SUMIFS(Banco[valor],Banco[IdAgente],A23,Banco[id_natureza_dado],2,Banco[id_detalhe_natureza],1,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23" s="85">
        <f>SUMIFS(Banco[valor],Banco[IdAgente],A23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23" s="85">
        <f>SUMIFS(Banco[valor],Banco[IdAgente],A23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23" s="85">
        <f>SUMIFS(Banco[valor],Banco[IdAgente],A23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23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23" s="92">
        <f>SUMIFS(Banco[valor],Banco[IdAgente],A23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23" s="92">
        <f>SUMIFS(Banco[valor],Banco[IdAgente],A23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23" s="190">
        <f>SUMIFS(Banco[valor],Banco[IdAgente],A23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23" s="157">
        <f t="shared" si="1"/>
        <v>0</v>
      </c>
      <c r="V23" s="3" t="str">
        <f t="shared" si="2"/>
        <v>CERMC</v>
      </c>
      <c r="W23" s="92">
        <f>SUMIFS(Banco[valor],Banco[IdAgente],A23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23" s="92">
        <f>SUMIFS(Banco[valor],Banco[IdAgente],A23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23" s="85">
        <f>SUMIFS(Banco[valor],Banco[IdAgente],A23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23" s="92">
        <f>SUMIFS(Banco[valor],Banco[IdAgente],A23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23" s="86">
        <f t="shared" si="3"/>
        <v>0</v>
      </c>
      <c r="AC23" s="158"/>
      <c r="AD23" s="3" t="s">
        <v>315</v>
      </c>
      <c r="AE23" s="92">
        <f>SUMIFS(Banco[valor],Banco[IdAgente],A23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23" s="138" t="e">
        <f t="shared" si="12"/>
        <v>#DIV/0!</v>
      </c>
      <c r="AG23" s="92">
        <f>SUMIFS(Banco[valor],Banco[IdAgente],A23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23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23" s="92">
        <f>SUMIFS(Banco[valor],Banco[IdAgente],A23,Banco[id_natureza_dado],1,Banco[id_detalhe_natureza],1,Banco[idDet1],51,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23" s="92">
        <f>SUMIFS(Banco[valor],Banco[IdAgente],A23,Banco[id_natureza_dado],1,Banco[id_detalhe_natureza],1,Banco[idDet1],51,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23" s="86">
        <f t="shared" si="14"/>
        <v>0</v>
      </c>
      <c r="AL23" s="158"/>
      <c r="AM23" s="122" t="s">
        <v>177</v>
      </c>
      <c r="AN23" s="330">
        <f>SUMIFS(Banco[valor],Banco[IdAgente],A23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23" s="330">
        <f>SUMIFS(Banco[valor],Banco[IdAgente],A23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23" s="330">
        <f>SUMIFS(Banco[valor],Banco[IdAgente],A23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23" s="331">
        <f>SUMIFS(Banco[valor],Banco[IdAgente],A23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23" s="331">
        <f>SUMIFS(Banco[valor],Banco[IdAgente],A23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23" s="331">
        <f>SUMIFS(Banco[valor],Banco[IdAgente],A23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23" s="332">
        <f>SUMIFS(Banco[valor],Banco[IdAgente],A23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23" s="331">
        <f>SUMIFS(Banco[valor],Banco[IdAgente],A23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23" s="333">
        <f t="shared" si="13"/>
        <v>0</v>
      </c>
      <c r="AW23" s="329"/>
      <c r="AX23" s="157">
        <f t="shared" si="15"/>
        <v>0</v>
      </c>
      <c r="BC23" s="397" t="s">
        <v>177</v>
      </c>
      <c r="BD23" s="398">
        <f t="shared" si="8"/>
        <v>0</v>
      </c>
      <c r="BE23" s="398">
        <f t="shared" si="9"/>
        <v>0</v>
      </c>
      <c r="BF23" s="398">
        <f>SUMIFS(Banco[valor],Banco[IdAgente],BA23,Banco[idDet1],50,Banco[idDet2],53,Banco[id_subgrupo],99,Banco[id_posto],9,Banco[id_unidade],2)</f>
        <v>0</v>
      </c>
      <c r="BG23" s="398">
        <f>SUMIFS(Banco[valor],Banco[IdAgente],BA23,Banco[idDet1],50,Banco[idDet2],53,Banco[id_subgrupo],99,Banco[id_posto],9,Banco[id_unidade],2)</f>
        <v>0</v>
      </c>
      <c r="BH23" s="398">
        <f>erro[[#This Row],[Despesa (R$)]]</f>
        <v>0</v>
      </c>
      <c r="BI23" s="398">
        <f>'Parcela B'!J24</f>
        <v>0</v>
      </c>
      <c r="BJ23" s="399">
        <f t="shared" si="10"/>
        <v>0</v>
      </c>
      <c r="BK23" s="400">
        <f>SUM(Apoio_Efeito!V22:BI22)</f>
        <v>0</v>
      </c>
      <c r="BL23" s="401">
        <f t="shared" si="11"/>
        <v>0</v>
      </c>
      <c r="BM23" s="17"/>
      <c r="BN23" s="32">
        <f t="shared" si="16"/>
        <v>0</v>
      </c>
      <c r="BP23" s="355" t="s">
        <v>177</v>
      </c>
      <c r="BQ23" s="353">
        <f>SUMIFS(Banco[valor],Banco[IdAgente],A23,Banco[idDet1],50,Banco[id_subgrupo],99,Banco[id_posto],9,Banco[id_unidade],2)</f>
        <v>0</v>
      </c>
      <c r="BR23" s="353">
        <f>SUMIFS(Banco[valor],Banco[IdAgente],A23,Banco[idDet1],50,Banco[idDet2],52,Banco[idDet3],11,Banco[id_subgrupo],99,Banco[id_posto],9,Banco[id_unidade],2)</f>
        <v>0</v>
      </c>
      <c r="BS23" s="353">
        <f>SUMIFS(Banco[valor],Banco[IdAgente],A23,Banco[idDet1],50,Banco[idDet2],53,Banco[id_subgrupo],99,Banco[id_posto],9,Banco[id_unidade],2)</f>
        <v>0</v>
      </c>
      <c r="BT23" s="353">
        <f t="shared" si="5"/>
        <v>0</v>
      </c>
      <c r="BU23" s="354">
        <f>SUMIFS(Banco[valor],Banco[IdAgente],A23,Banco[id_natureza_dado],4,Banco[id_detalhe_natureza],1,Banco[idDet1],52,Banco[idDet2],106,Banco[id_subgrupo],99,Banco[id_posto],9,Banco[id_unidade],3)</f>
        <v>0</v>
      </c>
      <c r="BV23" s="356">
        <f>SUMIFS(Banco[valor],Banco[IdAgente],A23,Banco[idDet1],205,Banco[idDet2],350,Banco[idDet3],201,Banco[id_subgrupo],99,Banco[id_posto],9,Banco[id_unidade],99)</f>
        <v>0</v>
      </c>
    </row>
    <row r="24" spans="1:74" ht="12.75" hidden="1" customHeight="1">
      <c r="A24" s="255">
        <v>2381</v>
      </c>
      <c r="B24" t="str">
        <f>IFERROR(VLOOKUP(A24,CAPA!$C$12:$C$32,1,FALSE),"NO SELECT")</f>
        <v>NO SELECT</v>
      </c>
      <c r="C24" s="3" t="s">
        <v>180</v>
      </c>
      <c r="D24" s="137">
        <f>SUMIFS(Banco[valor],Banco[IdAgente],A24,Banco[idDet1],50,Banco[id_subgrupo],99,Banco[id_posto],9,Banco[id_unidade],2)</f>
        <v>0</v>
      </c>
      <c r="E24" s="137">
        <f>SUMIFS(Banco[valor],Banco[IdAgente],A24,Banco[idDet1],50,Banco[idDet2],51,Banco[id_subgrupo],99,Banco[id_posto],9,Banco[id_unidade],2)</f>
        <v>0</v>
      </c>
      <c r="F24" s="137">
        <f>SUMIFS(Banco[valor],Banco[IdAgente],A24,Banco[idDet1],50,Banco[idDet2],53,Banco[id_subgrupo],99,Banco[id_posto],9,Banco[id_unidade],2)</f>
        <v>0</v>
      </c>
      <c r="G24" s="137">
        <f>SUMIFS(Banco[valor],Banco[IdAgente],A24,Banco[idDet1],50,Banco[idDet2],53,Banco[id_subgrupo],99,Banco[id_posto],9,Banco[id_unidade],2)</f>
        <v>0</v>
      </c>
      <c r="H24" s="137">
        <f t="shared" si="6"/>
        <v>0</v>
      </c>
      <c r="I24" s="93">
        <f>SUMIFS(Banco[valor],Banco[IdAgente],A24,Banco[id_natureza_dado],4,Banco[id_detalhe_natureza],1,Banco[idDet1],52,Banco[idDet2],106,Banco[id_subgrupo],99,Banco[id_posto],9,Banco[id_unidade],3)</f>
        <v>0</v>
      </c>
      <c r="J24" s="16"/>
      <c r="K24" s="3" t="str">
        <f t="shared" si="0"/>
        <v>Cermissões</v>
      </c>
      <c r="L24" s="92">
        <f>SUMIFS(Banco[valor],Banco[IdAgente],A24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24" s="92">
        <f>SUMIFS(Banco[valor],Banco[IdAgente],A24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24" s="85">
        <f>SUMIFS(Banco[valor],Banco[IdAgente],A24,Banco[id_natureza_dado],2,Banco[id_detalhe_natureza],1,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24" s="85">
        <f>SUMIFS(Banco[valor],Banco[IdAgente],A24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24" s="85">
        <f>SUMIFS(Banco[valor],Banco[IdAgente],A24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24" s="85">
        <f>SUMIFS(Banco[valor],Banco[IdAgente],A24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24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24" s="92">
        <f>SUMIFS(Banco[valor],Banco[IdAgente],A24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24" s="92">
        <f>SUMIFS(Banco[valor],Banco[IdAgente],A24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24" s="190">
        <f>SUMIFS(Banco[valor],Banco[IdAgente],A24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24" s="157">
        <f t="shared" si="1"/>
        <v>0</v>
      </c>
      <c r="V24" s="3" t="str">
        <f t="shared" si="2"/>
        <v>Cermissões</v>
      </c>
      <c r="W24" s="92">
        <f>SUMIFS(Banco[valor],Banco[IdAgente],A24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24" s="92">
        <f>SUMIFS(Banco[valor],Banco[IdAgente],A24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24" s="85">
        <f>SUMIFS(Banco[valor],Banco[IdAgente],A24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24" s="92">
        <f>SUMIFS(Banco[valor],Banco[IdAgente],A24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24" s="86">
        <f t="shared" si="3"/>
        <v>0</v>
      </c>
      <c r="AC24" s="158"/>
      <c r="AD24" s="3" t="s">
        <v>180</v>
      </c>
      <c r="AE24" s="92">
        <f>SUMIFS(Banco[valor],Banco[IdAgente],A24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24" s="138" t="e">
        <f t="shared" si="12"/>
        <v>#DIV/0!</v>
      </c>
      <c r="AG24" s="92">
        <f>SUMIFS(Banco[valor],Banco[IdAgente],A24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24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24" s="92">
        <f>SUMIFS(Banco[valor],Banco[IdAgente],A24,Banco[id_natureza_dado],1,Banco[id_detalhe_natureza],1,Banco[idDet1],51,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24" s="92">
        <f>SUMIFS(Banco[valor],Banco[IdAgente],A24,Banco[id_natureza_dado],1,Banco[id_detalhe_natureza],1,Banco[idDet1],51,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24" s="86">
        <f t="shared" si="14"/>
        <v>0</v>
      </c>
      <c r="AL24" s="158"/>
      <c r="AM24" s="122" t="s">
        <v>180</v>
      </c>
      <c r="AN24" s="330">
        <f>SUMIFS(Banco[valor],Banco[IdAgente],A24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24" s="330">
        <f>SUMIFS(Banco[valor],Banco[IdAgente],A24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24" s="330">
        <f>SUMIFS(Banco[valor],Banco[IdAgente],A24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24" s="331">
        <f>SUMIFS(Banco[valor],Banco[IdAgente],A24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24" s="331">
        <f>SUMIFS(Banco[valor],Banco[IdAgente],A24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24" s="331">
        <f>SUMIFS(Banco[valor],Banco[IdAgente],A24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24" s="332">
        <f>SUMIFS(Banco[valor],Banco[IdAgente],A24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24" s="331">
        <f>SUMIFS(Banco[valor],Banco[IdAgente],A24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24" s="333">
        <f>AT24*AU24</f>
        <v>0</v>
      </c>
      <c r="AW24" s="329"/>
      <c r="AX24" s="157">
        <f t="shared" si="15"/>
        <v>0</v>
      </c>
      <c r="BC24" s="397" t="s">
        <v>180</v>
      </c>
      <c r="BD24" s="398">
        <f t="shared" si="8"/>
        <v>0</v>
      </c>
      <c r="BE24" s="398">
        <f t="shared" si="9"/>
        <v>0</v>
      </c>
      <c r="BF24" s="398">
        <f>SUMIFS(Banco[valor],Banco[IdAgente],BA24,Banco[idDet1],50,Banco[idDet2],53,Banco[id_subgrupo],99,Banco[id_posto],9,Banco[id_unidade],2)</f>
        <v>0</v>
      </c>
      <c r="BG24" s="398">
        <f>SUMIFS(Banco[valor],Banco[IdAgente],BA24,Banco[idDet1],50,Banco[idDet2],53,Banco[id_subgrupo],99,Banco[id_posto],9,Banco[id_unidade],2)</f>
        <v>0</v>
      </c>
      <c r="BH24" s="398">
        <f>erro[[#This Row],[Despesa (R$)]]</f>
        <v>0</v>
      </c>
      <c r="BI24" s="398">
        <f>'Parcela B'!J25</f>
        <v>0</v>
      </c>
      <c r="BJ24" s="399">
        <f t="shared" si="10"/>
        <v>0</v>
      </c>
      <c r="BK24" s="400">
        <f>SUM(Apoio_Efeito!V23:BI23)</f>
        <v>0</v>
      </c>
      <c r="BL24" s="402">
        <f t="shared" si="11"/>
        <v>0</v>
      </c>
      <c r="BM24" s="17">
        <v>80157306.395239994</v>
      </c>
      <c r="BN24" s="32">
        <f t="shared" si="16"/>
        <v>0</v>
      </c>
      <c r="BP24" s="355" t="s">
        <v>180</v>
      </c>
      <c r="BQ24" s="353">
        <f>SUMIFS(Banco[valor],Banco[IdAgente],A24,Banco[idDet1],50,Banco[id_subgrupo],99,Banco[id_posto],9,Banco[id_unidade],2)</f>
        <v>0</v>
      </c>
      <c r="BR24" s="353">
        <f>SUMIFS(Banco[valor],Banco[IdAgente],A24,Banco[idDet1],50,Banco[idDet2],52,Banco[idDet3],11,Banco[id_subgrupo],99,Banco[id_posto],9,Banco[id_unidade],2)</f>
        <v>0</v>
      </c>
      <c r="BS24" s="353">
        <f>SUMIFS(Banco[valor],Banco[IdAgente],A24,Banco[idDet1],50,Banco[idDet2],53,Banco[id_subgrupo],99,Banco[id_posto],9,Banco[id_unidade],2)</f>
        <v>0</v>
      </c>
      <c r="BT24" s="353">
        <f t="shared" si="5"/>
        <v>0</v>
      </c>
      <c r="BU24" s="354">
        <f>SUMIFS(Banco[valor],Banco[IdAgente],A24,Banco[id_natureza_dado],4,Banco[id_detalhe_natureza],1,Banco[idDet1],52,Banco[idDet2],106,Banco[id_subgrupo],99,Banco[id_posto],9,Banco[id_unidade],3)</f>
        <v>0</v>
      </c>
      <c r="BV24" s="356">
        <f>SUMIFS(Banco[valor],Banco[IdAgente],A24,Banco[idDet1],205,Banco[idDet2],350,Banco[idDet3],201,Banco[id_subgrupo],99,Banco[id_posto],9,Banco[id_unidade],99)</f>
        <v>0</v>
      </c>
    </row>
    <row r="25" spans="1:74" hidden="1">
      <c r="A25" s="255">
        <v>5364</v>
      </c>
      <c r="B25" t="str">
        <f>IFERROR(VLOOKUP(A25,CAPA!$C$12:$C$32,1,FALSE),"NO SELECT")</f>
        <v>NO SELECT</v>
      </c>
      <c r="C25" s="3" t="s">
        <v>52</v>
      </c>
      <c r="D25" s="137">
        <f>SUMIFS(Banco[valor],Banco[IdAgente],A25,Banco[idDet1],50,Banco[id_subgrupo],99,Banco[id_posto],9,Banco[id_unidade],2)</f>
        <v>0</v>
      </c>
      <c r="E25" s="137">
        <f>SUMIFS(Banco[valor],Banco[IdAgente],A25,Banco[idDet1],50,Banco[idDet2],51,Banco[id_subgrupo],99,Banco[id_posto],9,Banco[id_unidade],2)</f>
        <v>0</v>
      </c>
      <c r="F25" s="137">
        <f>SUMIFS(Banco[valor],Banco[IdAgente],A25,Banco[idDet1],50,Banco[idDet2],53,Banco[id_subgrupo],99,Banco[id_posto],9,Banco[id_unidade],2)</f>
        <v>0</v>
      </c>
      <c r="G25" s="137">
        <f>SUMIFS(Banco[valor],Banco[IdAgente],A25,Banco[idDet1],50,Banco[idDet2],53,Banco[id_subgrupo],99,Banco[id_posto],9,Banco[id_unidade],2)</f>
        <v>0</v>
      </c>
      <c r="H25" s="137">
        <f t="shared" si="6"/>
        <v>0</v>
      </c>
      <c r="I25" s="93">
        <f>SUMIFS(Banco[valor],Banco[IdAgente],A25,Banco[id_natureza_dado],4,Banco[id_detalhe_natureza],1,Banco[idDet1],52,Banco[idDet2],106,Banco[id_subgrupo],99,Banco[id_posto],9,Banco[id_unidade],3)</f>
        <v>0</v>
      </c>
      <c r="J25" s="16"/>
      <c r="K25" s="3" t="str">
        <f t="shared" si="0"/>
        <v>Cermoful</v>
      </c>
      <c r="L25" s="92">
        <f>SUMIFS(Banco[valor],Banco[IdAgente],A25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25" s="92">
        <f>SUMIFS(Banco[valor],Banco[IdAgente],A25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25" s="85">
        <f>SUMIFS(Banco[valor],Banco[IdAgente],A25,Banco[id_natureza_dado],2,Banco[id_detalhe_natureza],1,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25" s="85">
        <f>SUMIFS(Banco[valor],Banco[IdAgente],A25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25" s="85">
        <f>SUMIFS(Banco[valor],Banco[IdAgente],A25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25" s="85">
        <f>SUMIFS(Banco[valor],Banco[IdAgente],A25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25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25" s="92">
        <f>SUMIFS(Banco[valor],Banco[IdAgente],A25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25" s="92">
        <f>SUMIFS(Banco[valor],Banco[IdAgente],A25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25" s="190">
        <f>SUMIFS(Banco[valor],Banco[IdAgente],A25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25" s="157">
        <f t="shared" si="1"/>
        <v>0</v>
      </c>
      <c r="V25" s="3" t="str">
        <f t="shared" si="2"/>
        <v>Cermoful</v>
      </c>
      <c r="W25" s="92">
        <f>SUMIFS(Banco[valor],Banco[IdAgente],A25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25" s="92">
        <f>SUMIFS(Banco[valor],Banco[IdAgente],A25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25" s="85">
        <f>SUMIFS(Banco[valor],Banco[IdAgente],A25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25" s="92">
        <f>SUMIFS(Banco[valor],Banco[IdAgente],A25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25" s="86">
        <f t="shared" si="3"/>
        <v>0</v>
      </c>
      <c r="AC25" s="158"/>
      <c r="AD25" s="3" t="s">
        <v>52</v>
      </c>
      <c r="AE25" s="92">
        <f>SUMIFS(Banco[valor],Banco[IdAgente],A25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25" s="138" t="e">
        <f t="shared" si="12"/>
        <v>#DIV/0!</v>
      </c>
      <c r="AG25" s="92">
        <f>SUMIFS(Banco[valor],Banco[IdAgente],A25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25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25" s="92">
        <f>SUMIFS(Banco[valor],Banco[IdAgente],A25,Banco[id_natureza_dado],1,Banco[id_detalhe_natureza],1,Banco[idDet1],51,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25" s="92">
        <f>SUMIFS(Banco[valor],Banco[IdAgente],A25,Banco[id_natureza_dado],1,Banco[id_detalhe_natureza],1,Banco[idDet1],51,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25" s="86">
        <f t="shared" si="14"/>
        <v>0</v>
      </c>
      <c r="AL25" s="158"/>
      <c r="AM25" s="122" t="s">
        <v>52</v>
      </c>
      <c r="AN25" s="330">
        <f>SUMIFS(Banco[valor],Banco[IdAgente],A25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25" s="330">
        <f>SUMIFS(Banco[valor],Banco[IdAgente],A25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25" s="330">
        <f>SUMIFS(Banco[valor],Banco[IdAgente],A25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25" s="331">
        <f>SUMIFS(Banco[valor],Banco[IdAgente],A25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25" s="331">
        <f>SUMIFS(Banco[valor],Banco[IdAgente],A25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25" s="331">
        <f>SUMIFS(Banco[valor],Banco[IdAgente],A25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25" s="332">
        <f>SUMIFS(Banco[valor],Banco[IdAgente],A25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25" s="331">
        <f>SUMIFS(Banco[valor],Banco[IdAgente],A25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25" s="333">
        <f t="shared" si="13"/>
        <v>0</v>
      </c>
      <c r="AW25" s="329"/>
      <c r="AX25" s="157">
        <f t="shared" si="15"/>
        <v>0</v>
      </c>
      <c r="BC25" s="397" t="s">
        <v>52</v>
      </c>
      <c r="BD25" s="398">
        <f t="shared" si="8"/>
        <v>0</v>
      </c>
      <c r="BE25" s="398">
        <f t="shared" si="9"/>
        <v>0</v>
      </c>
      <c r="BF25" s="398">
        <f>SUMIFS(Banco[valor],Banco[IdAgente],BA25,Banco[idDet1],50,Banco[idDet2],53,Banco[id_subgrupo],99,Banco[id_posto],9,Banco[id_unidade],2)</f>
        <v>0</v>
      </c>
      <c r="BG25" s="398">
        <f>SUMIFS(Banco[valor],Banco[IdAgente],BA25,Banco[idDet1],50,Banco[idDet2],53,Banco[id_subgrupo],99,Banco[id_posto],9,Banco[id_unidade],2)</f>
        <v>0</v>
      </c>
      <c r="BH25" s="398">
        <f>erro[[#This Row],[Despesa (R$)]]</f>
        <v>0</v>
      </c>
      <c r="BI25" s="398">
        <f>'Parcela B'!J26</f>
        <v>0</v>
      </c>
      <c r="BJ25" s="399">
        <f t="shared" si="10"/>
        <v>0</v>
      </c>
      <c r="BK25" s="400">
        <f>SUM(Apoio_Efeito!V24:BI24)</f>
        <v>0</v>
      </c>
      <c r="BL25" s="401">
        <f t="shared" si="11"/>
        <v>0</v>
      </c>
      <c r="BM25" s="17"/>
      <c r="BN25" s="32">
        <f t="shared" si="16"/>
        <v>0</v>
      </c>
      <c r="BP25" s="355" t="s">
        <v>52</v>
      </c>
      <c r="BQ25" s="353">
        <f>SUMIFS(Banco[valor],Banco[IdAgente],A25,Banco[idDet1],50,Banco[id_subgrupo],99,Banco[id_posto],9,Banco[id_unidade],2)</f>
        <v>0</v>
      </c>
      <c r="BR25" s="353">
        <f>SUMIFS(Banco[valor],Banco[IdAgente],A25,Banco[idDet1],50,Banco[idDet2],52,Banco[idDet3],11,Banco[id_subgrupo],99,Banco[id_posto],9,Banco[id_unidade],2)</f>
        <v>0</v>
      </c>
      <c r="BS25" s="353">
        <f>SUMIFS(Banco[valor],Banco[IdAgente],A25,Banco[idDet1],50,Banco[idDet2],53,Banco[id_subgrupo],99,Banco[id_posto],9,Banco[id_unidade],2)</f>
        <v>0</v>
      </c>
      <c r="BT25" s="353">
        <f t="shared" si="5"/>
        <v>0</v>
      </c>
      <c r="BU25" s="354">
        <f>SUMIFS(Banco[valor],Banco[IdAgente],A25,Banco[id_natureza_dado],4,Banco[id_detalhe_natureza],1,Banco[idDet1],52,Banco[idDet2],106,Banco[id_subgrupo],99,Banco[id_posto],9,Banco[id_unidade],3)</f>
        <v>0</v>
      </c>
      <c r="BV25" s="356">
        <f>SUMIFS(Banco[valor],Banco[IdAgente],A25,Banco[idDet1],205,Banco[idDet2],350,Banco[idDet3],201,Banco[id_subgrupo],99,Banco[id_posto],9,Banco[id_unidade],99)</f>
        <v>0</v>
      </c>
    </row>
    <row r="26" spans="1:74" hidden="1">
      <c r="A26" s="255">
        <v>6609</v>
      </c>
      <c r="B26" t="str">
        <f>IFERROR(VLOOKUP(A26,CAPA!$C$12:$C$32,1,FALSE),"NO SELECT")</f>
        <v>NO SELECT</v>
      </c>
      <c r="C26" s="3" t="s">
        <v>183</v>
      </c>
      <c r="D26" s="137">
        <f>SUMIFS(Banco[valor],Banco[IdAgente],A26,Banco[idDet1],50,Banco[id_subgrupo],99,Banco[id_posto],9,Banco[id_unidade],2)</f>
        <v>0</v>
      </c>
      <c r="E26" s="137">
        <f>SUMIFS(Banco[valor],Banco[IdAgente],A26,Banco[idDet1],50,Banco[idDet2],51,Banco[id_subgrupo],99,Banco[id_posto],9,Banco[id_unidade],2)</f>
        <v>0</v>
      </c>
      <c r="F26" s="137">
        <f>SUMIFS(Banco[valor],Banco[IdAgente],A26,Banco[idDet1],50,Banco[idDet2],53,Banco[id_subgrupo],99,Banco[id_posto],9,Banco[id_unidade],2)</f>
        <v>0</v>
      </c>
      <c r="G26" s="137">
        <f>SUMIFS(Banco[valor],Banco[IdAgente],A26,Banco[idDet1],50,Banco[idDet2],53,Banco[id_subgrupo],99,Banco[id_posto],9,Banco[id_unidade],2)</f>
        <v>0</v>
      </c>
      <c r="H26" s="137">
        <f t="shared" si="6"/>
        <v>0</v>
      </c>
      <c r="I26" s="93">
        <f>SUMIFS(Banco[valor],Banco[IdAgente],A26,Banco[id_natureza_dado],4,Banco[id_detalhe_natureza],1,Banco[idDet1],52,Banco[idDet2],106,Banco[id_subgrupo],99,Banco[id_posto],9,Banco[id_unidade],3)</f>
        <v>0</v>
      </c>
      <c r="J26" s="16"/>
      <c r="K26" s="3" t="str">
        <f t="shared" si="0"/>
        <v>Cernhe</v>
      </c>
      <c r="L26" s="92">
        <f>SUMIFS(Banco[valor],Banco[IdAgente],A26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26" s="92">
        <f>SUMIFS(Banco[valor],Banco[IdAgente],A26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26" s="85">
        <f>SUMIFS(Banco[valor],Banco[IdAgente],A26,Banco[id_natureza_dado],2,Banco[id_detalhe_natureza],1,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26" s="85">
        <f>SUMIFS(Banco[valor],Banco[IdAgente],A26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26" s="85">
        <f>SUMIFS(Banco[valor],Banco[IdAgente],A26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26" s="85">
        <f>SUMIFS(Banco[valor],Banco[IdAgente],A26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26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26" s="92">
        <f>SUMIFS(Banco[valor],Banco[IdAgente],A26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26" s="92">
        <f>SUMIFS(Banco[valor],Banco[IdAgente],A26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26" s="190">
        <f>SUMIFS(Banco[valor],Banco[IdAgente],A26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26" s="157">
        <f t="shared" si="1"/>
        <v>0</v>
      </c>
      <c r="V26" s="3" t="str">
        <f t="shared" si="2"/>
        <v>Cernhe</v>
      </c>
      <c r="W26" s="92">
        <f>SUMIFS(Banco[valor],Banco[IdAgente],A26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26" s="92">
        <f>SUMIFS(Banco[valor],Banco[IdAgente],A26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26" s="85">
        <f>SUMIFS(Banco[valor],Banco[IdAgente],A26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26" s="92">
        <f>SUMIFS(Banco[valor],Banco[IdAgente],A26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26" s="86">
        <f t="shared" si="3"/>
        <v>0</v>
      </c>
      <c r="AC26" s="158"/>
      <c r="AD26" s="3" t="s">
        <v>183</v>
      </c>
      <c r="AE26" s="92">
        <f>SUMIFS(Banco[valor],Banco[IdAgente],A26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26" s="138" t="e">
        <f t="shared" si="12"/>
        <v>#DIV/0!</v>
      </c>
      <c r="AG26" s="92">
        <f>SUMIFS(Banco[valor],Banco[IdAgente],A26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26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26" s="92">
        <f>SUMIFS(Banco[valor],Banco[IdAgente],A26,Banco[id_natureza_dado],1,Banco[id_detalhe_natureza],1,Banco[idDet1],51,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26" s="92">
        <f>SUMIFS(Banco[valor],Banco[IdAgente],A26,Banco[id_natureza_dado],1,Banco[id_detalhe_natureza],1,Banco[idDet1],51,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26" s="86">
        <f t="shared" si="14"/>
        <v>0</v>
      </c>
      <c r="AL26" s="158"/>
      <c r="AM26" s="122" t="s">
        <v>183</v>
      </c>
      <c r="AN26" s="330">
        <f>SUMIFS(Banco[valor],Banco[IdAgente],A26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26" s="330">
        <f>SUMIFS(Banco[valor],Banco[IdAgente],A26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26" s="330">
        <f>SUMIFS(Banco[valor],Banco[IdAgente],A26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26" s="331">
        <f>SUMIFS(Banco[valor],Banco[IdAgente],A26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26" s="331">
        <f>SUMIFS(Banco[valor],Banco[IdAgente],A26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26" s="331">
        <f>SUMIFS(Banco[valor],Banco[IdAgente],A26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26" s="332">
        <f>SUMIFS(Banco[valor],Banco[IdAgente],A26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26" s="331">
        <f>SUMIFS(Banco[valor],Banco[IdAgente],A26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26" s="333">
        <f t="shared" si="13"/>
        <v>0</v>
      </c>
      <c r="AW26" s="329"/>
      <c r="AX26" s="157">
        <f t="shared" si="15"/>
        <v>0</v>
      </c>
      <c r="BC26" s="397" t="s">
        <v>183</v>
      </c>
      <c r="BD26" s="398">
        <f t="shared" si="8"/>
        <v>0</v>
      </c>
      <c r="BE26" s="398">
        <f t="shared" si="9"/>
        <v>0</v>
      </c>
      <c r="BF26" s="398">
        <f>SUMIFS(Banco[valor],Banco[IdAgente],BA26,Banco[idDet1],50,Banco[idDet2],53,Banco[id_subgrupo],99,Banco[id_posto],9,Banco[id_unidade],2)</f>
        <v>0</v>
      </c>
      <c r="BG26" s="398">
        <f>SUMIFS(Banco[valor],Banco[IdAgente],BA26,Banco[idDet1],50,Banco[idDet2],53,Banco[id_subgrupo],99,Banco[id_posto],9,Banco[id_unidade],2)</f>
        <v>0</v>
      </c>
      <c r="BH26" s="398">
        <f>erro[[#This Row],[Despesa (R$)]]</f>
        <v>0</v>
      </c>
      <c r="BI26" s="398">
        <f>'Parcela B'!J27</f>
        <v>0</v>
      </c>
      <c r="BJ26" s="399">
        <f t="shared" si="10"/>
        <v>0</v>
      </c>
      <c r="BK26" s="400">
        <f>SUM(Apoio_Efeito!V25:BI25)</f>
        <v>0</v>
      </c>
      <c r="BL26" s="401">
        <f t="shared" si="11"/>
        <v>0</v>
      </c>
      <c r="BM26" s="17"/>
      <c r="BN26" s="32">
        <f t="shared" si="16"/>
        <v>0</v>
      </c>
      <c r="BP26" s="355" t="s">
        <v>183</v>
      </c>
      <c r="BQ26" s="353">
        <f>SUMIFS(Banco[valor],Banco[IdAgente],A26,Banco[idDet1],50,Banco[id_subgrupo],99,Banco[id_posto],9,Banco[id_unidade],2)</f>
        <v>0</v>
      </c>
      <c r="BR26" s="353">
        <f>SUMIFS(Banco[valor],Banco[IdAgente],A26,Banco[idDet1],50,Banco[idDet2],52,Banco[idDet3],11,Banco[id_subgrupo],99,Banco[id_posto],9,Banco[id_unidade],2)</f>
        <v>0</v>
      </c>
      <c r="BS26" s="353">
        <f>SUMIFS(Banco[valor],Banco[IdAgente],A26,Banco[idDet1],50,Banco[idDet2],53,Banco[id_subgrupo],99,Banco[id_posto],9,Banco[id_unidade],2)</f>
        <v>0</v>
      </c>
      <c r="BT26" s="353">
        <f t="shared" si="5"/>
        <v>0</v>
      </c>
      <c r="BU26" s="354">
        <f>SUMIFS(Banco[valor],Banco[IdAgente],A26,Banco[id_natureza_dado],4,Banco[id_detalhe_natureza],1,Banco[idDet1],52,Banco[idDet2],106,Banco[id_subgrupo],99,Banco[id_posto],9,Banco[id_unidade],3)</f>
        <v>0</v>
      </c>
      <c r="BV26" s="356">
        <f>SUMIFS(Banco[valor],Banco[IdAgente],A26,Banco[idDet1],205,Banco[idDet2],350,Banco[idDet3],201,Banco[id_subgrupo],99,Banco[id_posto],9,Banco[id_unidade],99)</f>
        <v>0</v>
      </c>
    </row>
    <row r="27" spans="1:74" hidden="1">
      <c r="A27" s="255">
        <v>5365</v>
      </c>
      <c r="B27" t="str">
        <f>IFERROR(VLOOKUP(A27,CAPA!$C$12:$C$32,1,FALSE),"NO SELECT")</f>
        <v>NO SELECT</v>
      </c>
      <c r="C27" s="3" t="s">
        <v>59</v>
      </c>
      <c r="D27" s="137">
        <f>SUMIFS(Banco[valor],Banco[IdAgente],A27,Banco[idDet1],50,Banco[id_subgrupo],99,Banco[id_posto],9,Banco[id_unidade],2)</f>
        <v>0</v>
      </c>
      <c r="E27" s="137">
        <f>SUMIFS(Banco[valor],Banco[IdAgente],A27,Banco[idDet1],50,Banco[idDet2],51,Banco[id_subgrupo],99,Banco[id_posto],9,Banco[id_unidade],2)</f>
        <v>0</v>
      </c>
      <c r="F27" s="137">
        <f>SUMIFS(Banco[valor],Banco[IdAgente],A27,Banco[idDet1],50,Banco[idDet2],53,Banco[id_subgrupo],99,Banco[id_posto],9,Banco[id_unidade],2)</f>
        <v>0</v>
      </c>
      <c r="G27" s="137">
        <f>SUMIFS(Banco[valor],Banco[IdAgente],A27,Banco[idDet1],50,Banco[idDet2],53,Banco[id_subgrupo],99,Banco[id_posto],9,Banco[id_unidade],2)</f>
        <v>0</v>
      </c>
      <c r="H27" s="137">
        <f t="shared" si="6"/>
        <v>0</v>
      </c>
      <c r="I27" s="93">
        <f>SUMIFS(Banco[valor],Banco[IdAgente],A27,Banco[id_natureza_dado],4,Banco[id_detalhe_natureza],1,Banco[idDet1],52,Banco[idDet2],106,Banco[id_subgrupo],99,Banco[id_posto],9,Banco[id_unidade],3)</f>
        <v>0</v>
      </c>
      <c r="J27" s="16"/>
      <c r="K27" s="3" t="str">
        <f t="shared" si="0"/>
        <v>Cerpalo</v>
      </c>
      <c r="L27" s="92">
        <f>SUMIFS(Banco[valor],Banco[IdAgente],A27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27" s="92">
        <f>SUMIFS(Banco[valor],Banco[IdAgente],A27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27" s="85">
        <f>SUMIFS(Banco[valor],Banco[IdAgente],A27,Banco[id_natureza_dado],2,Banco[id_detalhe_natureza],1,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27" s="85">
        <f>SUMIFS(Banco[valor],Banco[IdAgente],A27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27" s="85">
        <f>SUMIFS(Banco[valor],Banco[IdAgente],A27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27" s="85">
        <f>SUMIFS(Banco[valor],Banco[IdAgente],A27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27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27" s="92">
        <f>SUMIFS(Banco[valor],Banco[IdAgente],A27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27" s="92">
        <f>SUMIFS(Banco[valor],Banco[IdAgente],A27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27" s="190">
        <f>SUMIFS(Banco[valor],Banco[IdAgente],A27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27" s="157">
        <f t="shared" si="1"/>
        <v>0</v>
      </c>
      <c r="V27" s="3" t="str">
        <f t="shared" si="2"/>
        <v>Cerpalo</v>
      </c>
      <c r="W27" s="92">
        <f>SUMIFS(Banco[valor],Banco[IdAgente],A27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27" s="92">
        <f>SUMIFS(Banco[valor],Banco[IdAgente],A27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27" s="85">
        <f>SUMIFS(Banco[valor],Banco[IdAgente],A27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27" s="92">
        <f>SUMIFS(Banco[valor],Banco[IdAgente],A27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27" s="86">
        <f t="shared" si="3"/>
        <v>0</v>
      </c>
      <c r="AC27" s="158"/>
      <c r="AD27" s="3" t="s">
        <v>59</v>
      </c>
      <c r="AE27" s="92">
        <f>SUMIFS(Banco[valor],Banco[IdAgente],A27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27" s="138" t="e">
        <f t="shared" si="12"/>
        <v>#DIV/0!</v>
      </c>
      <c r="AG27" s="92">
        <f>SUMIFS(Banco[valor],Banco[IdAgente],A27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27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27" s="92">
        <f>SUMIFS(Banco[valor],Banco[IdAgente],A27,Banco[id_natureza_dado],1,Banco[id_detalhe_natureza],1,Banco[idDet1],51,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27" s="92">
        <f>SUMIFS(Banco[valor],Banco[IdAgente],A27,Banco[id_natureza_dado],1,Banco[id_detalhe_natureza],1,Banco[idDet1],51,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27" s="86">
        <f t="shared" si="14"/>
        <v>0</v>
      </c>
      <c r="AL27" s="158"/>
      <c r="AM27" s="122" t="s">
        <v>59</v>
      </c>
      <c r="AN27" s="330">
        <f>SUMIFS(Banco[valor],Banco[IdAgente],A27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27" s="330">
        <f>SUMIFS(Banco[valor],Banco[IdAgente],A27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27" s="330">
        <f>SUMIFS(Banco[valor],Banco[IdAgente],A27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27" s="331">
        <f>SUMIFS(Banco[valor],Banco[IdAgente],A27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27" s="331">
        <f>SUMIFS(Banco[valor],Banco[IdAgente],A27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27" s="331">
        <f>SUMIFS(Banco[valor],Banco[IdAgente],A27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27" s="332">
        <f>SUMIFS(Banco[valor],Banco[IdAgente],A27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27" s="331">
        <f>SUMIFS(Banco[valor],Banco[IdAgente],A27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27" s="333">
        <f t="shared" si="13"/>
        <v>0</v>
      </c>
      <c r="AW27" s="329"/>
      <c r="AX27" s="157">
        <f t="shared" si="15"/>
        <v>0</v>
      </c>
      <c r="BC27" s="397" t="s">
        <v>59</v>
      </c>
      <c r="BD27" s="398">
        <f t="shared" si="8"/>
        <v>0</v>
      </c>
      <c r="BE27" s="398">
        <f t="shared" si="9"/>
        <v>0</v>
      </c>
      <c r="BF27" s="398">
        <f>SUMIFS(Banco[valor],Banco[IdAgente],BA27,Banco[idDet1],50,Banco[idDet2],53,Banco[id_subgrupo],99,Banco[id_posto],9,Banco[id_unidade],2)</f>
        <v>0</v>
      </c>
      <c r="BG27" s="398">
        <f>SUMIFS(Banco[valor],Banco[IdAgente],BA27,Banco[idDet1],50,Banco[idDet2],53,Banco[id_subgrupo],99,Banco[id_posto],9,Banco[id_unidade],2)</f>
        <v>0</v>
      </c>
      <c r="BH27" s="398">
        <f>erro[[#This Row],[Despesa (R$)]]</f>
        <v>0</v>
      </c>
      <c r="BI27" s="398">
        <f>'Parcela B'!J28</f>
        <v>0</v>
      </c>
      <c r="BJ27" s="399">
        <f t="shared" si="10"/>
        <v>0</v>
      </c>
      <c r="BK27" s="400">
        <f>SUM(Apoio_Efeito!V26:BI26)</f>
        <v>0</v>
      </c>
      <c r="BL27" s="401">
        <f t="shared" si="11"/>
        <v>0</v>
      </c>
      <c r="BM27" s="17"/>
      <c r="BN27" s="32">
        <f t="shared" si="16"/>
        <v>0</v>
      </c>
      <c r="BP27" s="355" t="s">
        <v>59</v>
      </c>
      <c r="BQ27" s="353">
        <f>SUMIFS(Banco[valor],Banco[IdAgente],A27,Banco[idDet1],50,Banco[id_subgrupo],99,Banco[id_posto],9,Banco[id_unidade],2)</f>
        <v>0</v>
      </c>
      <c r="BR27" s="353">
        <f>SUMIFS(Banco[valor],Banco[IdAgente],A27,Banco[idDet1],50,Banco[idDet2],52,Banco[idDet3],11,Banco[id_subgrupo],99,Banco[id_posto],9,Banco[id_unidade],2)</f>
        <v>0</v>
      </c>
      <c r="BS27" s="353">
        <f>SUMIFS(Banco[valor],Banco[IdAgente],A27,Banco[idDet1],50,Banco[idDet2],53,Banco[id_subgrupo],99,Banco[id_posto],9,Banco[id_unidade],2)</f>
        <v>0</v>
      </c>
      <c r="BT27" s="353">
        <f t="shared" si="5"/>
        <v>0</v>
      </c>
      <c r="BU27" s="354">
        <f>SUMIFS(Banco[valor],Banco[IdAgente],A27,Banco[id_natureza_dado],4,Banco[id_detalhe_natureza],1,Banco[idDet1],52,Banco[idDet2],106,Banco[id_subgrupo],99,Banco[id_posto],9,Banco[id_unidade],3)</f>
        <v>0</v>
      </c>
      <c r="BV27" s="356">
        <f>SUMIFS(Banco[valor],Banco[IdAgente],A27,Banco[idDet1],205,Banco[idDet2],350,Banco[idDet3],201,Banco[id_subgrupo],99,Banco[id_posto],9,Banco[id_unidade],99)</f>
        <v>0</v>
      </c>
    </row>
    <row r="28" spans="1:74" hidden="1">
      <c r="A28" s="255">
        <v>5384</v>
      </c>
      <c r="B28" t="str">
        <f>IFERROR(VLOOKUP(A28,CAPA!$C$12:$C$32,1,FALSE),"NO SELECT")</f>
        <v>NO SELECT</v>
      </c>
      <c r="C28" s="3" t="s">
        <v>186</v>
      </c>
      <c r="D28" s="137">
        <f>SUMIFS(Banco[valor],Banco[IdAgente],A28,Banco[idDet1],50,Banco[id_subgrupo],99,Banco[id_posto],9,Banco[id_unidade],2)</f>
        <v>0</v>
      </c>
      <c r="E28" s="137">
        <f>SUMIFS(Banco[valor],Banco[IdAgente],A28,Banco[idDet1],50,Banco[idDet2],51,Banco[id_subgrupo],99,Banco[id_posto],9,Banco[id_unidade],2)</f>
        <v>0</v>
      </c>
      <c r="F28" s="137">
        <f>SUMIFS(Banco[valor],Banco[IdAgente],A28,Banco[idDet1],50,Banco[idDet2],53,Banco[id_subgrupo],99,Banco[id_posto],9,Banco[id_unidade],2)</f>
        <v>0</v>
      </c>
      <c r="G28" s="137">
        <f>SUMIFS(Banco[valor],Banco[IdAgente],A28,Banco[idDet1],50,Banco[idDet2],53,Banco[id_subgrupo],99,Banco[id_posto],9,Banco[id_unidade],2)</f>
        <v>0</v>
      </c>
      <c r="H28" s="137">
        <f t="shared" si="6"/>
        <v>0</v>
      </c>
      <c r="I28" s="93">
        <f>SUMIFS(Banco[valor],Banco[IdAgente],A28,Banco[id_natureza_dado],4,Banco[id_detalhe_natureza],1,Banco[idDet1],52,Banco[idDet2],106,Banco[id_subgrupo],99,Banco[id_posto],9,Banco[id_unidade],3)</f>
        <v>0</v>
      </c>
      <c r="J28" s="16"/>
      <c r="K28" s="3" t="str">
        <f t="shared" si="0"/>
        <v>Cerpro</v>
      </c>
      <c r="L28" s="92">
        <f>SUMIFS(Banco[valor],Banco[IdAgente],A28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28" s="92">
        <f>SUMIFS(Banco[valor],Banco[IdAgente],A28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28" s="85">
        <f>SUMIFS(Banco[valor],Banco[IdAgente],A28,Banco[id_natureza_dado],2,Banco[id_detalhe_natureza],1,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28" s="85">
        <f>SUMIFS(Banco[valor],Banco[IdAgente],A28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28" s="85">
        <f>SUMIFS(Banco[valor],Banco[IdAgente],A28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28" s="85">
        <f>SUMIFS(Banco[valor],Banco[IdAgente],A28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28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28" s="92">
        <f>SUMIFS(Banco[valor],Banco[IdAgente],A28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28" s="92">
        <f>SUMIFS(Banco[valor],Banco[IdAgente],A28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28" s="190">
        <f>SUMIFS(Banco[valor],Banco[IdAgente],A28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28" s="157">
        <f t="shared" si="1"/>
        <v>0</v>
      </c>
      <c r="V28" s="3" t="str">
        <f t="shared" si="2"/>
        <v>Cerpro</v>
      </c>
      <c r="W28" s="92">
        <f>SUMIFS(Banco[valor],Banco[IdAgente],A28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28" s="92">
        <f>SUMIFS(Banco[valor],Banco[IdAgente],A28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28" s="85">
        <f>SUMIFS(Banco[valor],Banco[IdAgente],A28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28" s="92">
        <f>SUMIFS(Banco[valor],Banco[IdAgente],A28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28" s="86">
        <f t="shared" si="3"/>
        <v>0</v>
      </c>
      <c r="AC28" s="158"/>
      <c r="AD28" s="3" t="s">
        <v>186</v>
      </c>
      <c r="AE28" s="92">
        <f>SUMIFS(Banco[valor],Banco[IdAgente],A28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28" s="138" t="e">
        <f t="shared" si="12"/>
        <v>#DIV/0!</v>
      </c>
      <c r="AG28" s="92">
        <f>SUMIFS(Banco[valor],Banco[IdAgente],A28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28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28" s="92">
        <f>SUMIFS(Banco[valor],Banco[IdAgente],A28,Banco[id_natureza_dado],1,Banco[id_detalhe_natureza],1,Banco[idDet1],51,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28" s="92">
        <f>SUMIFS(Banco[valor],Banco[IdAgente],A28,Banco[id_natureza_dado],1,Banco[id_detalhe_natureza],1,Banco[idDet1],51,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28" s="86">
        <f t="shared" si="14"/>
        <v>0</v>
      </c>
      <c r="AL28" s="158"/>
      <c r="AM28" s="122" t="s">
        <v>186</v>
      </c>
      <c r="AN28" s="330">
        <f>SUMIFS(Banco[valor],Banco[IdAgente],A28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28" s="330">
        <f>SUMIFS(Banco[valor],Banco[IdAgente],A28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28" s="330">
        <f>SUMIFS(Banco[valor],Banco[IdAgente],A28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28" s="331">
        <f>SUMIFS(Banco[valor],Banco[IdAgente],A28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28" s="331">
        <f>SUMIFS(Banco[valor],Banco[IdAgente],A28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28" s="331">
        <f>SUMIFS(Banco[valor],Banco[IdAgente],A28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28" s="332">
        <f>SUMIFS(Banco[valor],Banco[IdAgente],A28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28" s="331">
        <f>SUMIFS(Banco[valor],Banco[IdAgente],A28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28" s="333">
        <f t="shared" si="13"/>
        <v>0</v>
      </c>
      <c r="AW28" s="329"/>
      <c r="AX28" s="157">
        <f t="shared" si="15"/>
        <v>0</v>
      </c>
      <c r="BC28" s="397" t="s">
        <v>186</v>
      </c>
      <c r="BD28" s="398">
        <f t="shared" si="8"/>
        <v>0</v>
      </c>
      <c r="BE28" s="398">
        <f t="shared" si="9"/>
        <v>0</v>
      </c>
      <c r="BF28" s="398">
        <f>SUMIFS(Banco[valor],Banco[IdAgente],BA28,Banco[idDet1],50,Banco[idDet2],53,Banco[id_subgrupo],99,Banco[id_posto],9,Banco[id_unidade],2)</f>
        <v>0</v>
      </c>
      <c r="BG28" s="398">
        <f>SUMIFS(Banco[valor],Banco[IdAgente],BA28,Banco[idDet1],50,Banco[idDet2],53,Banco[id_subgrupo],99,Banco[id_posto],9,Banco[id_unidade],2)</f>
        <v>0</v>
      </c>
      <c r="BH28" s="398">
        <f>erro[[#This Row],[Despesa (R$)]]</f>
        <v>0</v>
      </c>
      <c r="BI28" s="398">
        <f>'Parcela B'!J29</f>
        <v>0</v>
      </c>
      <c r="BJ28" s="399">
        <f t="shared" si="10"/>
        <v>0</v>
      </c>
      <c r="BK28" s="400">
        <f>SUM(Apoio_Efeito!V27:BI27)</f>
        <v>0</v>
      </c>
      <c r="BL28" s="401">
        <f t="shared" si="11"/>
        <v>0</v>
      </c>
      <c r="BM28" s="17"/>
      <c r="BN28" s="32">
        <f t="shared" si="16"/>
        <v>0</v>
      </c>
      <c r="BP28" s="355" t="s">
        <v>186</v>
      </c>
      <c r="BQ28" s="353">
        <f>SUMIFS(Banco[valor],Banco[IdAgente],A28,Banco[idDet1],50,Banco[id_subgrupo],99,Banco[id_posto],9,Banco[id_unidade],2)</f>
        <v>0</v>
      </c>
      <c r="BR28" s="353">
        <f>SUMIFS(Banco[valor],Banco[IdAgente],A28,Banco[idDet1],50,Banco[idDet2],52,Banco[idDet3],11,Banco[id_subgrupo],99,Banco[id_posto],9,Banco[id_unidade],2)</f>
        <v>0</v>
      </c>
      <c r="BS28" s="353">
        <f>SUMIFS(Banco[valor],Banco[IdAgente],A28,Banco[idDet1],50,Banco[idDet2],53,Banco[id_subgrupo],99,Banco[id_posto],9,Banco[id_unidade],2)</f>
        <v>0</v>
      </c>
      <c r="BT28" s="353">
        <f t="shared" si="5"/>
        <v>0</v>
      </c>
      <c r="BU28" s="354">
        <f>SUMIFS(Banco[valor],Banco[IdAgente],A28,Banco[id_natureza_dado],4,Banco[id_detalhe_natureza],1,Banco[idDet1],52,Banco[idDet2],106,Banco[id_subgrupo],99,Banco[id_posto],9,Banco[id_unidade],3)</f>
        <v>0</v>
      </c>
      <c r="BV28" s="356">
        <f>SUMIFS(Banco[valor],Banco[IdAgente],A28,Banco[idDet1],205,Banco[idDet2],350,Banco[idDet3],201,Banco[id_subgrupo],99,Banco[id_posto],9,Banco[id_unidade],99)</f>
        <v>0</v>
      </c>
    </row>
    <row r="29" spans="1:74" hidden="1">
      <c r="A29" s="255">
        <v>5385</v>
      </c>
      <c r="B29" t="str">
        <f>IFERROR(VLOOKUP(A29,CAPA!$C$12:$C$32,1,FALSE),"NO SELECT")</f>
        <v>NO SELECT</v>
      </c>
      <c r="C29" s="3" t="s">
        <v>189</v>
      </c>
      <c r="D29" s="137">
        <f>SUMIFS(Banco[valor],Banco[IdAgente],A29,Banco[idDet1],50,Banco[id_subgrupo],99,Banco[id_posto],9,Banco[id_unidade],2)</f>
        <v>0</v>
      </c>
      <c r="E29" s="137">
        <f>SUMIFS(Banco[valor],Banco[IdAgente],A29,Banco[idDet1],50,Banco[idDet2],51,Banco[id_subgrupo],99,Banco[id_posto],9,Banco[id_unidade],2)</f>
        <v>0</v>
      </c>
      <c r="F29" s="137">
        <f>SUMIFS(Banco[valor],Banco[IdAgente],A29,Banco[idDet1],50,Banco[idDet2],53,Banco[id_subgrupo],99,Banco[id_posto],9,Banco[id_unidade],2)</f>
        <v>0</v>
      </c>
      <c r="G29" s="137">
        <f>SUMIFS(Banco[valor],Banco[IdAgente],A29,Banco[idDet1],50,Banco[idDet2],53,Banco[id_subgrupo],99,Banco[id_posto],9,Banco[id_unidade],2)</f>
        <v>0</v>
      </c>
      <c r="H29" s="137">
        <f t="shared" si="6"/>
        <v>0</v>
      </c>
      <c r="I29" s="93">
        <f>SUMIFS(Banco[valor],Banco[IdAgente],A29,Banco[id_natureza_dado],4,Banco[id_detalhe_natureza],1,Banco[idDet1],52,Banco[idDet2],106,Banco[id_subgrupo],99,Banco[id_posto],9,Banco[id_unidade],3)</f>
        <v>0</v>
      </c>
      <c r="J29" s="16"/>
      <c r="K29" s="2" t="str">
        <f t="shared" si="0"/>
        <v>CERRP</v>
      </c>
      <c r="L29" s="92">
        <f>SUMIFS(Banco[valor],Banco[IdAgente],A29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29" s="92">
        <f>SUMIFS(Banco[valor],Banco[IdAgente],A29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29" s="85">
        <f>SUMIFS(Banco[valor],Banco[IdAgente],A29,Banco[id_natureza_dado],2,Banco[id_detalhe_natureza],1,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29" s="85">
        <f>SUMIFS(Banco[valor],Banco[IdAgente],A29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29" s="85">
        <f>SUMIFS(Banco[valor],Banco[IdAgente],A29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29" s="85">
        <f>SUMIFS(Banco[valor],Banco[IdAgente],A29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29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29" s="92">
        <f>SUMIFS(Banco[valor],Banco[IdAgente],A29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29" s="92">
        <f>SUMIFS(Banco[valor],Banco[IdAgente],A29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29" s="190">
        <f>SUMIFS(Banco[valor],Banco[IdAgente],A29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29" s="157">
        <f t="shared" si="1"/>
        <v>0</v>
      </c>
      <c r="V29" s="3" t="str">
        <f t="shared" si="2"/>
        <v>CERRP</v>
      </c>
      <c r="W29" s="92">
        <f>SUMIFS(Banco[valor],Banco[IdAgente],A29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29" s="92">
        <f>SUMIFS(Banco[valor],Banco[IdAgente],A29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29" s="85">
        <f>SUMIFS(Banco[valor],Banco[IdAgente],A29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29" s="92">
        <f>SUMIFS(Banco[valor],Banco[IdAgente],A29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29" s="86">
        <f t="shared" si="3"/>
        <v>0</v>
      </c>
      <c r="AC29" s="158"/>
      <c r="AD29" s="3" t="s">
        <v>189</v>
      </c>
      <c r="AE29" s="92">
        <f>SUMIFS(Banco[valor],Banco[IdAgente],A29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29" s="138" t="e">
        <f t="shared" si="12"/>
        <v>#DIV/0!</v>
      </c>
      <c r="AG29" s="92">
        <f>SUMIFS(Banco[valor],Banco[IdAgente],A29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29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29" s="92">
        <f>SUMIFS(Banco[valor],Banco[IdAgente],A29,Banco[id_natureza_dado],1,Banco[id_detalhe_natureza],1,Banco[idDet1],51,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29" s="92">
        <f>SUMIFS(Banco[valor],Banco[IdAgente],A29,Banco[id_natureza_dado],1,Banco[id_detalhe_natureza],1,Banco[idDet1],51,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29" s="86">
        <f t="shared" si="14"/>
        <v>0</v>
      </c>
      <c r="AL29" s="158"/>
      <c r="AM29" s="122" t="s">
        <v>189</v>
      </c>
      <c r="AN29" s="330">
        <f>SUMIFS(Banco[valor],Banco[IdAgente],A29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29" s="330">
        <f>SUMIFS(Banco[valor],Banco[IdAgente],A29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29" s="330">
        <f>SUMIFS(Banco[valor],Banco[IdAgente],A29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29" s="331">
        <f>SUMIFS(Banco[valor],Banco[IdAgente],A29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29" s="331">
        <f>SUMIFS(Banco[valor],Banco[IdAgente],A29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29" s="331">
        <f>SUMIFS(Banco[valor],Banco[IdAgente],A29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29" s="332">
        <f>SUMIFS(Banco[valor],Banco[IdAgente],A29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29" s="331">
        <f>SUMIFS(Banco[valor],Banco[IdAgente],A29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29" s="333">
        <f t="shared" si="13"/>
        <v>0</v>
      </c>
      <c r="AW29" s="329"/>
      <c r="AX29" s="157">
        <f t="shared" si="15"/>
        <v>0</v>
      </c>
      <c r="BC29" s="397" t="s">
        <v>189</v>
      </c>
      <c r="BD29" s="398">
        <f t="shared" si="8"/>
        <v>0</v>
      </c>
      <c r="BE29" s="398">
        <f t="shared" si="9"/>
        <v>0</v>
      </c>
      <c r="BF29" s="398">
        <f>SUMIFS(Banco[valor],Banco[IdAgente],BA29,Banco[idDet1],50,Banco[idDet2],53,Banco[id_subgrupo],99,Banco[id_posto],9,Banco[id_unidade],2)</f>
        <v>0</v>
      </c>
      <c r="BG29" s="398">
        <f>SUMIFS(Banco[valor],Banco[IdAgente],BA29,Banco[idDet1],50,Banco[idDet2],53,Banco[id_subgrupo],99,Banco[id_posto],9,Banco[id_unidade],2)</f>
        <v>0</v>
      </c>
      <c r="BH29" s="398">
        <f>erro[[#This Row],[Despesa (R$)]]</f>
        <v>0</v>
      </c>
      <c r="BI29" s="398">
        <f>'Parcela B'!J30</f>
        <v>0</v>
      </c>
      <c r="BJ29" s="399">
        <f t="shared" si="10"/>
        <v>0</v>
      </c>
      <c r="BK29" s="400">
        <f>SUM(Apoio_Efeito!V28:BI28)</f>
        <v>0</v>
      </c>
      <c r="BL29" s="401">
        <f t="shared" si="11"/>
        <v>0</v>
      </c>
      <c r="BM29" s="17"/>
      <c r="BN29" s="32">
        <f t="shared" si="16"/>
        <v>0</v>
      </c>
      <c r="BP29" s="355" t="s">
        <v>189</v>
      </c>
      <c r="BQ29" s="353">
        <f>SUMIFS(Banco[valor],Banco[IdAgente],A29,Banco[idDet1],50,Banco[id_subgrupo],99,Banco[id_posto],9,Banco[id_unidade],2)</f>
        <v>0</v>
      </c>
      <c r="BR29" s="353">
        <f>SUMIFS(Banco[valor],Banco[IdAgente],A29,Banco[idDet1],50,Banco[idDet2],52,Banco[idDet3],11,Banco[id_subgrupo],99,Banco[id_posto],9,Banco[id_unidade],2)</f>
        <v>0</v>
      </c>
      <c r="BS29" s="353">
        <f>SUMIFS(Banco[valor],Banco[IdAgente],A29,Banco[idDet1],50,Banco[idDet2],53,Banco[id_subgrupo],99,Banco[id_posto],9,Banco[id_unidade],2)</f>
        <v>0</v>
      </c>
      <c r="BT29" s="353">
        <f t="shared" si="5"/>
        <v>0</v>
      </c>
      <c r="BU29" s="354">
        <f>SUMIFS(Banco[valor],Banco[IdAgente],A29,Banco[id_natureza_dado],4,Banco[id_detalhe_natureza],1,Banco[idDet1],52,Banco[idDet2],106,Banco[id_subgrupo],99,Banco[id_posto],9,Banco[id_unidade],3)</f>
        <v>0</v>
      </c>
      <c r="BV29" s="356">
        <f>SUMIFS(Banco[valor],Banco[IdAgente],A29,Banco[idDet1],205,Banco[idDet2],350,Banco[idDet3],201,Banco[id_subgrupo],99,Banco[id_posto],9,Banco[id_unidade],99)</f>
        <v>0</v>
      </c>
    </row>
    <row r="30" spans="1:74" hidden="1">
      <c r="A30" s="255">
        <v>5368</v>
      </c>
      <c r="B30" t="str">
        <f>IFERROR(VLOOKUP(A30,CAPA!$C$12:$C$32,1,FALSE),"NO SELECT")</f>
        <v>NO SELECT</v>
      </c>
      <c r="C30" s="3" t="s">
        <v>60</v>
      </c>
      <c r="D30" s="137">
        <f>SUMIFS(Banco[valor],Banco[IdAgente],A30,Banco[idDet1],50,Banco[id_subgrupo],99,Banco[id_posto],9,Banco[id_unidade],2)</f>
        <v>0</v>
      </c>
      <c r="E30" s="137">
        <f>SUMIFS(Banco[valor],Banco[IdAgente],A30,Banco[idDet1],50,Banco[idDet2],51,Banco[id_subgrupo],99,Banco[id_posto],9,Banco[id_unidade],2)</f>
        <v>0</v>
      </c>
      <c r="F30" s="137">
        <f>SUMIFS(Banco[valor],Banco[IdAgente],A30,Banco[idDet1],50,Banco[idDet2],53,Banco[id_subgrupo],99,Banco[id_posto],9,Banco[id_unidade],2)</f>
        <v>0</v>
      </c>
      <c r="G30" s="137">
        <f>SUMIFS(Banco[valor],Banco[IdAgente],A30,Banco[idDet1],50,Banco[idDet2],53,Banco[id_subgrupo],99,Banco[id_posto],9,Banco[id_unidade],2)</f>
        <v>0</v>
      </c>
      <c r="H30" s="137">
        <f t="shared" si="6"/>
        <v>0</v>
      </c>
      <c r="I30" s="93">
        <f>SUMIFS(Banco[valor],Banco[IdAgente],A30,Banco[id_natureza_dado],4,Banco[id_detalhe_natureza],1,Banco[idDet1],52,Banco[idDet2],106,Banco[id_subgrupo],99,Banco[id_posto],9,Banco[id_unidade],3)</f>
        <v>0</v>
      </c>
      <c r="J30" s="16"/>
      <c r="K30" s="91" t="str">
        <f t="shared" si="0"/>
        <v>Cersul</v>
      </c>
      <c r="L30" s="92">
        <f>SUMIFS(Banco[valor],Banco[IdAgente],A30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30" s="92">
        <f>SUMIFS(Banco[valor],Banco[IdAgente],A30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30" s="85">
        <f>SUMIFS(Banco[valor],Banco[IdAgente],A30,Banco[id_natureza_dado],2,Banco[id_detalhe_natureza],1,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30" s="85">
        <f>SUMIFS(Banco[valor],Banco[IdAgente],A30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30" s="85">
        <f>SUMIFS(Banco[valor],Banco[IdAgente],A30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30" s="85">
        <f>SUMIFS(Banco[valor],Banco[IdAgente],A30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30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30" s="92">
        <f>SUMIFS(Banco[valor],Banco[IdAgente],A30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30" s="92">
        <f>SUMIFS(Banco[valor],Banco[IdAgente],A30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30" s="190">
        <f>SUMIFS(Banco[valor],Banco[IdAgente],A30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30" s="157">
        <f t="shared" si="1"/>
        <v>0</v>
      </c>
      <c r="V30" s="3" t="str">
        <f t="shared" si="2"/>
        <v>Cersul</v>
      </c>
      <c r="W30" s="92">
        <f>SUMIFS(Banco[valor],Banco[IdAgente],A30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30" s="92">
        <f>SUMIFS(Banco[valor],Banco[IdAgente],A30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30" s="85">
        <f>SUMIFS(Banco[valor],Banco[IdAgente],A30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30" s="92">
        <f>SUMIFS(Banco[valor],Banco[IdAgente],A30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30" s="86">
        <f t="shared" si="3"/>
        <v>0</v>
      </c>
      <c r="AC30" s="158"/>
      <c r="AD30" s="3" t="s">
        <v>60</v>
      </c>
      <c r="AE30" s="92">
        <f>SUMIFS(Banco[valor],Banco[IdAgente],A30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30" s="138" t="e">
        <f t="shared" si="12"/>
        <v>#DIV/0!</v>
      </c>
      <c r="AG30" s="92">
        <f>SUMIFS(Banco[valor],Banco[IdAgente],A30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30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30" s="92">
        <f>SUMIFS(Banco[valor],Banco[IdAgente],A30,Banco[id_natureza_dado],1,Banco[id_detalhe_natureza],1,Banco[idDet1],51,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30" s="92">
        <f>SUMIFS(Banco[valor],Banco[IdAgente],A30,Banco[id_natureza_dado],1,Banco[id_detalhe_natureza],1,Banco[idDet1],51,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30" s="86">
        <f t="shared" si="14"/>
        <v>0</v>
      </c>
      <c r="AL30" s="158"/>
      <c r="AM30" s="122" t="s">
        <v>60</v>
      </c>
      <c r="AN30" s="330">
        <f>SUMIFS(Banco[valor],Banco[IdAgente],A30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30" s="330">
        <f>SUMIFS(Banco[valor],Banco[IdAgente],A30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30" s="330">
        <f>SUMIFS(Banco[valor],Banco[IdAgente],A30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30" s="331">
        <f>SUMIFS(Banco[valor],Banco[IdAgente],A30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30" s="331">
        <f>SUMIFS(Banco[valor],Banco[IdAgente],A30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30" s="331">
        <f>SUMIFS(Banco[valor],Banco[IdAgente],A30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30" s="332">
        <f>SUMIFS(Banco[valor],Banco[IdAgente],A30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30" s="331">
        <f>SUMIFS(Banco[valor],Banco[IdAgente],A30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30" s="333">
        <f t="shared" si="13"/>
        <v>0</v>
      </c>
      <c r="AW30" s="329"/>
      <c r="AX30" s="157">
        <f t="shared" si="15"/>
        <v>0</v>
      </c>
      <c r="BC30" s="397" t="s">
        <v>60</v>
      </c>
      <c r="BD30" s="398">
        <f t="shared" si="8"/>
        <v>0</v>
      </c>
      <c r="BE30" s="398">
        <f t="shared" si="9"/>
        <v>0</v>
      </c>
      <c r="BF30" s="398">
        <f>SUMIFS(Banco[valor],Banco[IdAgente],BA30,Banco[idDet1],50,Banco[idDet2],53,Banco[id_subgrupo],99,Banco[id_posto],9,Banco[id_unidade],2)</f>
        <v>0</v>
      </c>
      <c r="BG30" s="398">
        <f>SUMIFS(Banco[valor],Banco[IdAgente],BA30,Banco[idDet1],50,Banco[idDet2],53,Banco[id_subgrupo],99,Banco[id_posto],9,Banco[id_unidade],2)</f>
        <v>0</v>
      </c>
      <c r="BH30" s="398">
        <f>erro[[#This Row],[Despesa (R$)]]</f>
        <v>0</v>
      </c>
      <c r="BI30" s="398">
        <f>'Parcela B'!J31</f>
        <v>0</v>
      </c>
      <c r="BJ30" s="399">
        <f t="shared" si="10"/>
        <v>0</v>
      </c>
      <c r="BK30" s="400">
        <f>SUM(Apoio_Efeito!V29:BI29)</f>
        <v>0</v>
      </c>
      <c r="BL30" s="401">
        <f t="shared" si="11"/>
        <v>0</v>
      </c>
      <c r="BM30" s="17"/>
      <c r="BN30" s="32">
        <f t="shared" si="16"/>
        <v>0</v>
      </c>
      <c r="BP30" s="355" t="s">
        <v>60</v>
      </c>
      <c r="BQ30" s="353">
        <f>SUMIFS(Banco[valor],Banco[IdAgente],A30,Banco[idDet1],50,Banco[id_subgrupo],99,Banco[id_posto],9,Banco[id_unidade],2)</f>
        <v>0</v>
      </c>
      <c r="BR30" s="353">
        <f>SUMIFS(Banco[valor],Banco[IdAgente],A30,Banco[idDet1],50,Banco[idDet2],52,Banco[idDet3],11,Banco[id_subgrupo],99,Banco[id_posto],9,Banco[id_unidade],2)</f>
        <v>0</v>
      </c>
      <c r="BS30" s="353">
        <f>SUMIFS(Banco[valor],Banco[IdAgente],A30,Banco[idDet1],50,Banco[idDet2],53,Banco[id_subgrupo],99,Banco[id_posto],9,Banco[id_unidade],2)</f>
        <v>0</v>
      </c>
      <c r="BT30" s="353">
        <f t="shared" si="5"/>
        <v>0</v>
      </c>
      <c r="BU30" s="354">
        <f>SUMIFS(Banco[valor],Banco[IdAgente],A30,Banco[id_natureza_dado],4,Banco[id_detalhe_natureza],1,Banco[idDet1],52,Banco[idDet2],106,Banco[id_subgrupo],99,Banco[id_posto],9,Banco[id_unidade],3)</f>
        <v>0</v>
      </c>
      <c r="BV30" s="356">
        <f>SUMIFS(Banco[valor],Banco[IdAgente],A30,Banco[idDet1],205,Banco[idDet2],350,Banco[idDet3],201,Banco[id_subgrupo],99,Banco[id_posto],9,Banco[id_unidade],99)</f>
        <v>0</v>
      </c>
    </row>
    <row r="31" spans="1:74" hidden="1">
      <c r="A31" s="255">
        <v>3223</v>
      </c>
      <c r="B31" t="str">
        <f>IFERROR(VLOOKUP(A31,CAPA!$C$12:$C$32,1,FALSE),"NO SELECT")</f>
        <v>NO SELECT</v>
      </c>
      <c r="C31" s="3" t="s">
        <v>192</v>
      </c>
      <c r="D31" s="137">
        <f>SUMIFS(Banco[valor],Banco[IdAgente],A31,Banco[idDet1],50,Banco[id_subgrupo],99,Banco[id_posto],9,Banco[id_unidade],2)</f>
        <v>0</v>
      </c>
      <c r="E31" s="137">
        <f>SUMIFS(Banco[valor],Banco[IdAgente],A31,Banco[idDet1],50,Banco[idDet2],51,Banco[id_subgrupo],99,Banco[id_posto],9,Banco[id_unidade],2)</f>
        <v>0</v>
      </c>
      <c r="F31" s="137">
        <f>SUMIFS(Banco[valor],Banco[IdAgente],A31,Banco[idDet1],50,Banco[idDet2],53,Banco[id_subgrupo],99,Banco[id_posto],9,Banco[id_unidade],2)</f>
        <v>0</v>
      </c>
      <c r="G31" s="137">
        <f>SUMIFS(Banco[valor],Banco[IdAgente],A31,Banco[idDet1],50,Banco[idDet2],53,Banco[id_subgrupo],99,Banco[id_posto],9,Banco[id_unidade],2)</f>
        <v>0</v>
      </c>
      <c r="H31" s="137">
        <f t="shared" si="6"/>
        <v>0</v>
      </c>
      <c r="I31" s="93">
        <f>SUMIFS(Banco[valor],Banco[IdAgente],A31,Banco[id_natureza_dado],4,Banco[id_detalhe_natureza],1,Banco[idDet1],52,Banco[idDet2],106,Banco[id_subgrupo],99,Banco[id_posto],9,Banco[id_unidade],3)</f>
        <v>0</v>
      </c>
      <c r="J31" s="16"/>
      <c r="K31" s="3" t="str">
        <f t="shared" si="0"/>
        <v>Certaja</v>
      </c>
      <c r="L31" s="92">
        <f>SUMIFS(Banco[valor],Banco[IdAgente],A31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31" s="92">
        <f>SUMIFS(Banco[valor],Banco[IdAgente],A31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31" s="85">
        <f>SUMIFS(Banco[valor],Banco[IdAgente],A31,Banco[id_natureza_dado],2,Banco[id_detalhe_natureza],1,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31" s="85">
        <f>SUMIFS(Banco[valor],Banco[IdAgente],A31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31" s="85">
        <f>SUMIFS(Banco[valor],Banco[IdAgente],A31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31" s="85">
        <f>SUMIFS(Banco[valor],Banco[IdAgente],A31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31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31" s="92">
        <f>SUMIFS(Banco[valor],Banco[IdAgente],A31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31" s="92">
        <f>SUMIFS(Banco[valor],Banco[IdAgente],A31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31" s="190">
        <f>SUMIFS(Banco[valor],Banco[IdAgente],A31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31" s="157">
        <f t="shared" si="1"/>
        <v>0</v>
      </c>
      <c r="V31" s="3" t="str">
        <f t="shared" si="2"/>
        <v>Certaja</v>
      </c>
      <c r="W31" s="92">
        <f>SUMIFS(Banco[valor],Banco[IdAgente],A31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31" s="92">
        <f>SUMIFS(Banco[valor],Banco[IdAgente],A31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31" s="85">
        <f>SUMIFS(Banco[valor],Banco[IdAgente],A31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31" s="92">
        <f>SUMIFS(Banco[valor],Banco[IdAgente],A31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31" s="86">
        <f>SUM(W31:Z31)</f>
        <v>0</v>
      </c>
      <c r="AC31" s="158"/>
      <c r="AD31" s="3" t="s">
        <v>192</v>
      </c>
      <c r="AE31" s="92">
        <f>SUMIFS(Banco[valor],Banco[IdAgente],A31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31" s="138" t="e">
        <f t="shared" si="12"/>
        <v>#DIV/0!</v>
      </c>
      <c r="AG31" s="92">
        <f>SUMIFS(Banco[valor],Banco[IdAgente],A31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31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31" s="92">
        <f>SUMIFS(Banco[valor],Banco[IdAgente],A31,Banco[id_natureza_dado],1,Banco[id_detalhe_natureza],1,Banco[idDet1],51,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31" s="92">
        <f>SUMIFS(Banco[valor],Banco[IdAgente],A31,Banco[id_natureza_dado],1,Banco[id_detalhe_natureza],1,Banco[idDet1],51,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31" s="86">
        <f t="shared" si="14"/>
        <v>0</v>
      </c>
      <c r="AL31" s="158"/>
      <c r="AM31" s="122" t="s">
        <v>192</v>
      </c>
      <c r="AN31" s="330">
        <f>SUMIFS(Banco[valor],Banco[IdAgente],A31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31" s="330">
        <f>SUMIFS(Banco[valor],Banco[IdAgente],A31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31" s="330">
        <f>SUMIFS(Banco[valor],Banco[IdAgente],A31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31" s="331">
        <f>SUMIFS(Banco[valor],Banco[IdAgente],A31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31" s="331">
        <f>SUMIFS(Banco[valor],Banco[IdAgente],A31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31" s="331">
        <f>SUMIFS(Banco[valor],Banco[IdAgente],A31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31" s="332">
        <f>SUMIFS(Banco[valor],Banco[IdAgente],A31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31" s="331">
        <f>SUMIFS(Banco[valor],Banco[IdAgente],A31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31" s="333">
        <f t="shared" si="13"/>
        <v>0</v>
      </c>
      <c r="AW31" s="329"/>
      <c r="AX31" s="157">
        <f t="shared" si="15"/>
        <v>0</v>
      </c>
      <c r="BC31" s="397" t="s">
        <v>192</v>
      </c>
      <c r="BD31" s="398">
        <f t="shared" si="8"/>
        <v>0</v>
      </c>
      <c r="BE31" s="398">
        <f t="shared" si="9"/>
        <v>0</v>
      </c>
      <c r="BF31" s="398">
        <f>SUMIFS(Banco[valor],Banco[IdAgente],BA31,Banco[idDet1],50,Banco[idDet2],53,Banco[id_subgrupo],99,Banco[id_posto],9,Banco[id_unidade],2)</f>
        <v>0</v>
      </c>
      <c r="BG31" s="398">
        <f>SUMIFS(Banco[valor],Banco[IdAgente],BA31,Banco[idDet1],50,Banco[idDet2],53,Banco[id_subgrupo],99,Banco[id_posto],9,Banco[id_unidade],2)</f>
        <v>0</v>
      </c>
      <c r="BH31" s="398">
        <f>erro[[#This Row],[Despesa (R$)]]</f>
        <v>0</v>
      </c>
      <c r="BI31" s="398">
        <f>'Parcela B'!J32</f>
        <v>0</v>
      </c>
      <c r="BJ31" s="399">
        <f t="shared" si="10"/>
        <v>0</v>
      </c>
      <c r="BK31" s="400">
        <f>SUM(Apoio_Efeito!V30:BI30)</f>
        <v>0</v>
      </c>
      <c r="BL31" s="401">
        <f t="shared" si="11"/>
        <v>0</v>
      </c>
      <c r="BM31" s="17">
        <v>69409834.704659984</v>
      </c>
      <c r="BN31" s="32">
        <f t="shared" si="16"/>
        <v>0</v>
      </c>
      <c r="BP31" s="355" t="s">
        <v>192</v>
      </c>
      <c r="BQ31" s="353">
        <f>SUMIFS(Banco[valor],Banco[IdAgente],A31,Banco[idDet1],50,Banco[id_subgrupo],99,Banco[id_posto],9,Banco[id_unidade],2)</f>
        <v>0</v>
      </c>
      <c r="BR31" s="353">
        <f>SUMIFS(Banco[valor],Banco[IdAgente],A31,Banco[idDet1],50,Banco[idDet2],52,Banco[idDet3],11,Banco[id_subgrupo],99,Banco[id_posto],9,Banco[id_unidade],2)</f>
        <v>0</v>
      </c>
      <c r="BS31" s="353">
        <f>SUMIFS(Banco[valor],Banco[IdAgente],A31,Banco[idDet1],50,Banco[idDet2],53,Banco[id_subgrupo],99,Banco[id_posto],9,Banco[id_unidade],2)</f>
        <v>0</v>
      </c>
      <c r="BT31" s="353">
        <f t="shared" si="5"/>
        <v>0</v>
      </c>
      <c r="BU31" s="354">
        <f>SUMIFS(Banco[valor],Banco[IdAgente],A31,Banco[id_natureza_dado],4,Banco[id_detalhe_natureza],1,Banco[idDet1],52,Banco[idDet2],106,Banco[id_subgrupo],99,Banco[id_posto],9,Banco[id_unidade],3)</f>
        <v>0</v>
      </c>
      <c r="BV31" s="356">
        <f>SUMIFS(Banco[valor],Banco[IdAgente],A31,Banco[idDet1],205,Banco[idDet2],350,Banco[idDet3],201,Banco[id_subgrupo],99,Banco[id_posto],9,Banco[id_unidade],99)</f>
        <v>0</v>
      </c>
    </row>
    <row r="32" spans="1:74" hidden="1">
      <c r="A32" s="255">
        <v>7371</v>
      </c>
      <c r="B32" t="str">
        <f>IFERROR(VLOOKUP(A32,CAPA!$C$12:$C$32,1,FALSE),"NO SELECT")</f>
        <v>NO SELECT</v>
      </c>
      <c r="C32" s="3" t="s">
        <v>195</v>
      </c>
      <c r="D32" s="137">
        <f>SUMIFS(Banco[valor],Banco[IdAgente],A32,Banco[idDet1],50,Banco[id_subgrupo],99,Banco[id_posto],9,Banco[id_unidade],2)</f>
        <v>0</v>
      </c>
      <c r="E32" s="137">
        <f>SUMIFS(Banco[valor],Banco[IdAgente],A32,Banco[idDet1],50,Banco[idDet2],51,Banco[id_subgrupo],99,Banco[id_posto],9,Banco[id_unidade],2)</f>
        <v>0</v>
      </c>
      <c r="F32" s="137">
        <f>SUMIFS(Banco[valor],Banco[IdAgente],A32,Banco[idDet1],50,Banco[idDet2],53,Banco[id_subgrupo],99,Banco[id_posto],9,Banco[id_unidade],2)</f>
        <v>0</v>
      </c>
      <c r="G32" s="137">
        <f>SUMIFS(Banco[valor],Banco[IdAgente],A32,Banco[idDet1],50,Banco[idDet2],53,Banco[id_subgrupo],99,Banco[id_posto],9,Banco[id_unidade],2)</f>
        <v>0</v>
      </c>
      <c r="H32" s="137">
        <f t="shared" si="6"/>
        <v>0</v>
      </c>
      <c r="I32" s="93">
        <f>SUMIFS(Banco[valor],Banco[IdAgente],A32,Banco[id_natureza_dado],4,Banco[id_detalhe_natureza],1,Banco[idDet1],52,Banco[idDet2],106,Banco[id_subgrupo],99,Banco[id_posto],9,Banco[id_unidade],3)</f>
        <v>0</v>
      </c>
      <c r="J32" s="16"/>
      <c r="K32" s="3" t="str">
        <f t="shared" si="0"/>
        <v>Certel</v>
      </c>
      <c r="L32" s="92">
        <f>SUMIFS(Banco[valor],Banco[IdAgente],A32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32" s="92">
        <f>SUMIFS(Banco[valor],Banco[IdAgente],A32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32" s="85">
        <f>SUMIFS(Banco[valor],Banco[IdAgente],A32,Banco[id_natureza_dado],2,Banco[id_detalhe_natureza],1,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32" s="85">
        <f>SUMIFS(Banco[valor],Banco[IdAgente],A32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32" s="85">
        <f>SUMIFS(Banco[valor],Banco[IdAgente],A32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32" s="85">
        <f>SUMIFS(Banco[valor],Banco[IdAgente],A32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32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32" s="92">
        <f>SUMIFS(Banco[valor],Banco[IdAgente],A32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32" s="92">
        <f>SUMIFS(Banco[valor],Banco[IdAgente],A32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32" s="190">
        <f>SUMIFS(Banco[valor],Banco[IdAgente],A32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32" s="157">
        <f t="shared" si="1"/>
        <v>0</v>
      </c>
      <c r="V32" s="3" t="str">
        <f t="shared" si="2"/>
        <v>Certel</v>
      </c>
      <c r="W32" s="92">
        <f>SUMIFS(Banco[valor],Banco[IdAgente],A32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32" s="92">
        <f>SUMIFS(Banco[valor],Banco[IdAgente],A32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32" s="85">
        <f>SUMIFS(Banco[valor],Banco[IdAgente],A32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32" s="92">
        <f>SUMIFS(Banco[valor],Banco[IdAgente],A32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32" s="86">
        <f t="shared" si="3"/>
        <v>0</v>
      </c>
      <c r="AC32" s="158"/>
      <c r="AD32" s="3" t="s">
        <v>195</v>
      </c>
      <c r="AE32" s="92">
        <f>SUMIFS(Banco[valor],Banco[IdAgente],A32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32" s="138" t="e">
        <f t="shared" si="12"/>
        <v>#DIV/0!</v>
      </c>
      <c r="AG32" s="92">
        <f>SUMIFS(Banco[valor],Banco[IdAgente],A32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32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32" s="92">
        <f>SUMIFS(Banco[valor],Banco[IdAgente],A32,Banco[id_natureza_dado],1,Banco[id_detalhe_natureza],1,Banco[idDet1],51,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32" s="92">
        <f>SUMIFS(Banco[valor],Banco[IdAgente],A32,Banco[id_natureza_dado],1,Banco[id_detalhe_natureza],1,Banco[idDet1],51,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32" s="86">
        <f t="shared" si="14"/>
        <v>0</v>
      </c>
      <c r="AL32" s="158"/>
      <c r="AM32" s="122" t="s">
        <v>195</v>
      </c>
      <c r="AN32" s="330">
        <f>SUMIFS(Banco[valor],Banco[IdAgente],A32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32" s="330">
        <f>SUMIFS(Banco[valor],Banco[IdAgente],A32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32" s="330">
        <f>SUMIFS(Banco[valor],Banco[IdAgente],A32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32" s="331">
        <f>SUMIFS(Banco[valor],Banco[IdAgente],A32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32" s="331">
        <f>SUMIFS(Banco[valor],Banco[IdAgente],A32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32" s="331">
        <f>SUMIFS(Banco[valor],Banco[IdAgente],A32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32" s="332">
        <f>SUMIFS(Banco[valor],Banco[IdAgente],A32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32" s="331">
        <f>SUMIFS(Banco[valor],Banco[IdAgente],A32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32" s="333">
        <f t="shared" si="13"/>
        <v>0</v>
      </c>
      <c r="AW32" s="329"/>
      <c r="AX32" s="157">
        <f t="shared" si="15"/>
        <v>0</v>
      </c>
      <c r="BC32" s="397" t="s">
        <v>195</v>
      </c>
      <c r="BD32" s="398">
        <f t="shared" si="8"/>
        <v>0</v>
      </c>
      <c r="BE32" s="398">
        <f t="shared" si="9"/>
        <v>0</v>
      </c>
      <c r="BF32" s="398">
        <f>SUMIFS(Banco[valor],Banco[IdAgente],BA32,Banco[idDet1],50,Banco[idDet2],53,Banco[id_subgrupo],99,Banco[id_posto],9,Banco[id_unidade],2)</f>
        <v>0</v>
      </c>
      <c r="BG32" s="398">
        <f>SUMIFS(Banco[valor],Banco[IdAgente],BA32,Banco[idDet1],50,Banco[idDet2],53,Banco[id_subgrupo],99,Banco[id_posto],9,Banco[id_unidade],2)</f>
        <v>0</v>
      </c>
      <c r="BH32" s="398">
        <f>erro[[#This Row],[Despesa (R$)]]</f>
        <v>0</v>
      </c>
      <c r="BI32" s="398">
        <f>'Parcela B'!J33</f>
        <v>0</v>
      </c>
      <c r="BJ32" s="399">
        <f t="shared" si="10"/>
        <v>0</v>
      </c>
      <c r="BK32" s="400">
        <f>SUM(Apoio_Efeito!V31:BI31)</f>
        <v>0</v>
      </c>
      <c r="BL32" s="401">
        <f t="shared" si="11"/>
        <v>0</v>
      </c>
      <c r="BM32" s="17">
        <v>246637087.92356005</v>
      </c>
      <c r="BN32" s="32">
        <f t="shared" si="16"/>
        <v>0</v>
      </c>
      <c r="BP32" s="355" t="s">
        <v>195</v>
      </c>
      <c r="BQ32" s="353">
        <f>SUMIFS(Banco[valor],Banco[IdAgente],A32,Banco[idDet1],50,Banco[id_subgrupo],99,Banco[id_posto],9,Banco[id_unidade],2)</f>
        <v>0</v>
      </c>
      <c r="BR32" s="353">
        <f>SUMIFS(Banco[valor],Banco[IdAgente],A32,Banco[idDet1],50,Banco[idDet2],52,Banco[idDet3],11,Banco[id_subgrupo],99,Banco[id_posto],9,Banco[id_unidade],2)</f>
        <v>0</v>
      </c>
      <c r="BS32" s="353">
        <f>SUMIFS(Banco[valor],Banco[IdAgente],A32,Banco[idDet1],50,Banco[idDet2],53,Banco[id_subgrupo],99,Banco[id_posto],9,Banco[id_unidade],2)</f>
        <v>0</v>
      </c>
      <c r="BT32" s="353">
        <f t="shared" si="5"/>
        <v>0</v>
      </c>
      <c r="BU32" s="354">
        <f>SUMIFS(Banco[valor],Banco[IdAgente],A32,Banco[id_natureza_dado],4,Banco[id_detalhe_natureza],1,Banco[idDet1],52,Banco[idDet2],106,Banco[id_subgrupo],99,Banco[id_posto],9,Banco[id_unidade],3)</f>
        <v>0</v>
      </c>
      <c r="BV32" s="356">
        <f>SUMIFS(Banco[valor],Banco[IdAgente],A32,Banco[idDet1],205,Banco[idDet2],350,Banco[idDet3],201,Banco[id_subgrupo],99,Banco[id_posto],9,Banco[id_unidade],99)</f>
        <v>0</v>
      </c>
    </row>
    <row r="33" spans="1:74" hidden="1">
      <c r="A33" s="255">
        <v>5369</v>
      </c>
      <c r="B33" t="str">
        <f>IFERROR(VLOOKUP(A33,CAPA!$C$12:$C$32,1,FALSE),"NO SELECT")</f>
        <v>NO SELECT</v>
      </c>
      <c r="C33" s="3" t="s">
        <v>61</v>
      </c>
      <c r="D33" s="137">
        <f>SUMIFS(Banco[valor],Banco[IdAgente],A33,Banco[idDet1],50,Banco[id_subgrupo],99,Banco[id_posto],9,Banco[id_unidade],2)</f>
        <v>0</v>
      </c>
      <c r="E33" s="137">
        <f>SUMIFS(Banco[valor],Banco[IdAgente],A33,Banco[idDet1],50,Banco[idDet2],51,Banco[id_subgrupo],99,Banco[id_posto],9,Banco[id_unidade],2)</f>
        <v>0</v>
      </c>
      <c r="F33" s="137">
        <f>SUMIFS(Banco[valor],Banco[IdAgente],A33,Banco[idDet1],50,Banco[idDet2],53,Banco[id_subgrupo],99,Banco[id_posto],9,Banco[id_unidade],2)</f>
        <v>0</v>
      </c>
      <c r="G33" s="137">
        <f>SUMIFS(Banco[valor],Banco[IdAgente],A33,Banco[idDet1],50,Banco[idDet2],53,Banco[id_subgrupo],99,Banco[id_posto],9,Banco[id_unidade],2)</f>
        <v>0</v>
      </c>
      <c r="H33" s="137">
        <f t="shared" si="6"/>
        <v>0</v>
      </c>
      <c r="I33" s="93">
        <f>SUMIFS(Banco[valor],Banco[IdAgente],A33,Banco[id_natureza_dado],4,Banco[id_detalhe_natureza],1,Banco[idDet1],52,Banco[idDet2],106,Banco[id_subgrupo],99,Banco[id_posto],9,Banco[id_unidade],3)</f>
        <v>0</v>
      </c>
      <c r="J33" s="16"/>
      <c r="K33" s="3" t="str">
        <f t="shared" si="0"/>
        <v>Certrel</v>
      </c>
      <c r="L33" s="92">
        <f>SUMIFS(Banco[valor],Banco[IdAgente],A33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33" s="92">
        <f>SUMIFS(Banco[valor],Banco[IdAgente],A33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33" s="85">
        <f>SUMIFS(Banco[valor],Banco[IdAgente],A33,Banco[id_natureza_dado],2,Banco[id_detalhe_natureza],1,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33" s="85">
        <f>SUMIFS(Banco[valor],Banco[IdAgente],A33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33" s="85">
        <f>SUMIFS(Banco[valor],Banco[IdAgente],A33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33" s="85">
        <f>SUMIFS(Banco[valor],Banco[IdAgente],A33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33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33" s="92">
        <f>SUMIFS(Banco[valor],Banco[IdAgente],A33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33" s="92">
        <f>SUMIFS(Banco[valor],Banco[IdAgente],A33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33" s="190">
        <f>SUMIFS(Banco[valor],Banco[IdAgente],A33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33" s="157">
        <f t="shared" si="1"/>
        <v>0</v>
      </c>
      <c r="V33" s="3" t="str">
        <f t="shared" si="2"/>
        <v>Certrel</v>
      </c>
      <c r="W33" s="92">
        <f>SUMIFS(Banco[valor],Banco[IdAgente],A33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33" s="92">
        <f>SUMIFS(Banco[valor],Banco[IdAgente],A33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33" s="85">
        <f>SUMIFS(Banco[valor],Banco[IdAgente],A33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33" s="92">
        <f>SUMIFS(Banco[valor],Banco[IdAgente],A33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33" s="86">
        <f t="shared" si="3"/>
        <v>0</v>
      </c>
      <c r="AC33" s="158"/>
      <c r="AD33" s="3" t="s">
        <v>61</v>
      </c>
      <c r="AE33" s="92">
        <f>SUMIFS(Banco[valor],Banco[IdAgente],A33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33" s="138" t="e">
        <f t="shared" si="12"/>
        <v>#DIV/0!</v>
      </c>
      <c r="AG33" s="92">
        <f>SUMIFS(Banco[valor],Banco[IdAgente],A33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33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33" s="92">
        <f>SUMIFS(Banco[valor],Banco[IdAgente],A33,Banco[id_natureza_dado],1,Banco[id_detalhe_natureza],1,Banco[idDet1],51,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33" s="92">
        <f>SUMIFS(Banco[valor],Banco[IdAgente],A33,Banco[id_natureza_dado],1,Banco[id_detalhe_natureza],1,Banco[idDet1],51,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33" s="86">
        <f t="shared" si="14"/>
        <v>0</v>
      </c>
      <c r="AL33" s="158"/>
      <c r="AM33" s="122" t="s">
        <v>61</v>
      </c>
      <c r="AN33" s="330">
        <f>SUMIFS(Banco[valor],Banco[IdAgente],A33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33" s="330">
        <f>SUMIFS(Banco[valor],Banco[IdAgente],A33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33" s="330">
        <f>SUMIFS(Banco[valor],Banco[IdAgente],A33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33" s="331">
        <f>SUMIFS(Banco[valor],Banco[IdAgente],A33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33" s="331">
        <f>SUMIFS(Banco[valor],Banco[IdAgente],A33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33" s="331">
        <f>SUMIFS(Banco[valor],Banco[IdAgente],A33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33" s="332">
        <f>SUMIFS(Banco[valor],Banco[IdAgente],A33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33" s="331">
        <f>SUMIFS(Banco[valor],Banco[IdAgente],A33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33" s="333">
        <f t="shared" si="13"/>
        <v>0</v>
      </c>
      <c r="AW33" s="329"/>
      <c r="AX33" s="157">
        <f t="shared" si="15"/>
        <v>0</v>
      </c>
      <c r="BC33" s="397" t="s">
        <v>61</v>
      </c>
      <c r="BD33" s="398">
        <f t="shared" si="8"/>
        <v>0</v>
      </c>
      <c r="BE33" s="398">
        <f t="shared" si="9"/>
        <v>0</v>
      </c>
      <c r="BF33" s="398">
        <f>SUMIFS(Banco[valor],Banco[IdAgente],BA33,Banco[idDet1],50,Banco[idDet2],53,Banco[id_subgrupo],99,Banco[id_posto],9,Banco[id_unidade],2)</f>
        <v>0</v>
      </c>
      <c r="BG33" s="398">
        <f>SUMIFS(Banco[valor],Banco[IdAgente],BA33,Banco[idDet1],50,Banco[idDet2],53,Banco[id_subgrupo],99,Banco[id_posto],9,Banco[id_unidade],2)</f>
        <v>0</v>
      </c>
      <c r="BH33" s="398">
        <f>erro[[#This Row],[Despesa (R$)]]</f>
        <v>0</v>
      </c>
      <c r="BI33" s="398">
        <f>'Parcela B'!J34</f>
        <v>0</v>
      </c>
      <c r="BJ33" s="399">
        <f t="shared" si="10"/>
        <v>0</v>
      </c>
      <c r="BK33" s="400">
        <f>SUM(Apoio_Efeito!V32:BI32)</f>
        <v>0</v>
      </c>
      <c r="BL33" s="401">
        <f t="shared" si="11"/>
        <v>0</v>
      </c>
      <c r="BM33" s="17"/>
      <c r="BN33" s="32">
        <f t="shared" si="16"/>
        <v>0</v>
      </c>
      <c r="BP33" s="355" t="s">
        <v>61</v>
      </c>
      <c r="BQ33" s="353">
        <f>SUMIFS(Banco[valor],Banco[IdAgente],A33,Banco[idDet1],50,Banco[id_subgrupo],99,Banco[id_posto],9,Banco[id_unidade],2)</f>
        <v>0</v>
      </c>
      <c r="BR33" s="353">
        <f>SUMIFS(Banco[valor],Banco[IdAgente],A33,Banco[idDet1],50,Banco[idDet2],52,Banco[idDet3],11,Banco[id_subgrupo],99,Banco[id_posto],9,Banco[id_unidade],2)</f>
        <v>0</v>
      </c>
      <c r="BS33" s="353">
        <f>SUMIFS(Banco[valor],Banco[IdAgente],A33,Banco[idDet1],50,Banco[idDet2],53,Banco[id_subgrupo],99,Banco[id_posto],9,Banco[id_unidade],2)</f>
        <v>0</v>
      </c>
      <c r="BT33" s="353">
        <f t="shared" si="5"/>
        <v>0</v>
      </c>
      <c r="BU33" s="354">
        <f>SUMIFS(Banco[valor],Banco[IdAgente],A33,Banco[id_natureza_dado],4,Banco[id_detalhe_natureza],1,Banco[idDet1],52,Banco[idDet2],106,Banco[id_subgrupo],99,Banco[id_posto],9,Banco[id_unidade],3)</f>
        <v>0</v>
      </c>
      <c r="BV33" s="356">
        <f>SUMIFS(Banco[valor],Banco[IdAgente],A33,Banco[idDet1],205,Banco[idDet2],350,Banco[idDet3],201,Banco[id_subgrupo],99,Banco[id_posto],9,Banco[id_unidade],99)</f>
        <v>0</v>
      </c>
    </row>
    <row r="34" spans="1:74" hidden="1">
      <c r="A34" s="255">
        <v>5379</v>
      </c>
      <c r="B34" t="str">
        <f>IFERROR(VLOOKUP(A34,CAPA!$C$12:$C$32,1,FALSE),"NO SELECT")</f>
        <v>NO SELECT</v>
      </c>
      <c r="C34" s="3" t="s">
        <v>198</v>
      </c>
      <c r="D34" s="137">
        <f>SUMIFS(Banco[valor],Banco[IdAgente],A34,Banco[idDet1],50,Banco[id_subgrupo],99,Banco[id_posto],9,Banco[id_unidade],2)</f>
        <v>0</v>
      </c>
      <c r="E34" s="137">
        <f>SUMIFS(Banco[valor],Banco[IdAgente],A34,Banco[idDet1],50,Banco[idDet2],51,Banco[id_subgrupo],99,Banco[id_posto],9,Banco[id_unidade],2)</f>
        <v>0</v>
      </c>
      <c r="F34" s="137">
        <f>SUMIFS(Banco[valor],Banco[IdAgente],A34,Banco[idDet1],50,Banco[idDet2],53,Banco[id_subgrupo],99,Banco[id_posto],9,Banco[id_unidade],2)</f>
        <v>0</v>
      </c>
      <c r="G34" s="137">
        <f>SUMIFS(Banco[valor],Banco[IdAgente],A34,Banco[idDet1],50,Banco[idDet2],53,Banco[id_subgrupo],99,Banco[id_posto],9,Banco[id_unidade],2)</f>
        <v>0</v>
      </c>
      <c r="H34" s="137">
        <f t="shared" si="6"/>
        <v>0</v>
      </c>
      <c r="I34" s="93">
        <f>SUMIFS(Banco[valor],Banco[IdAgente],A34,Banco[id_natureza_dado],4,Banco[id_detalhe_natureza],1,Banco[idDet1],52,Banco[idDet2],106,Banco[id_subgrupo],99,Banco[id_posto],9,Banco[id_unidade],3)</f>
        <v>0</v>
      </c>
      <c r="J34" s="16"/>
      <c r="K34" s="3" t="str">
        <f t="shared" si="0"/>
        <v>Cetril</v>
      </c>
      <c r="L34" s="92">
        <f>SUMIFS(Banco[valor],Banco[IdAgente],A34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34" s="92">
        <f>SUMIFS(Banco[valor],Banco[IdAgente],A34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34" s="85">
        <f>SUMIFS(Banco[valor],Banco[IdAgente],A34,Banco[id_natureza_dado],2,Banco[id_detalhe_natureza],1,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34" s="85">
        <f>SUMIFS(Banco[valor],Banco[IdAgente],A34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34" s="85">
        <f>SUMIFS(Banco[valor],Banco[IdAgente],A34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34" s="85">
        <f>SUMIFS(Banco[valor],Banco[IdAgente],A34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34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34" s="92">
        <f>SUMIFS(Banco[valor],Banco[IdAgente],A34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34" s="92">
        <f>SUMIFS(Banco[valor],Banco[IdAgente],A34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34" s="190">
        <f>SUMIFS(Banco[valor],Banco[IdAgente],A34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34" s="157">
        <f t="shared" si="1"/>
        <v>0</v>
      </c>
      <c r="V34" s="3" t="str">
        <f t="shared" si="2"/>
        <v>Cetril</v>
      </c>
      <c r="W34" s="92">
        <f>SUMIFS(Banco[valor],Banco[IdAgente],A34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34" s="92">
        <f>SUMIFS(Banco[valor],Banco[IdAgente],A34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34" s="85">
        <f>SUMIFS(Banco[valor],Banco[IdAgente],A34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34" s="92">
        <f>SUMIFS(Banco[valor],Banco[IdAgente],A34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34" s="86">
        <f t="shared" si="3"/>
        <v>0</v>
      </c>
      <c r="AC34" s="158"/>
      <c r="AD34" s="3" t="s">
        <v>198</v>
      </c>
      <c r="AE34" s="92">
        <f>SUMIFS(Banco[valor],Banco[IdAgente],A34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34" s="138" t="e">
        <f t="shared" si="12"/>
        <v>#DIV/0!</v>
      </c>
      <c r="AG34" s="92">
        <f>SUMIFS(Banco[valor],Banco[IdAgente],A34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34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34" s="92">
        <f>SUMIFS(Banco[valor],Banco[IdAgente],A34,Banco[id_natureza_dado],1,Banco[id_detalhe_natureza],1,Banco[idDet1],51,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34" s="92">
        <f>SUMIFS(Banco[valor],Banco[IdAgente],A34,Banco[id_natureza_dado],1,Banco[id_detalhe_natureza],1,Banco[idDet1],51,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34" s="86">
        <f t="shared" si="14"/>
        <v>0</v>
      </c>
      <c r="AL34" s="158"/>
      <c r="AM34" s="122" t="s">
        <v>198</v>
      </c>
      <c r="AN34" s="330">
        <f>SUMIFS(Banco[valor],Banco[IdAgente],A34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34" s="330">
        <f>SUMIFS(Banco[valor],Banco[IdAgente],A34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34" s="330">
        <f>SUMIFS(Banco[valor],Banco[IdAgente],A34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34" s="331">
        <f>SUMIFS(Banco[valor],Banco[IdAgente],A34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34" s="331">
        <f>SUMIFS(Banco[valor],Banco[IdAgente],A34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34" s="331">
        <f>SUMIFS(Banco[valor],Banco[IdAgente],A34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34" s="332">
        <f>SUMIFS(Banco[valor],Banco[IdAgente],A34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34" s="331">
        <f>SUMIFS(Banco[valor],Banco[IdAgente],A34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34" s="333">
        <f t="shared" si="13"/>
        <v>0</v>
      </c>
      <c r="AW34" s="329"/>
      <c r="AX34" s="157">
        <f t="shared" si="15"/>
        <v>0</v>
      </c>
      <c r="BC34" s="403" t="s">
        <v>198</v>
      </c>
      <c r="BD34" s="404">
        <f t="shared" si="8"/>
        <v>0</v>
      </c>
      <c r="BE34" s="404">
        <f t="shared" si="9"/>
        <v>0</v>
      </c>
      <c r="BF34" s="404">
        <f>SUMIFS(Banco[valor],Banco[IdAgente],BA34,Banco[idDet1],50,Banco[idDet2],53,Banco[id_subgrupo],99,Banco[id_posto],9,Banco[id_unidade],2)</f>
        <v>0</v>
      </c>
      <c r="BG34" s="404">
        <f>SUMIFS(Banco[valor],Banco[IdAgente],BA34,Banco[idDet1],50,Banco[idDet2],53,Banco[id_subgrupo],99,Banco[id_posto],9,Banco[id_unidade],2)</f>
        <v>0</v>
      </c>
      <c r="BH34" s="404">
        <f>erro[[#This Row],[Despesa (R$)]]</f>
        <v>0</v>
      </c>
      <c r="BI34" s="404">
        <f>'Parcela B'!J35</f>
        <v>0</v>
      </c>
      <c r="BJ34" s="405">
        <f t="shared" si="10"/>
        <v>0</v>
      </c>
      <c r="BK34" s="406">
        <f>SUM(Apoio_Efeito!V33:BI33)</f>
        <v>0</v>
      </c>
      <c r="BL34" s="407">
        <f t="shared" si="11"/>
        <v>0</v>
      </c>
      <c r="BM34" s="17"/>
      <c r="BN34" s="32">
        <f t="shared" si="16"/>
        <v>0</v>
      </c>
      <c r="BP34" s="355" t="s">
        <v>198</v>
      </c>
      <c r="BQ34" s="353">
        <f>SUMIFS(Banco[valor],Banco[IdAgente],A34,Banco[idDet1],50,Banco[id_subgrupo],99,Banco[id_posto],9,Banco[id_unidade],2)</f>
        <v>0</v>
      </c>
      <c r="BR34" s="353">
        <f>SUMIFS(Banco[valor],Banco[IdAgente],A34,Banco[idDet1],50,Banco[idDet2],52,Banco[idDet3],11,Banco[id_subgrupo],99,Banco[id_posto],9,Banco[id_unidade],2)</f>
        <v>0</v>
      </c>
      <c r="BS34" s="353">
        <f>SUMIFS(Banco[valor],Banco[IdAgente],A34,Banco[idDet1],50,Banco[idDet2],53,Banco[id_subgrupo],99,Banco[id_posto],9,Banco[id_unidade],2)</f>
        <v>0</v>
      </c>
      <c r="BT34" s="353">
        <f t="shared" si="5"/>
        <v>0</v>
      </c>
      <c r="BU34" s="354">
        <f>SUMIFS(Banco[valor],Banco[IdAgente],A34,Banco[id_natureza_dado],4,Banco[id_detalhe_natureza],1,Banco[idDet1],52,Banco[idDet2],106,Banco[id_subgrupo],99,Banco[id_posto],9,Banco[id_unidade],3)</f>
        <v>0</v>
      </c>
      <c r="BV34" s="356">
        <f>SUMIFS(Banco[valor],Banco[IdAgente],A34,Banco[idDet1],205,Banco[idDet2],350,Banco[idDet3],201,Banco[id_subgrupo],99,Banco[id_posto],9,Banco[id_unidade],99)</f>
        <v>0</v>
      </c>
    </row>
    <row r="35" spans="1:74" hidden="1">
      <c r="A35" s="255">
        <v>5370</v>
      </c>
      <c r="B35" t="str">
        <f>IFERROR(VLOOKUP(A35,CAPA!$C$12:$C$32,1,FALSE),"NO SELECT")</f>
        <v>NO SELECT</v>
      </c>
      <c r="C35" s="3" t="s">
        <v>62</v>
      </c>
      <c r="D35" s="137">
        <f>SUMIFS(Banco[valor],Banco[IdAgente],A35,Banco[idDet1],50,Banco[id_subgrupo],99,Banco[id_posto],9,Banco[id_unidade],2)</f>
        <v>0</v>
      </c>
      <c r="E35" s="137">
        <f>SUMIFS(Banco[valor],Banco[IdAgente],A35,Banco[idDet1],50,Banco[idDet2],51,Banco[id_subgrupo],99,Banco[id_posto],9,Banco[id_unidade],2)</f>
        <v>0</v>
      </c>
      <c r="F35" s="137">
        <f>SUMIFS(Banco[valor],Banco[IdAgente],A35,Banco[idDet1],50,Banco[idDet2],53,Banco[id_subgrupo],99,Banco[id_posto],9,Banco[id_unidade],2)</f>
        <v>0</v>
      </c>
      <c r="G35" s="137">
        <f>SUMIFS(Banco[valor],Banco[IdAgente],A35,Banco[idDet1],50,Banco[idDet2],53,Banco[id_subgrupo],99,Banco[id_posto],9,Banco[id_unidade],2)</f>
        <v>0</v>
      </c>
      <c r="H35" s="137">
        <f t="shared" si="6"/>
        <v>0</v>
      </c>
      <c r="I35" s="93">
        <f>SUMIFS(Banco[valor],Banco[IdAgente],A35,Banco[id_natureza_dado],4,Banco[id_detalhe_natureza],1,Banco[idDet1],52,Banco[idDet2],106,Banco[id_subgrupo],99,Banco[id_posto],9,Banco[id_unidade],3)</f>
        <v>0</v>
      </c>
      <c r="J35" s="16"/>
      <c r="K35" s="3" t="str">
        <f t="shared" si="0"/>
        <v>Coopera</v>
      </c>
      <c r="L35" s="92">
        <f>SUMIFS(Banco[valor],Banco[IdAgente],A35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35" s="92">
        <f>SUMIFS(Banco[valor],Banco[IdAgente],A35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35" s="85">
        <f>SUMIFS(Banco[valor],Banco[IdAgente],A35,Banco[id_natureza_dado],2,Banco[id_detalhe_natureza],1,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35" s="85">
        <f>SUMIFS(Banco[valor],Banco[IdAgente],A35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35" s="85">
        <f>SUMIFS(Banco[valor],Banco[IdAgente],A35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35" s="85">
        <f>SUMIFS(Banco[valor],Banco[IdAgente],A35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35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35" s="92">
        <f>SUMIFS(Banco[valor],Banco[IdAgente],A35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35" s="92">
        <f>SUMIFS(Banco[valor],Banco[IdAgente],A35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35" s="190">
        <f>SUMIFS(Banco[valor],Banco[IdAgente],A35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35" s="157">
        <f t="shared" si="1"/>
        <v>0</v>
      </c>
      <c r="V35" s="3" t="str">
        <f t="shared" si="2"/>
        <v>Coopera</v>
      </c>
      <c r="W35" s="92">
        <f>SUMIFS(Banco[valor],Banco[IdAgente],A35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35" s="92">
        <f>SUMIFS(Banco[valor],Banco[IdAgente],A35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35" s="85">
        <f>SUMIFS(Banco[valor],Banco[IdAgente],A35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35" s="92">
        <f>SUMIFS(Banco[valor],Banco[IdAgente],A35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35" s="86">
        <f t="shared" si="3"/>
        <v>0</v>
      </c>
      <c r="AB35" s="32"/>
      <c r="AC35" s="158"/>
      <c r="AD35" s="3" t="s">
        <v>62</v>
      </c>
      <c r="AE35" s="92">
        <f>SUMIFS(Banco[valor],Banco[IdAgente],A35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35" s="138" t="e">
        <f t="shared" si="12"/>
        <v>#DIV/0!</v>
      </c>
      <c r="AG35" s="92">
        <f>SUMIFS(Banco[valor],Banco[IdAgente],A35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35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35" s="92">
        <f>SUMIFS(Banco[valor],Banco[IdAgente],A35,Banco[id_natureza_dado],1,Banco[id_detalhe_natureza],1,Banco[idDet1],51,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35" s="92">
        <f>SUMIFS(Banco[valor],Banco[IdAgente],A35,Banco[id_natureza_dado],1,Banco[id_detalhe_natureza],1,Banco[idDet1],51,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35" s="86">
        <f t="shared" si="14"/>
        <v>0</v>
      </c>
      <c r="AL35" s="158"/>
      <c r="AM35" s="122" t="s">
        <v>62</v>
      </c>
      <c r="AN35" s="330">
        <f>SUMIFS(Banco[valor],Banco[IdAgente],A35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35" s="330">
        <f>SUMIFS(Banco[valor],Banco[IdAgente],A35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35" s="330">
        <f>SUMIFS(Banco[valor],Banco[IdAgente],A35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35" s="331">
        <f>SUMIFS(Banco[valor],Banco[IdAgente],A35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35" s="331">
        <f>SUMIFS(Banco[valor],Banco[IdAgente],A35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35" s="331">
        <f>SUMIFS(Banco[valor],Banco[IdAgente],A35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35" s="332">
        <f>SUMIFS(Banco[valor],Banco[IdAgente],A35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35" s="331">
        <f>SUMIFS(Banco[valor],Banco[IdAgente],A35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35" s="333">
        <f t="shared" si="13"/>
        <v>0</v>
      </c>
      <c r="AW35" s="329"/>
      <c r="AX35" s="157">
        <f t="shared" si="15"/>
        <v>0</v>
      </c>
      <c r="BC35" s="91" t="s">
        <v>62</v>
      </c>
      <c r="BD35" s="137">
        <f t="shared" si="8"/>
        <v>0</v>
      </c>
      <c r="BE35" s="137">
        <f t="shared" si="9"/>
        <v>0</v>
      </c>
      <c r="BF35" s="137">
        <f>SUMIFS(Banco[valor],Banco[IdAgente],BA35,Banco[idDet1],50,Banco[idDet2],53,Banco[id_subgrupo],99,Banco[id_posto],9,Banco[id_unidade],2)</f>
        <v>0</v>
      </c>
      <c r="BG35" s="137">
        <f>SUMIFS(Banco[valor],Banco[IdAgente],BA35,Banco[idDet1],50,Banco[idDet2],53,Banco[id_subgrupo],99,Banco[id_posto],9,Banco[id_unidade],2)</f>
        <v>0</v>
      </c>
      <c r="BH35" s="137">
        <f>erro[[#This Row],[Despesa (R$)]]</f>
        <v>0</v>
      </c>
      <c r="BI35" s="137">
        <f>'Parcela B'!J36</f>
        <v>0</v>
      </c>
      <c r="BJ35" s="93">
        <f t="shared" si="10"/>
        <v>0</v>
      </c>
      <c r="BK35" s="32">
        <f>SUM(Apoio_Efeito!V34:BI34)</f>
        <v>0</v>
      </c>
      <c r="BL35" s="16">
        <f t="shared" si="11"/>
        <v>0</v>
      </c>
      <c r="BM35" s="32"/>
      <c r="BN35" s="32">
        <f t="shared" si="16"/>
        <v>0</v>
      </c>
      <c r="BP35" s="355" t="s">
        <v>62</v>
      </c>
      <c r="BQ35" s="353">
        <f>SUMIFS(Banco[valor],Banco[IdAgente],A35,Banco[idDet1],50,Banco[id_subgrupo],99,Banco[id_posto],9,Banco[id_unidade],2)</f>
        <v>0</v>
      </c>
      <c r="BR35" s="353">
        <f>SUMIFS(Banco[valor],Banco[IdAgente],A35,Banco[idDet1],50,Banco[idDet2],52,Banco[idDet3],11,Banco[id_subgrupo],99,Banco[id_posto],9,Banco[id_unidade],2)</f>
        <v>0</v>
      </c>
      <c r="BS35" s="353">
        <f>SUMIFS(Banco[valor],Banco[IdAgente],A35,Banco[idDet1],50,Banco[idDet2],53,Banco[id_subgrupo],99,Banco[id_posto],9,Banco[id_unidade],2)</f>
        <v>0</v>
      </c>
      <c r="BT35" s="353">
        <f t="shared" si="5"/>
        <v>0</v>
      </c>
      <c r="BU35" s="354">
        <f>SUMIFS(Banco[valor],Banco[IdAgente],A35,Banco[id_natureza_dado],4,Banco[id_detalhe_natureza],1,Banco[idDet1],52,Banco[idDet2],106,Banco[id_subgrupo],99,Banco[id_posto],9,Banco[id_unidade],3)</f>
        <v>0</v>
      </c>
      <c r="BV35" s="356">
        <f>SUMIFS(Banco[valor],Banco[IdAgente],A35,Banco[idDet1],205,Banco[idDet2],350,Banco[idDet3],201,Banco[id_subgrupo],99,Banco[id_posto],9,Banco[id_unidade],99)</f>
        <v>0</v>
      </c>
    </row>
    <row r="36" spans="1:74" hidden="1">
      <c r="A36" s="255">
        <v>5371</v>
      </c>
      <c r="B36" t="str">
        <f>IFERROR(VLOOKUP(A36,CAPA!$C$12:$C$32,1,FALSE),"NO SELECT")</f>
        <v>NO SELECT</v>
      </c>
      <c r="C36" s="3" t="s">
        <v>53</v>
      </c>
      <c r="D36" s="137">
        <f>SUMIFS(Banco[valor],Banco[IdAgente],A36,Banco[idDet1],50,Banco[id_subgrupo],99,Banco[id_posto],9,Banco[id_unidade],2)</f>
        <v>0</v>
      </c>
      <c r="E36" s="137">
        <f>SUMIFS(Banco[valor],Banco[IdAgente],A36,Banco[idDet1],50,Banco[idDet2],51,Banco[id_subgrupo],99,Banco[id_posto],9,Banco[id_unidade],2)</f>
        <v>0</v>
      </c>
      <c r="F36" s="137">
        <f>SUMIFS(Banco[valor],Banco[IdAgente],A36,Banco[idDet1],50,Banco[idDet2],53,Banco[id_subgrupo],99,Banco[id_posto],9,Banco[id_unidade],2)</f>
        <v>0</v>
      </c>
      <c r="G36" s="137">
        <f>SUMIFS(Banco[valor],Banco[IdAgente],A36,Banco[idDet1],50,Banco[idDet2],53,Banco[id_subgrupo],99,Banco[id_posto],9,Banco[id_unidade],2)</f>
        <v>0</v>
      </c>
      <c r="H36" s="137">
        <f t="shared" si="6"/>
        <v>0</v>
      </c>
      <c r="I36" s="93">
        <f>SUMIFS(Banco[valor],Banco[IdAgente],A36,Banco[id_natureza_dado],4,Banco[id_detalhe_natureza],1,Banco[idDet1],52,Banco[idDet2],106,Banco[id_subgrupo],99,Banco[id_posto],9,Banco[id_unidade],3)</f>
        <v>0</v>
      </c>
      <c r="J36" s="16"/>
      <c r="K36" s="3" t="str">
        <f t="shared" si="0"/>
        <v>Coopercocal</v>
      </c>
      <c r="L36" s="92">
        <f>SUMIFS(Banco[valor],Banco[IdAgente],A36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36" s="92">
        <f>SUMIFS(Banco[valor],Banco[IdAgente],A36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36" s="85">
        <f>SUMIFS(Banco[valor],Banco[IdAgente],A36,Banco[id_natureza_dado],2,Banco[id_detalhe_natureza],1,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36" s="85">
        <f>SUMIFS(Banco[valor],Banco[IdAgente],A36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36" s="85">
        <f>SUMIFS(Banco[valor],Banco[IdAgente],A36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36" s="85">
        <f>SUMIFS(Banco[valor],Banco[IdAgente],A36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36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36" s="92">
        <f>SUMIFS(Banco[valor],Banco[IdAgente],A36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36" s="92">
        <f>SUMIFS(Banco[valor],Banco[IdAgente],A36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36" s="190">
        <f>SUMIFS(Banco[valor],Banco[IdAgente],A36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36" s="157">
        <f t="shared" si="1"/>
        <v>0</v>
      </c>
      <c r="V36" s="3" t="str">
        <f t="shared" si="2"/>
        <v>Coopercocal</v>
      </c>
      <c r="W36" s="92">
        <f>SUMIFS(Banco[valor],Banco[IdAgente],A36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36" s="92">
        <f>SUMIFS(Banco[valor],Banco[IdAgente],A36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36" s="85">
        <f>SUMIFS(Banco[valor],Banco[IdAgente],A36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36" s="92">
        <f>SUMIFS(Banco[valor],Banco[IdAgente],A36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36" s="86">
        <f t="shared" si="3"/>
        <v>0</v>
      </c>
      <c r="AC36" s="158"/>
      <c r="AD36" s="3" t="s">
        <v>53</v>
      </c>
      <c r="AE36" s="92">
        <f>SUMIFS(Banco[valor],Banco[IdAgente],A36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36" s="138" t="e">
        <f t="shared" si="12"/>
        <v>#DIV/0!</v>
      </c>
      <c r="AG36" s="92">
        <f>SUMIFS(Banco[valor],Banco[IdAgente],A36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36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36" s="92">
        <f>SUMIFS(Banco[valor],Banco[IdAgente],A36,Banco[id_natureza_dado],1,Banco[id_detalhe_natureza],1,Banco[idDet1],51,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36" s="92">
        <f>SUMIFS(Banco[valor],Banco[IdAgente],A36,Banco[id_natureza_dado],1,Banco[id_detalhe_natureza],1,Banco[idDet1],51,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36" s="86">
        <f t="shared" si="14"/>
        <v>0</v>
      </c>
      <c r="AL36" s="158"/>
      <c r="AM36" s="122" t="s">
        <v>53</v>
      </c>
      <c r="AN36" s="330">
        <f>SUMIFS(Banco[valor],Banco[IdAgente],A36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36" s="330">
        <f>SUMIFS(Banco[valor],Banco[IdAgente],A36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36" s="330">
        <f>SUMIFS(Banco[valor],Banco[IdAgente],A36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36" s="331">
        <f>SUMIFS(Banco[valor],Banco[IdAgente],A36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36" s="331">
        <f>SUMIFS(Banco[valor],Banco[IdAgente],A36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36" s="331">
        <f>SUMIFS(Banco[valor],Banco[IdAgente],A36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36" s="332">
        <f>SUMIFS(Banco[valor],Banco[IdAgente],A36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36" s="331">
        <f>SUMIFS(Banco[valor],Banco[IdAgente],A36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36" s="333">
        <f t="shared" si="13"/>
        <v>0</v>
      </c>
      <c r="AW36" s="329"/>
      <c r="AX36" s="157">
        <f t="shared" si="15"/>
        <v>0</v>
      </c>
      <c r="BC36" s="3" t="s">
        <v>53</v>
      </c>
      <c r="BD36" s="137">
        <f t="shared" si="8"/>
        <v>0</v>
      </c>
      <c r="BE36" s="137">
        <f t="shared" si="9"/>
        <v>0</v>
      </c>
      <c r="BF36" s="137">
        <f>SUMIFS(Banco[valor],Banco[IdAgente],BA36,Banco[idDet1],50,Banco[idDet2],53,Banco[id_subgrupo],99,Banco[id_posto],9,Banco[id_unidade],2)</f>
        <v>0</v>
      </c>
      <c r="BG36" s="137">
        <f>SUMIFS(Banco[valor],Banco[IdAgente],BA36,Banco[idDet1],50,Banco[idDet2],53,Banco[id_subgrupo],99,Banco[id_posto],9,Banco[id_unidade],2)</f>
        <v>0</v>
      </c>
      <c r="BH36" s="257">
        <f>erro[[#This Row],[Despesa (R$)]]</f>
        <v>0</v>
      </c>
      <c r="BI36" s="257">
        <f>'Parcela B'!J37</f>
        <v>0</v>
      </c>
      <c r="BJ36" s="259">
        <f t="shared" si="10"/>
        <v>0</v>
      </c>
      <c r="BK36" s="32">
        <f>SUM(Apoio_Efeito!V35:BI35)</f>
        <v>0</v>
      </c>
      <c r="BL36" s="16">
        <f t="shared" si="11"/>
        <v>0</v>
      </c>
      <c r="BM36" s="32"/>
      <c r="BN36" s="32">
        <f t="shared" si="16"/>
        <v>0</v>
      </c>
      <c r="BP36" s="355" t="s">
        <v>53</v>
      </c>
      <c r="BQ36" s="353">
        <f>SUMIFS(Banco[valor],Banco[IdAgente],A36,Banco[idDet1],50,Banco[id_subgrupo],99,Banco[id_posto],9,Banco[id_unidade],2)</f>
        <v>0</v>
      </c>
      <c r="BR36" s="353">
        <f>SUMIFS(Banco[valor],Banco[IdAgente],A36,Banco[idDet1],50,Banco[idDet2],52,Banco[idDet3],11,Banco[id_subgrupo],99,Banco[id_posto],9,Banco[id_unidade],2)</f>
        <v>0</v>
      </c>
      <c r="BS36" s="353">
        <f>SUMIFS(Banco[valor],Banco[IdAgente],A36,Banco[idDet1],50,Banco[idDet2],53,Banco[id_subgrupo],99,Banco[id_posto],9,Banco[id_unidade],2)</f>
        <v>0</v>
      </c>
      <c r="BT36" s="353">
        <f t="shared" si="5"/>
        <v>0</v>
      </c>
      <c r="BU36" s="354">
        <f>SUMIFS(Banco[valor],Banco[IdAgente],A36,Banco[id_natureza_dado],4,Banco[id_detalhe_natureza],1,Banco[idDet1],52,Banco[idDet2],106,Banco[id_subgrupo],99,Banco[id_posto],9,Banco[id_unidade],3)</f>
        <v>0</v>
      </c>
      <c r="BV36" s="356">
        <f>SUMIFS(Banco[valor],Banco[IdAgente],A36,Banco[idDet1],205,Banco[idDet2],350,Banco[idDet3],201,Banco[id_subgrupo],99,Banco[id_posto],9,Banco[id_unidade],99)</f>
        <v>0</v>
      </c>
    </row>
    <row r="37" spans="1:74" hidden="1">
      <c r="A37" s="255">
        <v>3627</v>
      </c>
      <c r="B37" t="str">
        <f>IFERROR(VLOOKUP(A37,CAPA!$C$12:$C$32,1,FALSE),"NO SELECT")</f>
        <v>NO SELECT</v>
      </c>
      <c r="C37" s="3" t="s">
        <v>201</v>
      </c>
      <c r="D37" s="137">
        <f>SUMIFS(Banco[valor],Banco[IdAgente],A37,Banco[idDet1],50,Banco[id_subgrupo],99,Banco[id_posto],9,Banco[id_unidade],2)</f>
        <v>0</v>
      </c>
      <c r="E37" s="137">
        <f>SUMIFS(Banco[valor],Banco[IdAgente],A37,Banco[idDet1],50,Banco[idDet2],51,Banco[id_subgrupo],99,Banco[id_posto],9,Banco[id_unidade],2)</f>
        <v>0</v>
      </c>
      <c r="F37" s="137">
        <f>SUMIFS(Banco[valor],Banco[IdAgente],A37,Banco[idDet1],50,Banco[idDet2],53,Banco[id_subgrupo],99,Banco[id_posto],9,Banco[id_unidade],2)</f>
        <v>0</v>
      </c>
      <c r="G37" s="137">
        <f>SUMIFS(Banco[valor],Banco[IdAgente],A37,Banco[idDet1],50,Banco[idDet2],53,Banco[id_subgrupo],99,Banco[id_posto],9,Banco[id_unidade],2)</f>
        <v>0</v>
      </c>
      <c r="H37" s="137">
        <f t="shared" si="6"/>
        <v>0</v>
      </c>
      <c r="I37" s="93">
        <f>SUMIFS(Banco[valor],Banco[IdAgente],A37,Banco[id_natureza_dado],4,Banco[id_detalhe_natureza],1,Banco[idDet1],52,Banco[idDet2],106,Banco[id_subgrupo],99,Banco[id_posto],9,Banco[id_unidade],3)</f>
        <v>0</v>
      </c>
      <c r="J37" s="16"/>
      <c r="K37" s="3" t="str">
        <f t="shared" ref="K37:K56" si="17">C37</f>
        <v>Cooperluz</v>
      </c>
      <c r="L37" s="92">
        <f>SUMIFS(Banco[valor],Banco[IdAgente],A37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37" s="92">
        <f>SUMIFS(Banco[valor],Banco[IdAgente],A37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37" s="85">
        <f>SUMIFS(Banco[valor],Banco[IdAgente],A37,Banco[id_natureza_dado],2,Banco[id_detalhe_natureza],1,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37" s="85">
        <f>SUMIFS(Banco[valor],Banco[IdAgente],A37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37" s="85">
        <f>SUMIFS(Banco[valor],Banco[IdAgente],A37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37" s="85">
        <f>SUMIFS(Banco[valor],Banco[IdAgente],A37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37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37" s="92">
        <f>SUMIFS(Banco[valor],Banco[IdAgente],A37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37" s="92">
        <f>SUMIFS(Banco[valor],Banco[IdAgente],A37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37" s="190">
        <f>SUMIFS(Banco[valor],Banco[IdAgente],A37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37" s="157">
        <f t="shared" si="1"/>
        <v>0</v>
      </c>
      <c r="V37" s="3" t="str">
        <f t="shared" ref="V37:V56" si="18">C37</f>
        <v>Cooperluz</v>
      </c>
      <c r="W37" s="92">
        <f>SUMIFS(Banco[valor],Banco[IdAgente],A37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37" s="92">
        <f>SUMIFS(Banco[valor],Banco[IdAgente],A37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37" s="85">
        <f>SUMIFS(Banco[valor],Banco[IdAgente],A37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37" s="92">
        <f>SUMIFS(Banco[valor],Banco[IdAgente],A37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37" s="86">
        <f t="shared" si="3"/>
        <v>0</v>
      </c>
      <c r="AC37" s="158"/>
      <c r="AD37" s="3" t="s">
        <v>201</v>
      </c>
      <c r="AE37" s="92">
        <f>SUMIFS(Banco[valor],Banco[IdAgente],A37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37" s="138" t="e">
        <f t="shared" si="12"/>
        <v>#DIV/0!</v>
      </c>
      <c r="AG37" s="92">
        <f>SUMIFS(Banco[valor],Banco[IdAgente],A37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37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37" s="92">
        <f>SUMIFS(Banco[valor],Banco[IdAgente],A37,Banco[id_natureza_dado],1,Banco[id_detalhe_natureza],1,Banco[idDet1],51,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37" s="92">
        <f>SUMIFS(Banco[valor],Banco[IdAgente],A37,Banco[id_natureza_dado],1,Banco[id_detalhe_natureza],1,Banco[idDet1],51,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37" s="86">
        <f t="shared" si="14"/>
        <v>0</v>
      </c>
      <c r="AL37" s="158"/>
      <c r="AM37" s="122" t="s">
        <v>201</v>
      </c>
      <c r="AN37" s="330">
        <f>SUMIFS(Banco[valor],Banco[IdAgente],A37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37" s="330">
        <f>SUMIFS(Banco[valor],Banco[IdAgente],A37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37" s="330">
        <f>SUMIFS(Banco[valor],Banco[IdAgente],A37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37" s="331">
        <f>SUMIFS(Banco[valor],Banco[IdAgente],A37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37" s="331">
        <f>SUMIFS(Banco[valor],Banco[IdAgente],A37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37" s="331">
        <f>SUMIFS(Banco[valor],Banco[IdAgente],A37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37" s="332">
        <f>SUMIFS(Banco[valor],Banco[IdAgente],A37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37" s="331">
        <f>SUMIFS(Banco[valor],Banco[IdAgente],A37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37" s="333">
        <f t="shared" ref="AV37:AV54" si="19">AT37*AU37</f>
        <v>0</v>
      </c>
      <c r="AW37" s="329"/>
      <c r="AX37" s="157">
        <f t="shared" si="15"/>
        <v>0</v>
      </c>
      <c r="BC37" s="3" t="s">
        <v>201</v>
      </c>
      <c r="BD37" s="137">
        <f t="shared" si="8"/>
        <v>0</v>
      </c>
      <c r="BE37" s="137">
        <f t="shared" si="9"/>
        <v>0</v>
      </c>
      <c r="BF37" s="137">
        <f>SUMIFS(Banco[valor],Banco[IdAgente],BA37,Banco[idDet1],50,Banco[idDet2],53,Banco[id_subgrupo],99,Banco[id_posto],9,Banco[id_unidade],2)</f>
        <v>0</v>
      </c>
      <c r="BG37" s="137">
        <f>SUMIFS(Banco[valor],Banco[IdAgente],BA37,Banco[idDet1],50,Banco[idDet2],53,Banco[id_subgrupo],99,Banco[id_posto],9,Banco[id_unidade],2)</f>
        <v>0</v>
      </c>
      <c r="BH37" s="257">
        <f>erro[[#This Row],[Despesa (R$)]]</f>
        <v>0</v>
      </c>
      <c r="BI37" s="257">
        <f>'Parcela B'!J38</f>
        <v>0</v>
      </c>
      <c r="BJ37" s="259">
        <f t="shared" si="10"/>
        <v>0</v>
      </c>
      <c r="BK37" s="32">
        <f>SUM(Apoio_Efeito!V36:BI36)</f>
        <v>0</v>
      </c>
      <c r="BL37" s="16">
        <f t="shared" si="11"/>
        <v>0</v>
      </c>
      <c r="BM37" s="32">
        <v>32820711.176970005</v>
      </c>
      <c r="BN37" s="32">
        <f t="shared" si="16"/>
        <v>0</v>
      </c>
      <c r="BP37" s="355" t="s">
        <v>201</v>
      </c>
      <c r="BQ37" s="353">
        <f>SUMIFS(Banco[valor],Banco[IdAgente],A37,Banco[idDet1],50,Banco[id_subgrupo],99,Banco[id_posto],9,Banco[id_unidade],2)</f>
        <v>0</v>
      </c>
      <c r="BR37" s="353">
        <f>SUMIFS(Banco[valor],Banco[IdAgente],A37,Banco[idDet1],50,Banco[idDet2],52,Banco[idDet3],11,Banco[id_subgrupo],99,Banco[id_posto],9,Banco[id_unidade],2)</f>
        <v>0</v>
      </c>
      <c r="BS37" s="353">
        <f>SUMIFS(Banco[valor],Banco[IdAgente],A37,Banco[idDet1],50,Banco[idDet2],53,Banco[id_subgrupo],99,Banco[id_posto],9,Banco[id_unidade],2)</f>
        <v>0</v>
      </c>
      <c r="BT37" s="353">
        <f t="shared" ref="BT37:BT56" si="20">BQ37+BS37</f>
        <v>0</v>
      </c>
      <c r="BU37" s="354">
        <f>SUMIFS(Banco[valor],Banco[IdAgente],A37,Banco[id_natureza_dado],4,Banco[id_detalhe_natureza],1,Banco[idDet1],52,Banco[idDet2],106,Banco[id_subgrupo],99,Banco[id_posto],9,Banco[id_unidade],3)</f>
        <v>0</v>
      </c>
      <c r="BV37" s="356">
        <f>SUMIFS(Banco[valor],Banco[IdAgente],A37,Banco[idDet1],205,Banco[idDet2],350,Banco[idDet3],201,Banco[id_subgrupo],99,Banco[id_posto],9,Banco[id_unidade],99)</f>
        <v>0</v>
      </c>
    </row>
    <row r="38" spans="1:74" hidden="1">
      <c r="A38" s="255">
        <v>5373</v>
      </c>
      <c r="B38" t="str">
        <f>IFERROR(VLOOKUP(A38,CAPA!$C$12:$C$32,1,FALSE),"NO SELECT")</f>
        <v>NO SELECT</v>
      </c>
      <c r="C38" s="3" t="s">
        <v>63</v>
      </c>
      <c r="D38" s="137">
        <f>SUMIFS(Banco[valor],Banco[IdAgente],A38,Banco[idDet1],50,Banco[id_subgrupo],99,Banco[id_posto],9,Banco[id_unidade],2)</f>
        <v>0</v>
      </c>
      <c r="E38" s="137">
        <f>SUMIFS(Banco[valor],Banco[IdAgente],A38,Banco[idDet1],50,Banco[idDet2],51,Banco[id_subgrupo],99,Banco[id_posto],9,Banco[id_unidade],2)</f>
        <v>0</v>
      </c>
      <c r="F38" s="137">
        <f>SUMIFS(Banco[valor],Banco[IdAgente],A38,Banco[idDet1],50,Banco[idDet2],53,Banco[id_subgrupo],99,Banco[id_posto],9,Banco[id_unidade],2)</f>
        <v>0</v>
      </c>
      <c r="G38" s="137">
        <f>SUMIFS(Banco[valor],Banco[IdAgente],A38,Banco[idDet1],50,Banco[idDet2],53,Banco[id_subgrupo],99,Banco[id_posto],9,Banco[id_unidade],2)</f>
        <v>0</v>
      </c>
      <c r="H38" s="137">
        <f t="shared" si="6"/>
        <v>0</v>
      </c>
      <c r="I38" s="93">
        <f>SUMIFS(Banco[valor],Banco[IdAgente],A38,Banco[id_natureza_dado],4,Banco[id_detalhe_natureza],1,Banco[idDet1],52,Banco[idDet2],106,Banco[id_subgrupo],99,Banco[id_posto],9,Banco[id_unidade],3)</f>
        <v>0</v>
      </c>
      <c r="J38" s="16"/>
      <c r="K38" s="3" t="str">
        <f t="shared" si="17"/>
        <v>Coopermila</v>
      </c>
      <c r="L38" s="92">
        <f>SUMIFS(Banco[valor],Banco[IdAgente],A38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38" s="92">
        <f>SUMIFS(Banco[valor],Banco[IdAgente],A38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38" s="85">
        <f>SUMIFS(Banco[valor],Banco[IdAgente],A38,Banco[id_natureza_dado],2,Banco[id_detalhe_natureza],1,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38" s="85">
        <f>SUMIFS(Banco[valor],Banco[IdAgente],A38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38" s="85">
        <f>SUMIFS(Banco[valor],Banco[IdAgente],A38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38" s="85">
        <f>SUMIFS(Banco[valor],Banco[IdAgente],A38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38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38" s="92">
        <f>SUMIFS(Banco[valor],Banco[IdAgente],A38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38" s="92">
        <f>SUMIFS(Banco[valor],Banco[IdAgente],A38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38" s="190">
        <f>SUMIFS(Banco[valor],Banco[IdAgente],A38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38" s="157">
        <f t="shared" si="1"/>
        <v>0</v>
      </c>
      <c r="V38" s="3" t="str">
        <f t="shared" si="18"/>
        <v>Coopermila</v>
      </c>
      <c r="W38" s="92">
        <f>SUMIFS(Banco[valor],Banco[IdAgente],A38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38" s="92">
        <f>SUMIFS(Banco[valor],Banco[IdAgente],A38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38" s="85">
        <f>SUMIFS(Banco[valor],Banco[IdAgente],A38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38" s="92">
        <f>SUMIFS(Banco[valor],Banco[IdAgente],A38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38" s="86">
        <f t="shared" si="3"/>
        <v>0</v>
      </c>
      <c r="AC38" s="158"/>
      <c r="AD38" s="3" t="s">
        <v>63</v>
      </c>
      <c r="AE38" s="92">
        <f>SUMIFS(Banco[valor],Banco[IdAgente],A38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38" s="138" t="e">
        <f t="shared" si="12"/>
        <v>#DIV/0!</v>
      </c>
      <c r="AG38" s="92">
        <f>SUMIFS(Banco[valor],Banco[IdAgente],A38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38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38" s="92">
        <f>SUMIFS(Banco[valor],Banco[IdAgente],A38,Banco[id_natureza_dado],1,Banco[id_detalhe_natureza],1,Banco[idDet1],51,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38" s="92">
        <f>SUMIFS(Banco[valor],Banco[IdAgente],A38,Banco[id_natureza_dado],1,Banco[id_detalhe_natureza],1,Banco[idDet1],51,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38" s="86">
        <f t="shared" si="14"/>
        <v>0</v>
      </c>
      <c r="AL38" s="158"/>
      <c r="AM38" s="122" t="s">
        <v>63</v>
      </c>
      <c r="AN38" s="330">
        <f>SUMIFS(Banco[valor],Banco[IdAgente],A38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38" s="330">
        <f>SUMIFS(Banco[valor],Banco[IdAgente],A38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38" s="330">
        <f>SUMIFS(Banco[valor],Banco[IdAgente],A38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38" s="331">
        <f>SUMIFS(Banco[valor],Banco[IdAgente],A38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38" s="331">
        <f>SUMIFS(Banco[valor],Banco[IdAgente],A38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38" s="331">
        <f>SUMIFS(Banco[valor],Banco[IdAgente],A38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38" s="332">
        <f>SUMIFS(Banco[valor],Banco[IdAgente],A38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38" s="331">
        <f>SUMIFS(Banco[valor],Banco[IdAgente],A38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38" s="333">
        <f t="shared" si="19"/>
        <v>0</v>
      </c>
      <c r="AW38" s="329"/>
      <c r="AX38" s="157">
        <f t="shared" si="15"/>
        <v>0</v>
      </c>
      <c r="BC38" s="3" t="s">
        <v>63</v>
      </c>
      <c r="BD38" s="137">
        <f t="shared" si="8"/>
        <v>0</v>
      </c>
      <c r="BE38" s="137">
        <f t="shared" si="9"/>
        <v>0</v>
      </c>
      <c r="BF38" s="137">
        <f>SUMIFS(Banco[valor],Banco[IdAgente],BA38,Banco[idDet1],50,Banco[idDet2],53,Banco[id_subgrupo],99,Banco[id_posto],9,Banco[id_unidade],2)</f>
        <v>0</v>
      </c>
      <c r="BG38" s="137">
        <f>SUMIFS(Banco[valor],Banco[IdAgente],BA38,Banco[idDet1],50,Banco[idDet2],53,Banco[id_subgrupo],99,Banco[id_posto],9,Banco[id_unidade],2)</f>
        <v>0</v>
      </c>
      <c r="BH38" s="257">
        <f>erro[[#This Row],[Despesa (R$)]]</f>
        <v>0</v>
      </c>
      <c r="BI38" s="257">
        <f>'Parcela B'!J39</f>
        <v>0</v>
      </c>
      <c r="BJ38" s="259">
        <f t="shared" si="10"/>
        <v>0</v>
      </c>
      <c r="BK38" s="32">
        <f>SUM(Apoio_Efeito!V37:BI37)</f>
        <v>0</v>
      </c>
      <c r="BL38" s="16">
        <f t="shared" si="11"/>
        <v>0</v>
      </c>
      <c r="BM38" s="32"/>
      <c r="BN38" s="32">
        <f t="shared" si="16"/>
        <v>0</v>
      </c>
      <c r="BP38" s="355" t="s">
        <v>63</v>
      </c>
      <c r="BQ38" s="353">
        <f>SUMIFS(Banco[valor],Banco[IdAgente],A38,Banco[idDet1],50,Banco[id_subgrupo],99,Banco[id_posto],9,Banco[id_unidade],2)</f>
        <v>0</v>
      </c>
      <c r="BR38" s="353">
        <f>SUMIFS(Banco[valor],Banco[IdAgente],A38,Banco[idDet1],50,Banco[idDet2],52,Banco[idDet3],11,Banco[id_subgrupo],99,Banco[id_posto],9,Banco[id_unidade],2)</f>
        <v>0</v>
      </c>
      <c r="BS38" s="353">
        <f>SUMIFS(Banco[valor],Banco[IdAgente],A38,Banco[idDet1],50,Banco[idDet2],53,Banco[id_subgrupo],99,Banco[id_posto],9,Banco[id_unidade],2)</f>
        <v>0</v>
      </c>
      <c r="BT38" s="353">
        <f t="shared" si="20"/>
        <v>0</v>
      </c>
      <c r="BU38" s="354">
        <f>SUMIFS(Banco[valor],Banco[IdAgente],A38,Banco[id_natureza_dado],4,Banco[id_detalhe_natureza],1,Banco[idDet1],52,Banco[idDet2],106,Banco[id_subgrupo],99,Banco[id_posto],9,Banco[id_unidade],3)</f>
        <v>0</v>
      </c>
      <c r="BV38" s="356">
        <f>SUMIFS(Banco[valor],Banco[IdAgente],A38,Banco[idDet1],205,Banco[idDet2],350,Banco[idDet3],201,Banco[id_subgrupo],99,Banco[id_posto],9,Banco[id_unidade],99)</f>
        <v>0</v>
      </c>
    </row>
    <row r="39" spans="1:74" hidden="1">
      <c r="A39" s="255">
        <v>7016</v>
      </c>
      <c r="B39" t="str">
        <f>IFERROR(VLOOKUP(A39,CAPA!$C$12:$C$32,1,FALSE),"NO SELECT")</f>
        <v>NO SELECT</v>
      </c>
      <c r="C39" s="3" t="s">
        <v>64</v>
      </c>
      <c r="D39" s="137">
        <f>SUMIFS(Banco[valor],Banco[IdAgente],A39,Banco[idDet1],50,Banco[id_subgrupo],99,Banco[id_posto],9,Banco[id_unidade],2)</f>
        <v>0</v>
      </c>
      <c r="E39" s="137">
        <f>SUMIFS(Banco[valor],Banco[IdAgente],A39,Banco[idDet1],50,Banco[idDet2],51,Banco[id_subgrupo],99,Banco[id_posto],9,Banco[id_unidade],2)</f>
        <v>0</v>
      </c>
      <c r="F39" s="137">
        <f>SUMIFS(Banco[valor],Banco[IdAgente],A39,Banco[idDet1],50,Banco[idDet2],53,Banco[id_subgrupo],99,Banco[id_posto],9,Banco[id_unidade],2)</f>
        <v>0</v>
      </c>
      <c r="G39" s="137">
        <f>SUMIFS(Banco[valor],Banco[IdAgente],A39,Banco[idDet1],50,Banco[idDet2],53,Banco[id_subgrupo],99,Banco[id_posto],9,Banco[id_unidade],2)</f>
        <v>0</v>
      </c>
      <c r="H39" s="137">
        <f t="shared" si="6"/>
        <v>0</v>
      </c>
      <c r="I39" s="93">
        <f>SUMIFS(Banco[valor],Banco[IdAgente],A39,Banco[id_natureza_dado],4,Banco[id_detalhe_natureza],1,Banco[idDet1],52,Banco[idDet2],106,Banco[id_subgrupo],99,Banco[id_posto],9,Banco[id_unidade],3)</f>
        <v>0</v>
      </c>
      <c r="J39" s="16"/>
      <c r="K39" s="3" t="str">
        <f t="shared" si="17"/>
        <v>Coorsel</v>
      </c>
      <c r="L39" s="92">
        <f>SUMIFS(Banco[valor],Banco[IdAgente],A39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39" s="92">
        <f>SUMIFS(Banco[valor],Banco[IdAgente],A39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39" s="85">
        <f>SUMIFS(Banco[valor],Banco[IdAgente],A39,Banco[id_natureza_dado],2,Banco[id_detalhe_natureza],1,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39" s="85">
        <f>SUMIFS(Banco[valor],Banco[IdAgente],A39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39" s="85">
        <f>SUMIFS(Banco[valor],Banco[IdAgente],A39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39" s="85">
        <f>SUMIFS(Banco[valor],Banco[IdAgente],A39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39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39" s="92">
        <f>SUMIFS(Banco[valor],Banco[IdAgente],A39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39" s="92">
        <f>SUMIFS(Banco[valor],Banco[IdAgente],A39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39" s="190">
        <f>SUMIFS(Banco[valor],Banco[IdAgente],A39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39" s="157">
        <f t="shared" si="1"/>
        <v>0</v>
      </c>
      <c r="V39" s="3" t="str">
        <f t="shared" si="18"/>
        <v>Coorsel</v>
      </c>
      <c r="W39" s="92">
        <f>SUMIFS(Banco[valor],Banco[IdAgente],A39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39" s="92">
        <f>SUMIFS(Banco[valor],Banco[IdAgente],A39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39" s="85">
        <f>SUMIFS(Banco[valor],Banco[IdAgente],A39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39" s="92">
        <f>SUMIFS(Banco[valor],Banco[IdAgente],A39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39" s="86">
        <f t="shared" si="3"/>
        <v>0</v>
      </c>
      <c r="AC39" s="158"/>
      <c r="AD39" s="3" t="s">
        <v>64</v>
      </c>
      <c r="AE39" s="92">
        <f>SUMIFS(Banco[valor],Banco[IdAgente],A39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39" s="138" t="e">
        <f t="shared" si="12"/>
        <v>#DIV/0!</v>
      </c>
      <c r="AG39" s="92">
        <f>SUMIFS(Banco[valor],Banco[IdAgente],A39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39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39" s="92">
        <f>SUMIFS(Banco[valor],Banco[IdAgente],A39,Banco[id_natureza_dado],1,Banco[id_detalhe_natureza],1,Banco[idDet1],51,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39" s="92">
        <f>SUMIFS(Banco[valor],Banco[IdAgente],A39,Banco[id_natureza_dado],1,Banco[id_detalhe_natureza],1,Banco[idDet1],51,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39" s="86">
        <f t="shared" si="14"/>
        <v>0</v>
      </c>
      <c r="AL39" s="158"/>
      <c r="AM39" s="122" t="s">
        <v>64</v>
      </c>
      <c r="AN39" s="330">
        <f>SUMIFS(Banco[valor],Banco[IdAgente],A39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39" s="330">
        <f>SUMIFS(Banco[valor],Banco[IdAgente],A39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39" s="330">
        <f>SUMIFS(Banco[valor],Banco[IdAgente],A39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39" s="331">
        <f>SUMIFS(Banco[valor],Banco[IdAgente],A39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39" s="331">
        <f>SUMIFS(Banco[valor],Banco[IdAgente],A39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39" s="331">
        <f>SUMIFS(Banco[valor],Banco[IdAgente],A39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39" s="332">
        <f>SUMIFS(Banco[valor],Banco[IdAgente],A39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39" s="331">
        <f>SUMIFS(Banco[valor],Banco[IdAgente],A39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39" s="333">
        <f t="shared" si="19"/>
        <v>0</v>
      </c>
      <c r="AW39" s="329"/>
      <c r="AX39" s="157">
        <f t="shared" si="15"/>
        <v>0</v>
      </c>
      <c r="BC39" s="3" t="s">
        <v>64</v>
      </c>
      <c r="BD39" s="137">
        <f t="shared" si="8"/>
        <v>0</v>
      </c>
      <c r="BE39" s="137">
        <f t="shared" si="9"/>
        <v>0</v>
      </c>
      <c r="BF39" s="137">
        <f>SUMIFS(Banco[valor],Banco[IdAgente],BA39,Banco[idDet1],50,Banco[idDet2],53,Banco[id_subgrupo],99,Banco[id_posto],9,Banco[id_unidade],2)</f>
        <v>0</v>
      </c>
      <c r="BG39" s="137">
        <f>SUMIFS(Banco[valor],Banco[IdAgente],BA39,Banco[idDet1],50,Banco[idDet2],53,Banco[id_subgrupo],99,Banco[id_posto],9,Banco[id_unidade],2)</f>
        <v>0</v>
      </c>
      <c r="BH39" s="257">
        <f>erro[[#This Row],[Despesa (R$)]]</f>
        <v>0</v>
      </c>
      <c r="BI39" s="257">
        <f>'Parcela B'!J40</f>
        <v>0</v>
      </c>
      <c r="BJ39" s="259">
        <f t="shared" si="10"/>
        <v>0</v>
      </c>
      <c r="BK39" s="32">
        <f>SUM(Apoio_Efeito!V38:BI38)</f>
        <v>0</v>
      </c>
      <c r="BL39" s="16">
        <f t="shared" si="11"/>
        <v>0</v>
      </c>
      <c r="BM39" s="32"/>
      <c r="BN39" s="32">
        <f t="shared" si="16"/>
        <v>0</v>
      </c>
      <c r="BP39" s="355" t="s">
        <v>64</v>
      </c>
      <c r="BQ39" s="353">
        <f>SUMIFS(Banco[valor],Banco[IdAgente],A39,Banco[idDet1],50,Banco[id_subgrupo],99,Banco[id_posto],9,Banco[id_unidade],2)</f>
        <v>0</v>
      </c>
      <c r="BR39" s="353">
        <f>SUMIFS(Banco[valor],Banco[IdAgente],A39,Banco[idDet1],50,Banco[idDet2],52,Banco[idDet3],11,Banco[id_subgrupo],99,Banco[id_posto],9,Banco[id_unidade],2)</f>
        <v>0</v>
      </c>
      <c r="BS39" s="353">
        <f>SUMIFS(Banco[valor],Banco[IdAgente],A39,Banco[idDet1],50,Banco[idDet2],53,Banco[id_subgrupo],99,Banco[id_posto],9,Banco[id_unidade],2)</f>
        <v>0</v>
      </c>
      <c r="BT39" s="353">
        <f t="shared" si="20"/>
        <v>0</v>
      </c>
      <c r="BU39" s="354">
        <f>SUMIFS(Banco[valor],Banco[IdAgente],A39,Banco[id_natureza_dado],4,Banco[id_detalhe_natureza],1,Banco[idDet1],52,Banco[idDet2],106,Banco[id_subgrupo],99,Banco[id_posto],9,Banco[id_unidade],3)</f>
        <v>0</v>
      </c>
      <c r="BV39" s="356">
        <f>SUMIFS(Banco[valor],Banco[IdAgente],A39,Banco[idDet1],205,Banco[idDet2],350,Banco[idDet3],201,Banco[id_subgrupo],99,Banco[id_posto],9,Banco[id_unidade],99)</f>
        <v>0</v>
      </c>
    </row>
    <row r="40" spans="1:74" hidden="1">
      <c r="A40" s="255">
        <v>2351</v>
      </c>
      <c r="B40" t="str">
        <f>IFERROR(VLOOKUP(A40,CAPA!$C$12:$C$32,1,FALSE),"NO SELECT")</f>
        <v>NO SELECT</v>
      </c>
      <c r="C40" s="3" t="s">
        <v>204</v>
      </c>
      <c r="D40" s="137">
        <f>SUMIFS(Banco[valor],Banco[IdAgente],A40,Banco[idDet1],50,Banco[id_subgrupo],99,Banco[id_posto],9,Banco[id_unidade],2)</f>
        <v>0</v>
      </c>
      <c r="E40" s="137">
        <f>SUMIFS(Banco[valor],Banco[IdAgente],A40,Banco[idDet1],50,Banco[idDet2],51,Banco[id_subgrupo],99,Banco[id_posto],9,Banco[id_unidade],2)</f>
        <v>0</v>
      </c>
      <c r="F40" s="137">
        <f>SUMIFS(Banco[valor],Banco[IdAgente],A40,Banco[idDet1],50,Banco[idDet2],53,Banco[id_subgrupo],99,Banco[id_posto],9,Banco[id_unidade],2)</f>
        <v>0</v>
      </c>
      <c r="G40" s="137">
        <f>SUMIFS(Banco[valor],Banco[IdAgente],A40,Banco[idDet1],50,Banco[idDet2],53,Banco[id_subgrupo],99,Banco[id_posto],9,Banco[id_unidade],2)</f>
        <v>0</v>
      </c>
      <c r="H40" s="137">
        <f t="shared" si="6"/>
        <v>0</v>
      </c>
      <c r="I40" s="93">
        <f>SUMIFS(Banco[valor],Banco[IdAgente],A40,Banco[id_natureza_dado],4,Banco[id_detalhe_natureza],1,Banco[idDet1],52,Banco[idDet2],106,Banco[id_subgrupo],99,Banco[id_posto],9,Banco[id_unidade],3)</f>
        <v>0</v>
      </c>
      <c r="J40" s="16"/>
      <c r="K40" s="3" t="str">
        <f t="shared" si="17"/>
        <v>Coprel</v>
      </c>
      <c r="L40" s="92">
        <f>SUMIFS(Banco[valor],Banco[IdAgente],A40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40" s="92">
        <f>SUMIFS(Banco[valor],Banco[IdAgente],A40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40" s="85">
        <f>SUMIFS(Banco[valor],Banco[IdAgente],A40,Banco[id_natureza_dado],2,Banco[id_detalhe_natureza],1,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40" s="85">
        <f>SUMIFS(Banco[valor],Banco[IdAgente],A40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40" s="85">
        <f>SUMIFS(Banco[valor],Banco[IdAgente],A40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40" s="85">
        <f>SUMIFS(Banco[valor],Banco[IdAgente],A40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40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40" s="92">
        <f>SUMIFS(Banco[valor],Banco[IdAgente],A40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40" s="92">
        <f>SUMIFS(Banco[valor],Banco[IdAgente],A40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40" s="190">
        <f>SUMIFS(Banco[valor],Banco[IdAgente],A40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40" s="157">
        <f t="shared" si="1"/>
        <v>0</v>
      </c>
      <c r="V40" s="3" t="str">
        <f t="shared" si="18"/>
        <v>Coprel</v>
      </c>
      <c r="W40" s="92">
        <f>SUMIFS(Banco[valor],Banco[IdAgente],A40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40" s="92">
        <f>SUMIFS(Banco[valor],Banco[IdAgente],A40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40" s="85">
        <f>SUMIFS(Banco[valor],Banco[IdAgente],A40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40" s="92">
        <f>SUMIFS(Banco[valor],Banco[IdAgente],A40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40" s="86">
        <f t="shared" ref="AA40:AA55" si="21">SUM(W40:Z40)</f>
        <v>0</v>
      </c>
      <c r="AC40" s="158"/>
      <c r="AD40" s="3" t="s">
        <v>204</v>
      </c>
      <c r="AE40" s="92">
        <f>SUMIFS(Banco[valor],Banco[IdAgente],A40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40" s="138" t="e">
        <f t="shared" si="12"/>
        <v>#DIV/0!</v>
      </c>
      <c r="AG40" s="92">
        <f>SUMIFS(Banco[valor],Banco[IdAgente],A40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40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40" s="92">
        <f>SUMIFS(Banco[valor],Banco[IdAgente],A40,Banco[id_natureza_dado],1,Banco[id_detalhe_natureza],1,Banco[idDet1],51,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40" s="92">
        <f>SUMIFS(Banco[valor],Banco[IdAgente],A40,Banco[id_natureza_dado],1,Banco[id_detalhe_natureza],1,Banco[idDet1],51,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40" s="86">
        <f t="shared" si="14"/>
        <v>0</v>
      </c>
      <c r="AL40" s="158"/>
      <c r="AM40" s="122" t="s">
        <v>204</v>
      </c>
      <c r="AN40" s="330">
        <f>SUMIFS(Banco[valor],Banco[IdAgente],A40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40" s="330">
        <f>SUMIFS(Banco[valor],Banco[IdAgente],A40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40" s="330">
        <f>SUMIFS(Banco[valor],Banco[IdAgente],A40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40" s="331">
        <f>SUMIFS(Banco[valor],Banco[IdAgente],A40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40" s="331">
        <f>SUMIFS(Banco[valor],Banco[IdAgente],A40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40" s="331">
        <f>SUMIFS(Banco[valor],Banco[IdAgente],A40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40" s="332">
        <f>SUMIFS(Banco[valor],Banco[IdAgente],A40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40" s="331">
        <f>SUMIFS(Banco[valor],Banco[IdAgente],A40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40" s="333">
        <f t="shared" si="19"/>
        <v>0</v>
      </c>
      <c r="AW40" s="329"/>
      <c r="AX40" s="157">
        <f t="shared" si="15"/>
        <v>0</v>
      </c>
      <c r="BC40" s="3" t="s">
        <v>204</v>
      </c>
      <c r="BD40" s="137">
        <f t="shared" si="8"/>
        <v>0</v>
      </c>
      <c r="BE40" s="137">
        <f t="shared" si="9"/>
        <v>0</v>
      </c>
      <c r="BF40" s="137">
        <f>SUMIFS(Banco[valor],Banco[IdAgente],BA40,Banco[idDet1],50,Banco[idDet2],53,Banco[id_subgrupo],99,Banco[id_posto],9,Banco[id_unidade],2)</f>
        <v>0</v>
      </c>
      <c r="BG40" s="137">
        <f>SUMIFS(Banco[valor],Banco[IdAgente],BA40,Banco[idDet1],50,Banco[idDet2],53,Banco[id_subgrupo],99,Banco[id_posto],9,Banco[id_unidade],2)</f>
        <v>0</v>
      </c>
      <c r="BH40" s="257">
        <f>erro[[#This Row],[Despesa (R$)]]</f>
        <v>0</v>
      </c>
      <c r="BI40" s="257">
        <f>'Parcela B'!J41</f>
        <v>0</v>
      </c>
      <c r="BJ40" s="259">
        <f t="shared" si="10"/>
        <v>0</v>
      </c>
      <c r="BK40" s="32">
        <f>SUM(Apoio_Efeito!V39:BI39)</f>
        <v>0</v>
      </c>
      <c r="BL40" s="16">
        <f t="shared" si="11"/>
        <v>0</v>
      </c>
      <c r="BM40" s="32">
        <v>227286344.39300001</v>
      </c>
      <c r="BN40" s="32">
        <f t="shared" si="16"/>
        <v>0</v>
      </c>
      <c r="BP40" s="355" t="s">
        <v>204</v>
      </c>
      <c r="BQ40" s="353">
        <f>SUMIFS(Banco[valor],Banco[IdAgente],A40,Banco[idDet1],50,Banco[id_subgrupo],99,Banco[id_posto],9,Banco[id_unidade],2)</f>
        <v>0</v>
      </c>
      <c r="BR40" s="353">
        <f>SUMIFS(Banco[valor],Banco[IdAgente],A40,Banco[idDet1],50,Banco[idDet2],52,Banco[idDet3],11,Banco[id_subgrupo],99,Banco[id_posto],9,Banco[id_unidade],2)</f>
        <v>0</v>
      </c>
      <c r="BS40" s="353">
        <f>SUMIFS(Banco[valor],Banco[IdAgente],A40,Banco[idDet1],50,Banco[idDet2],53,Banco[id_subgrupo],99,Banco[id_posto],9,Banco[id_unidade],2)</f>
        <v>0</v>
      </c>
      <c r="BT40" s="353">
        <f t="shared" si="20"/>
        <v>0</v>
      </c>
      <c r="BU40" s="354">
        <f>SUMIFS(Banco[valor],Banco[IdAgente],A40,Banco[id_natureza_dado],4,Banco[id_detalhe_natureza],1,Banco[idDet1],52,Banco[idDet2],106,Banco[id_subgrupo],99,Banco[id_posto],9,Banco[id_unidade],3)</f>
        <v>0</v>
      </c>
      <c r="BV40" s="356">
        <f>SUMIFS(Banco[valor],Banco[IdAgente],A40,Banco[idDet1],205,Banco[idDet2],350,Banco[idDet3],201,Banco[id_subgrupo],99,Banco[id_posto],9,Banco[id_unidade],99)</f>
        <v>0</v>
      </c>
    </row>
    <row r="41" spans="1:74" hidden="1">
      <c r="A41" s="255">
        <v>598</v>
      </c>
      <c r="B41" t="str">
        <f>IFERROR(VLOOKUP(A41,CAPA!$C$12:$C$32,1,FALSE),"NO SELECT")</f>
        <v>NO SELECT</v>
      </c>
      <c r="C41" s="3" t="s">
        <v>276</v>
      </c>
      <c r="D41" s="137">
        <f>SUMIFS(Banco[valor],Banco[IdAgente],A41,Banco[idDet1],50,Banco[id_subgrupo],99,Banco[id_posto],9,Banco[id_unidade],2)</f>
        <v>0</v>
      </c>
      <c r="E41" s="137">
        <f>SUMIFS(Banco[valor],Banco[IdAgente],A41,Banco[idDet1],50,Banco[idDet2],51,Banco[id_subgrupo],99,Banco[id_posto],9,Banco[id_unidade],2)</f>
        <v>0</v>
      </c>
      <c r="F41" s="137">
        <f>SUMIFS(Banco[valor],Banco[IdAgente],A41,Banco[idDet1],50,Banco[idDet2],53,Banco[id_subgrupo],99,Banco[id_posto],9,Banco[id_unidade],2)</f>
        <v>0</v>
      </c>
      <c r="G41" s="137">
        <f>SUMIFS(Banco[valor],Banco[IdAgente],A41,Banco[idDet1],50,Banco[idDet2],53,Banco[id_subgrupo],99,Banco[id_posto],9,Banco[id_unidade],2)</f>
        <v>0</v>
      </c>
      <c r="H41" s="137">
        <f t="shared" si="6"/>
        <v>0</v>
      </c>
      <c r="I41" s="93">
        <f>SUMIFS(Banco[valor],Banco[IdAgente],A41,Banco[id_natureza_dado],4,Banco[id_detalhe_natureza],1,Banco[idDet1],52,Banco[idDet2],106,Banco[id_subgrupo],99,Banco[id_posto],9,Banco[id_unidade],3)</f>
        <v>0</v>
      </c>
      <c r="J41" s="16"/>
      <c r="K41" s="3" t="str">
        <f t="shared" si="17"/>
        <v>Creluz</v>
      </c>
      <c r="L41" s="92">
        <f>SUMIFS(Banco[valor],Banco[IdAgente],A41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41" s="92">
        <f>SUMIFS(Banco[valor],Banco[IdAgente],A41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41" s="85">
        <f>SUMIFS(Banco[valor],Banco[IdAgente],A41,Banco[id_natureza_dado],2,Banco[id_detalhe_natureza],1,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41" s="85">
        <f>SUMIFS(Banco[valor],Banco[IdAgente],A41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41" s="85">
        <f>SUMIFS(Banco[valor],Banco[IdAgente],A41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41" s="85">
        <f>SUMIFS(Banco[valor],Banco[IdAgente],A41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41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41" s="92">
        <f>SUMIFS(Banco[valor],Banco[IdAgente],A41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41" s="92">
        <f>SUMIFS(Banco[valor],Banco[IdAgente],A41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41" s="190">
        <f>SUMIFS(Banco[valor],Banco[IdAgente],A41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41" s="157">
        <f t="shared" si="1"/>
        <v>0</v>
      </c>
      <c r="V41" s="3" t="str">
        <f t="shared" si="18"/>
        <v>Creluz</v>
      </c>
      <c r="W41" s="92">
        <f>SUMIFS(Banco[valor],Banco[IdAgente],A41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41" s="92">
        <f>SUMIFS(Banco[valor],Banco[IdAgente],A41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41" s="85">
        <f>SUMIFS(Banco[valor],Banco[IdAgente],A41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41" s="92">
        <f>SUMIFS(Banco[valor],Banco[IdAgente],A41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41" s="86">
        <f t="shared" si="21"/>
        <v>0</v>
      </c>
      <c r="AC41" s="158"/>
      <c r="AD41" s="3" t="s">
        <v>276</v>
      </c>
      <c r="AE41" s="92">
        <f>SUMIFS(Banco[valor],Banco[IdAgente],A41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41" s="138" t="e">
        <f t="shared" si="12"/>
        <v>#DIV/0!</v>
      </c>
      <c r="AG41" s="92">
        <f>SUMIFS(Banco[valor],Banco[IdAgente],A41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41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41" s="92">
        <f>SUMIFS(Banco[valor],Banco[IdAgente],A41,Banco[id_natureza_dado],1,Banco[id_detalhe_natureza],1,Banco[idDet1],51,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41" s="92">
        <f>SUMIFS(Banco[valor],Banco[IdAgente],A41,Banco[id_natureza_dado],1,Banco[id_detalhe_natureza],1,Banco[idDet1],51,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41" s="86">
        <f t="shared" si="14"/>
        <v>0</v>
      </c>
      <c r="AL41" s="158"/>
      <c r="AM41" s="122" t="s">
        <v>276</v>
      </c>
      <c r="AN41" s="330">
        <f>SUMIFS(Banco[valor],Banco[IdAgente],A41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41" s="330">
        <f>SUMIFS(Banco[valor],Banco[IdAgente],A41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41" s="330">
        <f>SUMIFS(Banco[valor],Banco[IdAgente],A41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41" s="331">
        <f>SUMIFS(Banco[valor],Banco[IdAgente],A41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41" s="331">
        <f>SUMIFS(Banco[valor],Banco[IdAgente],A41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41" s="331">
        <f>SUMIFS(Banco[valor],Banco[IdAgente],A41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41" s="332">
        <f>SUMIFS(Banco[valor],Banco[IdAgente],A41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41" s="331">
        <f>SUMIFS(Banco[valor],Banco[IdAgente],A41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41" s="333">
        <f t="shared" si="19"/>
        <v>0</v>
      </c>
      <c r="AW41" s="329"/>
      <c r="AX41" s="157">
        <f t="shared" si="15"/>
        <v>0</v>
      </c>
      <c r="BC41" s="3" t="s">
        <v>276</v>
      </c>
      <c r="BD41" s="137">
        <f t="shared" si="8"/>
        <v>0</v>
      </c>
      <c r="BE41" s="137">
        <f t="shared" si="9"/>
        <v>0</v>
      </c>
      <c r="BF41" s="137">
        <f>SUMIFS(Banco[valor],Banco[IdAgente],BA41,Banco[idDet1],50,Banco[idDet2],53,Banco[id_subgrupo],99,Banco[id_posto],9,Banco[id_unidade],2)</f>
        <v>0</v>
      </c>
      <c r="BG41" s="137">
        <f>SUMIFS(Banco[valor],Banco[IdAgente],BA41,Banco[idDet1],50,Banco[idDet2],53,Banco[id_subgrupo],99,Banco[id_posto],9,Banco[id_unidade],2)</f>
        <v>0</v>
      </c>
      <c r="BH41" s="257">
        <f>erro[[#This Row],[Despesa (R$)]]</f>
        <v>0</v>
      </c>
      <c r="BI41" s="257">
        <f>'Parcela B'!J42</f>
        <v>0</v>
      </c>
      <c r="BJ41" s="259">
        <f t="shared" si="10"/>
        <v>0</v>
      </c>
      <c r="BK41" s="32">
        <f>SUM(Apoio_Efeito!V40:BI40)</f>
        <v>0</v>
      </c>
      <c r="BL41" s="16">
        <f t="shared" si="11"/>
        <v>0</v>
      </c>
      <c r="BM41" s="32">
        <v>76890259.440680027</v>
      </c>
      <c r="BN41" s="32">
        <f t="shared" si="16"/>
        <v>0</v>
      </c>
      <c r="BP41" s="355" t="s">
        <v>276</v>
      </c>
      <c r="BQ41" s="353">
        <f>SUMIFS(Banco[valor],Banco[IdAgente],A41,Banco[idDet1],50,Banco[id_subgrupo],99,Banco[id_posto],9,Banco[id_unidade],2)</f>
        <v>0</v>
      </c>
      <c r="BR41" s="353">
        <f>SUMIFS(Banco[valor],Banco[IdAgente],A41,Banco[idDet1],50,Banco[idDet2],52,Banco[idDet3],11,Banco[id_subgrupo],99,Banco[id_posto],9,Banco[id_unidade],2)</f>
        <v>0</v>
      </c>
      <c r="BS41" s="353">
        <f>SUMIFS(Banco[valor],Banco[IdAgente],A41,Banco[idDet1],50,Banco[idDet2],53,Banco[id_subgrupo],99,Banco[id_posto],9,Banco[id_unidade],2)</f>
        <v>0</v>
      </c>
      <c r="BT41" s="353">
        <f t="shared" si="20"/>
        <v>0</v>
      </c>
      <c r="BU41" s="354">
        <f>SUMIFS(Banco[valor],Banco[IdAgente],A41,Banco[id_natureza_dado],4,Banco[id_detalhe_natureza],1,Banco[idDet1],52,Banco[idDet2],106,Banco[id_subgrupo],99,Banco[id_posto],9,Banco[id_unidade],3)</f>
        <v>0</v>
      </c>
      <c r="BV41" s="356">
        <f>SUMIFS(Banco[valor],Banco[IdAgente],A41,Banco[idDet1],205,Banco[idDet2],350,Banco[idDet3],201,Banco[id_subgrupo],99,Banco[id_posto],9,Banco[id_unidade],99)</f>
        <v>0</v>
      </c>
    </row>
    <row r="42" spans="1:74" hidden="1">
      <c r="A42" s="255">
        <v>2783</v>
      </c>
      <c r="B42" t="str">
        <f>IFERROR(VLOOKUP(A42,CAPA!$C$12:$C$32,1,FALSE),"NO SELECT")</f>
        <v>NO SELECT</v>
      </c>
      <c r="C42" s="3" t="s">
        <v>210</v>
      </c>
      <c r="D42" s="137">
        <f>SUMIFS(Banco[valor],Banco[IdAgente],A42,Banco[idDet1],50,Banco[id_subgrupo],99,Banco[id_posto],9,Banco[id_unidade],2)</f>
        <v>0</v>
      </c>
      <c r="E42" s="137">
        <f>SUMIFS(Banco[valor],Banco[IdAgente],A42,Banco[idDet1],50,Banco[idDet2],51,Banco[id_subgrupo],99,Banco[id_posto],9,Banco[id_unidade],2)</f>
        <v>0</v>
      </c>
      <c r="F42" s="137">
        <f>SUMIFS(Banco[valor],Banco[IdAgente],A42,Banco[idDet1],50,Banco[idDet2],53,Banco[id_subgrupo],99,Banco[id_posto],9,Banco[id_unidade],2)</f>
        <v>0</v>
      </c>
      <c r="G42" s="137">
        <f>SUMIFS(Banco[valor],Banco[IdAgente],A42,Banco[idDet1],50,Banco[idDet2],53,Banco[id_subgrupo],99,Banco[id_posto],9,Banco[id_unidade],2)</f>
        <v>0</v>
      </c>
      <c r="H42" s="137">
        <f t="shared" si="6"/>
        <v>0</v>
      </c>
      <c r="I42" s="93">
        <f>SUMIFS(Banco[valor],Banco[IdAgente],A42,Banco[id_natureza_dado],4,Banco[id_detalhe_natureza],1,Banco[idDet1],52,Banco[idDet2],106,Banco[id_subgrupo],99,Banco[id_posto],9,Banco[id_unidade],3)</f>
        <v>0</v>
      </c>
      <c r="J42" s="16"/>
      <c r="K42" s="3" t="str">
        <f t="shared" si="17"/>
        <v>Creral</v>
      </c>
      <c r="L42" s="92">
        <f>SUMIFS(Banco[valor],Banco[IdAgente],A42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42" s="92">
        <f>SUMIFS(Banco[valor],Banco[IdAgente],A42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42" s="85">
        <f>SUMIFS(Banco[valor],Banco[IdAgente],A42,Banco[id_natureza_dado],2,Banco[id_detalhe_natureza],1,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42" s="85">
        <f>SUMIFS(Banco[valor],Banco[IdAgente],A42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42" s="85">
        <f>SUMIFS(Banco[valor],Banco[IdAgente],A42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42" s="85">
        <f>SUMIFS(Banco[valor],Banco[IdAgente],A42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42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42" s="92">
        <f>SUMIFS(Banco[valor],Banco[IdAgente],A42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42" s="92">
        <f>SUMIFS(Banco[valor],Banco[IdAgente],A42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42" s="190">
        <f>SUMIFS(Banco[valor],Banco[IdAgente],A42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42" s="157">
        <f t="shared" si="1"/>
        <v>0</v>
      </c>
      <c r="V42" s="3" t="str">
        <f t="shared" si="18"/>
        <v>Creral</v>
      </c>
      <c r="W42" s="92">
        <f>SUMIFS(Banco[valor],Banco[IdAgente],A42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42" s="92">
        <f>SUMIFS(Banco[valor],Banco[IdAgente],A42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42" s="85">
        <f>SUMIFS(Banco[valor],Banco[IdAgente],A42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42" s="92">
        <f>SUMIFS(Banco[valor],Banco[IdAgente],A42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42" s="86">
        <f t="shared" si="21"/>
        <v>0</v>
      </c>
      <c r="AC42" s="158"/>
      <c r="AD42" s="3" t="s">
        <v>210</v>
      </c>
      <c r="AE42" s="92">
        <f>SUMIFS(Banco[valor],Banco[IdAgente],A42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42" s="138" t="e">
        <f t="shared" si="12"/>
        <v>#DIV/0!</v>
      </c>
      <c r="AG42" s="92">
        <f>SUMIFS(Banco[valor],Banco[IdAgente],A42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42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42" s="92">
        <f>SUMIFS(Banco[valor],Banco[IdAgente],A42,Banco[id_natureza_dado],1,Banco[id_detalhe_natureza],1,Banco[idDet1],51,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42" s="92">
        <f>SUMIFS(Banco[valor],Banco[IdAgente],A42,Banco[id_natureza_dado],1,Banco[id_detalhe_natureza],1,Banco[idDet1],51,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42" s="86">
        <f t="shared" si="14"/>
        <v>0</v>
      </c>
      <c r="AL42" s="158"/>
      <c r="AM42" s="122" t="s">
        <v>210</v>
      </c>
      <c r="AN42" s="330">
        <f>SUMIFS(Banco[valor],Banco[IdAgente],A42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42" s="330">
        <f>SUMIFS(Banco[valor],Banco[IdAgente],A42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42" s="330">
        <f>SUMIFS(Banco[valor],Banco[IdAgente],A42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42" s="331">
        <f>SUMIFS(Banco[valor],Banco[IdAgente],A42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42" s="331">
        <f>SUMIFS(Banco[valor],Banco[IdAgente],A42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42" s="331">
        <f>SUMIFS(Banco[valor],Banco[IdAgente],A42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42" s="332">
        <f>SUMIFS(Banco[valor],Banco[IdAgente],A42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42" s="331">
        <f>SUMIFS(Banco[valor],Banco[IdAgente],A42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42" s="333">
        <f t="shared" si="19"/>
        <v>0</v>
      </c>
      <c r="AW42" s="329"/>
      <c r="AX42" s="157">
        <f t="shared" si="15"/>
        <v>0</v>
      </c>
      <c r="BC42" s="3" t="s">
        <v>210</v>
      </c>
      <c r="BD42" s="137">
        <f t="shared" si="8"/>
        <v>0</v>
      </c>
      <c r="BE42" s="137">
        <f t="shared" si="9"/>
        <v>0</v>
      </c>
      <c r="BF42" s="137">
        <f>SUMIFS(Banco[valor],Banco[IdAgente],BA42,Banco[idDet1],50,Banco[idDet2],53,Banco[id_subgrupo],99,Banco[id_posto],9,Banco[id_unidade],2)</f>
        <v>0</v>
      </c>
      <c r="BG42" s="137">
        <f>SUMIFS(Banco[valor],Banco[IdAgente],BA42,Banco[idDet1],50,Banco[idDet2],53,Banco[id_subgrupo],99,Banco[id_posto],9,Banco[id_unidade],2)</f>
        <v>0</v>
      </c>
      <c r="BH42" s="257">
        <f>erro[[#This Row],[Despesa (R$)]]</f>
        <v>0</v>
      </c>
      <c r="BI42" s="257">
        <f>'Parcela B'!J43</f>
        <v>0</v>
      </c>
      <c r="BJ42" s="259">
        <f t="shared" si="10"/>
        <v>0</v>
      </c>
      <c r="BK42" s="32">
        <f>SUM(Apoio_Efeito!V41:BI41)</f>
        <v>0</v>
      </c>
      <c r="BL42" s="16">
        <f t="shared" si="11"/>
        <v>0</v>
      </c>
      <c r="BM42" s="32">
        <v>56447541.259249985</v>
      </c>
      <c r="BN42" s="32">
        <f t="shared" si="16"/>
        <v>0</v>
      </c>
      <c r="BP42" s="355" t="s">
        <v>210</v>
      </c>
      <c r="BQ42" s="353">
        <f>SUMIFS(Banco[valor],Banco[IdAgente],A42,Banco[idDet1],50,Banco[id_subgrupo],99,Banco[id_posto],9,Banco[id_unidade],2)</f>
        <v>0</v>
      </c>
      <c r="BR42" s="353">
        <f>SUMIFS(Banco[valor],Banco[IdAgente],A42,Banco[idDet1],50,Banco[idDet2],52,Banco[idDet3],11,Banco[id_subgrupo],99,Banco[id_posto],9,Banco[id_unidade],2)</f>
        <v>0</v>
      </c>
      <c r="BS42" s="353">
        <f>SUMIFS(Banco[valor],Banco[IdAgente],A42,Banco[idDet1],50,Banco[idDet2],53,Banco[id_subgrupo],99,Banco[id_posto],9,Banco[id_unidade],2)</f>
        <v>0</v>
      </c>
      <c r="BT42" s="353">
        <f t="shared" si="20"/>
        <v>0</v>
      </c>
      <c r="BU42" s="354">
        <f>SUMIFS(Banco[valor],Banco[IdAgente],A42,Banco[id_natureza_dado],4,Banco[id_detalhe_natureza],1,Banco[idDet1],52,Banco[idDet2],106,Banco[id_subgrupo],99,Banco[id_posto],9,Banco[id_unidade],3)</f>
        <v>0</v>
      </c>
      <c r="BV42" s="356">
        <f>SUMIFS(Banco[valor],Banco[IdAgente],A42,Banco[idDet1],205,Banco[idDet2],350,Banco[idDet3],201,Banco[id_subgrupo],99,Banco[id_posto],9,Banco[id_unidade],99)</f>
        <v>0</v>
      </c>
    </row>
    <row r="43" spans="1:74" hidden="1">
      <c r="A43" s="255">
        <v>5279</v>
      </c>
      <c r="B43" t="str">
        <f>IFERROR(VLOOKUP(A43,CAPA!$C$12:$C$32,1,FALSE),"NO SELECT")</f>
        <v>NO SELECT</v>
      </c>
      <c r="C43" s="3" t="s">
        <v>213</v>
      </c>
      <c r="D43" s="137">
        <f>SUMIFS(Banco[valor],Banco[IdAgente],A43,Banco[idDet1],50,Banco[id_subgrupo],99,Banco[id_posto],9,Banco[id_unidade],2)</f>
        <v>0</v>
      </c>
      <c r="E43" s="137">
        <f>SUMIFS(Banco[valor],Banco[IdAgente],A43,Banco[idDet1],50,Banco[idDet2],51,Banco[id_subgrupo],99,Banco[id_posto],9,Banco[id_unidade],2)</f>
        <v>0</v>
      </c>
      <c r="F43" s="137">
        <f>SUMIFS(Banco[valor],Banco[IdAgente],A43,Banco[idDet1],50,Banco[idDet2],53,Banco[id_subgrupo],99,Banco[id_posto],9,Banco[id_unidade],2)</f>
        <v>0</v>
      </c>
      <c r="G43" s="137">
        <f>SUMIFS(Banco[valor],Banco[IdAgente],A43,Banco[idDet1],50,Banco[idDet2],53,Banco[id_subgrupo],99,Banco[id_posto],9,Banco[id_unidade],2)</f>
        <v>0</v>
      </c>
      <c r="H43" s="137">
        <f t="shared" si="6"/>
        <v>0</v>
      </c>
      <c r="I43" s="93">
        <f>SUMIFS(Banco[valor],Banco[IdAgente],A43,Banco[id_natureza_dado],4,Banco[id_detalhe_natureza],1,Banco[idDet1],52,Banco[idDet2],106,Banco[id_subgrupo],99,Banco[id_posto],9,Banco[id_unidade],3)</f>
        <v>0</v>
      </c>
      <c r="J43" s="16"/>
      <c r="K43" s="3" t="str">
        <f t="shared" si="17"/>
        <v>Cerci</v>
      </c>
      <c r="L43" s="92">
        <f>SUMIFS(Banco[valor],Banco[IdAgente],A43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43" s="92">
        <f>SUMIFS(Banco[valor],Banco[IdAgente],A43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43" s="85">
        <f>SUMIFS(Banco[valor],Banco[IdAgente],A43,Banco[id_natureza_dado],2,Banco[id_detalhe_natureza],1,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43" s="85">
        <f>SUMIFS(Banco[valor],Banco[IdAgente],A43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43" s="85">
        <f>SUMIFS(Banco[valor],Banco[IdAgente],A43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43" s="85">
        <f>SUMIFS(Banco[valor],Banco[IdAgente],A43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43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43" s="92">
        <f>SUMIFS(Banco[valor],Banco[IdAgente],A43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43" s="92">
        <f>SUMIFS(Banco[valor],Banco[IdAgente],A43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43" s="190">
        <f>SUMIFS(Banco[valor],Banco[IdAgente],A43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43" s="157">
        <f t="shared" si="1"/>
        <v>0</v>
      </c>
      <c r="V43" s="3" t="str">
        <f t="shared" si="18"/>
        <v>Cerci</v>
      </c>
      <c r="W43" s="92">
        <f>SUMIFS(Banco[valor],Banco[IdAgente],A43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43" s="92">
        <f>SUMIFS(Banco[valor],Banco[IdAgente],A43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43" s="85">
        <f>SUMIFS(Banco[valor],Banco[IdAgente],A43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43" s="92">
        <f>SUMIFS(Banco[valor],Banco[IdAgente],A43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43" s="86">
        <f t="shared" si="21"/>
        <v>0</v>
      </c>
      <c r="AC43" s="158"/>
      <c r="AD43" s="3" t="s">
        <v>213</v>
      </c>
      <c r="AE43" s="92">
        <f>SUMIFS(Banco[valor],Banco[IdAgente],A43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43" s="138" t="e">
        <f t="shared" si="12"/>
        <v>#DIV/0!</v>
      </c>
      <c r="AG43" s="92">
        <f>SUMIFS(Banco[valor],Banco[IdAgente],A43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43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43" s="92">
        <f>SUMIFS(Banco[valor],Banco[IdAgente],A43,Banco[id_natureza_dado],1,Banco[id_detalhe_natureza],1,Banco[idDet1],51,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43" s="92">
        <f>SUMIFS(Banco[valor],Banco[IdAgente],A43,Banco[id_natureza_dado],1,Banco[id_detalhe_natureza],1,Banco[idDet1],51,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43" s="86">
        <f t="shared" si="14"/>
        <v>0</v>
      </c>
      <c r="AL43" s="158"/>
      <c r="AM43" s="122" t="s">
        <v>213</v>
      </c>
      <c r="AN43" s="330">
        <f>SUMIFS(Banco[valor],Banco[IdAgente],A43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43" s="330">
        <f>SUMIFS(Banco[valor],Banco[IdAgente],A43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43" s="330">
        <f>SUMIFS(Banco[valor],Banco[IdAgente],A43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43" s="331">
        <f>SUMIFS(Banco[valor],Banco[IdAgente],A43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43" s="331">
        <f>SUMIFS(Banco[valor],Banco[IdAgente],A43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43" s="331">
        <f>SUMIFS(Banco[valor],Banco[IdAgente],A43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43" s="332">
        <f>SUMIFS(Banco[valor],Banco[IdAgente],A43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43" s="331">
        <f>SUMIFS(Banco[valor],Banco[IdAgente],A43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43" s="333">
        <f t="shared" si="19"/>
        <v>0</v>
      </c>
      <c r="AW43" s="329"/>
      <c r="AX43" s="157">
        <f t="shared" si="15"/>
        <v>0</v>
      </c>
      <c r="BC43" s="3" t="s">
        <v>213</v>
      </c>
      <c r="BD43" s="137">
        <f t="shared" si="8"/>
        <v>0</v>
      </c>
      <c r="BE43" s="137">
        <f t="shared" si="9"/>
        <v>0</v>
      </c>
      <c r="BF43" s="137">
        <f>SUMIFS(Banco[valor],Banco[IdAgente],BA43,Banco[idDet1],50,Banco[idDet2],53,Banco[id_subgrupo],99,Banco[id_posto],9,Banco[id_unidade],2)</f>
        <v>0</v>
      </c>
      <c r="BG43" s="137">
        <f>SUMIFS(Banco[valor],Banco[IdAgente],BA43,Banco[idDet1],50,Banco[idDet2],53,Banco[id_subgrupo],99,Banco[id_posto],9,Banco[id_unidade],2)</f>
        <v>0</v>
      </c>
      <c r="BH43" s="257">
        <f>erro[[#This Row],[Despesa (R$)]]</f>
        <v>0</v>
      </c>
      <c r="BI43" s="257">
        <f>'Parcela B'!J44</f>
        <v>0</v>
      </c>
      <c r="BJ43" s="259">
        <f t="shared" si="10"/>
        <v>0</v>
      </c>
      <c r="BK43" s="32">
        <f>SUM(Apoio_Efeito!V42:BI42)</f>
        <v>0</v>
      </c>
      <c r="BL43" s="16">
        <f t="shared" si="11"/>
        <v>0</v>
      </c>
      <c r="BM43" s="32"/>
      <c r="BN43" s="32">
        <f t="shared" si="16"/>
        <v>0</v>
      </c>
      <c r="BP43" s="355" t="s">
        <v>213</v>
      </c>
      <c r="BQ43" s="353">
        <f>SUMIFS(Banco[valor],Banco[IdAgente],A43,Banco[idDet1],50,Banco[id_subgrupo],99,Banco[id_posto],9,Banco[id_unidade],2)</f>
        <v>0</v>
      </c>
      <c r="BR43" s="353">
        <f>SUMIFS(Banco[valor],Banco[IdAgente],A43,Banco[idDet1],50,Banco[idDet2],52,Banco[idDet3],11,Banco[id_subgrupo],99,Banco[id_posto],9,Banco[id_unidade],2)</f>
        <v>0</v>
      </c>
      <c r="BS43" s="353">
        <f>SUMIFS(Banco[valor],Banco[IdAgente],A43,Banco[idDet1],50,Banco[idDet2],53,Banco[id_subgrupo],99,Banco[id_posto],9,Banco[id_unidade],2)</f>
        <v>0</v>
      </c>
      <c r="BT43" s="353">
        <f t="shared" si="20"/>
        <v>0</v>
      </c>
      <c r="BU43" s="354">
        <f>SUMIFS(Banco[valor],Banco[IdAgente],A43,Banco[id_natureza_dado],4,Banco[id_detalhe_natureza],1,Banco[idDet1],52,Banco[idDet2],106,Banco[id_subgrupo],99,Banco[id_posto],9,Banco[id_unidade],3)</f>
        <v>0</v>
      </c>
      <c r="BV43" s="356">
        <f>SUMIFS(Banco[valor],Banco[IdAgente],A43,Banco[idDet1],205,Banco[idDet2],350,Banco[idDet3],201,Banco[id_subgrupo],99,Banco[id_posto],9,Banco[id_unidade],99)</f>
        <v>0</v>
      </c>
    </row>
    <row r="44" spans="1:74" hidden="1">
      <c r="A44" s="255">
        <v>6603</v>
      </c>
      <c r="B44" t="str">
        <f>IFERROR(VLOOKUP(A44,CAPA!$C$12:$C$32,1,FALSE),"NO SELECT")</f>
        <v>NO SELECT</v>
      </c>
      <c r="C44" s="3" t="s">
        <v>215</v>
      </c>
      <c r="D44" s="137">
        <f>SUMIFS(Banco[valor],Banco[IdAgente],A44,Banco[idDet1],50,Banco[id_subgrupo],99,Banco[id_posto],9,Banco[id_unidade],2)</f>
        <v>0</v>
      </c>
      <c r="E44" s="137">
        <f>SUMIFS(Banco[valor],Banco[IdAgente],A44,Banco[idDet1],50,Banco[idDet2],51,Banco[id_subgrupo],99,Banco[id_posto],9,Banco[id_unidade],2)</f>
        <v>0</v>
      </c>
      <c r="F44" s="137">
        <f>SUMIFS(Banco[valor],Banco[IdAgente],A44,Banco[idDet1],50,Banco[idDet2],53,Banco[id_subgrupo],99,Banco[id_posto],9,Banco[id_unidade],2)</f>
        <v>0</v>
      </c>
      <c r="G44" s="137">
        <f>SUMIFS(Banco[valor],Banco[IdAgente],A44,Banco[idDet1],50,Banco[idDet2],53,Banco[id_subgrupo],99,Banco[id_posto],9,Banco[id_unidade],2)</f>
        <v>0</v>
      </c>
      <c r="H44" s="137">
        <f t="shared" si="6"/>
        <v>0</v>
      </c>
      <c r="I44" s="93">
        <f>SUMIFS(Banco[valor],Banco[IdAgente],A44,Banco[id_natureza_dado],4,Banco[id_detalhe_natureza],1,Banco[idDet1],52,Banco[idDet2],106,Banco[id_subgrupo],99,Banco[id_posto],9,Banco[id_unidade],3)</f>
        <v>0</v>
      </c>
      <c r="J44" s="16"/>
      <c r="K44" s="3" t="str">
        <f t="shared" si="17"/>
        <v>Ceral Araruama</v>
      </c>
      <c r="L44" s="92">
        <f>SUMIFS(Banco[valor],Banco[IdAgente],A44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44" s="92">
        <f>SUMIFS(Banco[valor],Banco[IdAgente],A44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44" s="85">
        <f>SUMIFS(Banco[valor],Banco[IdAgente],A44,Banco[id_natureza_dado],2,Banco[id_detalhe_natureza],1,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44" s="85">
        <f>SUMIFS(Banco[valor],Banco[IdAgente],A44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44" s="85">
        <f>SUMIFS(Banco[valor],Banco[IdAgente],A44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44" s="85">
        <f>SUMIFS(Banco[valor],Banco[IdAgente],A44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44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44" s="92">
        <f>SUMIFS(Banco[valor],Banco[IdAgente],A44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44" s="92">
        <f>SUMIFS(Banco[valor],Banco[IdAgente],A44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44" s="190">
        <f>SUMIFS(Banco[valor],Banco[IdAgente],A44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44" s="157">
        <f t="shared" si="1"/>
        <v>0</v>
      </c>
      <c r="V44" s="3" t="str">
        <f t="shared" si="18"/>
        <v>Ceral Araruama</v>
      </c>
      <c r="W44" s="92">
        <f>SUMIFS(Banco[valor],Banco[IdAgente],A44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44" s="92">
        <f>SUMIFS(Banco[valor],Banco[IdAgente],A44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44" s="85">
        <f>SUMIFS(Banco[valor],Banco[IdAgente],A44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44" s="92">
        <f>SUMIFS(Banco[valor],Banco[IdAgente],A44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44" s="86">
        <f t="shared" si="21"/>
        <v>0</v>
      </c>
      <c r="AC44" s="158"/>
      <c r="AD44" s="3" t="s">
        <v>215</v>
      </c>
      <c r="AE44" s="92">
        <f>SUMIFS(Banco[valor],Banco[IdAgente],A44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44" s="138" t="e">
        <f t="shared" si="12"/>
        <v>#DIV/0!</v>
      </c>
      <c r="AG44" s="92">
        <f>SUMIFS(Banco[valor],Banco[IdAgente],A44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44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44" s="92">
        <f>SUMIFS(Banco[valor],Banco[IdAgente],A44,Banco[id_natureza_dado],1,Banco[id_detalhe_natureza],1,Banco[idDet1],51,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44" s="92">
        <f>SUMIFS(Banco[valor],Banco[IdAgente],A44,Banco[id_natureza_dado],1,Banco[id_detalhe_natureza],1,Banco[idDet1],51,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44" s="86">
        <f t="shared" si="14"/>
        <v>0</v>
      </c>
      <c r="AL44" s="158"/>
      <c r="AM44" s="122" t="s">
        <v>215</v>
      </c>
      <c r="AN44" s="330">
        <f>SUMIFS(Banco[valor],Banco[IdAgente],A44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44" s="330">
        <f>SUMIFS(Banco[valor],Banco[IdAgente],A44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44" s="330">
        <f>SUMIFS(Banco[valor],Banco[IdAgente],A44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44" s="331">
        <f>SUMIFS(Banco[valor],Banco[IdAgente],A44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44" s="331">
        <f>SUMIFS(Banco[valor],Banco[IdAgente],A44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44" s="331">
        <f>SUMIFS(Banco[valor],Banco[IdAgente],A44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44" s="332">
        <f>SUMIFS(Banco[valor],Banco[IdAgente],A44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44" s="331">
        <f>SUMIFS(Banco[valor],Banco[IdAgente],A44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44" s="333">
        <f t="shared" si="19"/>
        <v>0</v>
      </c>
      <c r="AW44" s="329"/>
      <c r="AX44" s="157">
        <f t="shared" si="15"/>
        <v>0</v>
      </c>
      <c r="BC44" s="3" t="s">
        <v>215</v>
      </c>
      <c r="BD44" s="137">
        <f t="shared" si="8"/>
        <v>0</v>
      </c>
      <c r="BE44" s="137">
        <f t="shared" si="9"/>
        <v>0</v>
      </c>
      <c r="BF44" s="137">
        <f>SUMIFS(Banco[valor],Banco[IdAgente],BA44,Banco[idDet1],50,Banco[idDet2],53,Banco[id_subgrupo],99,Banco[id_posto],9,Banco[id_unidade],2)</f>
        <v>0</v>
      </c>
      <c r="BG44" s="137">
        <f>SUMIFS(Banco[valor],Banco[IdAgente],BA44,Banco[idDet1],50,Banco[idDet2],53,Banco[id_subgrupo],99,Banco[id_posto],9,Banco[id_unidade],2)</f>
        <v>0</v>
      </c>
      <c r="BH44" s="257">
        <f>erro[[#This Row],[Despesa (R$)]]</f>
        <v>0</v>
      </c>
      <c r="BI44" s="257">
        <f>'Parcela B'!J45</f>
        <v>0</v>
      </c>
      <c r="BJ44" s="259">
        <f t="shared" si="10"/>
        <v>0</v>
      </c>
      <c r="BK44" s="32">
        <f>SUM(Apoio_Efeito!V43:BI43)</f>
        <v>0</v>
      </c>
      <c r="BL44" s="16">
        <f t="shared" si="11"/>
        <v>0</v>
      </c>
      <c r="BM44" s="32"/>
      <c r="BN44" s="32">
        <f t="shared" si="16"/>
        <v>0</v>
      </c>
      <c r="BP44" s="355" t="s">
        <v>215</v>
      </c>
      <c r="BQ44" s="353">
        <f>SUMIFS(Banco[valor],Banco[IdAgente],A44,Banco[idDet1],50,Banco[id_subgrupo],99,Banco[id_posto],9,Banco[id_unidade],2)</f>
        <v>0</v>
      </c>
      <c r="BR44" s="353">
        <f>SUMIFS(Banco[valor],Banco[IdAgente],A44,Banco[idDet1],50,Banco[idDet2],52,Banco[idDet3],11,Banco[id_subgrupo],99,Banco[id_posto],9,Banco[id_unidade],2)</f>
        <v>0</v>
      </c>
      <c r="BS44" s="353">
        <f>SUMIFS(Banco[valor],Banco[IdAgente],A44,Banco[idDet1],50,Banco[idDet2],53,Banco[id_subgrupo],99,Banco[id_posto],9,Banco[id_unidade],2)</f>
        <v>0</v>
      </c>
      <c r="BT44" s="353">
        <f t="shared" si="20"/>
        <v>0</v>
      </c>
      <c r="BU44" s="354">
        <f>SUMIFS(Banco[valor],Banco[IdAgente],A44,Banco[id_natureza_dado],4,Banco[id_detalhe_natureza],1,Banco[idDet1],52,Banco[idDet2],106,Banco[id_subgrupo],99,Banco[id_posto],9,Banco[id_unidade],3)</f>
        <v>0</v>
      </c>
      <c r="BV44" s="356">
        <f>SUMIFS(Banco[valor],Banco[IdAgente],A44,Banco[idDet1],205,Banco[idDet2],350,Banco[idDet3],201,Banco[id_subgrupo],99,Banco[id_posto],9,Banco[id_unidade],99)</f>
        <v>0</v>
      </c>
    </row>
    <row r="45" spans="1:74" hidden="1">
      <c r="A45" s="255">
        <v>504</v>
      </c>
      <c r="B45" t="str">
        <f>IFERROR(VLOOKUP(A45,CAPA!$C$12:$C$32,1,FALSE),"NO SELECT")</f>
        <v>NO SELECT</v>
      </c>
      <c r="C45" s="3" t="s">
        <v>217</v>
      </c>
      <c r="D45" s="137">
        <f>SUMIFS(Banco[valor],Banco[IdAgente],A45,Banco[idDet1],50,Banco[id_subgrupo],99,Banco[id_posto],9,Banco[id_unidade],2)</f>
        <v>0</v>
      </c>
      <c r="E45" s="137">
        <f>SUMIFS(Banco[valor],Banco[IdAgente],A45,Banco[idDet1],50,Banco[idDet2],51,Banco[id_subgrupo],99,Banco[id_posto],9,Banco[id_unidade],2)</f>
        <v>0</v>
      </c>
      <c r="F45" s="137">
        <f>SUMIFS(Banco[valor],Banco[IdAgente],A45,Banco[idDet1],50,Banco[idDet2],53,Banco[id_subgrupo],99,Banco[id_posto],9,Banco[id_unidade],2)</f>
        <v>0</v>
      </c>
      <c r="G45" s="137">
        <f>SUMIFS(Banco[valor],Banco[IdAgente],A45,Banco[idDet1],50,Banco[idDet2],53,Banco[id_subgrupo],99,Banco[id_posto],9,Banco[id_unidade],2)</f>
        <v>0</v>
      </c>
      <c r="H45" s="137">
        <f t="shared" si="6"/>
        <v>0</v>
      </c>
      <c r="I45" s="93">
        <f>SUMIFS(Banco[valor],Banco[IdAgente],A45,Banco[id_natureza_dado],4,Banco[id_detalhe_natureza],1,Banco[idDet1],52,Banco[idDet2],106,Banco[id_subgrupo],99,Banco[id_posto],9,Banco[id_unidade],3)</f>
        <v>0</v>
      </c>
      <c r="J45" s="16"/>
      <c r="K45" s="3" t="str">
        <f t="shared" si="17"/>
        <v>Cerfox</v>
      </c>
      <c r="L45" s="92">
        <f>SUMIFS(Banco[valor],Banco[IdAgente],A45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45" s="92">
        <f>SUMIFS(Banco[valor],Banco[IdAgente],A45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45" s="85">
        <f>SUMIFS(Banco[valor],Banco[IdAgente],A45,Banco[id_natureza_dado],2,Banco[id_detalhe_natureza],1,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45" s="85">
        <f>SUMIFS(Banco[valor],Banco[IdAgente],A45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45" s="85">
        <f>SUMIFS(Banco[valor],Banco[IdAgente],A45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45" s="85">
        <f>SUMIFS(Banco[valor],Banco[IdAgente],A45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45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45" s="92">
        <f>SUMIFS(Banco[valor],Banco[IdAgente],A45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45" s="92">
        <f>SUMIFS(Banco[valor],Banco[IdAgente],A45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45" s="190">
        <f>SUMIFS(Banco[valor],Banco[IdAgente],A45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45" s="157">
        <f t="shared" si="1"/>
        <v>0</v>
      </c>
      <c r="V45" s="3" t="str">
        <f t="shared" si="18"/>
        <v>Cerfox</v>
      </c>
      <c r="W45" s="92">
        <f>SUMIFS(Banco[valor],Banco[IdAgente],A45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45" s="92">
        <f>SUMIFS(Banco[valor],Banco[IdAgente],A45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45" s="85">
        <f>SUMIFS(Banco[valor],Banco[IdAgente],A45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45" s="92">
        <f>SUMIFS(Banco[valor],Banco[IdAgente],A45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45" s="86">
        <f t="shared" si="21"/>
        <v>0</v>
      </c>
      <c r="AC45" s="158"/>
      <c r="AD45" s="3" t="s">
        <v>217</v>
      </c>
      <c r="AE45" s="92">
        <f>SUMIFS(Banco[valor],Banco[IdAgente],A45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45" s="138" t="e">
        <f t="shared" si="12"/>
        <v>#DIV/0!</v>
      </c>
      <c r="AG45" s="92">
        <f>SUMIFS(Banco[valor],Banco[IdAgente],A45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45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45" s="92">
        <f>SUMIFS(Banco[valor],Banco[IdAgente],A45,Banco[id_natureza_dado],1,Banco[id_detalhe_natureza],1,Banco[idDet1],51,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45" s="92">
        <f>SUMIFS(Banco[valor],Banco[IdAgente],A45,Banco[id_natureza_dado],1,Banco[id_detalhe_natureza],1,Banco[idDet1],51,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45" s="86">
        <f t="shared" si="14"/>
        <v>0</v>
      </c>
      <c r="AL45" s="158"/>
      <c r="AM45" s="3" t="s">
        <v>217</v>
      </c>
      <c r="AN45" s="330">
        <f>SUMIFS(Banco[valor],Banco[IdAgente],A45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45" s="330">
        <f>SUMIFS(Banco[valor],Banco[IdAgente],A45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45" s="330">
        <f>SUMIFS(Banco[valor],Banco[IdAgente],A45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45" s="331">
        <f>SUMIFS(Banco[valor],Banco[IdAgente],A45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45" s="331">
        <f>SUMIFS(Banco[valor],Banco[IdAgente],A45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45" s="331">
        <f>SUMIFS(Banco[valor],Banco[IdAgente],A45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45" s="332">
        <f>SUMIFS(Banco[valor],Banco[IdAgente],A45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45" s="331">
        <f>SUMIFS(Banco[valor],Banco[IdAgente],A45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45" s="333">
        <f t="shared" si="19"/>
        <v>0</v>
      </c>
      <c r="AW45" s="329"/>
      <c r="AX45" s="157">
        <f t="shared" si="15"/>
        <v>0</v>
      </c>
      <c r="BC45" s="3" t="s">
        <v>217</v>
      </c>
      <c r="BD45" s="137">
        <f t="shared" si="8"/>
        <v>0</v>
      </c>
      <c r="BE45" s="137">
        <f t="shared" si="9"/>
        <v>0</v>
      </c>
      <c r="BF45" s="137">
        <f>SUMIFS(Banco[valor],Banco[IdAgente],BA45,Banco[idDet1],50,Banco[idDet2],53,Banco[id_subgrupo],99,Banco[id_posto],9,Banco[id_unidade],2)</f>
        <v>0</v>
      </c>
      <c r="BG45" s="137">
        <f>SUMIFS(Banco[valor],Banco[IdAgente],BA45,Banco[idDet1],50,Banco[idDet2],53,Banco[id_subgrupo],99,Banco[id_posto],9,Banco[id_unidade],2)</f>
        <v>0</v>
      </c>
      <c r="BH45" s="257">
        <f>erro[[#This Row],[Despesa (R$)]]</f>
        <v>0</v>
      </c>
      <c r="BI45" s="257">
        <f>'Parcela B'!J46</f>
        <v>0</v>
      </c>
      <c r="BJ45" s="259">
        <f t="shared" si="10"/>
        <v>0</v>
      </c>
      <c r="BK45" s="32">
        <f>SUM(Apoio_Efeito!V44:BI44)</f>
        <v>0</v>
      </c>
      <c r="BL45" s="16">
        <f t="shared" si="11"/>
        <v>0</v>
      </c>
      <c r="BM45" s="323">
        <v>48341348.831969976</v>
      </c>
      <c r="BN45" s="32">
        <f t="shared" si="16"/>
        <v>0</v>
      </c>
      <c r="BP45" s="355" t="s">
        <v>217</v>
      </c>
      <c r="BQ45" s="353">
        <f>SUMIFS(Banco[valor],Banco[IdAgente],A45,Banco[idDet1],50,Banco[id_subgrupo],99,Banco[id_posto],9,Banco[id_unidade],2)</f>
        <v>0</v>
      </c>
      <c r="BR45" s="353">
        <f>SUMIFS(Banco[valor],Banco[IdAgente],A45,Banco[idDet1],50,Banco[idDet2],52,Banco[idDet3],11,Banco[id_subgrupo],99,Banco[id_posto],9,Banco[id_unidade],2)</f>
        <v>0</v>
      </c>
      <c r="BS45" s="353">
        <f>SUMIFS(Banco[valor],Banco[IdAgente],A45,Banco[idDet1],50,Banco[idDet2],53,Banco[id_subgrupo],99,Banco[id_posto],9,Banco[id_unidade],2)</f>
        <v>0</v>
      </c>
      <c r="BT45" s="353">
        <f t="shared" si="20"/>
        <v>0</v>
      </c>
      <c r="BU45" s="354">
        <f>SUMIFS(Banco[valor],Banco[IdAgente],A45,Banco[id_natureza_dado],4,Banco[id_detalhe_natureza],1,Banco[idDet1],52,Banco[idDet2],106,Banco[id_subgrupo],99,Banco[id_posto],9,Banco[id_unidade],3)</f>
        <v>0</v>
      </c>
      <c r="BV45" s="356">
        <f>SUMIFS(Banco[valor],Banco[IdAgente],A45,Banco[idDet1],205,Banco[idDet2],350,Banco[idDet3],201,Banco[id_subgrupo],99,Banco[id_posto],9,Banco[id_unidade],99)</f>
        <v>0</v>
      </c>
    </row>
    <row r="46" spans="1:74" hidden="1">
      <c r="A46" s="255">
        <v>527</v>
      </c>
      <c r="B46" t="str">
        <f>IFERROR(VLOOKUP(A46,CAPA!$C$12:$C$32,1,FALSE),"NO SELECT")</f>
        <v>NO SELECT</v>
      </c>
      <c r="C46" s="3" t="s">
        <v>219</v>
      </c>
      <c r="D46" s="137">
        <f>SUMIFS(Banco[valor],Banco[IdAgente],A46,Banco[idDet1],50,Banco[id_subgrupo],99,Banco[id_posto],9,Banco[id_unidade],2)</f>
        <v>0</v>
      </c>
      <c r="E46" s="137">
        <f>SUMIFS(Banco[valor],Banco[IdAgente],A46,Banco[idDet1],50,Banco[idDet2],51,Banco[id_subgrupo],99,Banco[id_posto],9,Banco[id_unidade],2)</f>
        <v>0</v>
      </c>
      <c r="F46" s="137">
        <f>SUMIFS(Banco[valor],Banco[IdAgente],A46,Banco[idDet1],50,Banco[idDet2],53,Banco[id_subgrupo],99,Banco[id_posto],9,Banco[id_unidade],2)</f>
        <v>0</v>
      </c>
      <c r="G46" s="137">
        <f>SUMIFS(Banco[valor],Banco[IdAgente],A46,Banco[idDet1],50,Banco[idDet2],53,Banco[id_subgrupo],99,Banco[id_posto],9,Banco[id_unidade],2)</f>
        <v>0</v>
      </c>
      <c r="H46" s="137">
        <f t="shared" si="6"/>
        <v>0</v>
      </c>
      <c r="I46" s="93">
        <f>SUMIFS(Banco[valor],Banco[IdAgente],A46,Banco[id_natureza_dado],4,Banco[id_detalhe_natureza],1,Banco[idDet1],52,Banco[idDet2],106,Banco[id_subgrupo],99,Banco[id_posto],9,Banco[id_unidade],3)</f>
        <v>0</v>
      </c>
      <c r="J46" s="16"/>
      <c r="K46" s="3" t="str">
        <f t="shared" si="17"/>
        <v>Certhil</v>
      </c>
      <c r="L46" s="92">
        <f>SUMIFS(Banco[valor],Banco[IdAgente],A46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46" s="92">
        <f>SUMIFS(Banco[valor],Banco[IdAgente],A46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46" s="85">
        <f>SUMIFS(Banco[valor],Banco[IdAgente],A46,Banco[id_natureza_dado],2,Banco[id_detalhe_natureza],1,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46" s="85">
        <f>SUMIFS(Banco[valor],Banco[IdAgente],A46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46" s="85">
        <f>SUMIFS(Banco[valor],Banco[IdAgente],A46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46" s="85">
        <f>SUMIFS(Banco[valor],Banco[IdAgente],A46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46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46" s="92">
        <f>SUMIFS(Banco[valor],Banco[IdAgente],A46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46" s="92">
        <f>SUMIFS(Banco[valor],Banco[IdAgente],A46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46" s="190">
        <f>SUMIFS(Banco[valor],Banco[IdAgente],A46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46" s="157">
        <f t="shared" si="1"/>
        <v>0</v>
      </c>
      <c r="V46" s="3" t="str">
        <f t="shared" si="18"/>
        <v>Certhil</v>
      </c>
      <c r="W46" s="92">
        <f>SUMIFS(Banco[valor],Banco[IdAgente],A46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46" s="92">
        <f>SUMIFS(Banco[valor],Banco[IdAgente],A46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46" s="85">
        <f>SUMIFS(Banco[valor],Banco[IdAgente],A46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46" s="92">
        <f>SUMIFS(Banco[valor],Banco[IdAgente],A46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46" s="86">
        <f t="shared" si="21"/>
        <v>0</v>
      </c>
      <c r="AC46" s="158"/>
      <c r="AD46" s="3" t="s">
        <v>219</v>
      </c>
      <c r="AE46" s="92">
        <f>SUMIFS(Banco[valor],Banco[IdAgente],A46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46" s="138" t="e">
        <f t="shared" si="12"/>
        <v>#DIV/0!</v>
      </c>
      <c r="AG46" s="92">
        <f>SUMIFS(Banco[valor],Banco[IdAgente],A46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46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46" s="92">
        <f>SUMIFS(Banco[valor],Banco[IdAgente],A46,Banco[id_natureza_dado],1,Banco[id_detalhe_natureza],1,Banco[idDet1],51,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46" s="92">
        <f>SUMIFS(Banco[valor],Banco[IdAgente],A46,Banco[id_natureza_dado],1,Banco[id_detalhe_natureza],1,Banco[idDet1],51,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46" s="86">
        <f t="shared" si="14"/>
        <v>0</v>
      </c>
      <c r="AL46" s="158"/>
      <c r="AM46" s="122" t="s">
        <v>219</v>
      </c>
      <c r="AN46" s="330">
        <f>SUMIFS(Banco[valor],Banco[IdAgente],A46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46" s="330">
        <f>SUMIFS(Banco[valor],Banco[IdAgente],A46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46" s="330">
        <f>SUMIFS(Banco[valor],Banco[IdAgente],A46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46" s="331">
        <f>SUMIFS(Banco[valor],Banco[IdAgente],A46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46" s="331">
        <f>SUMIFS(Banco[valor],Banco[IdAgente],A46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46" s="331">
        <f>SUMIFS(Banco[valor],Banco[IdAgente],A46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46" s="332">
        <f>SUMIFS(Banco[valor],Banco[IdAgente],A46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46" s="331">
        <f>SUMIFS(Banco[valor],Banco[IdAgente],A46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46" s="333">
        <f t="shared" si="19"/>
        <v>0</v>
      </c>
      <c r="AW46" s="329"/>
      <c r="AX46" s="157">
        <f t="shared" si="15"/>
        <v>0</v>
      </c>
      <c r="BC46" s="3" t="s">
        <v>219</v>
      </c>
      <c r="BD46" s="137">
        <f t="shared" si="8"/>
        <v>0</v>
      </c>
      <c r="BE46" s="137">
        <f t="shared" si="9"/>
        <v>0</v>
      </c>
      <c r="BF46" s="137">
        <f>SUMIFS(Banco[valor],Banco[IdAgente],BA46,Banco[idDet1],50,Banco[idDet2],53,Banco[id_subgrupo],99,Banco[id_posto],9,Banco[id_unidade],2)</f>
        <v>0</v>
      </c>
      <c r="BG46" s="137">
        <f>SUMIFS(Banco[valor],Banco[IdAgente],BA46,Banco[idDet1],50,Banco[idDet2],53,Banco[id_subgrupo],99,Banco[id_posto],9,Banco[id_unidade],2)</f>
        <v>0</v>
      </c>
      <c r="BH46" s="257">
        <f>erro[[#This Row],[Despesa (R$)]]</f>
        <v>0</v>
      </c>
      <c r="BI46" s="257">
        <f>'Parcela B'!J47</f>
        <v>0</v>
      </c>
      <c r="BJ46" s="259">
        <f t="shared" si="10"/>
        <v>0</v>
      </c>
      <c r="BK46" s="32">
        <f>SUM(Apoio_Efeito!V45:BI45)</f>
        <v>0</v>
      </c>
      <c r="BL46" s="16">
        <f t="shared" si="11"/>
        <v>0</v>
      </c>
      <c r="BM46" s="323">
        <v>23097149.597509999</v>
      </c>
      <c r="BN46" s="32">
        <f t="shared" si="16"/>
        <v>0</v>
      </c>
      <c r="BP46" s="355" t="s">
        <v>219</v>
      </c>
      <c r="BQ46" s="353">
        <f>SUMIFS(Banco[valor],Banco[IdAgente],A46,Banco[idDet1],50,Banco[id_subgrupo],99,Banco[id_posto],9,Banco[id_unidade],2)</f>
        <v>0</v>
      </c>
      <c r="BR46" s="353">
        <f>SUMIFS(Banco[valor],Banco[IdAgente],A46,Banco[idDet1],50,Banco[idDet2],52,Banco[idDet3],11,Banco[id_subgrupo],99,Banco[id_posto],9,Banco[id_unidade],2)</f>
        <v>0</v>
      </c>
      <c r="BS46" s="353">
        <f>SUMIFS(Banco[valor],Banco[IdAgente],A46,Banco[idDet1],50,Banco[idDet2],53,Banco[id_subgrupo],99,Banco[id_posto],9,Banco[id_unidade],2)</f>
        <v>0</v>
      </c>
      <c r="BT46" s="353">
        <f t="shared" si="20"/>
        <v>0</v>
      </c>
      <c r="BU46" s="354">
        <f>SUMIFS(Banco[valor],Banco[IdAgente],A46,Banco[id_natureza_dado],4,Banco[id_detalhe_natureza],1,Banco[idDet1],52,Banco[idDet2],106,Banco[id_subgrupo],99,Banco[id_posto],9,Banco[id_unidade],3)</f>
        <v>0</v>
      </c>
      <c r="BV46" s="356">
        <f>SUMIFS(Banco[valor],Banco[IdAgente],A46,Banco[idDet1],205,Banco[idDet2],350,Banco[idDet3],201,Banco[id_subgrupo],99,Banco[id_posto],9,Banco[id_unidade],99)</f>
        <v>0</v>
      </c>
    </row>
    <row r="47" spans="1:74" hidden="1">
      <c r="A47" s="255">
        <v>11825</v>
      </c>
      <c r="B47" t="str">
        <f>IFERROR(VLOOKUP(A47,CAPA!$C$12:$C$32,1,FALSE),"NO SELECT")</f>
        <v>NO SELECT</v>
      </c>
      <c r="C47" s="3" t="s">
        <v>221</v>
      </c>
      <c r="D47" s="137">
        <f>SUMIFS(Banco[valor],Banco[IdAgente],A47,Banco[idDet1],50,Banco[id_subgrupo],99,Banco[id_posto],9,Banco[id_unidade],2)</f>
        <v>0</v>
      </c>
      <c r="E47" s="137">
        <f>SUMIFS(Banco[valor],Banco[IdAgente],A47,Banco[idDet1],50,Banco[idDet2],51,Banco[id_subgrupo],99,Banco[id_posto],9,Banco[id_unidade],2)</f>
        <v>0</v>
      </c>
      <c r="F47" s="137">
        <f>SUMIFS(Banco[valor],Banco[IdAgente],A47,Banco[idDet1],50,Banco[idDet2],53,Banco[id_subgrupo],99,Banco[id_posto],9,Banco[id_unidade],2)</f>
        <v>0</v>
      </c>
      <c r="G47" s="137">
        <f>SUMIFS(Banco[valor],Banco[IdAgente],A47,Banco[idDet1],50,Banco[idDet2],53,Banco[id_subgrupo],99,Banco[id_posto],9,Banco[id_unidade],2)</f>
        <v>0</v>
      </c>
      <c r="H47" s="137">
        <f t="shared" si="6"/>
        <v>0</v>
      </c>
      <c r="I47" s="93">
        <f>SUMIFS(Banco[valor],Banco[IdAgente],A47,Banco[id_natureza_dado],4,Banco[id_detalhe_natureza],1,Banco[idDet1],52,Banco[idDet2],106,Banco[id_subgrupo],99,Banco[id_posto],9,Banco[id_unidade],3)</f>
        <v>0</v>
      </c>
      <c r="J47" s="16"/>
      <c r="K47" s="3" t="str">
        <f t="shared" si="17"/>
        <v>Castro Dis</v>
      </c>
      <c r="L47" s="92">
        <f>SUMIFS(Banco[valor],Banco[IdAgente],A47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47" s="92">
        <f>SUMIFS(Banco[valor],Banco[IdAgente],A47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47" s="85">
        <f>SUMIFS(Banco[valor],Banco[IdAgente],A47,Banco[id_natureza_dado],2,Banco[id_detalhe_natureza],1,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47" s="85">
        <f>SUMIFS(Banco[valor],Banco[IdAgente],A47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47" s="85">
        <f>SUMIFS(Banco[valor],Banco[IdAgente],A47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47" s="85">
        <f>SUMIFS(Banco[valor],Banco[IdAgente],A47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47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47" s="92">
        <f>SUMIFS(Banco[valor],Banco[IdAgente],A47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47" s="92">
        <f>SUMIFS(Banco[valor],Banco[IdAgente],A47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47" s="190">
        <f>SUMIFS(Banco[valor],Banco[IdAgente],A47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47" s="157">
        <f t="shared" si="1"/>
        <v>0</v>
      </c>
      <c r="V47" s="3" t="str">
        <f t="shared" si="18"/>
        <v>Castro Dis</v>
      </c>
      <c r="W47" s="92">
        <f>SUMIFS(Banco[valor],Banco[IdAgente],A47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47" s="92">
        <f>SUMIFS(Banco[valor],Banco[IdAgente],A47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47" s="85">
        <f>SUMIFS(Banco[valor],Banco[IdAgente],A47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47" s="92">
        <f>SUMIFS(Banco[valor],Banco[IdAgente],A47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47" s="86">
        <f t="shared" si="21"/>
        <v>0</v>
      </c>
      <c r="AC47" s="158"/>
      <c r="AD47" s="3" t="s">
        <v>221</v>
      </c>
      <c r="AE47" s="92">
        <f>SUMIFS(Banco[valor],Banco[IdAgente],A47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47" s="138" t="e">
        <f t="shared" si="12"/>
        <v>#DIV/0!</v>
      </c>
      <c r="AG47" s="92">
        <f>SUMIFS(Banco[valor],Banco[IdAgente],A47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47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47" s="92">
        <f>SUMIFS(Banco[valor],Banco[IdAgente],A47,Banco[id_natureza_dado],1,Banco[id_detalhe_natureza],1,Banco[idDet1],51,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47" s="92">
        <f>SUMIFS(Banco[valor],Banco[IdAgente],A47,Banco[id_natureza_dado],1,Banco[id_detalhe_natureza],1,Banco[idDet1],51,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47" s="86">
        <f t="shared" si="14"/>
        <v>0</v>
      </c>
      <c r="AL47" s="158"/>
      <c r="AM47" s="122" t="s">
        <v>221</v>
      </c>
      <c r="AN47" s="330">
        <f>SUMIFS(Banco[valor],Banco[IdAgente],A47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47" s="330">
        <f>SUMIFS(Banco[valor],Banco[IdAgente],A47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47" s="330">
        <f>SUMIFS(Banco[valor],Banco[IdAgente],A47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47" s="331">
        <f>SUMIFS(Banco[valor],Banco[IdAgente],A47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47" s="331">
        <f>SUMIFS(Banco[valor],Banco[IdAgente],A47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47" s="331">
        <f>SUMIFS(Banco[valor],Banco[IdAgente],A47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47" s="332">
        <f>SUMIFS(Banco[valor],Banco[IdAgente],A47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47" s="331">
        <f>SUMIFS(Banco[valor],Banco[IdAgente],A47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47" s="333">
        <f t="shared" si="19"/>
        <v>0</v>
      </c>
      <c r="AW47" s="329"/>
      <c r="AX47" s="157">
        <f t="shared" si="15"/>
        <v>0</v>
      </c>
      <c r="BC47" s="3" t="s">
        <v>221</v>
      </c>
      <c r="BD47" s="137">
        <f t="shared" si="8"/>
        <v>0</v>
      </c>
      <c r="BE47" s="137">
        <f t="shared" si="9"/>
        <v>0</v>
      </c>
      <c r="BF47" s="137">
        <f>SUMIFS(Banco[valor],Banco[IdAgente],BA47,Banco[idDet1],50,Banco[idDet2],53,Banco[id_subgrupo],99,Banco[id_posto],9,Banco[id_unidade],2)</f>
        <v>0</v>
      </c>
      <c r="BG47" s="137">
        <f>SUMIFS(Banco[valor],Banco[IdAgente],BA47,Banco[idDet1],50,Banco[idDet2],53,Banco[id_subgrupo],99,Banco[id_posto],9,Banco[id_unidade],2)</f>
        <v>0</v>
      </c>
      <c r="BH47" s="257">
        <f>erro[[#This Row],[Despesa (R$)]]</f>
        <v>0</v>
      </c>
      <c r="BI47" s="257">
        <f>'Parcela B'!J48</f>
        <v>0</v>
      </c>
      <c r="BJ47" s="259">
        <f t="shared" si="10"/>
        <v>0</v>
      </c>
      <c r="BK47" s="32">
        <f>SUM(Apoio_Efeito!V46:BI46)</f>
        <v>0</v>
      </c>
      <c r="BL47" s="16">
        <f t="shared" si="11"/>
        <v>0</v>
      </c>
      <c r="BM47" s="32"/>
      <c r="BN47" s="32">
        <f t="shared" si="16"/>
        <v>0</v>
      </c>
      <c r="BP47" s="355" t="s">
        <v>221</v>
      </c>
      <c r="BQ47" s="353">
        <f>SUMIFS(Banco[valor],Banco[IdAgente],A47,Banco[idDet1],50,Banco[id_subgrupo],99,Banco[id_posto],9,Banco[id_unidade],2)</f>
        <v>0</v>
      </c>
      <c r="BR47" s="353">
        <f>SUMIFS(Banco[valor],Banco[IdAgente],A47,Banco[idDet1],50,Banco[idDet2],52,Banco[idDet3],11,Banco[id_subgrupo],99,Banco[id_posto],9,Banco[id_unidade],2)</f>
        <v>0</v>
      </c>
      <c r="BS47" s="353">
        <f>SUMIFS(Banco[valor],Banco[IdAgente],A47,Banco[idDet1],50,Banco[idDet2],53,Banco[id_subgrupo],99,Banco[id_posto],9,Banco[id_unidade],2)</f>
        <v>0</v>
      </c>
      <c r="BT47" s="353">
        <f t="shared" si="20"/>
        <v>0</v>
      </c>
      <c r="BU47" s="354">
        <f>SUMIFS(Banco[valor],Banco[IdAgente],A47,Banco[id_natureza_dado],4,Banco[id_detalhe_natureza],1,Banco[idDet1],52,Banco[idDet2],106,Banco[id_subgrupo],99,Banco[id_posto],9,Banco[id_unidade],3)</f>
        <v>0</v>
      </c>
      <c r="BV47" s="356">
        <f>SUMIFS(Banco[valor],Banco[IdAgente],A47,Banco[idDet1],205,Banco[idDet2],350,Banco[idDet3],201,Banco[id_subgrupo],99,Banco[id_posto],9,Banco[id_unidade],99)</f>
        <v>0</v>
      </c>
    </row>
    <row r="48" spans="1:74" hidden="1">
      <c r="A48" s="255">
        <v>5375</v>
      </c>
      <c r="B48" t="str">
        <f>IFERROR(VLOOKUP(A48,CAPA!$C$12:$C$32,1,FALSE),"NO SELECT")</f>
        <v>NO SELECT</v>
      </c>
      <c r="C48" s="3" t="s">
        <v>223</v>
      </c>
      <c r="D48" s="137">
        <f>SUMIFS(Banco[valor],Banco[IdAgente],A48,Banco[idDet1],50,Banco[id_subgrupo],99,Banco[id_posto],9,Banco[id_unidade],2)</f>
        <v>0</v>
      </c>
      <c r="E48" s="137">
        <f>SUMIFS(Banco[valor],Banco[IdAgente],A48,Banco[idDet1],50,Banco[idDet2],51,Banco[id_subgrupo],99,Banco[id_posto],9,Banco[id_unidade],2)</f>
        <v>0</v>
      </c>
      <c r="F48" s="137">
        <f>SUMIFS(Banco[valor],Banco[IdAgente],A48,Banco[idDet1],50,Banco[idDet2],53,Banco[id_subgrupo],99,Banco[id_posto],9,Banco[id_unidade],2)</f>
        <v>0</v>
      </c>
      <c r="G48" s="137">
        <f>SUMIFS(Banco[valor],Banco[IdAgente],A48,Banco[idDet1],50,Banco[idDet2],53,Banco[id_subgrupo],99,Banco[id_posto],9,Banco[id_unidade],2)</f>
        <v>0</v>
      </c>
      <c r="H48" s="137">
        <f t="shared" si="6"/>
        <v>0</v>
      </c>
      <c r="I48" s="93">
        <f>SUMIFS(Banco[valor],Banco[IdAgente],A48,Banco[id_natureza_dado],4,Banco[id_detalhe_natureza],1,Banco[idDet1],52,Banco[idDet2],106,Banco[id_subgrupo],99,Banco[id_posto],9,Banco[id_unidade],3)</f>
        <v>0</v>
      </c>
      <c r="J48" s="16"/>
      <c r="K48" s="3" t="str">
        <f t="shared" si="17"/>
        <v>Cervam</v>
      </c>
      <c r="L48" s="92">
        <f>SUMIFS(Banco[valor],Banco[IdAgente],A48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48" s="92">
        <f>SUMIFS(Banco[valor],Banco[IdAgente],A48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48" s="85">
        <f>SUMIFS(Banco[valor],Banco[IdAgente],A48,Banco[id_natureza_dado],2,Banco[id_detalhe_natureza],1,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48" s="85">
        <f>SUMIFS(Banco[valor],Banco[IdAgente],A48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48" s="85">
        <f>SUMIFS(Banco[valor],Banco[IdAgente],A48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48" s="85">
        <f>SUMIFS(Banco[valor],Banco[IdAgente],A48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48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48" s="92">
        <f>SUMIFS(Banco[valor],Banco[IdAgente],A48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48" s="92">
        <f>SUMIFS(Banco[valor],Banco[IdAgente],A48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48" s="190">
        <f>SUMIFS(Banco[valor],Banco[IdAgente],A48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48" s="157">
        <f t="shared" si="1"/>
        <v>0</v>
      </c>
      <c r="V48" s="3" t="str">
        <f t="shared" si="18"/>
        <v>Cervam</v>
      </c>
      <c r="W48" s="92">
        <f>SUMIFS(Banco[valor],Banco[IdAgente],A48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48" s="92">
        <f>SUMIFS(Banco[valor],Banco[IdAgente],A48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48" s="85">
        <f>SUMIFS(Banco[valor],Banco[IdAgente],A48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48" s="92">
        <f>SUMIFS(Banco[valor],Banco[IdAgente],A48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48" s="86">
        <f t="shared" si="21"/>
        <v>0</v>
      </c>
      <c r="AC48" s="158"/>
      <c r="AD48" s="3" t="s">
        <v>223</v>
      </c>
      <c r="AE48" s="92">
        <f>SUMIFS(Banco[valor],Banco[IdAgente],A48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48" s="138" t="e">
        <f t="shared" si="12"/>
        <v>#DIV/0!</v>
      </c>
      <c r="AG48" s="92">
        <f>SUMIFS(Banco[valor],Banco[IdAgente],A48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48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48" s="92">
        <f>SUMIFS(Banco[valor],Banco[IdAgente],A48,Banco[id_natureza_dado],1,Banco[id_detalhe_natureza],1,Banco[idDet1],51,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48" s="92">
        <f>SUMIFS(Banco[valor],Banco[IdAgente],A48,Banco[id_natureza_dado],1,Banco[id_detalhe_natureza],1,Banco[idDet1],51,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48" s="86">
        <f t="shared" si="14"/>
        <v>0</v>
      </c>
      <c r="AL48" s="158"/>
      <c r="AM48" s="122" t="s">
        <v>223</v>
      </c>
      <c r="AN48" s="330">
        <f>SUMIFS(Banco[valor],Banco[IdAgente],A48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48" s="330">
        <f>SUMIFS(Banco[valor],Banco[IdAgente],A48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48" s="330">
        <f>SUMIFS(Banco[valor],Banco[IdAgente],A48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48" s="331">
        <f>SUMIFS(Banco[valor],Banco[IdAgente],A48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48" s="331">
        <f>SUMIFS(Banco[valor],Banco[IdAgente],A48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48" s="331">
        <f>SUMIFS(Banco[valor],Banco[IdAgente],A48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48" s="332">
        <f>SUMIFS(Banco[valor],Banco[IdAgente],A48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48" s="331">
        <f>SUMIFS(Banco[valor],Banco[IdAgente],A48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48" s="333">
        <f t="shared" si="19"/>
        <v>0</v>
      </c>
      <c r="AW48" s="329"/>
      <c r="AX48" s="157">
        <f t="shared" si="15"/>
        <v>0</v>
      </c>
      <c r="BC48" s="3" t="s">
        <v>223</v>
      </c>
      <c r="BD48" s="137">
        <f t="shared" si="8"/>
        <v>0</v>
      </c>
      <c r="BE48" s="137">
        <f t="shared" si="9"/>
        <v>0</v>
      </c>
      <c r="BF48" s="137">
        <f>SUMIFS(Banco[valor],Banco[IdAgente],BA48,Banco[idDet1],50,Banco[idDet2],53,Banco[id_subgrupo],99,Banco[id_posto],9,Banco[id_unidade],2)</f>
        <v>0</v>
      </c>
      <c r="BG48" s="137">
        <f>SUMIFS(Banco[valor],Banco[IdAgente],BA48,Banco[idDet1],50,Banco[idDet2],53,Banco[id_subgrupo],99,Banco[id_posto],9,Banco[id_unidade],2)</f>
        <v>0</v>
      </c>
      <c r="BH48" s="257">
        <f>erro[[#This Row],[Despesa (R$)]]</f>
        <v>0</v>
      </c>
      <c r="BI48" s="257">
        <f>'Parcela B'!J49</f>
        <v>0</v>
      </c>
      <c r="BJ48" s="259">
        <f t="shared" si="10"/>
        <v>0</v>
      </c>
      <c r="BK48" s="32">
        <f>SUM(Apoio_Efeito!V47:BI47)</f>
        <v>0</v>
      </c>
      <c r="BL48" s="16">
        <f t="shared" si="11"/>
        <v>0</v>
      </c>
      <c r="BN48" s="32">
        <f t="shared" si="16"/>
        <v>0</v>
      </c>
      <c r="BP48" s="355" t="s">
        <v>223</v>
      </c>
      <c r="BQ48" s="353">
        <f>SUMIFS(Banco[valor],Banco[IdAgente],A48,Banco[idDet1],50,Banco[id_subgrupo],99,Banco[id_posto],9,Banco[id_unidade],2)</f>
        <v>0</v>
      </c>
      <c r="BR48" s="353">
        <f>SUMIFS(Banco[valor],Banco[IdAgente],A48,Banco[idDet1],50,Banco[idDet2],52,Banco[idDet3],11,Banco[id_subgrupo],99,Banco[id_posto],9,Banco[id_unidade],2)</f>
        <v>0</v>
      </c>
      <c r="BS48" s="353">
        <f>SUMIFS(Banco[valor],Banco[IdAgente],A48,Banco[idDet1],50,Banco[idDet2],53,Banco[id_subgrupo],99,Banco[id_posto],9,Banco[id_unidade],2)</f>
        <v>0</v>
      </c>
      <c r="BT48" s="353">
        <f t="shared" si="20"/>
        <v>0</v>
      </c>
      <c r="BU48" s="354">
        <f>SUMIFS(Banco[valor],Banco[IdAgente],A48,Banco[id_natureza_dado],4,Banco[id_detalhe_natureza],1,Banco[idDet1],52,Banco[idDet2],106,Banco[id_subgrupo],99,Banco[id_posto],9,Banco[id_unidade],3)</f>
        <v>0</v>
      </c>
      <c r="BV48" s="356">
        <f>SUMIFS(Banco[valor],Banco[IdAgente],A48,Banco[idDet1],205,Banco[idDet2],350,Banco[idDet3],201,Banco[id_subgrupo],99,Banco[id_posto],9,Banco[id_unidade],99)</f>
        <v>0</v>
      </c>
    </row>
    <row r="49" spans="1:74" hidden="1">
      <c r="A49" s="255">
        <v>5356</v>
      </c>
      <c r="B49" t="str">
        <f>IFERROR(VLOOKUP(A49,CAPA!$C$12:$C$32,1,FALSE),"NO SELECT")</f>
        <v>NO SELECT</v>
      </c>
      <c r="C49" s="3" t="s">
        <v>225</v>
      </c>
      <c r="D49" s="137">
        <f>SUMIFS(Banco[valor],Banco[IdAgente],A49,Banco[idDet1],50,Banco[id_subgrupo],99,Banco[id_posto],9,Banco[id_unidade],2)</f>
        <v>0</v>
      </c>
      <c r="E49" s="137">
        <f>SUMIFS(Banco[valor],Banco[IdAgente],A49,Banco[idDet1],50,Banco[idDet2],51,Banco[id_subgrupo],99,Banco[id_posto],9,Banco[id_unidade],2)</f>
        <v>0</v>
      </c>
      <c r="F49" s="137">
        <f>SUMIFS(Banco[valor],Banco[IdAgente],A49,Banco[idDet1],50,Banco[idDet2],53,Banco[id_subgrupo],99,Banco[id_posto],9,Banco[id_unidade],2)</f>
        <v>0</v>
      </c>
      <c r="G49" s="137">
        <f>SUMIFS(Banco[valor],Banco[IdAgente],A49,Banco[idDet1],50,Banco[idDet2],53,Banco[id_subgrupo],99,Banco[id_posto],9,Banco[id_unidade],2)</f>
        <v>0</v>
      </c>
      <c r="H49" s="137">
        <f t="shared" si="6"/>
        <v>0</v>
      </c>
      <c r="I49" s="93">
        <f>SUMIFS(Banco[valor],Banco[IdAgente],A49,Banco[id_natureza_dado],4,Banco[id_detalhe_natureza],1,Banco[idDet1],52,Banco[idDet2],106,Banco[id_subgrupo],99,Banco[id_posto],9,Banco[id_unidade],3)</f>
        <v>0</v>
      </c>
      <c r="J49" s="16"/>
      <c r="K49" s="3" t="str">
        <f t="shared" si="17"/>
        <v>Cegero</v>
      </c>
      <c r="L49" s="92">
        <f>SUMIFS(Banco[valor],Banco[IdAgente],A49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49" s="92">
        <f>SUMIFS(Banco[valor],Banco[IdAgente],A49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49" s="85">
        <f>SUMIFS(Banco[valor],Banco[IdAgente],A49,Banco[id_natureza_dado],2,Banco[id_detalhe_natureza],1,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49" s="85">
        <f>SUMIFS(Banco[valor],Banco[IdAgente],A49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49" s="85">
        <f>SUMIFS(Banco[valor],Banco[IdAgente],A49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49" s="85">
        <f>SUMIFS(Banco[valor],Banco[IdAgente],A49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49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49" s="92">
        <f>SUMIFS(Banco[valor],Banco[IdAgente],A49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49" s="92">
        <f>SUMIFS(Banco[valor],Banco[IdAgente],A49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49" s="190">
        <f>SUMIFS(Banco[valor],Banco[IdAgente],A49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49" s="157">
        <f t="shared" si="1"/>
        <v>0</v>
      </c>
      <c r="V49" s="3" t="str">
        <f t="shared" si="18"/>
        <v>Cegero</v>
      </c>
      <c r="W49" s="92">
        <f>SUMIFS(Banco[valor],Banco[IdAgente],A49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49" s="92">
        <f>SUMIFS(Banco[valor],Banco[IdAgente],A49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49" s="85">
        <f>SUMIFS(Banco[valor],Banco[IdAgente],A49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49" s="92">
        <f>SUMIFS(Banco[valor],Banco[IdAgente],A49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49" s="86">
        <f>SUM(W49:Z49)</f>
        <v>0</v>
      </c>
      <c r="AC49" s="158"/>
      <c r="AD49" s="3" t="s">
        <v>225</v>
      </c>
      <c r="AE49" s="92">
        <f>SUMIFS(Banco[valor],Banco[IdAgente],A49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49" s="138" t="e">
        <f t="shared" si="12"/>
        <v>#DIV/0!</v>
      </c>
      <c r="AG49" s="92">
        <f>SUMIFS(Banco[valor],Banco[IdAgente],A49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49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49" s="92">
        <f>SUMIFS(Banco[valor],Banco[IdAgente],A49,Banco[id_natureza_dado],1,Banco[id_detalhe_natureza],1,Banco[idDet1],51,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49" s="92">
        <f>SUMIFS(Banco[valor],Banco[IdAgente],A49,Banco[id_natureza_dado],1,Banco[id_detalhe_natureza],1,Banco[idDet1],51,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49" s="86">
        <f t="shared" si="14"/>
        <v>0</v>
      </c>
      <c r="AL49" s="158"/>
      <c r="AM49" s="122" t="s">
        <v>225</v>
      </c>
      <c r="AN49" s="330">
        <f>SUMIFS(Banco[valor],Banco[IdAgente],A49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49" s="330">
        <f>SUMIFS(Banco[valor],Banco[IdAgente],A49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49" s="330">
        <f>SUMIFS(Banco[valor],Banco[IdAgente],A49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49" s="331">
        <f>SUMIFS(Banco[valor],Banco[IdAgente],A49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49" s="331">
        <f>SUMIFS(Banco[valor],Banco[IdAgente],A49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49" s="331">
        <f>SUMIFS(Banco[valor],Banco[IdAgente],A49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49" s="332">
        <f>SUMIFS(Banco[valor],Banco[IdAgente],A49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49" s="331">
        <f>SUMIFS(Banco[valor],Banco[IdAgente],A49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49" s="333">
        <f t="shared" si="19"/>
        <v>0</v>
      </c>
      <c r="AW49" s="329"/>
      <c r="AX49" s="157">
        <f t="shared" si="15"/>
        <v>0</v>
      </c>
      <c r="BC49" s="3" t="s">
        <v>225</v>
      </c>
      <c r="BD49" s="137">
        <f t="shared" si="8"/>
        <v>0</v>
      </c>
      <c r="BE49" s="137">
        <f t="shared" si="9"/>
        <v>0</v>
      </c>
      <c r="BF49" s="137">
        <f>SUMIFS(Banco[valor],Banco[IdAgente],BA49,Banco[idDet1],50,Banco[idDet2],53,Banco[id_subgrupo],99,Banco[id_posto],9,Banco[id_unidade],2)</f>
        <v>0</v>
      </c>
      <c r="BG49" s="137">
        <f>SUMIFS(Banco[valor],Banco[IdAgente],BA49,Banco[idDet1],50,Banco[idDet2],53,Banco[id_subgrupo],99,Banco[id_posto],9,Banco[id_unidade],2)</f>
        <v>0</v>
      </c>
      <c r="BH49" s="257">
        <f>erro[[#This Row],[Despesa (R$)]]</f>
        <v>0</v>
      </c>
      <c r="BI49" s="257">
        <f>'Parcela B'!J50</f>
        <v>0</v>
      </c>
      <c r="BJ49" s="259">
        <f t="shared" si="10"/>
        <v>0</v>
      </c>
      <c r="BK49" s="32">
        <f>SUM(Apoio_Efeito!V48:BI48)</f>
        <v>0</v>
      </c>
      <c r="BL49" s="16">
        <f t="shared" si="11"/>
        <v>0</v>
      </c>
      <c r="BN49" s="32">
        <f t="shared" si="16"/>
        <v>0</v>
      </c>
      <c r="BP49" s="355" t="s">
        <v>225</v>
      </c>
      <c r="BQ49" s="353">
        <f>SUMIFS(Banco[valor],Banco[IdAgente],A49,Banco[idDet1],50,Banco[id_subgrupo],99,Banco[id_posto],9,Banco[id_unidade],2)</f>
        <v>0</v>
      </c>
      <c r="BR49" s="353">
        <f>SUMIFS(Banco[valor],Banco[IdAgente],A49,Banco[idDet1],50,Banco[idDet2],52,Banco[idDet3],11,Banco[id_subgrupo],99,Banco[id_posto],9,Banco[id_unidade],2)</f>
        <v>0</v>
      </c>
      <c r="BS49" s="353">
        <f>SUMIFS(Banco[valor],Banco[IdAgente],A49,Banco[idDet1],50,Banco[idDet2],53,Banco[id_subgrupo],99,Banco[id_posto],9,Banco[id_unidade],2)</f>
        <v>0</v>
      </c>
      <c r="BT49" s="353">
        <f t="shared" si="20"/>
        <v>0</v>
      </c>
      <c r="BU49" s="354">
        <f>SUMIFS(Banco[valor],Banco[IdAgente],A49,Banco[id_natureza_dado],4,Banco[id_detalhe_natureza],1,Banco[idDet1],52,Banco[idDet2],106,Banco[id_subgrupo],99,Banco[id_posto],9,Banco[id_unidade],3)</f>
        <v>0</v>
      </c>
      <c r="BV49" s="356">
        <f>SUMIFS(Banco[valor],Banco[IdAgente],A49,Banco[idDet1],205,Banco[idDet2],350,Banco[idDet3],201,Banco[id_subgrupo],99,Banco[id_posto],9,Banco[id_unidade],99)</f>
        <v>0</v>
      </c>
    </row>
    <row r="50" spans="1:74" hidden="1">
      <c r="A50" s="255">
        <v>7883</v>
      </c>
      <c r="B50" t="str">
        <f>IFERROR(VLOOKUP(A50,CAPA!$C$12:$C$32,1,FALSE),"NO SELECT")</f>
        <v>NO SELECT</v>
      </c>
      <c r="C50" s="3" t="s">
        <v>227</v>
      </c>
      <c r="D50" s="137">
        <f>SUMIFS(Banco[valor],Banco[IdAgente],A50,Banco[idDet1],50,Banco[id_subgrupo],99,Banco[id_posto],9,Banco[id_unidade],2)</f>
        <v>0</v>
      </c>
      <c r="E50" s="137">
        <f>SUMIFS(Banco[valor],Banco[IdAgente],A50,Banco[idDet1],50,Banco[idDet2],51,Banco[id_subgrupo],99,Banco[id_posto],9,Banco[id_unidade],2)</f>
        <v>0</v>
      </c>
      <c r="F50" s="137">
        <f>SUMIFS(Banco[valor],Banco[IdAgente],A50,Banco[idDet1],50,Banco[idDet2],53,Banco[id_subgrupo],99,Banco[id_posto],9,Banco[id_unidade],2)</f>
        <v>0</v>
      </c>
      <c r="G50" s="137">
        <f>SUMIFS(Banco[valor],Banco[IdAgente],A50,Banco[idDet1],50,Banco[idDet2],53,Banco[id_subgrupo],99,Banco[id_posto],9,Banco[id_unidade],2)</f>
        <v>0</v>
      </c>
      <c r="H50" s="137">
        <f t="shared" si="6"/>
        <v>0</v>
      </c>
      <c r="I50" s="93">
        <f>SUMIFS(Banco[valor],Banco[IdAgente],A50,Banco[id_natureza_dado],4,Banco[id_detalhe_natureza],1,Banco[idDet1],52,Banco[idDet2],106,Banco[id_subgrupo],99,Banco[id_posto],9,Banco[id_unidade],3)</f>
        <v>0</v>
      </c>
      <c r="J50" s="16"/>
      <c r="K50" s="3" t="str">
        <f t="shared" si="17"/>
        <v>Cersad</v>
      </c>
      <c r="L50" s="92">
        <f>SUMIFS(Banco[valor],Banco[IdAgente],A50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50" s="92">
        <f>SUMIFS(Banco[valor],Banco[IdAgente],A50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50" s="85">
        <f>SUMIFS(Banco[valor],Banco[IdAgente],A50,Banco[id_natureza_dado],2,Banco[id_detalhe_natureza],1,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50" s="85">
        <f>SUMIFS(Banco[valor],Banco[IdAgente],A50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50" s="85">
        <f>SUMIFS(Banco[valor],Banco[IdAgente],A50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50" s="85">
        <f>SUMIFS(Banco[valor],Banco[IdAgente],A50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50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50" s="92">
        <f>SUMIFS(Banco[valor],Banco[IdAgente],A50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50" s="92">
        <f>SUMIFS(Banco[valor],Banco[IdAgente],A50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50" s="190">
        <f>SUMIFS(Banco[valor],Banco[IdAgente],A50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50" s="157">
        <f t="shared" si="1"/>
        <v>0</v>
      </c>
      <c r="V50" s="3" t="str">
        <f t="shared" si="18"/>
        <v>Cersad</v>
      </c>
      <c r="W50" s="92">
        <f>SUMIFS(Banco[valor],Banco[IdAgente],A50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50" s="92">
        <f>SUMIFS(Banco[valor],Banco[IdAgente],A50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50" s="85">
        <f>SUMIFS(Banco[valor],Banco[IdAgente],A50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50" s="92">
        <f>SUMIFS(Banco[valor],Banco[IdAgente],A50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50" s="86">
        <f t="shared" si="21"/>
        <v>0</v>
      </c>
      <c r="AC50" s="158"/>
      <c r="AD50" s="3" t="s">
        <v>227</v>
      </c>
      <c r="AE50" s="92">
        <f>SUMIFS(Banco[valor],Banco[IdAgente],A50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50" s="138" t="e">
        <f t="shared" si="12"/>
        <v>#DIV/0!</v>
      </c>
      <c r="AG50" s="92">
        <f>SUMIFS(Banco[valor],Banco[IdAgente],A50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50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50" s="92">
        <f>SUMIFS(Banco[valor],Banco[IdAgente],A50,Banco[id_natureza_dado],1,Banco[id_detalhe_natureza],1,Banco[idDet1],51,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50" s="92">
        <f>SUMIFS(Banco[valor],Banco[IdAgente],A50,Banco[id_natureza_dado],1,Banco[id_detalhe_natureza],1,Banco[idDet1],51,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50" s="86">
        <f t="shared" si="14"/>
        <v>0</v>
      </c>
      <c r="AL50" s="158"/>
      <c r="AM50" s="122" t="s">
        <v>227</v>
      </c>
      <c r="AN50" s="330">
        <f>SUMIFS(Banco[valor],Banco[IdAgente],A50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50" s="330">
        <f>SUMIFS(Banco[valor],Banco[IdAgente],A50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50" s="330">
        <f>SUMIFS(Banco[valor],Banco[IdAgente],A50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50" s="331">
        <f>SUMIFS(Banco[valor],Banco[IdAgente],A50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50" s="331">
        <f>SUMIFS(Banco[valor],Banco[IdAgente],A50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50" s="331">
        <f>SUMIFS(Banco[valor],Banco[IdAgente],A50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50" s="332">
        <f>SUMIFS(Banco[valor],Banco[IdAgente],A50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50" s="331">
        <f>SUMIFS(Banco[valor],Banco[IdAgente],A50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50" s="333">
        <f t="shared" si="19"/>
        <v>0</v>
      </c>
      <c r="AW50" s="329"/>
      <c r="AX50" s="157">
        <f t="shared" si="15"/>
        <v>0</v>
      </c>
      <c r="BC50" s="3" t="s">
        <v>227</v>
      </c>
      <c r="BD50" s="137">
        <f t="shared" si="8"/>
        <v>0</v>
      </c>
      <c r="BE50" s="137">
        <f t="shared" si="9"/>
        <v>0</v>
      </c>
      <c r="BF50" s="137">
        <f>SUMIFS(Banco[valor],Banco[IdAgente],BA50,Banco[idDet1],50,Banco[idDet2],53,Banco[id_subgrupo],99,Banco[id_posto],9,Banco[id_unidade],2)</f>
        <v>0</v>
      </c>
      <c r="BG50" s="137">
        <f>SUMIFS(Banco[valor],Banco[IdAgente],BA50,Banco[idDet1],50,Banco[idDet2],53,Banco[id_subgrupo],99,Banco[id_posto],9,Banco[id_unidade],2)</f>
        <v>0</v>
      </c>
      <c r="BH50" s="257">
        <f>erro[[#This Row],[Despesa (R$)]]</f>
        <v>0</v>
      </c>
      <c r="BI50" s="257">
        <f>'Parcela B'!J51</f>
        <v>0</v>
      </c>
      <c r="BJ50" s="259">
        <f t="shared" si="10"/>
        <v>0</v>
      </c>
      <c r="BK50" s="32">
        <f>SUM(Apoio_Efeito!V49:BI49)</f>
        <v>0</v>
      </c>
      <c r="BL50" s="16">
        <f t="shared" si="11"/>
        <v>0</v>
      </c>
      <c r="BN50" s="32">
        <f t="shared" si="16"/>
        <v>0</v>
      </c>
      <c r="BP50" s="355" t="s">
        <v>227</v>
      </c>
      <c r="BQ50" s="353">
        <f>SUMIFS(Banco[valor],Banco[IdAgente],A50,Banco[idDet1],50,Banco[id_subgrupo],99,Banco[id_posto],9,Banco[id_unidade],2)</f>
        <v>0</v>
      </c>
      <c r="BR50" s="353">
        <f>SUMIFS(Banco[valor],Banco[IdAgente],A50,Banco[idDet1],50,Banco[idDet2],52,Banco[idDet3],11,Banco[id_subgrupo],99,Banco[id_posto],9,Banco[id_unidade],2)</f>
        <v>0</v>
      </c>
      <c r="BS50" s="353">
        <f>SUMIFS(Banco[valor],Banco[IdAgente],A50,Banco[idDet1],50,Banco[idDet2],53,Banco[id_subgrupo],99,Banco[id_posto],9,Banco[id_unidade],2)</f>
        <v>0</v>
      </c>
      <c r="BT50" s="353">
        <f t="shared" si="20"/>
        <v>0</v>
      </c>
      <c r="BU50" s="354">
        <f>SUMIFS(Banco[valor],Banco[IdAgente],A50,Banco[id_natureza_dado],4,Banco[id_detalhe_natureza],1,Banco[idDet1],52,Banco[idDet2],106,Banco[id_subgrupo],99,Banco[id_posto],9,Banco[id_unidade],3)</f>
        <v>0</v>
      </c>
      <c r="BV50" s="356">
        <f>SUMIFS(Banco[valor],Banco[IdAgente],A50,Banco[idDet1],205,Banco[idDet2],350,Banco[idDet3],201,Banco[id_subgrupo],99,Banco[id_posto],9,Banco[id_unidade],99)</f>
        <v>0</v>
      </c>
    </row>
    <row r="51" spans="1:74" hidden="1">
      <c r="A51" s="255">
        <v>11763</v>
      </c>
      <c r="B51" t="str">
        <f>IFERROR(VLOOKUP(A51,CAPA!$C$12:$C$32,1,FALSE),"NO SELECT")</f>
        <v>NO SELECT</v>
      </c>
      <c r="C51" s="3" t="s">
        <v>229</v>
      </c>
      <c r="D51" s="137">
        <f>SUMIFS(Banco[valor],Banco[IdAgente],A51,Banco[idDet1],50,Banco[id_subgrupo],99,Banco[id_posto],9,Banco[id_unidade],2)</f>
        <v>0</v>
      </c>
      <c r="E51" s="137">
        <f>SUMIFS(Banco[valor],Banco[IdAgente],A51,Banco[idDet1],50,Banco[idDet2],51,Banco[id_subgrupo],99,Banco[id_posto],9,Banco[id_unidade],2)</f>
        <v>0</v>
      </c>
      <c r="F51" s="137">
        <f>SUMIFS(Banco[valor],Banco[IdAgente],A51,Banco[idDet1],50,Banco[idDet2],53,Banco[id_subgrupo],99,Banco[id_posto],9,Banco[id_unidade],2)</f>
        <v>0</v>
      </c>
      <c r="G51" s="137">
        <f>SUMIFS(Banco[valor],Banco[IdAgente],A51,Banco[idDet1],50,Banco[idDet2],53,Banco[id_subgrupo],99,Banco[id_posto],9,Banco[id_unidade],2)</f>
        <v>0</v>
      </c>
      <c r="H51" s="137">
        <f t="shared" si="6"/>
        <v>0</v>
      </c>
      <c r="I51" s="93">
        <f>SUMIFS(Banco[valor],Banco[IdAgente],A51,Banco[id_natureza_dado],4,Banco[id_detalhe_natureza],1,Banco[idDet1],52,Banco[idDet2],106,Banco[id_subgrupo],99,Banco[id_posto],9,Banco[id_unidade],3)</f>
        <v>0</v>
      </c>
      <c r="J51" s="16"/>
      <c r="K51" s="3" t="str">
        <f t="shared" si="17"/>
        <v>Codesam</v>
      </c>
      <c r="L51" s="92">
        <f>SUMIFS(Banco[valor],Banco[IdAgente],A51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51" s="92">
        <f>SUMIFS(Banco[valor],Banco[IdAgente],A51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51" s="85">
        <f>SUMIFS(Banco[valor],Banco[IdAgente],A51,Banco[id_natureza_dado],2,Banco[id_detalhe_natureza],1,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51" s="85">
        <f>SUMIFS(Banco[valor],Banco[IdAgente],A51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51" s="85">
        <f>SUMIFS(Banco[valor],Banco[IdAgente],A51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51" s="85">
        <f>SUMIFS(Banco[valor],Banco[IdAgente],A51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51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51" s="92">
        <f>SUMIFS(Banco[valor],Banco[IdAgente],A51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51" s="92">
        <f>SUMIFS(Banco[valor],Banco[IdAgente],A51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51" s="190">
        <f>SUMIFS(Banco[valor],Banco[IdAgente],A51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51" s="157">
        <f t="shared" si="1"/>
        <v>0</v>
      </c>
      <c r="V51" s="3" t="str">
        <f t="shared" si="18"/>
        <v>Codesam</v>
      </c>
      <c r="W51" s="92">
        <f>SUMIFS(Banco[valor],Banco[IdAgente],A51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51" s="92">
        <f>SUMIFS(Banco[valor],Banco[IdAgente],A51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51" s="85">
        <f>SUMIFS(Banco[valor],Banco[IdAgente],A51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51" s="92">
        <f>SUMIFS(Banco[valor],Banco[IdAgente],A51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51" s="86">
        <f t="shared" si="21"/>
        <v>0</v>
      </c>
      <c r="AC51" s="158"/>
      <c r="AD51" s="3" t="s">
        <v>229</v>
      </c>
      <c r="AE51" s="92">
        <f>SUMIFS(Banco[valor],Banco[IdAgente],A51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51" s="138" t="e">
        <f t="shared" si="12"/>
        <v>#DIV/0!</v>
      </c>
      <c r="AG51" s="92">
        <f>SUMIFS(Banco[valor],Banco[IdAgente],A51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51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51" s="92">
        <f>SUMIFS(Banco[valor],Banco[IdAgente],A51,Banco[id_natureza_dado],1,Banco[id_detalhe_natureza],1,Banco[idDet1],51,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51" s="92">
        <f>SUMIFS(Banco[valor],Banco[IdAgente],A51,Banco[id_natureza_dado],1,Banco[id_detalhe_natureza],1,Banco[idDet1],51,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51" s="86">
        <f t="shared" si="14"/>
        <v>0</v>
      </c>
      <c r="AL51" s="158"/>
      <c r="AM51" s="122" t="s">
        <v>229</v>
      </c>
      <c r="AN51" s="330">
        <f>SUMIFS(Banco[valor],Banco[IdAgente],A51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51" s="330">
        <f>SUMIFS(Banco[valor],Banco[IdAgente],A51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51" s="330">
        <f>SUMIFS(Banco[valor],Banco[IdAgente],A51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51" s="331">
        <f>SUMIFS(Banco[valor],Banco[IdAgente],A51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51" s="331">
        <f>SUMIFS(Banco[valor],Banco[IdAgente],A51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51" s="331">
        <f>SUMIFS(Banco[valor],Banco[IdAgente],A51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51" s="332">
        <f>SUMIFS(Banco[valor],Banco[IdAgente],A51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51" s="331">
        <f>SUMIFS(Banco[valor],Banco[IdAgente],A51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51" s="333">
        <f t="shared" si="19"/>
        <v>0</v>
      </c>
      <c r="AW51" s="329"/>
      <c r="AX51" s="157">
        <f t="shared" si="15"/>
        <v>0</v>
      </c>
      <c r="BC51" s="3" t="s">
        <v>229</v>
      </c>
      <c r="BD51" s="137">
        <f t="shared" si="8"/>
        <v>0</v>
      </c>
      <c r="BE51" s="137">
        <f t="shared" si="9"/>
        <v>0</v>
      </c>
      <c r="BF51" s="137">
        <f>SUMIFS(Banco[valor],Banco[IdAgente],BA51,Banco[idDet1],50,Banco[idDet2],53,Banco[id_subgrupo],99,Banco[id_posto],9,Banco[id_unidade],2)</f>
        <v>0</v>
      </c>
      <c r="BG51" s="137">
        <f>SUMIFS(Banco[valor],Banco[IdAgente],BA51,Banco[idDet1],50,Banco[idDet2],53,Banco[id_subgrupo],99,Banco[id_posto],9,Banco[id_unidade],2)</f>
        <v>0</v>
      </c>
      <c r="BH51" s="257">
        <f>erro[[#This Row],[Despesa (R$)]]</f>
        <v>0</v>
      </c>
      <c r="BI51" s="257">
        <f>'Parcela B'!J52</f>
        <v>0</v>
      </c>
      <c r="BJ51" s="259">
        <f t="shared" si="10"/>
        <v>0</v>
      </c>
      <c r="BK51" s="32">
        <f>SUM(Apoio_Efeito!V50:BI50)</f>
        <v>0</v>
      </c>
      <c r="BL51" s="16">
        <f t="shared" si="11"/>
        <v>0</v>
      </c>
      <c r="BN51" s="32">
        <f t="shared" si="16"/>
        <v>0</v>
      </c>
      <c r="BP51" s="355" t="s">
        <v>229</v>
      </c>
      <c r="BQ51" s="353">
        <f>SUMIFS(Banco[valor],Banco[IdAgente],A51,Banco[idDet1],50,Banco[id_subgrupo],99,Banco[id_posto],9,Banco[id_unidade],2)</f>
        <v>0</v>
      </c>
      <c r="BR51" s="353">
        <f>SUMIFS(Banco[valor],Banco[IdAgente],A51,Banco[idDet1],50,Banco[idDet2],52,Banco[idDet3],11,Banco[id_subgrupo],99,Banco[id_posto],9,Banco[id_unidade],2)</f>
        <v>0</v>
      </c>
      <c r="BS51" s="353">
        <f>SUMIFS(Banco[valor],Banco[IdAgente],A51,Banco[idDet1],50,Banco[idDet2],53,Banco[id_subgrupo],99,Banco[id_posto],9,Banco[id_unidade],2)</f>
        <v>0</v>
      </c>
      <c r="BT51" s="353">
        <f t="shared" si="20"/>
        <v>0</v>
      </c>
      <c r="BU51" s="354">
        <f>SUMIFS(Banco[valor],Banco[IdAgente],A51,Banco[id_natureza_dado],4,Banco[id_detalhe_natureza],1,Banco[idDet1],52,Banco[idDet2],106,Banco[id_subgrupo],99,Banco[id_posto],9,Banco[id_unidade],3)</f>
        <v>0</v>
      </c>
      <c r="BV51" s="356">
        <f>SUMIFS(Banco[valor],Banco[IdAgente],A51,Banco[idDet1],205,Banco[idDet2],350,Banco[idDet3],201,Banco[id_subgrupo],99,Banco[id_posto],9,Banco[id_unidade],99)</f>
        <v>0</v>
      </c>
    </row>
    <row r="52" spans="1:74" hidden="1">
      <c r="A52" s="255">
        <v>5374</v>
      </c>
      <c r="B52" t="str">
        <f>IFERROR(VLOOKUP(A52,CAPA!$C$12:$C$32,1,FALSE),"NO SELECT")</f>
        <v>NO SELECT</v>
      </c>
      <c r="C52" s="3" t="s">
        <v>231</v>
      </c>
      <c r="D52" s="137">
        <f>SUMIFS(Banco[valor],Banco[IdAgente],A52,Banco[idDet1],50,Banco[id_subgrupo],99,Banco[id_posto],9,Banco[id_unidade],2)</f>
        <v>0</v>
      </c>
      <c r="E52" s="137">
        <f>SUMIFS(Banco[valor],Banco[IdAgente],A52,Banco[idDet1],50,Banco[idDet2],51,Banco[id_subgrupo],99,Banco[id_posto],9,Banco[id_unidade],2)</f>
        <v>0</v>
      </c>
      <c r="F52" s="137">
        <f>SUMIFS(Banco[valor],Banco[IdAgente],A52,Banco[idDet1],50,Banco[idDet2],53,Banco[id_subgrupo],99,Banco[id_posto],9,Banco[id_unidade],2)</f>
        <v>0</v>
      </c>
      <c r="G52" s="137">
        <f>SUMIFS(Banco[valor],Banco[IdAgente],A52,Banco[idDet1],50,Banco[idDet2],53,Banco[id_subgrupo],99,Banco[id_posto],9,Banco[id_unidade],2)</f>
        <v>0</v>
      </c>
      <c r="H52" s="137">
        <f t="shared" si="6"/>
        <v>0</v>
      </c>
      <c r="I52" s="93">
        <f>SUMIFS(Banco[valor],Banco[IdAgente],A52,Banco[id_natureza_dado],4,Banco[id_detalhe_natureza],1,Banco[idDet1],52,Banco[idDet2],106,Banco[id_subgrupo],99,Banco[id_posto],9,Banco[id_unidade],3)</f>
        <v>0</v>
      </c>
      <c r="J52" s="16"/>
      <c r="K52" s="189" t="str">
        <f t="shared" si="17"/>
        <v>Cooperzem</v>
      </c>
      <c r="L52" s="92">
        <f>SUMIFS(Banco[valor],Banco[IdAgente],A52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52" s="92">
        <f>SUMIFS(Banco[valor],Banco[IdAgente],A52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52" s="85">
        <f>SUMIFS(Banco[valor],Banco[IdAgente],A52,Banco[id_natureza_dado],2,Banco[id_detalhe_natureza],1,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52" s="85">
        <f>SUMIFS(Banco[valor],Banco[IdAgente],A52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52" s="85">
        <f>SUMIFS(Banco[valor],Banco[IdAgente],A52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52" s="85">
        <f>SUMIFS(Banco[valor],Banco[IdAgente],A52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52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52" s="92">
        <f>SUMIFS(Banco[valor],Banco[IdAgente],A52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52" s="92">
        <f>SUMIFS(Banco[valor],Banco[IdAgente],A52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52" s="190">
        <f>SUMIFS(Banco[valor],Banco[IdAgente],A52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52" s="157">
        <f t="shared" si="1"/>
        <v>0</v>
      </c>
      <c r="V52" s="3" t="str">
        <f t="shared" si="18"/>
        <v>Cooperzem</v>
      </c>
      <c r="W52" s="92">
        <f>SUMIFS(Banco[valor],Banco[IdAgente],A52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52" s="92">
        <f>SUMIFS(Banco[valor],Banco[IdAgente],A52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52" s="85">
        <f>SUMIFS(Banco[valor],Banco[IdAgente],A52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52" s="92">
        <f>SUMIFS(Banco[valor],Banco[IdAgente],A52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52" s="86">
        <f t="shared" si="21"/>
        <v>0</v>
      </c>
      <c r="AC52" s="158"/>
      <c r="AD52" s="3" t="s">
        <v>231</v>
      </c>
      <c r="AE52" s="92">
        <f>SUMIFS(Banco[valor],Banco[IdAgente],A52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52" s="138" t="e">
        <f t="shared" si="12"/>
        <v>#DIV/0!</v>
      </c>
      <c r="AG52" s="92">
        <f>SUMIFS(Banco[valor],Banco[IdAgente],A52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52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52" s="92">
        <f>SUMIFS(Banco[valor],Banco[IdAgente],A52,Banco[id_natureza_dado],1,Banco[id_detalhe_natureza],1,Banco[idDet1],51,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52" s="92">
        <f>SUMIFS(Banco[valor],Banco[IdAgente],A52,Banco[id_natureza_dado],1,Banco[id_detalhe_natureza],1,Banco[idDet1],51,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52" s="86">
        <f t="shared" si="14"/>
        <v>0</v>
      </c>
      <c r="AL52" s="158"/>
      <c r="AM52" s="122" t="s">
        <v>231</v>
      </c>
      <c r="AN52" s="330">
        <f>SUMIFS(Banco[valor],Banco[IdAgente],A52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52" s="330">
        <f>SUMIFS(Banco[valor],Banco[IdAgente],A52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52" s="330">
        <f>SUMIFS(Banco[valor],Banco[IdAgente],A52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52" s="331">
        <f>SUMIFS(Banco[valor],Banco[IdAgente],A52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52" s="331">
        <f>SUMIFS(Banco[valor],Banco[IdAgente],A52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52" s="331">
        <f>SUMIFS(Banco[valor],Banco[IdAgente],A52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52" s="332">
        <f>SUMIFS(Banco[valor],Banco[IdAgente],A52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52" s="331">
        <f>SUMIFS(Banco[valor],Banco[IdAgente],A52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52" s="333">
        <f t="shared" si="19"/>
        <v>0</v>
      </c>
      <c r="AW52" s="329"/>
      <c r="AX52" s="157">
        <f t="shared" si="15"/>
        <v>0</v>
      </c>
      <c r="BC52" s="3" t="s">
        <v>231</v>
      </c>
      <c r="BD52" s="137">
        <f t="shared" si="8"/>
        <v>0</v>
      </c>
      <c r="BE52" s="137">
        <f t="shared" si="9"/>
        <v>0</v>
      </c>
      <c r="BF52" s="137">
        <f>SUMIFS(Banco[valor],Banco[IdAgente],BA52,Banco[idDet1],50,Banco[idDet2],53,Banco[id_subgrupo],99,Banco[id_posto],9,Banco[id_unidade],2)</f>
        <v>0</v>
      </c>
      <c r="BG52" s="137">
        <f>SUMIFS(Banco[valor],Banco[IdAgente],BA52,Banco[idDet1],50,Banco[idDet2],53,Banco[id_subgrupo],99,Banco[id_posto],9,Banco[id_unidade],2)</f>
        <v>0</v>
      </c>
      <c r="BH52" s="257">
        <f>erro[[#This Row],[Despesa (R$)]]</f>
        <v>0</v>
      </c>
      <c r="BI52" s="257">
        <f>'Parcela B'!J53</f>
        <v>0</v>
      </c>
      <c r="BJ52" s="259">
        <f t="shared" si="10"/>
        <v>0</v>
      </c>
      <c r="BK52" s="32">
        <f>SUM(Apoio_Efeito!V51:BI51)</f>
        <v>0</v>
      </c>
      <c r="BL52" s="16">
        <f t="shared" si="11"/>
        <v>0</v>
      </c>
      <c r="BN52" s="32">
        <f t="shared" si="16"/>
        <v>0</v>
      </c>
      <c r="BP52" s="355" t="s">
        <v>231</v>
      </c>
      <c r="BQ52" s="353">
        <f>SUMIFS(Banco[valor],Banco[IdAgente],A52,Banco[idDet1],50,Banco[id_subgrupo],99,Banco[id_posto],9,Banco[id_unidade],2)</f>
        <v>0</v>
      </c>
      <c r="BR52" s="353">
        <f>SUMIFS(Banco[valor],Banco[IdAgente],A52,Banco[idDet1],50,Banco[idDet2],52,Banco[idDet3],11,Banco[id_subgrupo],99,Banco[id_posto],9,Banco[id_unidade],2)</f>
        <v>0</v>
      </c>
      <c r="BS52" s="353">
        <f>SUMIFS(Banco[valor],Banco[IdAgente],A52,Banco[idDet1],50,Banco[idDet2],53,Banco[id_subgrupo],99,Banco[id_posto],9,Banco[id_unidade],2)</f>
        <v>0</v>
      </c>
      <c r="BT52" s="353">
        <f t="shared" si="20"/>
        <v>0</v>
      </c>
      <c r="BU52" s="354">
        <f>SUMIFS(Banco[valor],Banco[IdAgente],A52,Banco[id_natureza_dado],4,Banco[id_detalhe_natureza],1,Banco[idDet1],52,Banco[idDet2],106,Banco[id_subgrupo],99,Banco[id_posto],9,Banco[id_unidade],3)</f>
        <v>0</v>
      </c>
      <c r="BV52" s="356">
        <f>SUMIFS(Banco[valor],Banco[IdAgente],A52,Banco[idDet1],205,Banco[idDet2],350,Banco[idDet3],201,Banco[id_subgrupo],99,Banco[id_posto],9,Banco[id_unidade],99)</f>
        <v>0</v>
      </c>
    </row>
    <row r="53" spans="1:74">
      <c r="A53" s="255">
        <v>5346</v>
      </c>
      <c r="B53">
        <f>IFERROR(VLOOKUP(A53,CAPA!$C$12:$C$32,1,FALSE),"NO SELECT")</f>
        <v>5346</v>
      </c>
      <c r="C53" s="3" t="s">
        <v>277</v>
      </c>
      <c r="D53" s="137">
        <f>SUMIFS(Banco[valor],Banco[IdAgente],A53,Banco[idDet1],50,Banco[id_subgrupo],99,Banco[id_posto],9,Banco[id_unidade],2)</f>
        <v>22486.128000000001</v>
      </c>
      <c r="E53" s="137">
        <f>SUMIFS(Banco[valor],Banco[IdAgente],A53,Banco[idDet1],50,Banco[idDet2],51,Banco[id_subgrupo],99,Banco[id_posto],9,Banco[id_unidade],2)</f>
        <v>0</v>
      </c>
      <c r="F53" s="137">
        <f>SUMIFS(Banco[valor],Banco[IdAgente],A53,Banco[idDet1],50,Banco[idDet2],53,Banco[id_subgrupo],99,Banco[id_posto],9,Banco[id_unidade],2)</f>
        <v>0</v>
      </c>
      <c r="G53" s="137">
        <f>SUMIFS(Banco[valor],Banco[IdAgente],A53,Banco[idDet1],50,Banco[idDet2],53,Banco[id_subgrupo],99,Banco[id_posto],9,Banco[id_unidade],2)</f>
        <v>0</v>
      </c>
      <c r="H53" s="137">
        <f t="shared" si="6"/>
        <v>22486.128000000001</v>
      </c>
      <c r="I53" s="93">
        <f>SUMIFS(Banco[valor],Banco[IdAgente],A53,Banco[id_natureza_dado],4,Banco[id_detalhe_natureza],1,Banco[idDet1],52,Banco[idDet2],106,Banco[id_subgrupo],99,Banco[id_posto],9,Banco[id_unidade],3)</f>
        <v>28024180.97092</v>
      </c>
      <c r="J53" s="16"/>
      <c r="K53" s="115" t="str">
        <f t="shared" si="17"/>
        <v>Coopersul</v>
      </c>
      <c r="L53" s="92">
        <f>SUMIFS(Banco[valor],Banco[IdAgente],A53,Banco[id_natureza_dado],2,Banco[id_detalhe_natureza],1,Banco[idDet1],51,Banco[idDet2],999999,Banco[idDet3],999,Banco[id_grupo_tarifa],3,Banco[id_detalhe_grupo_tarifa],14,Banco[id_tipo_tarifa],1,Banco[id_subgrupo],99,Banco[id_posto],9,Banco[id_unidade],3)</f>
        <v>53926.041935449597</v>
      </c>
      <c r="M53" s="92">
        <f>SUMIFS(Banco[valor],Banco[IdAgente],A53,Banco[id_natureza_dado],2,Banco[id_detalhe_natureza],1,Banco[idDet1],51,Banco[idDet2],999999,Banco[idDet3],999,Banco[id_grupo_tarifa],3,Banco[id_detalhe_grupo_tarifa],15,Banco[id_tipo_tarifa],1,Banco[id_subgrupo],99,Banco[id_posto],9,Banco[id_unidade],3)</f>
        <v>1792421.4284699999</v>
      </c>
      <c r="N53" s="85">
        <f>SUMIFS(Banco[valor],Banco[IdAgente],A53,Banco[id_natureza_dado],2,Banco[id_detalhe_natureza],1,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53" s="85">
        <f>SUMIFS(Banco[valor],Banco[IdAgente],A53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53" s="85">
        <f>SUMIFS(Banco[valor],Banco[IdAgente],A53,Banco[id_natureza_dado],2,Banco[id_detalhe_natureza],1,Banco[idDet1],51,Banco[idDet2],999999,Banco[idDet3],999,Banco[id_grupo_tarifa],3,Banco[id_detalhe_grupo_tarifa],29,Banco[id_tipo_tarifa],2,Banco[id_subgrupo],99,Banco[id_posto],9,Banco[id_unidade],3)</f>
        <v>137501.13299000001</v>
      </c>
      <c r="Q53" s="85">
        <f>SUMIFS(Banco[valor],Banco[IdAgente],A53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53,Banco[id_natureza_dado],2,Banco[id_detalhe_natureza],1,Banco[idDet1],51,Banco[idDet2],81,Banco[idDet3],999,Banco[id_grupo_tarifa],3,Banco[id_detalhe_grupo_tarifa],15,Banco[id_tipo_tarifa],1,Banco[id_subgrupo],99,Banco[id_posto],9,Banco[id_unidade],3)</f>
        <v>83293.302226516898</v>
      </c>
      <c r="R53" s="92">
        <f>SUMIFS(Banco[valor],Banco[IdAgente],A53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53" s="92">
        <f>SUMIFS(Banco[valor],Banco[IdAgente],A53,Banco[id_natureza_dado],2,Banco[id_detalhe_natureza],1,Banco[idDet1],51,Banco[idDet2],999999,Banco[idDet3],999,Banco[id_grupo_tarifa],3,Banco[id_detalhe_grupo_tarifa],18,Banco[id_tipo_tarifa],1,Banco[id_subgrupo],99,Banco[id_posto],9,Banco[id_unidade],3)</f>
        <v>256640.30622</v>
      </c>
      <c r="T53" s="190">
        <f>SUMIFS(Banco[valor],Banco[IdAgente],A53,Banco[id_natureza_dado],4,Banco[id_detalhe_natureza],1,Banco[idDet1],51,Banco[idDet2],104,Banco[idDet3],999,Banco[id_grupo_tarifa],3,Banco[id_detalhe_grupo_tarifa],999,Banco[id_tipo_tarifa],9,Banco[id_subgrupo],99,Banco[id_posto],9,Banco[id_unidade],3)</f>
        <v>2323782.2118419702</v>
      </c>
      <c r="U53" s="157">
        <f t="shared" si="1"/>
        <v>2323782.2118419665</v>
      </c>
      <c r="V53" s="3" t="str">
        <f t="shared" si="18"/>
        <v>Coopersul</v>
      </c>
      <c r="W53" s="92">
        <f>SUMIFS(Banco[valor],Banco[IdAgente],A53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53" s="92">
        <f>SUMIFS(Banco[valor],Banco[IdAgente],A53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53" s="85">
        <f>SUMIFS(Banco[valor],Banco[IdAgente],A53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53" s="92">
        <f>SUMIFS(Banco[valor],Banco[IdAgente],A53,Banco[id_natureza_dado],2,Banco[id_detalhe_natureza],1,Banco[idDet1],51,Banco[idDet2],999999,Banco[idDet3],999,Banco[id_grupo_tarifa],1,Banco[id_detalhe_grupo_tarifa],7,Banco[id_tipo_tarifa],1,Banco[id_subgrupo],99,Banco[id_posto],9,Banco[id_unidade],3)</f>
        <v>4700553.5570248002</v>
      </c>
      <c r="AA53" s="86">
        <f t="shared" si="21"/>
        <v>4700553.5570248002</v>
      </c>
      <c r="AD53" s="3" t="s">
        <v>277</v>
      </c>
      <c r="AE53" s="92">
        <f>SUMIFS(Banco[valor],Banco[IdAgente],A53,Banco[id_natureza_dado],1,Banco[id_detalhe_natureza],1,Banco[idDet1],51,Banco[idDet2],999999,Banco[idDet3],999,Banco[id_grupo_tarifa],2,Banco[id_detalhe_grupo_tarifa],11,Banco[id_tipo_tarifa],2,Banco[id_subgrupo],99,Banco[id_posto],9,Banco[id_unidade],2)</f>
        <v>21379.449000000001</v>
      </c>
      <c r="AF53" s="138">
        <f t="shared" si="12"/>
        <v>0.15593151110360592</v>
      </c>
      <c r="AG53" s="92">
        <f>SUMIFS(Banco[valor],Banco[IdAgente],A53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53,Banco[id_natureza_dado],1,Banco[id_detalhe_natureza],1,Banco[idDet1],51,Banco[idDet2],999999,Banco[idDet3],999,Banco[id_grupo_tarifa],2,Banco[id_detalhe_grupo_tarifa],9,Banco[id_tipo_tarifa],9,Banco[id_subgrupo],99,Banco[id_posto],9,Banco[id_unidade],2)</f>
        <v>3949.5963100000031</v>
      </c>
      <c r="AH53" s="92">
        <f>SUMIFS(Banco[valor],Banco[IdAgente],A53,Banco[id_natureza_dado],1,Banco[id_detalhe_natureza],1,Banco[idDet1],51,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53" s="92">
        <f>SUMIFS(Banco[valor],Banco[IdAgente],A53,Banco[id_natureza_dado],1,Banco[id_detalhe_natureza],1,Banco[idDet1],51,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53" s="86">
        <f t="shared" si="14"/>
        <v>25329.045310000005</v>
      </c>
      <c r="AM53" s="122" t="s">
        <v>277</v>
      </c>
      <c r="AN53" s="330">
        <f>SUMIFS(Banco[valor],Banco[IdAgente],A53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53" s="330">
        <f>SUMIFS(Banco[valor],Banco[IdAgente],A53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53" s="330">
        <f>SUMIFS(Banco[valor],Banco[IdAgente],A53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53" s="331">
        <f>SUMIFS(Banco[valor],Banco[IdAgente],A53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397.34991236017203</v>
      </c>
      <c r="AR53" s="331">
        <f>SUMIFS(Banco[valor],Banco[IdAgente],A53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53" s="331">
        <f>SUMIFS(Banco[valor],Banco[IdAgente],A53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53" s="332">
        <f>SUMIFS(Banco[valor],Banco[IdAgente],A53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25329.045310000001</v>
      </c>
      <c r="AU53" s="331">
        <f>SUMIFS(Banco[valor],Banco[IdAgente],A53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280.09402997232098</v>
      </c>
      <c r="AV53" s="333">
        <f t="shared" si="19"/>
        <v>7094514.3762294166</v>
      </c>
      <c r="AW53" s="329"/>
      <c r="BC53" s="3" t="s">
        <v>277</v>
      </c>
      <c r="BD53" s="137">
        <f t="shared" si="8"/>
        <v>2323782.2118419702</v>
      </c>
      <c r="BE53" s="137">
        <f t="shared" si="9"/>
        <v>4700553.5570248002</v>
      </c>
      <c r="BF53" s="137">
        <f>SUMIFS(Banco[valor],Banco[IdAgente],BA53,Banco[idDet1],50,Banco[idDet2],53,Banco[id_subgrupo],99,Banco[id_posto],9,Banco[id_unidade],2)</f>
        <v>0</v>
      </c>
      <c r="BG53" s="137">
        <f>SUMIFS(Banco[valor],Banco[IdAgente],BA53,Banco[idDet1],50,Banco[idDet2],53,Banco[id_subgrupo],99,Banco[id_posto],9,Banco[id_unidade],2)</f>
        <v>0</v>
      </c>
      <c r="BH53" s="257">
        <f>erro[[#This Row],[Despesa (R$)]]</f>
        <v>7094514.3762294166</v>
      </c>
      <c r="BI53" s="257">
        <f>'Parcela B'!J54</f>
        <v>13432500.4026065</v>
      </c>
      <c r="BJ53" s="259">
        <f t="shared" si="10"/>
        <v>27551350.547702685</v>
      </c>
      <c r="BK53" s="32">
        <f>SUM(Apoio_Efeito!V52:BI52)</f>
        <v>-11493943.749478964</v>
      </c>
      <c r="BL53" s="16">
        <f t="shared" si="11"/>
        <v>16057406.798223721</v>
      </c>
      <c r="BN53" s="32"/>
      <c r="BP53" s="355" t="s">
        <v>277</v>
      </c>
      <c r="BQ53" s="353">
        <f>SUMIFS(Banco[valor],Banco[IdAgente],A53,Banco[idDet1],50,Banco[id_subgrupo],99,Banco[id_posto],9,Banco[id_unidade],2)</f>
        <v>22486.128000000001</v>
      </c>
      <c r="BR53" s="353">
        <f>SUMIFS(Banco[valor],Banco[IdAgente],A53,Banco[idDet1],50,Banco[idDet2],52,Banco[idDet3],11,Banco[id_subgrupo],99,Banco[id_posto],9,Banco[id_unidade],2)</f>
        <v>0</v>
      </c>
      <c r="BS53" s="353">
        <f>SUMIFS(Banco[valor],Banco[IdAgente],A53,Banco[idDet1],50,Banco[idDet2],53,Banco[id_subgrupo],99,Banco[id_posto],9,Banco[id_unidade],2)</f>
        <v>0</v>
      </c>
      <c r="BT53" s="353">
        <f t="shared" si="20"/>
        <v>22486.128000000001</v>
      </c>
      <c r="BU53" s="354">
        <f>SUMIFS(Banco[valor],Banco[IdAgente],A53,Banco[id_natureza_dado],4,Banco[id_detalhe_natureza],1,Banco[idDet1],52,Banco[idDet2],106,Banco[id_subgrupo],99,Banco[id_posto],9,Banco[id_unidade],3)</f>
        <v>28024180.97092</v>
      </c>
      <c r="BV53" s="356">
        <f>SUMIFS(Banco[valor],Banco[IdAgente],A53,Banco[idDet1],205,Banco[idDet2],350,Banco[idDet3],201,Banco[id_subgrupo],99,Banco[id_posto],9,Banco[id_unidade],99)</f>
        <v>5672</v>
      </c>
    </row>
    <row r="54" spans="1:74">
      <c r="A54" s="255">
        <v>5345</v>
      </c>
      <c r="B54">
        <f>IFERROR(VLOOKUP(A54,CAPA!$C$12:$C$32,1,FALSE),"NO SELECT")</f>
        <v>5345</v>
      </c>
      <c r="C54" s="3" t="s">
        <v>234</v>
      </c>
      <c r="D54" s="137">
        <f>SUMIFS(Banco[valor],Banco[IdAgente],A54,Banco[idDet1],50,Banco[id_subgrupo],99,Banco[id_posto],9,Banco[id_unidade],2)</f>
        <v>17352.975999999999</v>
      </c>
      <c r="E54" s="137">
        <f>SUMIFS(Banco[valor],Banco[IdAgente],A54,Banco[idDet1],50,Banco[idDet2],51,Banco[id_subgrupo],99,Banco[id_posto],9,Banco[id_unidade],2)</f>
        <v>0</v>
      </c>
      <c r="F54" s="137">
        <f>SUMIFS(Banco[valor],Banco[IdAgente],A54,Banco[idDet1],50,Banco[idDet2],53,Banco[id_subgrupo],99,Banco[id_posto],9,Banco[id_unidade],2)</f>
        <v>0</v>
      </c>
      <c r="G54" s="137">
        <f>SUMIFS(Banco[valor],Banco[IdAgente],A54,Banco[idDet1],50,Banco[idDet2],53,Banco[id_subgrupo],99,Banco[id_posto],9,Banco[id_unidade],2)</f>
        <v>0</v>
      </c>
      <c r="H54" s="137">
        <f t="shared" si="6"/>
        <v>17352.975999999999</v>
      </c>
      <c r="I54" s="93">
        <f>SUMIFS(Banco[valor],Banco[IdAgente],A54,Banco[id_natureza_dado],4,Banco[id_detalhe_natureza],1,Banco[idDet1],52,Banco[idDet2],106,Banco[id_subgrupo],99,Banco[id_posto],9,Banco[id_unidade],3)</f>
        <v>20714783.160130002</v>
      </c>
      <c r="J54" s="16"/>
      <c r="K54" s="115" t="str">
        <f t="shared" si="17"/>
        <v>Coopernorte</v>
      </c>
      <c r="L54" s="92">
        <f>SUMIFS(Banco[valor],Banco[IdAgente],A54,Banco[id_natureza_dado],2,Banco[id_detalhe_natureza],1,Banco[idDet1],51,Banco[idDet2],999999,Banco[idDet3],999,Banco[id_grupo_tarifa],3,Banco[id_detalhe_grupo_tarifa],14,Banco[id_tipo_tarifa],1,Banco[id_subgrupo],99,Banco[id_posto],9,Banco[id_unidade],3)</f>
        <v>55049.951316139501</v>
      </c>
      <c r="M54" s="92">
        <f>SUMIFS(Banco[valor],Banco[IdAgente],A54,Banco[id_natureza_dado],2,Banco[id_detalhe_natureza],1,Banco[idDet1],51,Banco[idDet2],999999,Banco[idDet3],999,Banco[id_grupo_tarifa],3,Banco[id_detalhe_grupo_tarifa],15,Banco[id_tipo_tarifa],1,Banco[id_subgrupo],99,Banco[id_posto],9,Banco[id_unidade],3)</f>
        <v>1419599.8229700001</v>
      </c>
      <c r="N54" s="85">
        <f>SUMIFS(Banco[valor],Banco[IdAgente],A54,Banco[id_natureza_dado],2,Banco[id_detalhe_natureza],1,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54" s="85">
        <f>SUMIFS(Banco[valor],Banco[IdAgente],A54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54" s="85">
        <f>SUMIFS(Banco[valor],Banco[IdAgente],A54,Banco[id_natureza_dado],2,Banco[id_detalhe_natureza],1,Banco[idDet1],51,Banco[idDet2],999999,Banco[idDet3],999,Banco[id_grupo_tarifa],3,Banco[id_detalhe_grupo_tarifa],29,Banco[id_tipo_tarifa],2,Banco[id_subgrupo],99,Banco[id_posto],9,Banco[id_unidade],3)</f>
        <v>108894.80684999999</v>
      </c>
      <c r="Q54" s="85">
        <f>SUMIFS(Banco[valor],Banco[IdAgente],A54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54,Banco[id_natureza_dado],2,Banco[id_detalhe_natureza],1,Banco[idDet1],51,Banco[idDet2],81,Banco[idDet3],999,Banco[id_grupo_tarifa],3,Banco[id_detalhe_grupo_tarifa],15,Banco[id_tipo_tarifa],1,Banco[id_subgrupo],99,Banco[id_posto],9,Banco[id_unidade],3)</f>
        <v>67404.503564488899</v>
      </c>
      <c r="R54" s="92">
        <f>SUMIFS(Banco[valor],Banco[IdAgente],A54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54" s="92">
        <f>SUMIFS(Banco[valor],Banco[IdAgente],A54,Banco[id_natureza_dado],2,Banco[id_detalhe_natureza],1,Banco[idDet1],51,Banco[idDet2],999999,Banco[idDet3],999,Banco[id_grupo_tarifa],3,Banco[id_detalhe_grupo_tarifa],18,Banco[id_tipo_tarifa],1,Banco[id_subgrupo],99,Banco[id_posto],9,Banco[id_unidade],3)</f>
        <v>198513.85493999999</v>
      </c>
      <c r="T54" s="190">
        <f>SUMIFS(Banco[valor],Banco[IdAgente],A54,Banco[id_natureza_dado],4,Banco[id_detalhe_natureza],1,Banco[idDet1],51,Banco[idDet2],104,Banco[idDet3],999,Banco[id_grupo_tarifa],3,Banco[id_detalhe_grupo_tarifa],999,Banco[id_tipo_tarifa],9,Banco[id_subgrupo],99,Banco[id_posto],9,Banco[id_unidade],3)</f>
        <v>1849462.93964063</v>
      </c>
      <c r="U54" s="157">
        <f t="shared" si="1"/>
        <v>1849462.9396406284</v>
      </c>
      <c r="V54" s="3" t="str">
        <f t="shared" si="18"/>
        <v>Coopernorte</v>
      </c>
      <c r="W54" s="92">
        <f>SUMIFS(Banco[valor],Banco[IdAgente],A54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54" s="92">
        <f>SUMIFS(Banco[valor],Banco[IdAgente],A54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54" s="85">
        <f>SUMIFS(Banco[valor],Banco[IdAgente],A54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54" s="92">
        <f>SUMIFS(Banco[valor],Banco[IdAgente],A54,Banco[id_natureza_dado],2,Banco[id_detalhe_natureza],1,Banco[idDet1],51,Banco[idDet2],999999,Banco[idDet3],999,Banco[id_grupo_tarifa],1,Banco[id_detalhe_grupo_tarifa],7,Banco[id_tipo_tarifa],1,Banco[id_subgrupo],99,Banco[id_posto],9,Banco[id_unidade],3)</f>
        <v>3346245.14322</v>
      </c>
      <c r="AA54" s="86">
        <f t="shared" si="21"/>
        <v>3346245.14322</v>
      </c>
      <c r="AD54" s="3" t="s">
        <v>234</v>
      </c>
      <c r="AE54" s="92">
        <f>SUMIFS(Banco[valor],Banco[IdAgente],A54,Banco[id_natureza_dado],1,Banco[id_detalhe_natureza],1,Banco[idDet1],51,Banco[idDet2],999999,Banco[idDet3],999,Banco[id_grupo_tarifa],2,Banco[id_detalhe_grupo_tarifa],11,Banco[id_tipo_tarifa],2,Banco[id_subgrupo],99,Banco[id_posto],9,Banco[id_unidade],2)</f>
        <v>16232.138999999999</v>
      </c>
      <c r="AF54" s="138">
        <f t="shared" si="12"/>
        <v>0.13664718580273602</v>
      </c>
      <c r="AG54" s="92">
        <f>SUMIFS(Banco[valor],Banco[IdAgente],A54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54,Banco[id_natureza_dado],1,Banco[id_detalhe_natureza],1,Banco[idDet1],51,Banco[idDet2],999999,Banco[idDet3],999,Banco[id_grupo_tarifa],2,Banco[id_detalhe_grupo_tarifa],9,Banco[id_tipo_tarifa],9,Banco[id_subgrupo],99,Banco[id_posto],9,Banco[id_unidade],2)</f>
        <v>2569.1421599999999</v>
      </c>
      <c r="AH54" s="92">
        <f>SUMIFS(Banco[valor],Banco[IdAgente],A54,Banco[id_natureza_dado],1,Banco[id_detalhe_natureza],1,Banco[idDet1],51,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54" s="92">
        <f>SUMIFS(Banco[valor],Banco[IdAgente],A54,Banco[id_natureza_dado],1,Banco[id_detalhe_natureza],1,Banco[idDet1],51,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54" s="86">
        <f t="shared" si="14"/>
        <v>18801.281159999999</v>
      </c>
      <c r="AM54" s="122" t="s">
        <v>234</v>
      </c>
      <c r="AN54" s="330">
        <f>SUMIFS(Banco[valor],Banco[IdAgente],A54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54" s="330">
        <f>SUMIFS(Banco[valor],Banco[IdAgente],A54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54" s="330">
        <f>SUMIFS(Banco[valor],Banco[IdAgente],A54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54" s="331">
        <f>SUMIFS(Banco[valor],Banco[IdAgente],A54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374.44188227976002</v>
      </c>
      <c r="AR54" s="331">
        <f>SUMIFS(Banco[valor],Banco[IdAgente],A54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54" s="331">
        <f>SUMIFS(Banco[valor],Banco[IdAgente],A54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54" s="332">
        <f>SUMIFS(Banco[valor],Banco[IdAgente],A54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18801.281159999999</v>
      </c>
      <c r="AU54" s="331">
        <f>SUMIFS(Banco[valor],Banco[IdAgente],A54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201.595584638167</v>
      </c>
      <c r="AV54" s="333">
        <f t="shared" si="19"/>
        <v>3790255.2673967541</v>
      </c>
      <c r="AW54" s="329"/>
      <c r="BC54" s="3" t="s">
        <v>234</v>
      </c>
      <c r="BD54" s="137">
        <f t="shared" si="8"/>
        <v>1849462.93964063</v>
      </c>
      <c r="BE54" s="137">
        <f t="shared" si="9"/>
        <v>3346245.14322</v>
      </c>
      <c r="BF54" s="137">
        <f>SUMIFS(Banco[valor],Banco[IdAgente],BA54,Banco[idDet1],50,Banco[idDet2],53,Banco[id_subgrupo],99,Banco[id_posto],9,Banco[id_unidade],2)</f>
        <v>0</v>
      </c>
      <c r="BG54" s="137">
        <f>SUMIFS(Banco[valor],Banco[IdAgente],BA54,Banco[idDet1],50,Banco[idDet2],53,Banco[id_subgrupo],99,Banco[id_posto],9,Banco[id_unidade],2)</f>
        <v>0</v>
      </c>
      <c r="BH54" s="257">
        <f>erro[[#This Row],[Despesa (R$)]]</f>
        <v>3790255.2673967541</v>
      </c>
      <c r="BI54" s="257">
        <f>'Parcela B'!J55</f>
        <v>13406167.2978734</v>
      </c>
      <c r="BJ54" s="259">
        <f t="shared" si="10"/>
        <v>22392130.648130782</v>
      </c>
      <c r="BK54" s="32">
        <f>SUM(Apoio_Efeito!V53:BI53)</f>
        <v>-6570319.4674404711</v>
      </c>
      <c r="BL54" s="16">
        <f t="shared" si="11"/>
        <v>15821811.180690311</v>
      </c>
      <c r="BN54" s="32"/>
      <c r="BP54" s="355" t="s">
        <v>234</v>
      </c>
      <c r="BQ54" s="353">
        <f>SUMIFS(Banco[valor],Banco[IdAgente],A54,Banco[idDet1],50,Banco[id_subgrupo],99,Banco[id_posto],9,Banco[id_unidade],2)</f>
        <v>17352.975999999999</v>
      </c>
      <c r="BR54" s="353">
        <f>SUMIFS(Banco[valor],Banco[IdAgente],A54,Banco[idDet1],50,Banco[idDet2],52,Banco[idDet3],11,Banco[id_subgrupo],99,Banco[id_posto],9,Banco[id_unidade],2)</f>
        <v>0</v>
      </c>
      <c r="BS54" s="353">
        <f>SUMIFS(Banco[valor],Banco[IdAgente],A54,Banco[idDet1],50,Banco[idDet2],53,Banco[id_subgrupo],99,Banco[id_posto],9,Banco[id_unidade],2)</f>
        <v>0</v>
      </c>
      <c r="BT54" s="353">
        <f t="shared" si="20"/>
        <v>17352.975999999999</v>
      </c>
      <c r="BU54" s="354">
        <f>SUMIFS(Banco[valor],Banco[IdAgente],A54,Banco[id_natureza_dado],4,Banco[id_detalhe_natureza],1,Banco[idDet1],52,Banco[idDet2],106,Banco[id_subgrupo],99,Banco[id_posto],9,Banco[id_unidade],3)</f>
        <v>20714783.160130002</v>
      </c>
      <c r="BV54" s="356">
        <f>SUMIFS(Banco[valor],Banco[IdAgente],A54,Banco[idDet1],205,Banco[idDet2],350,Banco[idDet3],201,Banco[id_subgrupo],99,Banco[id_posto],9,Banco[id_unidade],99)</f>
        <v>6897</v>
      </c>
    </row>
    <row r="55" spans="1:74" hidden="1">
      <c r="A55" s="255">
        <v>7467</v>
      </c>
      <c r="B55" t="str">
        <f>IFERROR(VLOOKUP(A55,CAPA!$C$12:$C$32,1,FALSE),"NO SELECT")</f>
        <v>NO SELECT</v>
      </c>
      <c r="C55" s="3" t="s">
        <v>286</v>
      </c>
      <c r="D55" s="137">
        <f>SUMIFS(Banco[valor],Banco[IdAgente],A55,Banco[idDet1],50,Banco[id_subgrupo],99,Banco[id_posto],9,Banco[id_unidade],2)</f>
        <v>0</v>
      </c>
      <c r="E55" s="137">
        <f>SUMIFS(Banco[valor],Banco[IdAgente],A55,Banco[idDet1],50,Banco[idDet2],51,Banco[id_subgrupo],99,Banco[id_posto],9,Banco[id_unidade],2)</f>
        <v>0</v>
      </c>
      <c r="F55" s="137">
        <f>SUMIFS(Banco[valor],Banco[IdAgente],A55,Banco[idDet1],50,Banco[idDet2],53,Banco[id_subgrupo],99,Banco[id_posto],9,Banco[id_unidade],2)</f>
        <v>0</v>
      </c>
      <c r="G55" s="137">
        <f>SUMIFS(Banco[valor],Banco[IdAgente],A55,Banco[idDet1],50,Banco[idDet2],53,Banco[id_subgrupo],99,Banco[id_posto],9,Banco[id_unidade],2)</f>
        <v>0</v>
      </c>
      <c r="H55" s="137">
        <f t="shared" si="6"/>
        <v>0</v>
      </c>
      <c r="I55" s="93">
        <f>SUMIFS(Banco[valor],Banco[IdAgente],A55,Banco[id_natureza_dado],4,Banco[id_detalhe_natureza],1,Banco[idDet1],52,Banco[idDet2],106,Banco[id_subgrupo],99,Banco[id_posto],9,Banco[id_unidade],3)</f>
        <v>0</v>
      </c>
      <c r="J55" s="16"/>
      <c r="K55" s="115" t="str">
        <f t="shared" si="17"/>
        <v>Cemirim</v>
      </c>
      <c r="L55" s="92">
        <f>SUMIFS(Banco[valor],Banco[IdAgente],A55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55" s="92">
        <f>SUMIFS(Banco[valor],Banco[IdAgente],A55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55" s="85">
        <f>SUMIFS(Banco[valor],Banco[IdAgente],A55,Banco[id_natureza_dado],2,Banco[id_detalhe_natureza],1,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55" s="85">
        <f>SUMIFS(Banco[valor],Banco[IdAgente],A55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55" s="85">
        <f>SUMIFS(Banco[valor],Banco[IdAgente],A55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55" s="85">
        <f>SUMIFS(Banco[valor],Banco[IdAgente],A55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55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55" s="92">
        <f>SUMIFS(Banco[valor],Banco[IdAgente],A55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55" s="92">
        <f>SUMIFS(Banco[valor],Banco[IdAgente],A55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55" s="190">
        <f>SUMIFS(Banco[valor],Banco[IdAgente],A55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55" s="157">
        <f t="shared" si="1"/>
        <v>0</v>
      </c>
      <c r="V55" s="3" t="str">
        <f t="shared" si="18"/>
        <v>Cemirim</v>
      </c>
      <c r="W55" s="92">
        <f>SUMIFS(Banco[valor],Banco[IdAgente],A55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55" s="92">
        <f>SUMIFS(Banco[valor],Banco[IdAgente],A55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55" s="85">
        <f>SUMIFS(Banco[valor],Banco[IdAgente],A55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55" s="92">
        <f>SUMIFS(Banco[valor],Banco[IdAgente],A55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55" s="86">
        <f t="shared" si="21"/>
        <v>0</v>
      </c>
      <c r="AD55" s="69" t="s">
        <v>286</v>
      </c>
      <c r="AE55" s="88">
        <f>SUMIFS(Banco[valor],Banco[IdAgente],A55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55" s="144" t="e">
        <f t="shared" si="12"/>
        <v>#DIV/0!</v>
      </c>
      <c r="AG55" s="88">
        <f>SUMIFS(Banco[valor],Banco[IdAgente],A55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55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55" s="92">
        <f>SUMIFS(Banco[valor],Banco[IdAgente],A55,Banco[id_natureza_dado],1,Banco[id_detalhe_natureza],1,Banco[idDet1],51,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55" s="92">
        <f>SUMIFS(Banco[valor],Banco[IdAgente],A55,Banco[id_natureza_dado],1,Banco[id_detalhe_natureza],1,Banco[idDet1],51,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55" s="86">
        <f t="shared" si="14"/>
        <v>0</v>
      </c>
      <c r="AM55" s="320" t="s">
        <v>286</v>
      </c>
      <c r="AN55" s="334">
        <f>SUMIFS(Banco[valor],Banco[IdAgente],A55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55" s="334">
        <f>SUMIFS(Banco[valor],Banco[IdAgente],A55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55" s="334">
        <f>SUMIFS(Banco[valor],Banco[IdAgente],A55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55" s="335">
        <f>SUMIFS(Banco[valor],Banco[IdAgente],A55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55" s="335">
        <f>SUMIFS(Banco[valor],Banco[IdAgente],A55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55" s="335">
        <f>SUMIFS(Banco[valor],Banco[IdAgente],A55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55" s="335">
        <f>SUMIFS(Banco[valor],Banco[IdAgente],A55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55" s="335">
        <f>SUMIFS(Banco[valor],Banco[IdAgente],A55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55" s="336">
        <f t="shared" ref="AV55" si="22">AT55*AU55</f>
        <v>0</v>
      </c>
      <c r="AW55" s="329"/>
      <c r="BC55" s="3" t="s">
        <v>286</v>
      </c>
      <c r="BD55" s="137">
        <f t="shared" si="8"/>
        <v>0</v>
      </c>
      <c r="BE55" s="137">
        <f t="shared" si="9"/>
        <v>0</v>
      </c>
      <c r="BF55" s="137">
        <f>SUMIFS(Banco[valor],Banco[IdAgente],BA55,Banco[idDet1],50,Banco[idDet2],53,Banco[id_subgrupo],99,Banco[id_posto],9,Banco[id_unidade],2)</f>
        <v>0</v>
      </c>
      <c r="BG55" s="137">
        <f>SUMIFS(Banco[valor],Banco[IdAgente],BA55,Banco[idDet1],50,Banco[idDet2],53,Banco[id_subgrupo],99,Banco[id_posto],9,Banco[id_unidade],2)</f>
        <v>0</v>
      </c>
      <c r="BH55" s="257">
        <f>erro[[#This Row],[Despesa (R$)]]</f>
        <v>0</v>
      </c>
      <c r="BI55" s="257">
        <f>'Parcela B'!J56</f>
        <v>0</v>
      </c>
      <c r="BJ55" s="259">
        <f t="shared" si="10"/>
        <v>0</v>
      </c>
      <c r="BK55" s="32">
        <f>SUM(Apoio_Efeito!V54:BI54)</f>
        <v>0</v>
      </c>
      <c r="BL55" s="16">
        <f t="shared" si="11"/>
        <v>0</v>
      </c>
      <c r="BN55" s="32"/>
      <c r="BP55" s="355" t="s">
        <v>286</v>
      </c>
      <c r="BQ55" s="353">
        <f>SUMIFS(Banco[valor],Banco[IdAgente],A55,Banco[idDet1],50,Banco[id_subgrupo],99,Banco[id_posto],9,Banco[id_unidade],2)</f>
        <v>0</v>
      </c>
      <c r="BR55" s="353">
        <f>SUMIFS(Banco[valor],Banco[IdAgente],A55,Banco[idDet1],50,Banco[idDet2],52,Banco[idDet3],11,Banco[id_subgrupo],99,Banco[id_posto],9,Banco[id_unidade],2)</f>
        <v>0</v>
      </c>
      <c r="BS55" s="353">
        <f>SUMIFS(Banco[valor],Banco[IdAgente],A55,Banco[idDet1],50,Banco[idDet2],53,Banco[id_subgrupo],99,Banco[id_posto],9,Banco[id_unidade],2)</f>
        <v>0</v>
      </c>
      <c r="BT55" s="353">
        <f t="shared" si="20"/>
        <v>0</v>
      </c>
      <c r="BU55" s="354">
        <f>SUMIFS(Banco[valor],Banco[IdAgente],A55,Banco[id_natureza_dado],4,Banco[id_detalhe_natureza],1,Banco[idDet1],52,Banco[idDet2],106,Banco[id_subgrupo],99,Banco[id_posto],9,Banco[id_unidade],3)</f>
        <v>0</v>
      </c>
      <c r="BV55" s="356">
        <f>SUMIFS(Banco[valor],Banco[IdAgente],A55,Banco[idDet1],205,Banco[idDet2],350,Banco[idDet3],201,Banco[id_subgrupo],99,Banco[id_posto],9,Banco[id_unidade],99)</f>
        <v>0</v>
      </c>
    </row>
    <row r="56" spans="1:74" hidden="1">
      <c r="A56" s="255">
        <v>5343</v>
      </c>
      <c r="B56" t="str">
        <f>IFERROR(VLOOKUP(A56,CAPA!$C$12:$C$32,1,FALSE),"NO SELECT")</f>
        <v>NO SELECT</v>
      </c>
      <c r="C56" s="69" t="s">
        <v>302</v>
      </c>
      <c r="D56" s="256">
        <f>SUMIFS(Banco[valor],Banco[IdAgente],A56,Banco[idDet1],50,Banco[id_subgrupo],99,Banco[id_posto],9,Banco[id_unidade],2)</f>
        <v>0</v>
      </c>
      <c r="E56" s="256">
        <f>SUMIFS(Banco[valor],Banco[IdAgente],A56,Banco[idDet1],50,Banco[idDet2],51,Banco[id_subgrupo],99,Banco[id_posto],9,Banco[id_unidade],2)</f>
        <v>0</v>
      </c>
      <c r="F56" s="256">
        <f>SUMIFS(Banco[valor],Banco[IdAgente],A56,Banco[idDet1],50,Banco[idDet2],53,Banco[id_subgrupo],99,Banco[id_posto],9,Banco[id_unidade],2)</f>
        <v>0</v>
      </c>
      <c r="G56" s="256">
        <f>SUMIFS(Banco[valor],Banco[IdAgente],A56,Banco[idDet1],50,Banco[idDet2],53,Banco[id_subgrupo],99,Banco[id_posto],9,Banco[id_unidade],2)</f>
        <v>0</v>
      </c>
      <c r="H56" s="258">
        <f t="shared" si="6"/>
        <v>0</v>
      </c>
      <c r="I56" s="260">
        <f>SUMIFS(Banco[valor],Banco[IdAgente],A56,Banco[id_natureza_dado],4,Banco[id_detalhe_natureza],1,Banco[idDet1],52,Banco[idDet2],106,Banco[id_subgrupo],99,Banco[id_posto],9,Banco[id_unidade],3)</f>
        <v>0</v>
      </c>
      <c r="J56" s="16"/>
      <c r="K56" s="128" t="str">
        <f t="shared" si="17"/>
        <v>Celetro</v>
      </c>
      <c r="L56" s="262">
        <f>SUMIFS(Banco[valor],Banco[IdAgente],A56,Banco[id_natureza_dado],2,Banco[id_detalhe_natureza],1,Banco[idDet1],51,Banco[idDet2],999999,Banco[idDet3],999,Banco[id_grupo_tarifa],3,Banco[id_detalhe_grupo_tarifa],14,Banco[id_tipo_tarifa],1,Banco[id_subgrupo],99,Banco[id_posto],9,Banco[id_unidade],3)</f>
        <v>0</v>
      </c>
      <c r="M56" s="262">
        <f>SUMIFS(Banco[valor],Banco[IdAgente],A56,Banco[id_natureza_dado],2,Banco[id_detalhe_natureza],1,Banco[idDet1],51,Banco[idDet2],999999,Banco[idDet3],999,Banco[id_grupo_tarifa],3,Banco[id_detalhe_grupo_tarifa],15,Banco[id_tipo_tarifa],1,Banco[id_subgrupo],99,Banco[id_posto],9,Banco[id_unidade],3)</f>
        <v>0</v>
      </c>
      <c r="N56" s="85">
        <f>SUMIFS(Banco[valor],Banco[IdAgente],A56,Banco[id_natureza_dado],2,Banco[id_detalhe_natureza],1,
Banco[idDet1],51,Banco[idDet2],73,Banco[idDet3],999,
Banco[id_grupo_tarifa],3,Banco[id_detalhe_grupo_tarifa],15,Banco[id_tipo_tarifa],1,Banco[id_subgrupo],99,Banco[id_posto],9,Banco[id_unidade],3)</f>
        <v>0</v>
      </c>
      <c r="O56" s="88">
        <f>SUMIFS(Banco[valor],Banco[IdAgente],A56,Banco[id_natureza_dado],2,Banco[id_detalhe_natureza],1,Banco[idDet1],51,Banco[idDet2],999999,Banco[idDet3],999,Banco[id_grupo_tarifa],3,Banco[id_detalhe_grupo_tarifa],28,Banco[id_tipo_tarifa],2,Banco[id_subgrupo],99,Banco[id_posto],9,Banco[id_unidade],3)</f>
        <v>0</v>
      </c>
      <c r="P56" s="88">
        <f>SUMIFS(Banco[valor],Banco[IdAgente],A56,Banco[id_natureza_dado],2,Banco[id_detalhe_natureza],1,Banco[idDet1],51,Banco[idDet2],999999,Banco[idDet3],999,Banco[id_grupo_tarifa],3,Banco[id_detalhe_grupo_tarifa],29,Banco[id_tipo_tarifa],2,Banco[id_subgrupo],99,Banco[id_posto],9,Banco[id_unidade],3)</f>
        <v>0</v>
      </c>
      <c r="Q56" s="88">
        <f>SUMIFS(Banco[valor],Banco[IdAgente],A56,Banco[id_natureza_dado],2,Banco[id_detalhe_natureza],1,Banco[idDet1],51,Banco[idDet2],82,Banco[idDet3],999,Banco[id_grupo_tarifa],3,Banco[id_detalhe_grupo_tarifa],25,Banco[id_tipo_tarifa],2,Banco[id_subgrupo],99,Banco[id_posto],9,Banco[id_unidade],3)+SUMIFS(Banco[valor],Banco[IdAgente],A56,Banco[id_natureza_dado],2,Banco[id_detalhe_natureza],1,Banco[idDet1],51,Banco[idDet2],81,Banco[idDet3],999,Banco[id_grupo_tarifa],3,Banco[id_detalhe_grupo_tarifa],15,Banco[id_tipo_tarifa],1,Banco[id_subgrupo],99,Banco[id_posto],9,Banco[id_unidade],3)</f>
        <v>0</v>
      </c>
      <c r="R56" s="262">
        <f>SUMIFS(Banco[valor],Banco[IdAgente],A56,Banco[id_natureza_dado],2,Banco[id_detalhe_natureza],1,Banco[idDet1],51,Banco[idDet2],999999,Banco[idDet3],999,Banco[id_grupo_tarifa],3,Banco[id_detalhe_grupo_tarifa],17,Banco[id_tipo_tarifa],2,Banco[id_subgrupo],99,Banco[id_posto],9,Banco[id_unidade],3)</f>
        <v>0</v>
      </c>
      <c r="S56" s="262">
        <f>SUMIFS(Banco[valor],Banco[IdAgente],A56,Banco[id_natureza_dado],2,Banco[id_detalhe_natureza],1,Banco[idDet1],51,Banco[idDet2],999999,Banco[idDet3],999,Banco[id_grupo_tarifa],3,Banco[id_detalhe_grupo_tarifa],18,Banco[id_tipo_tarifa],1,Banco[id_subgrupo],99,Banco[id_posto],9,Banco[id_unidade],3)</f>
        <v>0</v>
      </c>
      <c r="T56" s="260">
        <f>SUMIFS(Banco[valor],Banco[IdAgente],A56,Banco[id_natureza_dado],4,Banco[id_detalhe_natureza],1,Banco[idDet1],51,Banco[idDet2],104,Banco[idDet3],999,Banco[id_grupo_tarifa],3,Banco[id_detalhe_grupo_tarifa],999,Banco[id_tipo_tarifa],9,Banco[id_subgrupo],99,Banco[id_posto],9,Banco[id_unidade],3)</f>
        <v>0</v>
      </c>
      <c r="U56" s="157">
        <f t="shared" si="1"/>
        <v>0</v>
      </c>
      <c r="V56" s="69" t="str">
        <f t="shared" si="18"/>
        <v>Celetro</v>
      </c>
      <c r="W56" s="262">
        <f>SUMIFS(Banco[valor],Banco[IdAgente],A56,Banco[id_natureza_dado],2,Banco[id_detalhe_natureza],1,Banco[idDet1],51,Banco[idDet2],999999,Banco[idDet3],999,Banco[id_grupo_tarifa],1,Banco[id_detalhe_grupo_tarifa],1,Banco[id_tipo_tarifa],1,Banco[id_subgrupo],99,Banco[id_posto],9,Banco[id_unidade],3)</f>
        <v>0</v>
      </c>
      <c r="X56" s="262">
        <f>SUMIFS(Banco[valor],Banco[IdAgente],A56,Banco[id_natureza_dado],2,Banco[id_detalhe_natureza],1,Banco[idDet1],51,Banco[idDet2],999999,Banco[idDet3],999,Banco[id_grupo_tarifa],1,Banco[id_detalhe_grupo_tarifa],2,Banco[id_tipo_tarifa],1,Banco[id_subgrupo],99,Banco[id_posto],9,Banco[id_unidade],3)</f>
        <v>0</v>
      </c>
      <c r="Y56" s="88">
        <f>SUMIFS(Banco[valor],Banco[IdAgente],A56,Banco[id_natureza_dado],2,Banco[id_detalhe_natureza],1,Banco[idDet1],51,Banco[idDet2],999999,Banco[idDet3],999,Banco[id_grupo_tarifa],1,Banco[id_detalhe_grupo_tarifa],3,Banco[id_tipo_tarifa],1,Banco[id_subgrupo],99,Banco[id_posto],9,Banco[id_unidade],3)</f>
        <v>0</v>
      </c>
      <c r="Z56" s="262">
        <f>SUMIFS(Banco[valor],Banco[IdAgente],A56,Banco[id_natureza_dado],2,Banco[id_detalhe_natureza],1,Banco[idDet1],51,Banco[idDet2],999999,Banco[idDet3],999,Banco[id_grupo_tarifa],1,Banco[id_detalhe_grupo_tarifa],7,Banco[id_tipo_tarifa],1,Banco[id_subgrupo],99,Banco[id_posto],9,Banco[id_unidade],3)</f>
        <v>0</v>
      </c>
      <c r="AA56" s="87">
        <f t="shared" ref="AA56" si="23">SUM(W56:Z56)</f>
        <v>0</v>
      </c>
      <c r="AD56" s="128" t="s">
        <v>302</v>
      </c>
      <c r="AE56" s="92">
        <f>SUMIFS(Banco[valor],Banco[IdAgente],A56,Banco[id_natureza_dado],1,Banco[id_detalhe_natureza],1,Banco[idDet1],51,Banco[idDet2],999999,Banco[idDet3],999,Banco[id_grupo_tarifa],2,Banco[id_detalhe_grupo_tarifa],11,Banco[id_tipo_tarifa],2,Banco[id_subgrupo],99,Banco[id_posto],9,Banco[id_unidade],2)</f>
        <v>0</v>
      </c>
      <c r="AF56" s="319" t="e">
        <f t="shared" si="12"/>
        <v>#DIV/0!</v>
      </c>
      <c r="AG56" s="92">
        <f>SUMIFS(Banco[valor],Banco[IdAgente],A56,Banco[id_natureza_dado],1,Banco[id_detalhe_natureza],1,Banco[idDet1],51,Banco[idDet2],999999,Banco[idDet3],999,Banco[id_grupo_tarifa],2,Banco[id_detalhe_grupo_tarifa],8,Banco[id_tipo_tarifa],9,Banco[id_subgrupo],99,Banco[id_posto],9,Banco[id_unidade],2)+SUMIFS(Banco[valor],Banco[IdAgente],A56,Banco[id_natureza_dado],1,Banco[id_detalhe_natureza],1,Banco[idDet1],51,Banco[idDet2],999999,Banco[idDet3],999,Banco[id_grupo_tarifa],2,Banco[id_detalhe_grupo_tarifa],9,Banco[id_tipo_tarifa],9,Banco[id_subgrupo],99,Banco[id_posto],9,Banco[id_unidade],2)</f>
        <v>0</v>
      </c>
      <c r="AH56" s="92">
        <f>SUMIFS(Banco[valor],Banco[IdAgente],A56,Banco[id_natureza_dado],1,Banco[id_detalhe_natureza],1,Banco[idDet1],51,
Banco[idDet2],999999,
Banco[idDet3],999,
Banco[id_grupo_tarifa],2,Banco[id_detalhe_grupo_tarifa],10,Banco[id_tipo_tarifa],9,Banco[id_subgrupo],99,
Banco[id_posto],9,
Banco[id_unidade],2)</f>
        <v>0</v>
      </c>
      <c r="AI56" s="92">
        <f>SUMIFS(Banco[valor],Banco[IdAgente],A56,Banco[id_natureza_dado],1,Banco[id_detalhe_natureza],1,Banco[idDet1],51,
Banco[idDet2],999999,
Banco[idDet3],999,
Banco[id_grupo_tarifa],2,Banco[id_detalhe_grupo_tarifa],24,Banco[id_tipo_tarifa],9,Banco[id_subgrupo],99,
Banco[id_posto],9,
Banco[id_unidade],2)</f>
        <v>0</v>
      </c>
      <c r="AJ56" s="86">
        <f t="shared" si="14"/>
        <v>0</v>
      </c>
      <c r="AM56" s="1" t="s">
        <v>302</v>
      </c>
      <c r="AN56" s="337">
        <f>SUMIFS(Banco[valor],Banco[IdAgente],A56,Banco[id_natureza_dado],1,Banco[id_detalhe_natureza],1,Banco[idDet1],6,Banco[idDet2],999999,Banco[idDet3],999,Banco[id_grupo_tarifa],2,Banco[id_detalhe_grupo_tarifa],999,Banco[id_tipo_tarifa],9,Banco[id_subgrupo],99,Banco[id_posto],9,Banco[id_unidade],2,Banco[id_UC],99999)</f>
        <v>0</v>
      </c>
      <c r="AO56" s="337">
        <f>SUMIFS(Banco[valor],Banco[IdAgente],A56,Banco[id_natureza_dado],1,Banco[id_detalhe_natureza],1,Banco[idDet1],8,Banco[idDet2],999999,Banco[idDet3],999,Banco[id_grupo_tarifa],2,Banco[id_detalhe_grupo_tarifa],999,Banco[id_tipo_tarifa],9,Banco[id_subgrupo],99,Banco[id_posto],9,Banco[id_unidade],2,Banco[id_UC],99999)</f>
        <v>0</v>
      </c>
      <c r="AP56" s="337">
        <f>SUMIFS(Banco[valor],Banco[IdAgente],A56,Banco[id_natureza_dado],1,Banco[id_detalhe_natureza],1,Banco[idDet1],17,Banco[idDet2],999999,Banco[idDet3],999,Banco[id_grupo_tarifa],2,Banco[id_detalhe_grupo_tarifa],999,Banco[id_tipo_tarifa],9,Banco[id_subgrupo],99,Banco[id_posto],9,Banco[id_unidade],2,Banco[id_UC],0)</f>
        <v>0</v>
      </c>
      <c r="AQ56" s="338">
        <f>SUMIFS(Banco[valor],Banco[IdAgente],A56,Banco[id_natureza_dado],1,Banco[id_detalhe_natureza],1,Banco[idDet1],4,Banco[idDet2],999999,Banco[idDet3],999,Banco[id_grupo_tarifa],2,Banco[id_detalhe_grupo_tarifa],999,Banco[id_tipo_tarifa],9,Banco[id_subgrupo],99,Banco[id_posto],9,Banco[id_unidade],2,Banco[id_UC],99999)</f>
        <v>0</v>
      </c>
      <c r="AR56" s="338">
        <f>SUMIFS(Banco[valor],Banco[IdAgente],A56,Banco[id_natureza_dado],1,Banco[id_detalhe_natureza],1,Banco[idDet1],70,Banco[idDet2],999999,Banco[idDet3],999,Banco[id_grupo_tarifa],2,Banco[id_detalhe_grupo_tarifa],999,Banco[id_tipo_tarifa],9,Banco[id_subgrupo],99,Banco[id_posto],9,Banco[id_unidade],2,Banco[id_UC],99999)</f>
        <v>0</v>
      </c>
      <c r="AS56" s="338">
        <f>SUMIFS(Banco[valor],Banco[IdAgente],A56,Banco[id_natureza_dado],1,Banco[id_detalhe_natureza],1,Banco[idDet1],71,Banco[idDet2],999999,Banco[idDet3],999,Banco[id_grupo_tarifa],2,Banco[id_detalhe_grupo_tarifa],999,Banco[id_tipo_tarifa],9,Banco[id_subgrupo],99,Banco[id_posto],9,Banco[id_unidade],2,Banco[id_UC],99999)</f>
        <v>0</v>
      </c>
      <c r="AT56" s="338">
        <f>SUMIFS(Banco[valor],Banco[IdAgente],A56,Banco[id_natureza_dado],1,Banco[id_detalhe_natureza],1,Banco[idDet1],51,Banco[idDet2],55,Banco[idDet3],999,Banco[id_grupo_tarifa],2,Banco[id_detalhe_grupo_tarifa],999,Banco[id_tipo_tarifa],9,Banco[id_subgrupo],99,Banco[id_posto],9,Banco[id_unidade],2,Banco[id_UC],99999)</f>
        <v>0</v>
      </c>
      <c r="AU56" s="338">
        <f>SUMIFS(Banco[valor],Banco[IdAgente],A56,Banco[id_natureza_dado],1,Banco[id_detalhe_natureza],1,Banco[idDet1],51,Banco[idDet2],150,Banco[idDet3],999,Banco[id_grupo_tarifa],2,Banco[id_detalhe_grupo_tarifa],999,Banco[id_tipo_tarifa],9,Banco[id_subgrupo],99,Banco[id_posto],9,Banco[id_unidade],5,Banco[id_UC],99999)</f>
        <v>0</v>
      </c>
      <c r="AV56" s="339">
        <f t="shared" ref="AV56" si="24">AT56*AU56</f>
        <v>0</v>
      </c>
      <c r="AW56" s="329"/>
      <c r="BC56" s="69" t="s">
        <v>302</v>
      </c>
      <c r="BD56" s="137">
        <f t="shared" si="8"/>
        <v>0</v>
      </c>
      <c r="BE56" s="137">
        <f t="shared" si="9"/>
        <v>0</v>
      </c>
      <c r="BF56" s="137">
        <f>SUMIFS(Banco[valor],Banco[IdAgente],BA56,Banco[idDet1],50,Banco[idDet2],53,Banco[id_subgrupo],99,Banco[id_posto],9,Banco[id_unidade],2)</f>
        <v>0</v>
      </c>
      <c r="BG56" s="137">
        <f>SUMIFS(Banco[valor],Banco[IdAgente],BA56,Banco[idDet1],50,Banco[idDet2],53,Banco[id_subgrupo],99,Banco[id_posto],9,Banco[id_unidade],2)</f>
        <v>0</v>
      </c>
      <c r="BH56" s="257">
        <f>erro[[#This Row],[Despesa (R$)]]</f>
        <v>0</v>
      </c>
      <c r="BI56" s="257">
        <f>'Parcela B'!J57</f>
        <v>0</v>
      </c>
      <c r="BJ56" s="259">
        <f t="shared" si="10"/>
        <v>0</v>
      </c>
      <c r="BK56" s="32">
        <f>SUM(Apoio_Efeito!V55:BI55)</f>
        <v>0</v>
      </c>
      <c r="BL56" s="16">
        <f t="shared" si="11"/>
        <v>0</v>
      </c>
      <c r="BM56" s="32">
        <v>70249326.113409996</v>
      </c>
      <c r="BN56" s="32"/>
      <c r="BP56" s="357" t="s">
        <v>302</v>
      </c>
      <c r="BQ56" s="353">
        <f>SUMIFS(Banco[valor],Banco[IdAgente],A56,Banco[idDet1],50,Banco[id_subgrupo],99,Banco[id_posto],9,Banco[id_unidade],2)</f>
        <v>0</v>
      </c>
      <c r="BR56" s="353">
        <f>SUMIFS(Banco[valor],Banco[IdAgente],A56,Banco[idDet1],50,Banco[idDet2],52,Banco[idDet3],11,Banco[id_subgrupo],99,Banco[id_posto],9,Banco[id_unidade],2)</f>
        <v>0</v>
      </c>
      <c r="BS56" s="353">
        <f>SUMIFS(Banco[valor],Banco[IdAgente],A56,Banco[idDet1],50,Banco[idDet2],53,Banco[id_subgrupo],99,Banco[id_posto],9,Banco[id_unidade],2)</f>
        <v>0</v>
      </c>
      <c r="BT56" s="353">
        <f t="shared" si="20"/>
        <v>0</v>
      </c>
      <c r="BU56" s="354">
        <f>SUMIFS(Banco[valor],Banco[IdAgente],A56,Banco[id_natureza_dado],4,Banco[id_detalhe_natureza],1,Banco[idDet1],52,Banco[idDet2],106,Banco[id_subgrupo],99,Banco[id_posto],9,Banco[id_unidade],3)</f>
        <v>0</v>
      </c>
      <c r="BV56" s="356">
        <f>SUMIFS(Banco[valor],Banco[IdAgente],A56,Banco[idDet1],205,Banco[idDet2],350,Banco[idDet3],201,Banco[id_subgrupo],99,Banco[id_posto],9,Banco[id_unidade],99)</f>
        <v>0</v>
      </c>
    </row>
    <row r="57" spans="1:74">
      <c r="U57" s="158"/>
      <c r="BN57" s="16"/>
    </row>
    <row r="58" spans="1:74">
      <c r="U58" s="158"/>
      <c r="AX58" s="135" t="s">
        <v>314</v>
      </c>
    </row>
    <row r="59" spans="1:74" ht="26">
      <c r="C59" s="145"/>
      <c r="D59" s="145"/>
      <c r="E59" s="145"/>
      <c r="F59" s="145"/>
      <c r="H59" s="145"/>
      <c r="K59" s="182"/>
      <c r="L59" s="182"/>
      <c r="M59" s="182"/>
      <c r="U59" s="158"/>
      <c r="AW59" s="322" t="s">
        <v>11</v>
      </c>
      <c r="AX59" s="322" t="s">
        <v>299</v>
      </c>
      <c r="AY59" s="322" t="s">
        <v>297</v>
      </c>
      <c r="AZ59" s="322" t="s">
        <v>327</v>
      </c>
      <c r="BA59" s="322" t="s">
        <v>300</v>
      </c>
      <c r="BB59" s="322"/>
      <c r="BC59" s="145"/>
      <c r="BD59" s="145"/>
      <c r="BE59" s="68"/>
      <c r="BF59" s="68"/>
      <c r="BG59" s="68"/>
      <c r="BH59" s="68"/>
      <c r="BI59" s="322"/>
      <c r="BJ59" s="68"/>
      <c r="BK59" s="68"/>
      <c r="BM59" s="182"/>
      <c r="BN59" s="182"/>
      <c r="BO59" s="182"/>
    </row>
    <row r="60" spans="1:74">
      <c r="C60" s="115"/>
      <c r="D60" s="146"/>
      <c r="E60" s="133"/>
      <c r="F60" s="147"/>
      <c r="H60" s="133"/>
      <c r="L60" s="157"/>
      <c r="M60" s="5"/>
      <c r="U60" s="158"/>
      <c r="AW60" s="220" t="s">
        <v>198</v>
      </c>
      <c r="AX60" s="203" t="s">
        <v>696</v>
      </c>
      <c r="AY60" s="218">
        <v>70080</v>
      </c>
      <c r="AZ60" s="218">
        <v>76204.481792805978</v>
      </c>
      <c r="BA60" s="221">
        <v>185.56916354993692</v>
      </c>
      <c r="BB60" s="204"/>
      <c r="BC60" s="177"/>
      <c r="BD60" s="201"/>
      <c r="BE60" s="220"/>
      <c r="BF60" s="203"/>
      <c r="BG60" s="218"/>
      <c r="BH60" s="218"/>
      <c r="BI60" s="218"/>
      <c r="BJ60" s="221"/>
      <c r="BK60" s="204"/>
      <c r="BL60" s="133"/>
      <c r="BM60" s="183"/>
      <c r="BN60" s="184"/>
      <c r="BO60" s="147"/>
    </row>
    <row r="61" spans="1:74" ht="15.75" customHeight="1">
      <c r="C61" s="115"/>
      <c r="D61" s="146"/>
      <c r="E61" s="146"/>
      <c r="F61" s="147"/>
      <c r="H61" s="133"/>
      <c r="L61" s="157"/>
      <c r="M61" s="5"/>
      <c r="U61" s="158"/>
      <c r="AW61" s="220" t="s">
        <v>168</v>
      </c>
      <c r="AX61" s="203" t="s">
        <v>696</v>
      </c>
      <c r="AY61" s="218">
        <v>39420</v>
      </c>
      <c r="AZ61" s="218">
        <v>43482.984963528783</v>
      </c>
      <c r="BA61" s="221">
        <v>185.56916354993692</v>
      </c>
      <c r="BB61" s="204"/>
      <c r="BC61" s="110"/>
      <c r="BD61" s="201"/>
      <c r="BE61" s="220"/>
      <c r="BF61" s="203"/>
      <c r="BG61" s="218"/>
      <c r="BH61" s="218"/>
      <c r="BI61" s="218"/>
      <c r="BJ61" s="221"/>
      <c r="BK61" s="204"/>
      <c r="BL61" s="133"/>
      <c r="BM61" s="183"/>
      <c r="BN61" s="184"/>
      <c r="BO61" s="147"/>
    </row>
    <row r="62" spans="1:74" ht="15.75" customHeight="1">
      <c r="C62" s="115"/>
      <c r="D62" s="146"/>
      <c r="E62" s="146"/>
      <c r="F62" s="147"/>
      <c r="H62" s="133"/>
      <c r="L62" s="157"/>
      <c r="M62" s="5"/>
      <c r="U62" s="158"/>
      <c r="AW62" s="220" t="s">
        <v>147</v>
      </c>
      <c r="AX62" s="203" t="s">
        <v>697</v>
      </c>
      <c r="AY62" s="218">
        <v>17871.860000000004</v>
      </c>
      <c r="AZ62" s="218">
        <v>19036.780122914501</v>
      </c>
      <c r="BA62" s="221">
        <v>100.6452127442508</v>
      </c>
      <c r="BB62" s="204"/>
      <c r="BC62" s="110"/>
      <c r="BD62" s="201"/>
      <c r="BE62" s="220"/>
      <c r="BF62" s="203"/>
      <c r="BG62" s="218"/>
      <c r="BH62" s="218"/>
      <c r="BI62" s="218"/>
      <c r="BJ62" s="221"/>
      <c r="BK62" s="204"/>
      <c r="BL62" s="133"/>
      <c r="BM62" s="183"/>
      <c r="BN62" s="184"/>
      <c r="BO62" s="147"/>
    </row>
    <row r="63" spans="1:74" ht="15.75" customHeight="1">
      <c r="C63" s="115"/>
      <c r="D63" s="146"/>
      <c r="E63" s="146"/>
      <c r="F63" s="147"/>
      <c r="H63" s="133"/>
      <c r="L63" s="157"/>
      <c r="M63" s="5"/>
      <c r="U63" s="158"/>
      <c r="AW63" s="390"/>
      <c r="AX63" s="203"/>
      <c r="AY63" s="218"/>
      <c r="AZ63" s="218"/>
      <c r="BA63" s="221"/>
      <c r="BB63" s="204"/>
      <c r="BC63" s="110"/>
      <c r="BD63" s="201"/>
      <c r="BE63" s="220"/>
      <c r="BF63" s="203"/>
      <c r="BG63" s="218"/>
      <c r="BH63" s="218"/>
      <c r="BI63" s="218"/>
      <c r="BJ63" s="221"/>
      <c r="BK63" s="204"/>
      <c r="BL63" s="133"/>
      <c r="BM63" s="183"/>
      <c r="BN63" s="184"/>
      <c r="BO63" s="147"/>
    </row>
    <row r="64" spans="1:74" ht="15.75" customHeight="1">
      <c r="C64" s="115"/>
      <c r="D64" s="146"/>
      <c r="E64" s="146"/>
      <c r="F64" s="147"/>
      <c r="H64" s="133"/>
      <c r="L64" s="157"/>
      <c r="M64" s="5"/>
      <c r="U64" s="158"/>
      <c r="AW64" s="220"/>
      <c r="AX64" s="203"/>
      <c r="AY64" s="218"/>
      <c r="AZ64" s="218"/>
      <c r="BA64" s="221"/>
      <c r="BB64" s="204"/>
      <c r="BC64" s="110"/>
      <c r="BD64" s="201"/>
      <c r="BE64" s="220"/>
      <c r="BF64" s="203"/>
      <c r="BG64" s="218"/>
      <c r="BH64" s="218"/>
      <c r="BI64" s="218"/>
      <c r="BJ64" s="221"/>
      <c r="BK64" s="204"/>
      <c r="BL64" s="133"/>
      <c r="BM64" s="183"/>
      <c r="BN64" s="184"/>
      <c r="BO64" s="147"/>
    </row>
    <row r="65" spans="3:67" ht="15.75" hidden="1" customHeight="1">
      <c r="C65" s="115"/>
      <c r="D65" s="146"/>
      <c r="E65" s="146"/>
      <c r="F65" s="147"/>
      <c r="H65" s="133"/>
      <c r="K65" s="282"/>
      <c r="L65" s="283"/>
      <c r="M65" s="284"/>
      <c r="U65" s="158"/>
      <c r="AW65" s="220"/>
      <c r="AX65" s="203"/>
      <c r="AY65" s="218"/>
      <c r="AZ65" s="218"/>
      <c r="BA65" s="221"/>
      <c r="BB65" s="204"/>
      <c r="BC65" s="110"/>
      <c r="BD65" s="201"/>
      <c r="BE65" s="220"/>
      <c r="BF65" s="203"/>
      <c r="BG65" s="218"/>
      <c r="BH65" s="218"/>
      <c r="BI65" s="218"/>
      <c r="BJ65" s="221"/>
      <c r="BK65" s="204"/>
      <c r="BL65" s="133"/>
      <c r="BM65" s="183"/>
      <c r="BN65" s="184"/>
      <c r="BO65" s="147"/>
    </row>
    <row r="66" spans="3:67" ht="15.75" customHeight="1">
      <c r="C66" s="115"/>
      <c r="D66" s="146"/>
      <c r="E66" s="146"/>
      <c r="F66" s="147"/>
      <c r="H66" s="133"/>
      <c r="K66" s="282"/>
      <c r="L66" s="283"/>
      <c r="M66" s="284"/>
      <c r="U66" s="158"/>
      <c r="AW66" s="220"/>
      <c r="AX66" s="203"/>
      <c r="AY66" s="218"/>
      <c r="AZ66" s="218"/>
      <c r="BA66" s="221"/>
      <c r="BB66" s="204"/>
      <c r="BC66" s="110"/>
      <c r="BD66" s="201"/>
      <c r="BE66" s="220"/>
      <c r="BF66" s="203"/>
      <c r="BG66" s="218"/>
      <c r="BH66" s="218"/>
      <c r="BI66" s="218"/>
      <c r="BJ66" s="221"/>
      <c r="BK66" s="204"/>
      <c r="BL66" s="133"/>
      <c r="BM66" s="183"/>
      <c r="BN66" s="184"/>
      <c r="BO66" s="147"/>
    </row>
    <row r="67" spans="3:67" ht="15.75" customHeight="1">
      <c r="L67" s="157"/>
      <c r="M67" s="5"/>
      <c r="U67" s="158"/>
      <c r="AW67" s="220"/>
      <c r="AX67" s="203"/>
      <c r="AY67" s="218"/>
      <c r="AZ67" s="218"/>
      <c r="BA67" s="221"/>
      <c r="BB67" s="204"/>
      <c r="BC67" s="110"/>
      <c r="BD67" s="201"/>
      <c r="BE67" s="220"/>
      <c r="BF67" s="203"/>
      <c r="BG67" s="218"/>
      <c r="BH67" s="218"/>
      <c r="BI67" s="218"/>
      <c r="BJ67" s="221"/>
      <c r="BK67" s="204"/>
      <c r="BL67" s="133"/>
      <c r="BM67" s="183"/>
      <c r="BN67" s="184"/>
      <c r="BO67" s="147"/>
    </row>
    <row r="68" spans="3:67" ht="15.75" customHeight="1">
      <c r="U68" s="158"/>
      <c r="AW68" s="220"/>
      <c r="AX68" s="203"/>
      <c r="AY68" s="218"/>
      <c r="AZ68" s="218"/>
      <c r="BA68" s="221"/>
      <c r="BB68" s="204"/>
      <c r="BC68" s="110"/>
      <c r="BD68" s="201"/>
      <c r="BE68" s="220"/>
      <c r="BF68" s="203"/>
      <c r="BG68" s="218"/>
      <c r="BH68" s="218"/>
      <c r="BI68" s="218"/>
      <c r="BJ68" s="221"/>
      <c r="BK68" s="204"/>
      <c r="BL68" s="133"/>
      <c r="BM68" s="183"/>
      <c r="BN68" s="184"/>
      <c r="BO68" s="147"/>
    </row>
    <row r="69" spans="3:67" ht="15.75" customHeight="1">
      <c r="U69" s="158"/>
      <c r="AW69" s="220"/>
      <c r="AX69" s="203"/>
      <c r="AY69" s="218"/>
      <c r="AZ69" s="218"/>
      <c r="BA69" s="221"/>
      <c r="BB69" s="204"/>
      <c r="BC69" s="110"/>
      <c r="BD69" s="201"/>
      <c r="BE69" s="220"/>
      <c r="BF69" s="203"/>
      <c r="BG69" s="218"/>
      <c r="BH69" s="218"/>
      <c r="BI69" s="218"/>
      <c r="BJ69" s="221"/>
      <c r="BK69" s="204"/>
      <c r="BL69" s="133"/>
      <c r="BM69" s="183"/>
      <c r="BN69" s="184"/>
      <c r="BO69" s="147"/>
    </row>
    <row r="70" spans="3:67" ht="15.75" customHeight="1">
      <c r="U70" s="158"/>
      <c r="AW70" s="220"/>
      <c r="AX70" s="203"/>
      <c r="AY70" s="218"/>
      <c r="AZ70" s="218"/>
      <c r="BA70" s="221"/>
      <c r="BB70" s="204"/>
      <c r="BC70" s="110"/>
      <c r="BD70" s="201"/>
      <c r="BE70" s="220"/>
      <c r="BF70" s="203"/>
      <c r="BG70" s="218"/>
      <c r="BH70" s="218"/>
      <c r="BI70" s="218"/>
      <c r="BJ70" s="221"/>
      <c r="BK70" s="204"/>
      <c r="BM70" s="6"/>
      <c r="BN70" s="185"/>
      <c r="BO70" s="186"/>
    </row>
    <row r="71" spans="3:67" ht="15.75" customHeight="1">
      <c r="U71" s="158"/>
      <c r="AW71" s="220"/>
      <c r="AX71" s="203"/>
      <c r="AY71" s="218"/>
      <c r="AZ71" s="218"/>
      <c r="BA71" s="221"/>
      <c r="BB71" s="204"/>
      <c r="BC71" s="110"/>
      <c r="BD71" s="201"/>
      <c r="BE71" s="220"/>
      <c r="BF71" s="203"/>
      <c r="BG71" s="218"/>
      <c r="BH71" s="218"/>
      <c r="BI71" s="218"/>
      <c r="BJ71" s="221"/>
      <c r="BK71" s="204"/>
    </row>
    <row r="72" spans="3:67" ht="13.4" customHeight="1">
      <c r="U72" s="158"/>
      <c r="AR72" s="159"/>
      <c r="AS72" s="160"/>
      <c r="AT72" s="160"/>
      <c r="AU72" s="160"/>
      <c r="AW72" s="220"/>
      <c r="AX72" s="203"/>
      <c r="AY72" s="218"/>
      <c r="AZ72" s="218"/>
      <c r="BA72" s="221"/>
      <c r="BB72" s="204"/>
      <c r="BD72" s="201"/>
      <c r="BE72" s="220"/>
      <c r="BF72" s="203"/>
      <c r="BG72" s="218"/>
      <c r="BH72" s="218"/>
      <c r="BI72" s="218"/>
      <c r="BJ72" s="221"/>
      <c r="BK72" s="204"/>
    </row>
    <row r="73" spans="3:67" ht="13.4" customHeight="1">
      <c r="U73" s="158"/>
      <c r="AR73" s="159"/>
      <c r="AS73" s="160"/>
      <c r="AT73" s="160"/>
      <c r="AU73" s="160"/>
      <c r="AW73" s="220"/>
      <c r="AX73" s="203"/>
      <c r="AY73" s="218"/>
      <c r="AZ73" s="218"/>
      <c r="BA73" s="221"/>
      <c r="BB73" s="204"/>
      <c r="BD73" s="201"/>
      <c r="BE73" s="220"/>
      <c r="BF73" s="203"/>
      <c r="BG73" s="218"/>
      <c r="BH73" s="218"/>
      <c r="BI73" s="218"/>
      <c r="BJ73" s="221"/>
      <c r="BK73" s="204"/>
    </row>
    <row r="74" spans="3:67" ht="13.4" customHeight="1">
      <c r="U74" s="158"/>
      <c r="AR74" s="159"/>
      <c r="AS74" s="160"/>
      <c r="AT74" s="160"/>
      <c r="AU74" s="160"/>
      <c r="AW74" s="220"/>
      <c r="AX74" s="203"/>
      <c r="AY74" s="218"/>
      <c r="AZ74" s="218"/>
      <c r="BA74" s="221"/>
      <c r="BB74" s="204"/>
      <c r="BD74" s="201"/>
      <c r="BE74" s="220"/>
      <c r="BF74" s="203"/>
      <c r="BG74" s="218"/>
      <c r="BH74" s="218"/>
      <c r="BI74" s="218"/>
      <c r="BJ74" s="221"/>
      <c r="BK74" s="204"/>
    </row>
    <row r="75" spans="3:67" ht="15.75" customHeight="1">
      <c r="U75" s="158"/>
      <c r="AR75" s="125"/>
      <c r="AW75" s="220"/>
      <c r="AX75" s="203"/>
      <c r="AY75" s="218"/>
      <c r="AZ75" s="218"/>
      <c r="BA75" s="221"/>
      <c r="BB75" s="204"/>
      <c r="BD75" s="201"/>
      <c r="BE75" s="220"/>
      <c r="BF75" s="203"/>
      <c r="BG75" s="218"/>
      <c r="BH75" s="218"/>
      <c r="BI75" s="218"/>
      <c r="BJ75" s="221"/>
      <c r="BK75" s="204"/>
    </row>
    <row r="76" spans="3:67">
      <c r="U76" s="158"/>
      <c r="AN76" t="s">
        <v>192</v>
      </c>
      <c r="AO76" s="172"/>
      <c r="AP76" s="172"/>
      <c r="AW76" s="220"/>
      <c r="AX76" s="203"/>
      <c r="AY76" s="218"/>
      <c r="AZ76" s="218"/>
      <c r="BA76" s="221"/>
      <c r="BB76" s="204"/>
      <c r="BE76" s="220"/>
      <c r="BF76" s="203"/>
      <c r="BG76" s="218"/>
      <c r="BH76" s="218"/>
      <c r="BI76" s="218"/>
      <c r="BJ76" s="221"/>
      <c r="BK76" s="204"/>
    </row>
    <row r="77" spans="3:67">
      <c r="U77" s="158"/>
      <c r="AN77" t="s">
        <v>165</v>
      </c>
      <c r="AO77" s="172"/>
      <c r="AP77" s="172"/>
      <c r="AW77" s="220"/>
      <c r="AX77" s="203"/>
      <c r="AY77" s="218"/>
      <c r="AZ77" s="218"/>
      <c r="BA77" s="221"/>
      <c r="BB77" s="204"/>
      <c r="BE77" s="220"/>
      <c r="BF77" s="203"/>
      <c r="BG77" s="218"/>
      <c r="BH77" s="218"/>
      <c r="BI77" s="218"/>
      <c r="BJ77" s="221"/>
      <c r="BK77" s="204"/>
    </row>
    <row r="78" spans="3:67">
      <c r="U78" s="158"/>
      <c r="AN78" t="s">
        <v>276</v>
      </c>
      <c r="AO78" s="172"/>
      <c r="AP78" s="172"/>
      <c r="AW78" s="220"/>
      <c r="AX78" s="203"/>
      <c r="AY78" s="218"/>
      <c r="AZ78" s="218"/>
      <c r="BA78" s="221"/>
      <c r="BB78" s="204"/>
      <c r="BE78" s="220"/>
      <c r="BF78" s="203"/>
      <c r="BG78" s="218"/>
      <c r="BH78" s="218"/>
      <c r="BI78" s="218"/>
      <c r="BJ78" s="221"/>
      <c r="BK78" s="204"/>
    </row>
    <row r="79" spans="3:67">
      <c r="U79" s="158"/>
      <c r="AN79" t="s">
        <v>180</v>
      </c>
      <c r="AO79" s="172"/>
      <c r="AP79" s="172"/>
      <c r="AW79" s="202"/>
      <c r="AX79" s="203"/>
      <c r="AY79" s="218"/>
      <c r="AZ79" s="218"/>
      <c r="BA79" s="221"/>
      <c r="BB79" s="204"/>
      <c r="BE79" s="220"/>
      <c r="BF79" s="203"/>
      <c r="BG79" s="218"/>
      <c r="BH79" s="218"/>
      <c r="BI79" s="218"/>
      <c r="BJ79" s="221"/>
      <c r="BK79" s="204"/>
    </row>
    <row r="80" spans="3:67">
      <c r="U80" s="158"/>
      <c r="AN80" t="s">
        <v>195</v>
      </c>
      <c r="AO80" s="172"/>
      <c r="AP80" s="172"/>
      <c r="AW80" s="202"/>
      <c r="AX80" s="203"/>
      <c r="AY80" s="218"/>
      <c r="AZ80" s="218"/>
      <c r="BA80" s="221"/>
      <c r="BB80" s="204"/>
      <c r="BE80" s="220"/>
      <c r="BF80" s="203"/>
      <c r="BG80" s="218"/>
      <c r="BH80" s="218"/>
      <c r="BI80" s="218"/>
      <c r="BJ80" s="221"/>
      <c r="BK80" s="204"/>
    </row>
    <row r="81" spans="21:63">
      <c r="U81" s="158"/>
      <c r="AN81" t="s">
        <v>201</v>
      </c>
      <c r="AO81" s="172"/>
      <c r="AP81" s="172"/>
      <c r="AW81" s="202"/>
      <c r="AX81" s="203"/>
      <c r="AY81" s="218"/>
      <c r="AZ81" s="218"/>
      <c r="BA81" s="221"/>
      <c r="BB81" s="204"/>
      <c r="BE81" s="220"/>
      <c r="BF81" s="203"/>
      <c r="BG81" s="218"/>
      <c r="BH81" s="218"/>
      <c r="BI81" s="218"/>
      <c r="BJ81" s="221"/>
      <c r="BK81" s="204"/>
    </row>
    <row r="82" spans="21:63">
      <c r="U82" s="158"/>
      <c r="AN82" t="s">
        <v>210</v>
      </c>
      <c r="AO82" s="172"/>
      <c r="AP82" s="172"/>
      <c r="AW82" s="202"/>
      <c r="AX82" s="203"/>
      <c r="AY82" s="218"/>
      <c r="AZ82" s="218"/>
      <c r="BA82" s="221"/>
      <c r="BB82" s="204"/>
      <c r="BE82" s="220"/>
      <c r="BF82" s="203"/>
      <c r="BG82" s="218"/>
      <c r="BH82" s="218"/>
      <c r="BI82" s="218"/>
      <c r="BJ82" s="221"/>
      <c r="BK82" s="204"/>
    </row>
    <row r="83" spans="21:63">
      <c r="U83" s="158"/>
      <c r="AN83" t="s">
        <v>311</v>
      </c>
      <c r="AO83" s="172"/>
      <c r="AP83" s="172"/>
      <c r="AW83" s="202"/>
      <c r="AX83" s="203"/>
      <c r="AY83" s="218"/>
      <c r="AZ83" s="218"/>
      <c r="BA83" s="221"/>
      <c r="BB83" s="204"/>
      <c r="BE83" s="220"/>
      <c r="BF83" s="203"/>
      <c r="BG83" s="218"/>
      <c r="BH83" s="218"/>
      <c r="BI83" s="218"/>
      <c r="BJ83" s="221"/>
      <c r="BK83" s="204"/>
    </row>
    <row r="84" spans="21:63">
      <c r="U84" s="158"/>
      <c r="AN84" s="129" t="s">
        <v>312</v>
      </c>
      <c r="AO84" s="173"/>
      <c r="AP84" s="173"/>
      <c r="AW84" s="202"/>
      <c r="AX84" s="203"/>
      <c r="AY84" s="218"/>
      <c r="AZ84" s="218"/>
      <c r="BA84" s="221"/>
      <c r="BB84" s="204"/>
      <c r="BE84" s="220"/>
      <c r="BF84" s="203"/>
      <c r="BG84" s="218"/>
      <c r="BH84" s="218"/>
      <c r="BI84" s="218"/>
      <c r="BJ84" s="221"/>
      <c r="BK84" s="204"/>
    </row>
    <row r="85" spans="21:63">
      <c r="AW85" s="202"/>
      <c r="AX85" s="203"/>
      <c r="AY85" s="218"/>
      <c r="AZ85" s="218"/>
      <c r="BA85" s="221"/>
      <c r="BB85" s="204"/>
      <c r="BE85" s="220"/>
      <c r="BF85" s="203"/>
      <c r="BG85" s="218"/>
      <c r="BH85" s="218"/>
      <c r="BI85" s="218"/>
      <c r="BJ85" s="221"/>
      <c r="BK85" s="204"/>
    </row>
    <row r="87" spans="21:63" ht="26">
      <c r="AM87" s="171" t="s">
        <v>11</v>
      </c>
      <c r="AN87" s="171" t="s">
        <v>299</v>
      </c>
      <c r="AO87" s="171" t="s">
        <v>297</v>
      </c>
      <c r="AP87" s="171" t="s">
        <v>300</v>
      </c>
      <c r="AQ87" s="171" t="s">
        <v>298</v>
      </c>
      <c r="AR87" s="145" t="s">
        <v>313</v>
      </c>
    </row>
    <row r="88" spans="21:63">
      <c r="AM88" s="115"/>
      <c r="AN88" s="174"/>
      <c r="AO88" s="175"/>
      <c r="AP88" s="176"/>
      <c r="AQ88" s="177"/>
      <c r="AR88" s="178"/>
    </row>
    <row r="89" spans="21:63">
      <c r="AM89" s="179"/>
      <c r="AN89" s="174"/>
      <c r="AO89" s="180"/>
      <c r="AP89" s="181"/>
      <c r="AQ89" s="177"/>
      <c r="AR89" s="178"/>
    </row>
    <row r="90" spans="21:63">
      <c r="AM90" s="115"/>
      <c r="AN90" s="174"/>
      <c r="AO90" s="180"/>
      <c r="AP90" s="181"/>
      <c r="AQ90" s="177"/>
      <c r="AR90" s="178"/>
      <c r="AW90" s="202"/>
      <c r="AX90" s="203"/>
      <c r="AY90" s="218"/>
      <c r="AZ90" s="218"/>
      <c r="BA90" s="219"/>
      <c r="BB90" s="204"/>
    </row>
    <row r="91" spans="21:63">
      <c r="AM91" s="179"/>
      <c r="AN91" s="174"/>
      <c r="AO91" s="180"/>
      <c r="AP91" s="181"/>
      <c r="AQ91" s="177"/>
      <c r="AR91" s="178"/>
    </row>
    <row r="92" spans="21:63">
      <c r="AM92" s="179"/>
      <c r="AN92" s="174"/>
      <c r="AO92" s="180"/>
      <c r="AP92" s="181"/>
      <c r="AQ92" s="177"/>
      <c r="AR92" s="178"/>
    </row>
    <row r="93" spans="21:63">
      <c r="AM93" s="179"/>
      <c r="AN93" s="174"/>
      <c r="AO93" s="180"/>
      <c r="AP93" s="181"/>
      <c r="AQ93" s="177"/>
      <c r="AR93" s="178"/>
    </row>
    <row r="94" spans="21:63">
      <c r="AM94" s="179"/>
      <c r="AN94" s="174"/>
      <c r="AO94" s="180"/>
      <c r="AP94" s="181"/>
      <c r="AQ94" s="177"/>
      <c r="AR94" s="178"/>
    </row>
    <row r="95" spans="21:63">
      <c r="AM95" s="179"/>
      <c r="AN95" s="174"/>
      <c r="AO95" s="180"/>
      <c r="AP95" s="181"/>
      <c r="AQ95" s="177"/>
      <c r="AR95" s="178"/>
    </row>
    <row r="96" spans="21:63">
      <c r="AM96" s="179"/>
      <c r="AN96" s="174"/>
      <c r="AO96" s="180"/>
      <c r="AP96" s="181"/>
      <c r="AQ96" s="177"/>
      <c r="AR96" s="178"/>
    </row>
  </sheetData>
  <phoneticPr fontId="23" type="noConversion"/>
  <pageMargins left="0.511811024" right="0.511811024" top="0.78740157499999996" bottom="0.78740157499999996" header="0.31496062000000002" footer="0.31496062000000002"/>
  <pageSetup paperSize="9" orientation="portrait" r:id="rId1"/>
  <ignoredErrors>
    <ignoredError sqref="AF7:AF52" formula="1"/>
  </ignoredErrors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6">
    <tabColor theme="9" tint="0.39997558519241921"/>
  </sheetPr>
  <dimension ref="A3:BV169"/>
  <sheetViews>
    <sheetView topLeftCell="A24" zoomScale="89" zoomScaleNormal="89" workbookViewId="0">
      <selection activeCell="D25" sqref="D25"/>
    </sheetView>
  </sheetViews>
  <sheetFormatPr defaultColWidth="9.08984375" defaultRowHeight="14.5"/>
  <cols>
    <col min="1" max="1" width="15.36328125" style="32" bestFit="1" customWidth="1"/>
    <col min="2" max="2" width="11.54296875" bestFit="1" customWidth="1"/>
    <col min="3" max="3" width="7.08984375" customWidth="1"/>
    <col min="4" max="4" width="62.54296875" customWidth="1"/>
    <col min="5" max="5" width="16.36328125" hidden="1" customWidth="1"/>
    <col min="6" max="6" width="16.453125" hidden="1" customWidth="1"/>
    <col min="7" max="7" width="16.36328125" hidden="1" customWidth="1"/>
    <col min="8" max="8" width="17.08984375" customWidth="1"/>
    <col min="9" max="9" width="17.453125" hidden="1" customWidth="1"/>
    <col min="10" max="10" width="17.6328125" hidden="1" customWidth="1"/>
    <col min="11" max="11" width="15.453125" hidden="1" customWidth="1"/>
    <col min="12" max="12" width="17.453125" hidden="1" customWidth="1"/>
    <col min="13" max="13" width="13.453125" hidden="1" customWidth="1"/>
    <col min="14" max="14" width="17.453125" hidden="1" customWidth="1"/>
    <col min="15" max="15" width="22.54296875" hidden="1" customWidth="1"/>
    <col min="16" max="18" width="16.36328125" hidden="1" customWidth="1"/>
    <col min="19" max="19" width="17" hidden="1" customWidth="1"/>
    <col min="20" max="20" width="16.36328125" hidden="1" customWidth="1"/>
    <col min="21" max="21" width="10.54296875" hidden="1" customWidth="1"/>
    <col min="22" max="22" width="15.90625" hidden="1" customWidth="1"/>
    <col min="23" max="23" width="15.08984375" hidden="1" customWidth="1"/>
    <col min="24" max="24" width="17" hidden="1" customWidth="1"/>
    <col min="25" max="25" width="14.6328125" hidden="1" customWidth="1"/>
    <col min="26" max="26" width="19.08984375" hidden="1" customWidth="1"/>
    <col min="27" max="27" width="16.36328125" hidden="1" customWidth="1"/>
    <col min="28" max="28" width="15.453125" hidden="1" customWidth="1"/>
    <col min="29" max="29" width="10.54296875" hidden="1" customWidth="1"/>
    <col min="30" max="30" width="16.54296875" hidden="1" customWidth="1"/>
    <col min="31" max="31" width="17" hidden="1" customWidth="1"/>
    <col min="32" max="32" width="16.90625" hidden="1" customWidth="1"/>
    <col min="33" max="33" width="15.54296875" hidden="1" customWidth="1"/>
    <col min="34" max="34" width="17.453125" hidden="1" customWidth="1"/>
    <col min="35" max="36" width="15.54296875" hidden="1" customWidth="1"/>
    <col min="37" max="37" width="17" hidden="1" customWidth="1"/>
    <col min="38" max="39" width="15.54296875" hidden="1" customWidth="1"/>
    <col min="40" max="41" width="17" hidden="1" customWidth="1"/>
    <col min="42" max="42" width="21.90625" hidden="1" customWidth="1"/>
    <col min="43" max="43" width="17.54296875" hidden="1" customWidth="1"/>
    <col min="44" max="44" width="17.08984375" hidden="1" customWidth="1"/>
    <col min="45" max="46" width="23.90625" hidden="1" customWidth="1"/>
    <col min="47" max="47" width="19.54296875" hidden="1" customWidth="1"/>
    <col min="48" max="52" width="15.54296875" hidden="1" customWidth="1"/>
    <col min="53" max="53" width="16.453125" customWidth="1"/>
    <col min="54" max="54" width="15.453125" customWidth="1"/>
    <col min="55" max="55" width="15.453125" hidden="1" customWidth="1"/>
    <col min="56" max="56" width="21.453125" hidden="1" customWidth="1"/>
    <col min="57" max="57" width="9.08984375" hidden="1" customWidth="1"/>
    <col min="58" max="58" width="17.54296875" customWidth="1"/>
    <col min="59" max="59" width="9.08984375" customWidth="1"/>
    <col min="60" max="60" width="13.54296875" bestFit="1" customWidth="1"/>
    <col min="61" max="61" width="13.54296875" customWidth="1"/>
    <col min="62" max="63" width="10.54296875" style="4" customWidth="1"/>
    <col min="64" max="65" width="9.08984375" customWidth="1"/>
    <col min="66" max="66" width="13.54296875" customWidth="1"/>
    <col min="67" max="68" width="10.54296875" customWidth="1"/>
    <col min="69" max="70" width="9.08984375" customWidth="1"/>
    <col min="71" max="71" width="14.453125" customWidth="1"/>
    <col min="72" max="73" width="10.54296875" customWidth="1"/>
    <col min="74" max="74" width="9.08984375" customWidth="1"/>
  </cols>
  <sheetData>
    <row r="3" spans="1:60" ht="23.25" customHeight="1"/>
    <row r="4" spans="1:60">
      <c r="E4" s="162"/>
      <c r="F4" s="163"/>
      <c r="G4" s="162"/>
      <c r="H4" s="163"/>
      <c r="I4" s="163"/>
      <c r="S4" s="162"/>
      <c r="T4" s="163"/>
    </row>
    <row r="5" spans="1:60">
      <c r="E5" s="310">
        <f>IF(VLOOKUP(E7,Efeito!$A$5:$B$56,2,FALSE)="NO SELECT",0,1)</f>
        <v>0</v>
      </c>
      <c r="F5" s="310">
        <f>IF(VLOOKUP(F7,Efeito!$A$5:$B$56,2,FALSE)="NO SELECT",0,1)</f>
        <v>0</v>
      </c>
      <c r="G5" s="310">
        <f>IF(VLOOKUP(G7,Efeito!$A$5:$B$56,2,FALSE)="NO SELECT",0,1)</f>
        <v>0</v>
      </c>
      <c r="H5" s="310">
        <f>IF(VLOOKUP(H7,Efeito!$A$5:$B$56,2,FALSE)="NO SELECT",0,1)</f>
        <v>1</v>
      </c>
      <c r="I5" s="310">
        <f>IF(VLOOKUP(I7,Efeito!$A$5:$B$56,2,FALSE)="NO SELECT",0,1)</f>
        <v>0</v>
      </c>
      <c r="J5" s="310">
        <f>IF(VLOOKUP(J7,Efeito!$A$5:$B$56,2,FALSE)="NO SELECT",0,1)</f>
        <v>0</v>
      </c>
      <c r="K5" s="310">
        <f>IF(VLOOKUP(K7,Efeito!$A$5:$B$56,2,FALSE)="NO SELECT",0,1)</f>
        <v>0</v>
      </c>
      <c r="L5" s="310">
        <f>IF(VLOOKUP(L7,Efeito!$A$5:$B$56,2,FALSE)="NO SELECT",0,1)</f>
        <v>0</v>
      </c>
      <c r="M5" s="310">
        <f>IF(VLOOKUP(M7,Efeito!$A$5:$B$56,2,FALSE)="NO SELECT",0,1)</f>
        <v>0</v>
      </c>
      <c r="N5" s="310">
        <f>IF(VLOOKUP(N7,Efeito!$A$5:$B$56,2,FALSE)="NO SELECT",0,1)</f>
        <v>0</v>
      </c>
      <c r="O5" s="310">
        <f>IF(VLOOKUP(O7,Efeito!$A$5:$B$56,2,FALSE)="NO SELECT",0,1)</f>
        <v>0</v>
      </c>
      <c r="P5" s="310">
        <f>IF(VLOOKUP(P7,Efeito!$A$5:$B$56,2,FALSE)="NO SELECT",0,1)</f>
        <v>0</v>
      </c>
      <c r="Q5" s="310">
        <f>IF(VLOOKUP(Q7,Efeito!$A$5:$B$56,2,FALSE)="NO SELECT",0,1)</f>
        <v>0</v>
      </c>
      <c r="R5" s="310">
        <f>IF(VLOOKUP(R7,Efeito!$A$5:$B$56,2,FALSE)="NO SELECT",0,1)</f>
        <v>0</v>
      </c>
      <c r="S5" s="310">
        <f>IF(VLOOKUP(S7,Efeito!$A$5:$B$56,2,FALSE)="NO SELECT",0,1)</f>
        <v>0</v>
      </c>
      <c r="T5" s="310">
        <f>IF(VLOOKUP(T7,Efeito!$A$5:$B$56,2,FALSE)="NO SELECT",0,1)</f>
        <v>0</v>
      </c>
      <c r="U5" s="310">
        <f>IF(VLOOKUP(U7,Efeito!$A$5:$B$56,2,FALSE)="NO SELECT",0,1)</f>
        <v>0</v>
      </c>
      <c r="V5" s="310">
        <f>IF(VLOOKUP(V7,Efeito!$A$5:$B$56,2,FALSE)="NO SELECT",0,1)</f>
        <v>0</v>
      </c>
      <c r="W5" s="310">
        <f>IF(VLOOKUP(W7,Efeito!$A$5:$B$56,2,FALSE)="NO SELECT",0,1)</f>
        <v>0</v>
      </c>
      <c r="X5" s="310">
        <f>IF(VLOOKUP(X7,Efeito!$A$5:$B$56,2,FALSE)="NO SELECT",0,1)</f>
        <v>0</v>
      </c>
      <c r="Y5" s="310">
        <f>IF(VLOOKUP(Y7,Efeito!$A$5:$B$56,2,FALSE)="NO SELECT",0,1)</f>
        <v>0</v>
      </c>
      <c r="Z5" s="310">
        <f>IF(VLOOKUP(Z7,Efeito!$A$5:$B$56,2,FALSE)="NO SELECT",0,1)</f>
        <v>0</v>
      </c>
      <c r="AA5" s="310">
        <f>IF(VLOOKUP(AA7,Efeito!$A$5:$B$56,2,FALSE)="NO SELECT",0,1)</f>
        <v>0</v>
      </c>
      <c r="AB5" s="310">
        <f>IF(VLOOKUP(AB7,Efeito!$A$5:$B$56,2,FALSE)="NO SELECT",0,1)</f>
        <v>0</v>
      </c>
      <c r="AC5" s="310">
        <f>IF(VLOOKUP(AC7,Efeito!$A$5:$B$56,2,FALSE)="NO SELECT",0,1)</f>
        <v>0</v>
      </c>
      <c r="AD5" s="310">
        <f>IF(VLOOKUP(AD7,Efeito!$A$5:$B$56,2,FALSE)="NO SELECT",0,1)</f>
        <v>0</v>
      </c>
      <c r="AE5" s="310">
        <f>IF(VLOOKUP(AE7,Efeito!$A$5:$B$56,2,FALSE)="NO SELECT",0,1)</f>
        <v>0</v>
      </c>
      <c r="AF5" s="310">
        <f>IF(VLOOKUP(AF7,Efeito!$A$5:$B$56,2,FALSE)="NO SELECT",0,1)</f>
        <v>0</v>
      </c>
      <c r="AG5" s="310">
        <f>IF(VLOOKUP(AG7,Efeito!$A$5:$B$56,2,FALSE)="NO SELECT",0,1)</f>
        <v>0</v>
      </c>
      <c r="AH5" s="310">
        <f>IF(VLOOKUP(AH7,Efeito!$A$5:$B$56,2,FALSE)="NO SELECT",0,1)</f>
        <v>0</v>
      </c>
      <c r="AI5" s="310">
        <f>IF(VLOOKUP(AI7,Efeito!$A$5:$B$56,2,FALSE)="NO SELECT",0,1)</f>
        <v>0</v>
      </c>
      <c r="AJ5" s="310">
        <f>IF(VLOOKUP(AJ7,Efeito!$A$5:$B$56,2,FALSE)="NO SELECT",0,1)</f>
        <v>0</v>
      </c>
      <c r="AK5" s="310">
        <f>IF(VLOOKUP(AK7,Efeito!$A$5:$B$56,2,FALSE)="NO SELECT",0,1)</f>
        <v>0</v>
      </c>
      <c r="AL5" s="310">
        <f>IF(VLOOKUP(AL7,Efeito!$A$5:$B$56,2,FALSE)="NO SELECT",0,1)</f>
        <v>0</v>
      </c>
      <c r="AM5" s="310">
        <f>IF(VLOOKUP(AM7,Efeito!$A$5:$B$56,2,FALSE)="NO SELECT",0,1)</f>
        <v>0</v>
      </c>
      <c r="AN5" s="310">
        <f>IF(VLOOKUP(AN7,Efeito!$A$5:$B$56,2,FALSE)="NO SELECT",0,1)</f>
        <v>0</v>
      </c>
      <c r="AO5" s="310">
        <f>IF(VLOOKUP(AO7,Efeito!$A$5:$B$56,2,FALSE)="NO SELECT",0,1)</f>
        <v>0</v>
      </c>
      <c r="AP5" s="310">
        <f>IF(VLOOKUP(AP7,Efeito!$A$5:$B$56,2,FALSE)="NO SELECT",0,1)</f>
        <v>0</v>
      </c>
      <c r="AQ5" s="310">
        <f>IF(VLOOKUP(AQ7,Efeito!$A$5:$B$56,2,FALSE)="NO SELECT",0,1)</f>
        <v>0</v>
      </c>
      <c r="AR5" s="310">
        <f>IF(VLOOKUP(AR7,Efeito!$A$5:$B$56,2,FALSE)="NO SELECT",0,1)</f>
        <v>0</v>
      </c>
      <c r="AS5" s="310">
        <f>IF(VLOOKUP(AS7,Efeito!$A$5:$B$56,2,FALSE)="NO SELECT",0,1)</f>
        <v>0</v>
      </c>
      <c r="AT5" s="310">
        <f>IF(VLOOKUP(AT7,Efeito!$A$5:$B$56,2,FALSE)="NO SELECT",0,1)</f>
        <v>0</v>
      </c>
      <c r="AU5" s="310">
        <f>IF(VLOOKUP(AU7,Efeito!$A$5:$B$56,2,FALSE)="NO SELECT",0,1)</f>
        <v>0</v>
      </c>
      <c r="AV5" s="310">
        <f>IF(VLOOKUP(AV7,Efeito!$A$5:$B$56,2,FALSE)="NO SELECT",0,1)</f>
        <v>0</v>
      </c>
      <c r="AW5" s="310">
        <f>IF(VLOOKUP(AW7,Efeito!$A$5:$B$56,2,FALSE)="NO SELECT",0,1)</f>
        <v>0</v>
      </c>
      <c r="AX5" s="310">
        <f>IF(VLOOKUP(AX7,Efeito!$A$5:$B$56,2,FALSE)="NO SELECT",0,1)</f>
        <v>0</v>
      </c>
      <c r="AY5" s="310">
        <f>IF(VLOOKUP(AY7,Efeito!$A$5:$B$56,2,FALSE)="NO SELECT",0,1)</f>
        <v>0</v>
      </c>
      <c r="AZ5" s="310">
        <f>IF(VLOOKUP(AZ7,Efeito!$A$5:$B$56,2,FALSE)="NO SELECT",0,1)</f>
        <v>0</v>
      </c>
      <c r="BA5" s="310">
        <f>IF(VLOOKUP(BA7,Efeito!$A$5:$B$56,2,FALSE)="NO SELECT",0,1)</f>
        <v>1</v>
      </c>
      <c r="BB5" s="310">
        <f>IF(VLOOKUP(BB7,Efeito!$A$5:$B$56,2,FALSE)="NO SELECT",0,1)</f>
        <v>1</v>
      </c>
      <c r="BC5" s="310">
        <f>IF(VLOOKUP(BC7,Efeito!$A$5:$B$56,2,FALSE)="NO SELECT",0,1)</f>
        <v>0</v>
      </c>
      <c r="BD5" s="310">
        <f>IF(VLOOKUP(BD7,Efeito!$A$5:$B$56,2,FALSE)="NO SELECT",0,1)</f>
        <v>0</v>
      </c>
      <c r="BH5" s="389"/>
    </row>
    <row r="6" spans="1:60">
      <c r="D6" s="70" t="s">
        <v>70</v>
      </c>
      <c r="E6" s="97">
        <f>SUMIF(Fatos!$D$16:$D$66,E7,Fatos!$C$16:$C$66)</f>
        <v>45260</v>
      </c>
      <c r="F6" s="97">
        <f>SUMIF(Fatos!$D$16:$D$66,F7,Fatos!$C$16:$C$66)</f>
        <v>45199</v>
      </c>
      <c r="G6" s="97">
        <f>SUMIF(Fatos!$D$16:$D$66,G7,Fatos!$C$16:$C$66)</f>
        <v>45199</v>
      </c>
      <c r="H6" s="97">
        <f>SUMIF(Fatos!$D$16:$D$66,H7,Fatos!$C$16:$C$66)</f>
        <v>45282</v>
      </c>
      <c r="I6" s="97">
        <f>SUMIF(Fatos!$D$16:$D$66,I7,Fatos!$C$16:$C$66)</f>
        <v>45199</v>
      </c>
      <c r="J6" s="97">
        <f>SUMIF(Fatos!$D$16:$D$66,J7,Fatos!$C$16:$C$66)</f>
        <v>45260</v>
      </c>
      <c r="K6" s="97">
        <f>SUMIF(Fatos!$D$16:$D$66,K7,Fatos!$C$16:$C$66)</f>
        <v>45137</v>
      </c>
      <c r="L6" s="97">
        <f>SUMIF(Fatos!$D$16:$D$66,L7,Fatos!$C$16:$C$66)</f>
        <v>45199</v>
      </c>
      <c r="M6" s="97">
        <f>SUMIF(Fatos!$D$16:$D$66,M7,Fatos!$C$16:$C$66)</f>
        <v>45075</v>
      </c>
      <c r="N6" s="97">
        <f>SUMIF(Fatos!$D$16:$D$66,N7,Fatos!$C$16:$C$66)</f>
        <v>45199</v>
      </c>
      <c r="O6" s="97">
        <f>SUMIF(Fatos!$D$16:$D$66,O7,Fatos!$C$16:$C$66)</f>
        <v>45045</v>
      </c>
      <c r="P6" s="97">
        <f>SUMIF(Fatos!$D$16:$D$66,P7,Fatos!$C$16:$C$66)</f>
        <v>45199</v>
      </c>
      <c r="Q6" s="97">
        <f>SUMIF(Fatos!$D$16:$D$66,Q7,Fatos!$C$16:$C$66)</f>
        <v>45199</v>
      </c>
      <c r="R6" s="97">
        <f>SUMIF(Fatos!$D$16:$D$66,R7,Fatos!$C$16:$C$66)</f>
        <v>45199</v>
      </c>
      <c r="S6" s="97">
        <f>SUMIF(Fatos!$D$16:$D$66,S7,Fatos!$C$16:$C$66)</f>
        <v>45137</v>
      </c>
      <c r="T6" s="97">
        <f>SUMIF(Fatos!$D$16:$D$66,T7,Fatos!$C$16:$C$66)</f>
        <v>45260</v>
      </c>
      <c r="U6" s="97">
        <f>SUMIF(Fatos!$D$16:$D$66,U7,Fatos!$C$16:$C$66)</f>
        <v>45045</v>
      </c>
      <c r="V6" s="97">
        <f>SUMIF(Fatos!$D$16:$D$66,V7,Fatos!$C$16:$C$66)</f>
        <v>45137</v>
      </c>
      <c r="W6" s="97">
        <f>SUMIF(Fatos!$D$16:$D$66,W7,Fatos!$C$16:$C$66)</f>
        <v>45260</v>
      </c>
      <c r="X6" s="97">
        <f>SUMIF(Fatos!$D$16:$D$66,X7,Fatos!$C$16:$C$66)</f>
        <v>45137</v>
      </c>
      <c r="Y6" s="97">
        <f>SUMIF(Fatos!$D$16:$D$66,Y7,Fatos!$C$16:$C$66)</f>
        <v>45199</v>
      </c>
      <c r="Z6" s="97">
        <f>SUMIF(Fatos!$D$16:$D$66,Z7,Fatos!$C$16:$C$66)</f>
        <v>45137</v>
      </c>
      <c r="AA6" s="97">
        <f>SUMIF(Fatos!$D$16:$D$66,AA7,Fatos!$C$16:$C$66)</f>
        <v>45199</v>
      </c>
      <c r="AB6" s="97">
        <f>SUMIF(Fatos!$D$16:$D$66,AB7,Fatos!$C$16:$C$66)</f>
        <v>45075</v>
      </c>
      <c r="AC6" s="97">
        <f>SUMIF(Fatos!$D$16:$D$66,AC7,Fatos!$C$16:$C$66)</f>
        <v>45075</v>
      </c>
      <c r="AD6" s="97">
        <f>SUMIF(Fatos!$D$16:$D$66,AD7,Fatos!$C$16:$C$66)</f>
        <v>45199</v>
      </c>
      <c r="AE6" s="97">
        <f>SUMIF(Fatos!$D$16:$D$66,AE7,Fatos!$C$16:$C$66)</f>
        <v>45137</v>
      </c>
      <c r="AF6" s="97">
        <f>SUMIF(Fatos!$D$16:$D$66,AF7,Fatos!$C$16:$C$66)</f>
        <v>45137</v>
      </c>
      <c r="AG6" s="97">
        <f>SUMIF(Fatos!$D$16:$D$66,AG7,Fatos!$C$16:$C$66)</f>
        <v>45199</v>
      </c>
      <c r="AH6" s="97">
        <f>SUMIF(Fatos!$D$16:$D$66,AH7,Fatos!$C$16:$C$66)</f>
        <v>45260</v>
      </c>
      <c r="AI6" s="97">
        <f>SUMIF(Fatos!$D$16:$D$66,AI7,Fatos!$C$16:$C$66)</f>
        <v>45199</v>
      </c>
      <c r="AJ6" s="97">
        <f>SUMIF(Fatos!$D$16:$D$66,AJ7,Fatos!$C$16:$C$66)</f>
        <v>45199</v>
      </c>
      <c r="AK6" s="97">
        <f>SUMIF(Fatos!$D$16:$D$66,AK7,Fatos!$C$16:$C$66)</f>
        <v>45137</v>
      </c>
      <c r="AL6" s="97">
        <f>SUMIF(Fatos!$D$16:$D$66,AL7,Fatos!$C$16:$C$66)</f>
        <v>45199</v>
      </c>
      <c r="AM6" s="97">
        <f>SUMIF(Fatos!$D$16:$D$66,AM7,Fatos!$C$16:$C$66)</f>
        <v>45199</v>
      </c>
      <c r="AN6" s="97">
        <f>SUMIF(Fatos!$D$16:$D$66,AN7,Fatos!$C$16:$C$66)</f>
        <v>45137</v>
      </c>
      <c r="AO6" s="97">
        <f>SUMIF(Fatos!$D$16:$D$66,AO7,Fatos!$C$16:$C$66)</f>
        <v>45137</v>
      </c>
      <c r="AP6" s="97">
        <f>SUMIF(Fatos!$D$16:$D$66,AP7,Fatos!$C$16:$C$66)</f>
        <v>45137</v>
      </c>
      <c r="AQ6" s="97">
        <f>SUMIF(Fatos!$D$16:$D$66,AQ7,Fatos!$C$16:$C$66)</f>
        <v>45045</v>
      </c>
      <c r="AR6" s="97">
        <f>SUMIF(Fatos!$D$16:$D$66,AR7,Fatos!$C$16:$C$66)</f>
        <v>45045</v>
      </c>
      <c r="AS6" s="97">
        <f>SUMIF(Fatos!$D$16:$D$66,AS7,Fatos!$C$16:$C$66)</f>
        <v>45137</v>
      </c>
      <c r="AT6" s="97">
        <f>SUMIF(Fatos!$D$16:$D$66,AT7,Fatos!$C$16:$C$66)</f>
        <v>45137</v>
      </c>
      <c r="AU6" s="97">
        <f>SUMIF(Fatos!$D$16:$D$66,AU7,Fatos!$C$16:$C$66)</f>
        <v>45137</v>
      </c>
      <c r="AV6" s="97">
        <f>SUMIF(Fatos!$D$16:$D$66,AV7,Fatos!$C$16:$C$66)</f>
        <v>45199</v>
      </c>
      <c r="AW6" s="97">
        <f>SUMIF(Fatos!$D$16:$D$66,AW7,Fatos!$C$16:$C$66)</f>
        <v>45199</v>
      </c>
      <c r="AX6" s="97">
        <f>SUMIF(Fatos!$D$16:$D$66,AX7,Fatos!$C$16:$C$66)</f>
        <v>45199</v>
      </c>
      <c r="AY6" s="97">
        <f>SUMIF(Fatos!$D$16:$D$66,AY7,Fatos!$C$16:$C$66)</f>
        <v>45199</v>
      </c>
      <c r="AZ6" s="97">
        <f>SUMIF(Fatos!$D$16:$D$66,AZ7,Fatos!$C$16:$C$66)</f>
        <v>45199</v>
      </c>
      <c r="BA6" s="97">
        <f>SUMIF(Fatos!$D$16:$D$66,BA7,Fatos!$C$16:$C$66)</f>
        <v>45282</v>
      </c>
      <c r="BB6" s="97">
        <f>SUMIF(Fatos!$D$16:$D$66,BB7,Fatos!$C$16:$C$66)</f>
        <v>45282</v>
      </c>
      <c r="BC6" s="97">
        <f>SUMIF(Fatos!$D$16:$D$66,BC7,Fatos!$C$16:$C$66)</f>
        <v>45075</v>
      </c>
      <c r="BD6" s="97">
        <v>45503</v>
      </c>
      <c r="BH6" s="32"/>
    </row>
    <row r="7" spans="1:60">
      <c r="A7" s="412" t="s">
        <v>248</v>
      </c>
      <c r="B7" s="145" t="s">
        <v>280</v>
      </c>
      <c r="C7" s="145"/>
      <c r="D7" s="67" t="s">
        <v>11</v>
      </c>
      <c r="E7" s="67" t="s">
        <v>147</v>
      </c>
      <c r="F7" s="67" t="s">
        <v>51</v>
      </c>
      <c r="G7" s="67" t="s">
        <v>65</v>
      </c>
      <c r="H7" s="67" t="s">
        <v>150</v>
      </c>
      <c r="I7" s="67" t="s">
        <v>66</v>
      </c>
      <c r="J7" s="67" t="s">
        <v>153</v>
      </c>
      <c r="K7" s="67" t="s">
        <v>156</v>
      </c>
      <c r="L7" s="67" t="s">
        <v>54</v>
      </c>
      <c r="M7" s="67" t="s">
        <v>159</v>
      </c>
      <c r="N7" s="67" t="s">
        <v>56</v>
      </c>
      <c r="O7" s="67" t="s">
        <v>162</v>
      </c>
      <c r="P7" s="67" t="s">
        <v>55</v>
      </c>
      <c r="Q7" s="67" t="s">
        <v>57</v>
      </c>
      <c r="R7" s="67" t="s">
        <v>58</v>
      </c>
      <c r="S7" s="67" t="s">
        <v>165</v>
      </c>
      <c r="T7" s="67" t="s">
        <v>168</v>
      </c>
      <c r="U7" s="67" t="s">
        <v>171</v>
      </c>
      <c r="V7" s="67" t="s">
        <v>174</v>
      </c>
      <c r="W7" s="67" t="s">
        <v>177</v>
      </c>
      <c r="X7" s="67" t="s">
        <v>180</v>
      </c>
      <c r="Y7" s="67" t="s">
        <v>52</v>
      </c>
      <c r="Z7" s="67" t="s">
        <v>183</v>
      </c>
      <c r="AA7" s="67" t="s">
        <v>59</v>
      </c>
      <c r="AB7" s="67" t="s">
        <v>186</v>
      </c>
      <c r="AC7" s="67" t="s">
        <v>189</v>
      </c>
      <c r="AD7" s="67" t="s">
        <v>60</v>
      </c>
      <c r="AE7" s="67" t="s">
        <v>192</v>
      </c>
      <c r="AF7" s="67" t="s">
        <v>195</v>
      </c>
      <c r="AG7" s="67" t="s">
        <v>61</v>
      </c>
      <c r="AH7" s="67" t="s">
        <v>198</v>
      </c>
      <c r="AI7" s="67" t="s">
        <v>62</v>
      </c>
      <c r="AJ7" s="67" t="s">
        <v>53</v>
      </c>
      <c r="AK7" s="67" t="s">
        <v>201</v>
      </c>
      <c r="AL7" s="67" t="s">
        <v>63</v>
      </c>
      <c r="AM7" s="67" t="s">
        <v>64</v>
      </c>
      <c r="AN7" s="67" t="s">
        <v>204</v>
      </c>
      <c r="AO7" s="67" t="s">
        <v>276</v>
      </c>
      <c r="AP7" s="67" t="s">
        <v>210</v>
      </c>
      <c r="AQ7" s="67" t="s">
        <v>213</v>
      </c>
      <c r="AR7" s="67" t="s">
        <v>215</v>
      </c>
      <c r="AS7" s="67" t="s">
        <v>217</v>
      </c>
      <c r="AT7" s="67" t="s">
        <v>219</v>
      </c>
      <c r="AU7" s="67" t="s">
        <v>221</v>
      </c>
      <c r="AV7" s="67" t="s">
        <v>223</v>
      </c>
      <c r="AW7" s="67" t="s">
        <v>225</v>
      </c>
      <c r="AX7" s="67" t="s">
        <v>227</v>
      </c>
      <c r="AY7" s="67" t="s">
        <v>229</v>
      </c>
      <c r="AZ7" s="67" t="s">
        <v>231</v>
      </c>
      <c r="BA7" s="67" t="s">
        <v>277</v>
      </c>
      <c r="BB7" s="67" t="s">
        <v>234</v>
      </c>
      <c r="BC7" s="67" t="s">
        <v>286</v>
      </c>
      <c r="BD7" s="67" t="s">
        <v>302</v>
      </c>
    </row>
    <row r="8" spans="1:60">
      <c r="A8" s="32">
        <f>SUM(E8:BD8)</f>
        <v>1071925.729343392</v>
      </c>
      <c r="B8" s="301">
        <f>IF(SUM(E8:BD8)&lt;&gt;0,1,0)</f>
        <v>1</v>
      </c>
      <c r="C8" s="300"/>
      <c r="D8" s="408" t="s">
        <v>13</v>
      </c>
      <c r="E8" s="415">
        <f>Apoio_Efeito!V4</f>
        <v>0</v>
      </c>
      <c r="F8" s="416">
        <f>Apoio_Efeito!V5</f>
        <v>0</v>
      </c>
      <c r="G8" s="416">
        <f>Apoio_Efeito!V6</f>
        <v>0</v>
      </c>
      <c r="H8" s="416">
        <f>Apoio_Efeito!V7</f>
        <v>282033.34125102236</v>
      </c>
      <c r="I8" s="416">
        <f>Apoio_Efeito!V8</f>
        <v>0</v>
      </c>
      <c r="J8" s="416">
        <f>Apoio_Efeito!V9</f>
        <v>0</v>
      </c>
      <c r="K8" s="416">
        <f>Apoio_Efeito!V10</f>
        <v>0</v>
      </c>
      <c r="L8" s="416">
        <f>Apoio_Efeito!V11</f>
        <v>0</v>
      </c>
      <c r="M8" s="416">
        <f>Apoio_Efeito!V12</f>
        <v>0</v>
      </c>
      <c r="N8" s="416">
        <f>Apoio_Efeito!V13</f>
        <v>0</v>
      </c>
      <c r="O8" s="416">
        <f>Apoio_Efeito!V14</f>
        <v>0</v>
      </c>
      <c r="P8" s="416">
        <f>Apoio_Efeito!V15</f>
        <v>0</v>
      </c>
      <c r="Q8" s="416">
        <f>Apoio_Efeito!V16</f>
        <v>0</v>
      </c>
      <c r="R8" s="416">
        <f>Apoio_Efeito!V17</f>
        <v>0</v>
      </c>
      <c r="S8" s="416">
        <f>Apoio_Efeito!V18</f>
        <v>0</v>
      </c>
      <c r="T8" s="416">
        <f>Apoio_Efeito!V19</f>
        <v>0</v>
      </c>
      <c r="U8" s="416">
        <f>Apoio_Efeito!V20</f>
        <v>0</v>
      </c>
      <c r="V8" s="416">
        <f>Apoio_Efeito!V21</f>
        <v>0</v>
      </c>
      <c r="W8" s="417">
        <f>Apoio_Efeito!V22</f>
        <v>0</v>
      </c>
      <c r="X8" s="416">
        <f>Apoio_Efeito!V23</f>
        <v>0</v>
      </c>
      <c r="Y8" s="416">
        <f>Apoio_Efeito!V24</f>
        <v>0</v>
      </c>
      <c r="Z8" s="416">
        <f>Apoio_Efeito!V25</f>
        <v>0</v>
      </c>
      <c r="AA8" s="416">
        <f>Apoio_Efeito!V26</f>
        <v>0</v>
      </c>
      <c r="AB8" s="416">
        <f>Apoio_Efeito!V27</f>
        <v>0</v>
      </c>
      <c r="AC8" s="416">
        <f>Apoio_Efeito!V28</f>
        <v>0</v>
      </c>
      <c r="AD8" s="416">
        <f>Apoio_Efeito!V29</f>
        <v>0</v>
      </c>
      <c r="AE8" s="416">
        <f>Apoio_Efeito!V30</f>
        <v>0</v>
      </c>
      <c r="AF8" s="416">
        <f>Apoio_Efeito!V31</f>
        <v>0</v>
      </c>
      <c r="AG8" s="418">
        <f>Apoio_Efeito!V32</f>
        <v>0</v>
      </c>
      <c r="AH8" s="418">
        <f>Apoio_Efeito!V33</f>
        <v>0</v>
      </c>
      <c r="AI8" s="411">
        <f>Apoio_Efeito!V34</f>
        <v>0</v>
      </c>
      <c r="AJ8" s="411">
        <f>Apoio_Efeito!V35</f>
        <v>0</v>
      </c>
      <c r="AK8" s="411">
        <f>Apoio_Efeito!V36</f>
        <v>0</v>
      </c>
      <c r="AL8" s="411">
        <f>Apoio_Efeito!V37</f>
        <v>0</v>
      </c>
      <c r="AM8" s="411">
        <f>Apoio_Efeito!V38</f>
        <v>0</v>
      </c>
      <c r="AN8" s="411">
        <f>Apoio_Efeito!V39</f>
        <v>0</v>
      </c>
      <c r="AO8" s="411">
        <f>Apoio_Efeito!V40</f>
        <v>0</v>
      </c>
      <c r="AP8" s="411">
        <f>Apoio_Efeito!V41</f>
        <v>0</v>
      </c>
      <c r="AQ8" s="411">
        <f>Apoio_Efeito!V42</f>
        <v>0</v>
      </c>
      <c r="AR8" s="411">
        <f>Apoio_Efeito!V43</f>
        <v>0</v>
      </c>
      <c r="AS8" s="411">
        <f>Apoio_Efeito!V44</f>
        <v>0</v>
      </c>
      <c r="AT8" s="411">
        <f>Apoio_Efeito!V45</f>
        <v>0</v>
      </c>
      <c r="AU8" s="411">
        <f>Apoio_Efeito!V46</f>
        <v>0</v>
      </c>
      <c r="AV8" s="411">
        <f>Apoio_Efeito!V47</f>
        <v>0</v>
      </c>
      <c r="AW8" s="411">
        <f>Apoio_Efeito!V48</f>
        <v>0</v>
      </c>
      <c r="AX8" s="411">
        <f>Apoio_Efeito!V49</f>
        <v>0</v>
      </c>
      <c r="AY8" s="377">
        <f>Apoio_Efeito!V50</f>
        <v>0</v>
      </c>
      <c r="AZ8" s="377">
        <f>Apoio_Efeito!V51</f>
        <v>0</v>
      </c>
      <c r="BA8" s="377">
        <f>Apoio_Efeito!V52</f>
        <v>524818.28954566445</v>
      </c>
      <c r="BB8" s="377">
        <f>Apoio_Efeito!V53</f>
        <v>265074.09854670527</v>
      </c>
      <c r="BC8" s="377">
        <f>Apoio_Efeito!V54</f>
        <v>0</v>
      </c>
      <c r="BD8" s="377">
        <f>Apoio_Efeito!V55</f>
        <v>0</v>
      </c>
      <c r="BE8">
        <f>IF(SUMIF(E8:AR8,"&lt;&gt;#div/0!",E8:AR8)&lt;&gt;0,1,0)</f>
        <v>1</v>
      </c>
    </row>
    <row r="9" spans="1:60">
      <c r="A9" s="32">
        <f t="shared" ref="A9:A45" si="0">SUM(E9:BD9)</f>
        <v>-1406329.8800091054</v>
      </c>
      <c r="B9" s="301">
        <f t="shared" ref="B9:B45" si="1">IF(SUM(E9:BD9)&lt;&gt;0,1,0)</f>
        <v>1</v>
      </c>
      <c r="C9" s="300"/>
      <c r="D9" s="409" t="s">
        <v>14</v>
      </c>
      <c r="E9" s="419">
        <f>Apoio_Efeito!W4</f>
        <v>0</v>
      </c>
      <c r="F9" s="418">
        <f>Apoio_Efeito!W5</f>
        <v>0</v>
      </c>
      <c r="G9" s="418">
        <f>Apoio_Efeito!W6</f>
        <v>0</v>
      </c>
      <c r="H9" s="418">
        <f>Apoio_Efeito!W7</f>
        <v>-985371.82346183178</v>
      </c>
      <c r="I9" s="418">
        <f>Apoio_Efeito!W8</f>
        <v>0</v>
      </c>
      <c r="J9" s="418">
        <f>Apoio_Efeito!W9</f>
        <v>0</v>
      </c>
      <c r="K9" s="418">
        <f>Apoio_Efeito!W10</f>
        <v>0</v>
      </c>
      <c r="L9" s="418">
        <f>Apoio_Efeito!W11</f>
        <v>0</v>
      </c>
      <c r="M9" s="418">
        <f>Apoio_Efeito!W12</f>
        <v>0</v>
      </c>
      <c r="N9" s="418">
        <f>Apoio_Efeito!W13</f>
        <v>0</v>
      </c>
      <c r="O9" s="418">
        <f>Apoio_Efeito!W14</f>
        <v>0</v>
      </c>
      <c r="P9" s="418">
        <f>Apoio_Efeito!W15</f>
        <v>0</v>
      </c>
      <c r="Q9" s="418">
        <f>Apoio_Efeito!W16</f>
        <v>0</v>
      </c>
      <c r="R9" s="418">
        <f>Apoio_Efeito!W17</f>
        <v>0</v>
      </c>
      <c r="S9" s="418">
        <f>Apoio_Efeito!W18</f>
        <v>0</v>
      </c>
      <c r="T9" s="418">
        <f>Apoio_Efeito!W19</f>
        <v>0</v>
      </c>
      <c r="U9" s="418">
        <f>Apoio_Efeito!W20</f>
        <v>0</v>
      </c>
      <c r="V9" s="418">
        <f>Apoio_Efeito!W21</f>
        <v>0</v>
      </c>
      <c r="W9" s="420">
        <f>Apoio_Efeito!W22</f>
        <v>0</v>
      </c>
      <c r="X9" s="418">
        <f>Apoio_Efeito!W23</f>
        <v>0</v>
      </c>
      <c r="Y9" s="418">
        <f>Apoio_Efeito!W24</f>
        <v>0</v>
      </c>
      <c r="Z9" s="418">
        <f>Apoio_Efeito!W25</f>
        <v>0</v>
      </c>
      <c r="AA9" s="418">
        <f>Apoio_Efeito!W26</f>
        <v>0</v>
      </c>
      <c r="AB9" s="418">
        <f>Apoio_Efeito!W27</f>
        <v>0</v>
      </c>
      <c r="AC9" s="418">
        <f>Apoio_Efeito!W28</f>
        <v>0</v>
      </c>
      <c r="AD9" s="418">
        <f>Apoio_Efeito!W29</f>
        <v>0</v>
      </c>
      <c r="AE9" s="418">
        <f>Apoio_Efeito!W30</f>
        <v>0</v>
      </c>
      <c r="AF9" s="418">
        <f>Apoio_Efeito!W31</f>
        <v>0</v>
      </c>
      <c r="AG9" s="418">
        <f>Apoio_Efeito!W32</f>
        <v>0</v>
      </c>
      <c r="AH9" s="418">
        <f>Apoio_Efeito!W33</f>
        <v>0</v>
      </c>
      <c r="AI9" s="411">
        <f>Apoio_Efeito!W34</f>
        <v>0</v>
      </c>
      <c r="AJ9" s="411">
        <f>Apoio_Efeito!W35</f>
        <v>0</v>
      </c>
      <c r="AK9" s="411">
        <f>Apoio_Efeito!W36</f>
        <v>0</v>
      </c>
      <c r="AL9" s="411">
        <f>Apoio_Efeito!W37</f>
        <v>0</v>
      </c>
      <c r="AM9" s="411">
        <f>Apoio_Efeito!W38</f>
        <v>0</v>
      </c>
      <c r="AN9" s="411">
        <f>Apoio_Efeito!W39</f>
        <v>0</v>
      </c>
      <c r="AO9" s="411">
        <f>Apoio_Efeito!W40</f>
        <v>0</v>
      </c>
      <c r="AP9" s="411">
        <f>Apoio_Efeito!W41</f>
        <v>0</v>
      </c>
      <c r="AQ9" s="411">
        <f>Apoio_Efeito!W42</f>
        <v>0</v>
      </c>
      <c r="AR9" s="411">
        <f>Apoio_Efeito!W43</f>
        <v>0</v>
      </c>
      <c r="AS9" s="411">
        <f>Apoio_Efeito!W44</f>
        <v>0</v>
      </c>
      <c r="AT9" s="411">
        <f>Apoio_Efeito!W45</f>
        <v>0</v>
      </c>
      <c r="AU9" s="411">
        <f>Apoio_Efeito!W46</f>
        <v>0</v>
      </c>
      <c r="AV9" s="411">
        <f>Apoio_Efeito!W47</f>
        <v>0</v>
      </c>
      <c r="AW9" s="411">
        <f>Apoio_Efeito!W48</f>
        <v>0</v>
      </c>
      <c r="AX9" s="411">
        <f>Apoio_Efeito!W49</f>
        <v>0</v>
      </c>
      <c r="AY9" s="377">
        <f>Apoio_Efeito!W50</f>
        <v>0</v>
      </c>
      <c r="AZ9" s="377">
        <f>Apoio_Efeito!W51</f>
        <v>0</v>
      </c>
      <c r="BA9" s="377">
        <f>Apoio_Efeito!W52</f>
        <v>-295912.93870465318</v>
      </c>
      <c r="BB9" s="377">
        <f>Apoio_Efeito!W53</f>
        <v>-125045.11784262054</v>
      </c>
      <c r="BC9" s="377">
        <f>Apoio_Efeito!W54</f>
        <v>0</v>
      </c>
      <c r="BD9" s="377">
        <f>Apoio_Efeito!W55</f>
        <v>0</v>
      </c>
      <c r="BE9">
        <f t="shared" ref="BE9:BE45" si="2">IF(SUMIF(E9:AR9,"&lt;&gt;#div/0!",E9:AR9)&lt;&gt;0,1,0)</f>
        <v>1</v>
      </c>
    </row>
    <row r="10" spans="1:60">
      <c r="A10" s="32">
        <f t="shared" si="0"/>
        <v>0</v>
      </c>
      <c r="B10" s="301">
        <f t="shared" si="1"/>
        <v>0</v>
      </c>
      <c r="C10" s="300"/>
      <c r="D10" s="409" t="s">
        <v>348</v>
      </c>
      <c r="E10" s="419">
        <f>Apoio_Efeito!X4</f>
        <v>0</v>
      </c>
      <c r="F10" s="418">
        <f>Apoio_Efeito!X5</f>
        <v>0</v>
      </c>
      <c r="G10" s="418">
        <f>Apoio_Efeito!X6</f>
        <v>0</v>
      </c>
      <c r="H10" s="418">
        <f>Apoio_Efeito!X7</f>
        <v>0</v>
      </c>
      <c r="I10" s="418">
        <f>Apoio_Efeito!X8</f>
        <v>0</v>
      </c>
      <c r="J10" s="418">
        <f>Apoio_Efeito!X9</f>
        <v>0</v>
      </c>
      <c r="K10" s="418">
        <f>Apoio_Efeito!X10</f>
        <v>0</v>
      </c>
      <c r="L10" s="418">
        <f>Apoio_Efeito!X11</f>
        <v>0</v>
      </c>
      <c r="M10" s="418">
        <f>Apoio_Efeito!X12</f>
        <v>0</v>
      </c>
      <c r="N10" s="418">
        <f>Apoio_Efeito!X13</f>
        <v>0</v>
      </c>
      <c r="O10" s="418">
        <f>Apoio_Efeito!X14</f>
        <v>0</v>
      </c>
      <c r="P10" s="418">
        <f>Apoio_Efeito!X15</f>
        <v>0</v>
      </c>
      <c r="Q10" s="418">
        <f>Apoio_Efeito!X16</f>
        <v>0</v>
      </c>
      <c r="R10" s="418">
        <f>Apoio_Efeito!X17</f>
        <v>0</v>
      </c>
      <c r="S10" s="418">
        <f>Apoio_Efeito!X18</f>
        <v>0</v>
      </c>
      <c r="T10" s="418">
        <f>Apoio_Efeito!X19</f>
        <v>0</v>
      </c>
      <c r="U10" s="418">
        <f>Apoio_Efeito!X20</f>
        <v>0</v>
      </c>
      <c r="V10" s="418">
        <f>Apoio_Efeito!X21</f>
        <v>0</v>
      </c>
      <c r="W10" s="420">
        <f>Apoio_Efeito!X22</f>
        <v>0</v>
      </c>
      <c r="X10" s="418">
        <f>Apoio_Efeito!X23</f>
        <v>0</v>
      </c>
      <c r="Y10" s="418">
        <f>Apoio_Efeito!X24</f>
        <v>0</v>
      </c>
      <c r="Z10" s="418">
        <f>Apoio_Efeito!X25</f>
        <v>0</v>
      </c>
      <c r="AA10" s="418">
        <f>Apoio_Efeito!X26</f>
        <v>0</v>
      </c>
      <c r="AB10" s="418">
        <f>Apoio_Efeito!X27</f>
        <v>0</v>
      </c>
      <c r="AC10" s="418">
        <f>Apoio_Efeito!X28</f>
        <v>0</v>
      </c>
      <c r="AD10" s="418">
        <f>Apoio_Efeito!X29</f>
        <v>0</v>
      </c>
      <c r="AE10" s="418">
        <f>Apoio_Efeito!X30</f>
        <v>0</v>
      </c>
      <c r="AF10" s="418">
        <f>Apoio_Efeito!X31</f>
        <v>0</v>
      </c>
      <c r="AG10" s="418">
        <f>Apoio_Efeito!X32</f>
        <v>0</v>
      </c>
      <c r="AH10" s="418">
        <f>Apoio_Efeito!X33</f>
        <v>0</v>
      </c>
      <c r="AI10" s="411">
        <f>Apoio_Efeito!X34</f>
        <v>0</v>
      </c>
      <c r="AJ10" s="411">
        <f>Apoio_Efeito!X35</f>
        <v>0</v>
      </c>
      <c r="AK10" s="411">
        <f>Apoio_Efeito!X36</f>
        <v>0</v>
      </c>
      <c r="AL10" s="411">
        <f>Apoio_Efeito!X37</f>
        <v>0</v>
      </c>
      <c r="AM10" s="411">
        <f>Apoio_Efeito!X38</f>
        <v>0</v>
      </c>
      <c r="AN10" s="411">
        <f>Apoio_Efeito!X39</f>
        <v>0</v>
      </c>
      <c r="AO10" s="411">
        <f>Apoio_Efeito!X40</f>
        <v>0</v>
      </c>
      <c r="AP10" s="411">
        <f>Apoio_Efeito!X41</f>
        <v>0</v>
      </c>
      <c r="AQ10" s="411">
        <f>Apoio_Efeito!X42</f>
        <v>0</v>
      </c>
      <c r="AR10" s="411">
        <f>Apoio_Efeito!X43</f>
        <v>0</v>
      </c>
      <c r="AS10" s="411">
        <f>Apoio_Efeito!X44</f>
        <v>0</v>
      </c>
      <c r="AT10" s="411">
        <f>Apoio_Efeito!X45</f>
        <v>0</v>
      </c>
      <c r="AU10" s="411">
        <f>Apoio_Efeito!X46</f>
        <v>0</v>
      </c>
      <c r="AV10" s="411">
        <f>Apoio_Efeito!X47</f>
        <v>0</v>
      </c>
      <c r="AW10" s="411">
        <f>Apoio_Efeito!X48</f>
        <v>0</v>
      </c>
      <c r="AX10" s="411">
        <f>Apoio_Efeito!X49</f>
        <v>0</v>
      </c>
      <c r="AY10" s="377">
        <f>Apoio_Efeito!X50</f>
        <v>0</v>
      </c>
      <c r="AZ10" s="377">
        <f>Apoio_Efeito!X51</f>
        <v>0</v>
      </c>
      <c r="BA10" s="377">
        <f>Apoio_Efeito!X52</f>
        <v>0</v>
      </c>
      <c r="BB10" s="377">
        <f>Apoio_Efeito!X53</f>
        <v>0</v>
      </c>
      <c r="BC10" s="377">
        <f>Apoio_Efeito!X54</f>
        <v>0</v>
      </c>
      <c r="BD10" s="377">
        <f>Apoio_Efeito!X55</f>
        <v>0</v>
      </c>
      <c r="BE10">
        <f t="shared" si="2"/>
        <v>0</v>
      </c>
    </row>
    <row r="11" spans="1:60">
      <c r="A11" s="32">
        <f t="shared" si="0"/>
        <v>0</v>
      </c>
      <c r="B11" s="301">
        <f t="shared" si="1"/>
        <v>0</v>
      </c>
      <c r="C11" s="300"/>
      <c r="D11" s="409" t="s">
        <v>325</v>
      </c>
      <c r="E11" s="419">
        <f>Apoio_Efeito!Y4</f>
        <v>0</v>
      </c>
      <c r="F11" s="418">
        <f>Apoio_Efeito!Y5</f>
        <v>0</v>
      </c>
      <c r="G11" s="418">
        <f>Apoio_Efeito!Y6</f>
        <v>0</v>
      </c>
      <c r="H11" s="418">
        <f>Apoio_Efeito!Y7</f>
        <v>0</v>
      </c>
      <c r="I11" s="418">
        <f>Apoio_Efeito!Y8</f>
        <v>0</v>
      </c>
      <c r="J11" s="418">
        <f>Apoio_Efeito!Y9</f>
        <v>0</v>
      </c>
      <c r="K11" s="418">
        <f>Apoio_Efeito!Y10</f>
        <v>0</v>
      </c>
      <c r="L11" s="418">
        <f>Apoio_Efeito!Y11</f>
        <v>0</v>
      </c>
      <c r="M11" s="418">
        <f>Apoio_Efeito!Y12</f>
        <v>0</v>
      </c>
      <c r="N11" s="418">
        <f>Apoio_Efeito!Y13</f>
        <v>0</v>
      </c>
      <c r="O11" s="418">
        <f>Apoio_Efeito!Y14</f>
        <v>0</v>
      </c>
      <c r="P11" s="418">
        <f>Apoio_Efeito!Y15</f>
        <v>0</v>
      </c>
      <c r="Q11" s="418">
        <f>Apoio_Efeito!Y16</f>
        <v>0</v>
      </c>
      <c r="R11" s="418">
        <f>Apoio_Efeito!Y17</f>
        <v>0</v>
      </c>
      <c r="S11" s="418">
        <f>Apoio_Efeito!Y18</f>
        <v>0</v>
      </c>
      <c r="T11" s="418">
        <f>Apoio_Efeito!Y19</f>
        <v>0</v>
      </c>
      <c r="U11" s="418">
        <f>Apoio_Efeito!Y20</f>
        <v>0</v>
      </c>
      <c r="V11" s="418">
        <f>Apoio_Efeito!Y21</f>
        <v>0</v>
      </c>
      <c r="W11" s="420">
        <f>Apoio_Efeito!Y22</f>
        <v>0</v>
      </c>
      <c r="X11" s="418">
        <f>Apoio_Efeito!Y23</f>
        <v>0</v>
      </c>
      <c r="Y11" s="418">
        <f>Apoio_Efeito!Y24</f>
        <v>0</v>
      </c>
      <c r="Z11" s="418">
        <f>Apoio_Efeito!Y25</f>
        <v>0</v>
      </c>
      <c r="AA11" s="418">
        <f>Apoio_Efeito!Y26</f>
        <v>0</v>
      </c>
      <c r="AB11" s="418">
        <f>Apoio_Efeito!Y27</f>
        <v>0</v>
      </c>
      <c r="AC11" s="418">
        <f>Apoio_Efeito!Y28</f>
        <v>0</v>
      </c>
      <c r="AD11" s="418">
        <f>Apoio_Efeito!Y29</f>
        <v>0</v>
      </c>
      <c r="AE11" s="418">
        <f>Apoio_Efeito!Y30</f>
        <v>0</v>
      </c>
      <c r="AF11" s="418">
        <f>Apoio_Efeito!Y31</f>
        <v>0</v>
      </c>
      <c r="AG11" s="418">
        <f>Apoio_Efeito!Y32</f>
        <v>0</v>
      </c>
      <c r="AH11" s="418">
        <f>Apoio_Efeito!Y33</f>
        <v>0</v>
      </c>
      <c r="AI11" s="411">
        <f>Apoio_Efeito!Y34</f>
        <v>0</v>
      </c>
      <c r="AJ11" s="411">
        <f>Apoio_Efeito!Y35</f>
        <v>0</v>
      </c>
      <c r="AK11" s="411">
        <f>Apoio_Efeito!Y36</f>
        <v>0</v>
      </c>
      <c r="AL11" s="411">
        <f>Apoio_Efeito!Y37</f>
        <v>0</v>
      </c>
      <c r="AM11" s="411">
        <f>Apoio_Efeito!Y38</f>
        <v>0</v>
      </c>
      <c r="AN11" s="411">
        <f>Apoio_Efeito!Y39</f>
        <v>0</v>
      </c>
      <c r="AO11" s="411">
        <f>Apoio_Efeito!Y40</f>
        <v>0</v>
      </c>
      <c r="AP11" s="411">
        <f>Apoio_Efeito!Y41</f>
        <v>0</v>
      </c>
      <c r="AQ11" s="411">
        <f>Apoio_Efeito!Y42</f>
        <v>0</v>
      </c>
      <c r="AR11" s="411">
        <f>Apoio_Efeito!Y43</f>
        <v>0</v>
      </c>
      <c r="AS11" s="411">
        <f>Apoio_Efeito!Y44</f>
        <v>0</v>
      </c>
      <c r="AT11" s="411">
        <f>Apoio_Efeito!Y45</f>
        <v>0</v>
      </c>
      <c r="AU11" s="411">
        <f>Apoio_Efeito!Y46</f>
        <v>0</v>
      </c>
      <c r="AV11" s="411">
        <f>Apoio_Efeito!Y47</f>
        <v>0</v>
      </c>
      <c r="AW11" s="411">
        <f>Apoio_Efeito!Y48</f>
        <v>0</v>
      </c>
      <c r="AX11" s="411">
        <f>Apoio_Efeito!Y49</f>
        <v>0</v>
      </c>
      <c r="AY11" s="377">
        <f>Apoio_Efeito!Y50</f>
        <v>0</v>
      </c>
      <c r="AZ11" s="377">
        <f>Apoio_Efeito!Y51</f>
        <v>0</v>
      </c>
      <c r="BA11" s="377">
        <f>Apoio_Efeito!Y52</f>
        <v>0</v>
      </c>
      <c r="BB11" s="377">
        <f>Apoio_Efeito!Y53</f>
        <v>0</v>
      </c>
      <c r="BC11" s="377">
        <f>Apoio_Efeito!Y54</f>
        <v>0</v>
      </c>
      <c r="BD11" s="377">
        <f>Apoio_Efeito!Y55</f>
        <v>0</v>
      </c>
      <c r="BE11">
        <f t="shared" si="2"/>
        <v>0</v>
      </c>
    </row>
    <row r="12" spans="1:60">
      <c r="A12" s="32">
        <f t="shared" si="0"/>
        <v>0</v>
      </c>
      <c r="B12" s="301">
        <f t="shared" si="1"/>
        <v>0</v>
      </c>
      <c r="C12" s="300"/>
      <c r="D12" s="409" t="s">
        <v>37</v>
      </c>
      <c r="E12" s="419">
        <f>Apoio_Efeito!AA4</f>
        <v>0</v>
      </c>
      <c r="F12" s="418">
        <f>Apoio_Efeito!AA5</f>
        <v>0</v>
      </c>
      <c r="G12" s="418">
        <f>Apoio_Efeito!AA6</f>
        <v>0</v>
      </c>
      <c r="H12" s="418">
        <f>Apoio_Efeito!AA7</f>
        <v>0</v>
      </c>
      <c r="I12" s="418">
        <f>Apoio_Efeito!AA8</f>
        <v>0</v>
      </c>
      <c r="J12" s="418">
        <f>Apoio_Efeito!AA9</f>
        <v>0</v>
      </c>
      <c r="K12" s="418">
        <f>Apoio_Efeito!AA10</f>
        <v>0</v>
      </c>
      <c r="L12" s="418">
        <f>Apoio_Efeito!AA11</f>
        <v>0</v>
      </c>
      <c r="M12" s="418">
        <f>Apoio_Efeito!AA12</f>
        <v>0</v>
      </c>
      <c r="N12" s="418">
        <f>Apoio_Efeito!AA13</f>
        <v>0</v>
      </c>
      <c r="O12" s="418">
        <f>Apoio_Efeito!AA14</f>
        <v>0</v>
      </c>
      <c r="P12" s="418">
        <f>Apoio_Efeito!AA15</f>
        <v>0</v>
      </c>
      <c r="Q12" s="418">
        <f>Apoio_Efeito!AA16</f>
        <v>0</v>
      </c>
      <c r="R12" s="418">
        <f>Apoio_Efeito!AA17</f>
        <v>0</v>
      </c>
      <c r="S12" s="418">
        <f>Apoio_Efeito!AA18</f>
        <v>0</v>
      </c>
      <c r="T12" s="418">
        <f>Apoio_Efeito!AA19</f>
        <v>0</v>
      </c>
      <c r="U12" s="418">
        <f>Apoio_Efeito!AA20</f>
        <v>0</v>
      </c>
      <c r="V12" s="418">
        <f>Apoio_Efeito!AA21</f>
        <v>0</v>
      </c>
      <c r="W12" s="420">
        <f>Apoio_Efeito!AA22</f>
        <v>0</v>
      </c>
      <c r="X12" s="418">
        <f>Apoio_Efeito!AA23</f>
        <v>0</v>
      </c>
      <c r="Y12" s="418">
        <f>Apoio_Efeito!AA24</f>
        <v>0</v>
      </c>
      <c r="Z12" s="418">
        <f>Apoio_Efeito!AA25</f>
        <v>0</v>
      </c>
      <c r="AA12" s="418">
        <f>Apoio_Efeito!AA26</f>
        <v>0</v>
      </c>
      <c r="AB12" s="418">
        <f>Apoio_Efeito!AA27</f>
        <v>0</v>
      </c>
      <c r="AC12" s="418">
        <f>Apoio_Efeito!AA28</f>
        <v>0</v>
      </c>
      <c r="AD12" s="418">
        <f>Apoio_Efeito!AA29</f>
        <v>0</v>
      </c>
      <c r="AE12" s="418">
        <f>Apoio_Efeito!AA30</f>
        <v>0</v>
      </c>
      <c r="AF12" s="418">
        <f>Apoio_Efeito!AA31</f>
        <v>0</v>
      </c>
      <c r="AG12" s="418">
        <f>Apoio_Efeito!AA32</f>
        <v>0</v>
      </c>
      <c r="AH12" s="418">
        <f>Apoio_Efeito!AA33</f>
        <v>0</v>
      </c>
      <c r="AI12" s="411">
        <f>Apoio_Efeito!AA34</f>
        <v>0</v>
      </c>
      <c r="AJ12" s="411">
        <f>Apoio_Efeito!AA35</f>
        <v>0</v>
      </c>
      <c r="AK12" s="411">
        <f>Apoio_Efeito!AA36</f>
        <v>0</v>
      </c>
      <c r="AL12" s="411">
        <f>Apoio_Efeito!AA37</f>
        <v>0</v>
      </c>
      <c r="AM12" s="411">
        <f>Apoio_Efeito!AA38</f>
        <v>0</v>
      </c>
      <c r="AN12" s="411">
        <f>Apoio_Efeito!AA39</f>
        <v>0</v>
      </c>
      <c r="AO12" s="411">
        <f>Apoio_Efeito!AA40</f>
        <v>0</v>
      </c>
      <c r="AP12" s="411">
        <f>Apoio_Efeito!AA41</f>
        <v>0</v>
      </c>
      <c r="AQ12" s="411">
        <f>Apoio_Efeito!AA42</f>
        <v>0</v>
      </c>
      <c r="AR12" s="411">
        <f>Apoio_Efeito!AA43</f>
        <v>0</v>
      </c>
      <c r="AS12" s="411">
        <f>Apoio_Efeito!AA44</f>
        <v>0</v>
      </c>
      <c r="AT12" s="411">
        <f>Apoio_Efeito!AA45</f>
        <v>0</v>
      </c>
      <c r="AU12" s="411">
        <f>Apoio_Efeito!AA46</f>
        <v>0</v>
      </c>
      <c r="AV12" s="411">
        <f>Apoio_Efeito!AA47</f>
        <v>0</v>
      </c>
      <c r="AW12" s="411">
        <f>Apoio_Efeito!AA48</f>
        <v>0</v>
      </c>
      <c r="AX12" s="411">
        <f>Apoio_Efeito!AA49</f>
        <v>0</v>
      </c>
      <c r="AY12" s="377">
        <f>Apoio_Efeito!AA50</f>
        <v>0</v>
      </c>
      <c r="AZ12" s="377">
        <f>Apoio_Efeito!AA51</f>
        <v>0</v>
      </c>
      <c r="BA12" s="377">
        <f>Apoio_Efeito!AA52</f>
        <v>0</v>
      </c>
      <c r="BB12" s="377">
        <f>Apoio_Efeito!AA53</f>
        <v>0</v>
      </c>
      <c r="BC12" s="377">
        <f>Apoio_Efeito!AA54</f>
        <v>0</v>
      </c>
      <c r="BD12" s="377">
        <f>Apoio_Efeito!AA55</f>
        <v>0</v>
      </c>
      <c r="BE12">
        <f t="shared" si="2"/>
        <v>0</v>
      </c>
    </row>
    <row r="13" spans="1:60">
      <c r="A13" s="32">
        <f t="shared" si="0"/>
        <v>0</v>
      </c>
      <c r="B13" s="301">
        <f t="shared" si="1"/>
        <v>0</v>
      </c>
      <c r="C13" s="300"/>
      <c r="D13" s="409" t="s">
        <v>351</v>
      </c>
      <c r="E13" s="419">
        <f>Apoio_Efeito!AB4</f>
        <v>0</v>
      </c>
      <c r="F13" s="418">
        <f>Apoio_Efeito!AB5</f>
        <v>0</v>
      </c>
      <c r="G13" s="418">
        <f>Apoio_Efeito!AB6</f>
        <v>0</v>
      </c>
      <c r="H13" s="418">
        <f>Apoio_Efeito!AB7</f>
        <v>0</v>
      </c>
      <c r="I13" s="418">
        <f>Apoio_Efeito!AB8</f>
        <v>0</v>
      </c>
      <c r="J13" s="418">
        <f>Apoio_Efeito!AB9</f>
        <v>0</v>
      </c>
      <c r="K13" s="418">
        <f>Apoio_Efeito!AB10</f>
        <v>0</v>
      </c>
      <c r="L13" s="418">
        <f>Apoio_Efeito!AB11</f>
        <v>0</v>
      </c>
      <c r="M13" s="418">
        <f>Apoio_Efeito!AB12</f>
        <v>0</v>
      </c>
      <c r="N13" s="418">
        <f>Apoio_Efeito!AB13</f>
        <v>0</v>
      </c>
      <c r="O13" s="418">
        <f>Apoio_Efeito!AB14</f>
        <v>0</v>
      </c>
      <c r="P13" s="418">
        <f>Apoio_Efeito!AB15</f>
        <v>0</v>
      </c>
      <c r="Q13" s="418">
        <f>Apoio_Efeito!AB16</f>
        <v>0</v>
      </c>
      <c r="R13" s="418">
        <f>Apoio_Efeito!AB17</f>
        <v>0</v>
      </c>
      <c r="S13" s="418">
        <f>Apoio_Efeito!AB18</f>
        <v>0</v>
      </c>
      <c r="T13" s="418">
        <f>Apoio_Efeito!AB19</f>
        <v>0</v>
      </c>
      <c r="U13" s="418">
        <f>Apoio_Efeito!AB20</f>
        <v>0</v>
      </c>
      <c r="V13" s="418">
        <f>Apoio_Efeito!AB21</f>
        <v>0</v>
      </c>
      <c r="W13" s="420">
        <f>Apoio_Efeito!AB22</f>
        <v>0</v>
      </c>
      <c r="X13" s="418">
        <f>Apoio_Efeito!AB23</f>
        <v>0</v>
      </c>
      <c r="Y13" s="418">
        <f>Apoio_Efeito!AB24</f>
        <v>0</v>
      </c>
      <c r="Z13" s="418">
        <f>Apoio_Efeito!AB25</f>
        <v>0</v>
      </c>
      <c r="AA13" s="418">
        <f>Apoio_Efeito!AB26</f>
        <v>0</v>
      </c>
      <c r="AB13" s="418">
        <f>Apoio_Efeito!AB27</f>
        <v>0</v>
      </c>
      <c r="AC13" s="418">
        <f>Apoio_Efeito!AB28</f>
        <v>0</v>
      </c>
      <c r="AD13" s="418">
        <f>Apoio_Efeito!AB29</f>
        <v>0</v>
      </c>
      <c r="AE13" s="418">
        <f>Apoio_Efeito!AB30</f>
        <v>0</v>
      </c>
      <c r="AF13" s="418">
        <f>Apoio_Efeito!AB31</f>
        <v>0</v>
      </c>
      <c r="AG13" s="418">
        <f>Apoio_Efeito!AB32</f>
        <v>0</v>
      </c>
      <c r="AH13" s="418">
        <f>Apoio_Efeito!AB33</f>
        <v>0</v>
      </c>
      <c r="AI13" s="411">
        <f>Apoio_Efeito!AB34</f>
        <v>0</v>
      </c>
      <c r="AJ13" s="411">
        <f>Apoio_Efeito!AB35</f>
        <v>0</v>
      </c>
      <c r="AK13" s="411">
        <f>Apoio_Efeito!AB36</f>
        <v>0</v>
      </c>
      <c r="AL13" s="411">
        <f>Apoio_Efeito!AB37</f>
        <v>0</v>
      </c>
      <c r="AM13" s="411">
        <f>Apoio_Efeito!AB38</f>
        <v>0</v>
      </c>
      <c r="AN13" s="411">
        <f>Apoio_Efeito!AB39</f>
        <v>0</v>
      </c>
      <c r="AO13" s="411">
        <f>Apoio_Efeito!AB40</f>
        <v>0</v>
      </c>
      <c r="AP13" s="411">
        <f>Apoio_Efeito!AB41</f>
        <v>0</v>
      </c>
      <c r="AQ13" s="411">
        <f>Apoio_Efeito!AB42</f>
        <v>0</v>
      </c>
      <c r="AR13" s="411">
        <f>Apoio_Efeito!AB43</f>
        <v>0</v>
      </c>
      <c r="AS13" s="411">
        <f>Apoio_Efeito!AB44</f>
        <v>0</v>
      </c>
      <c r="AT13" s="411">
        <f>Apoio_Efeito!AB45</f>
        <v>0</v>
      </c>
      <c r="AU13" s="411">
        <f>Apoio_Efeito!AB46</f>
        <v>0</v>
      </c>
      <c r="AV13" s="411">
        <f>Apoio_Efeito!AB47</f>
        <v>0</v>
      </c>
      <c r="AW13" s="411">
        <f>Apoio_Efeito!AB48</f>
        <v>0</v>
      </c>
      <c r="AX13" s="411">
        <f>Apoio_Efeito!AB49</f>
        <v>0</v>
      </c>
      <c r="AY13" s="377">
        <f>Apoio_Efeito!AB50</f>
        <v>0</v>
      </c>
      <c r="AZ13" s="377">
        <f>Apoio_Efeito!AB51</f>
        <v>0</v>
      </c>
      <c r="BA13" s="377">
        <f>Apoio_Efeito!AB52</f>
        <v>0</v>
      </c>
      <c r="BB13" s="377">
        <f>Apoio_Efeito!AB53</f>
        <v>0</v>
      </c>
      <c r="BC13" s="377">
        <f>Apoio_Efeito!AB54</f>
        <v>0</v>
      </c>
      <c r="BD13" s="377">
        <f>Apoio_Efeito!AB55</f>
        <v>0</v>
      </c>
      <c r="BE13">
        <f t="shared" si="2"/>
        <v>0</v>
      </c>
    </row>
    <row r="14" spans="1:60">
      <c r="A14" s="32">
        <f t="shared" si="0"/>
        <v>0</v>
      </c>
      <c r="B14" s="301">
        <f t="shared" si="1"/>
        <v>0</v>
      </c>
      <c r="C14" s="300"/>
      <c r="D14" s="409" t="s">
        <v>18</v>
      </c>
      <c r="E14" s="419">
        <f>Apoio_Efeito!AC4</f>
        <v>0</v>
      </c>
      <c r="F14" s="418">
        <f>Apoio_Efeito!AC5</f>
        <v>0</v>
      </c>
      <c r="G14" s="418">
        <f>Apoio_Efeito!AC6</f>
        <v>0</v>
      </c>
      <c r="H14" s="418">
        <f>Apoio_Efeito!AC7</f>
        <v>0</v>
      </c>
      <c r="I14" s="418">
        <f>Apoio_Efeito!AC8</f>
        <v>0</v>
      </c>
      <c r="J14" s="418">
        <f>Apoio_Efeito!AC9</f>
        <v>0</v>
      </c>
      <c r="K14" s="418">
        <f>Apoio_Efeito!AC10</f>
        <v>0</v>
      </c>
      <c r="L14" s="418">
        <f>Apoio_Efeito!AC11</f>
        <v>0</v>
      </c>
      <c r="M14" s="418">
        <f>Apoio_Efeito!AC12</f>
        <v>0</v>
      </c>
      <c r="N14" s="418">
        <f>Apoio_Efeito!AC13</f>
        <v>0</v>
      </c>
      <c r="O14" s="418">
        <f>Apoio_Efeito!AC14</f>
        <v>0</v>
      </c>
      <c r="P14" s="418">
        <f>Apoio_Efeito!AC15</f>
        <v>0</v>
      </c>
      <c r="Q14" s="418">
        <f>Apoio_Efeito!AC16</f>
        <v>0</v>
      </c>
      <c r="R14" s="418">
        <f>Apoio_Efeito!AC17</f>
        <v>0</v>
      </c>
      <c r="S14" s="418">
        <f>Apoio_Efeito!AC18</f>
        <v>0</v>
      </c>
      <c r="T14" s="418">
        <f>Apoio_Efeito!AC19</f>
        <v>0</v>
      </c>
      <c r="U14" s="418">
        <f>Apoio_Efeito!AC20</f>
        <v>0</v>
      </c>
      <c r="V14" s="418">
        <f>Apoio_Efeito!AC21</f>
        <v>0</v>
      </c>
      <c r="W14" s="420">
        <f>Apoio_Efeito!AC22</f>
        <v>0</v>
      </c>
      <c r="X14" s="418">
        <f>Apoio_Efeito!AC23</f>
        <v>0</v>
      </c>
      <c r="Y14" s="418">
        <f>Apoio_Efeito!AC24</f>
        <v>0</v>
      </c>
      <c r="Z14" s="418">
        <f>Apoio_Efeito!AC25</f>
        <v>0</v>
      </c>
      <c r="AA14" s="418">
        <f>Apoio_Efeito!AC26</f>
        <v>0</v>
      </c>
      <c r="AB14" s="418">
        <f>Apoio_Efeito!AC27</f>
        <v>0</v>
      </c>
      <c r="AC14" s="418">
        <f>Apoio_Efeito!AC28</f>
        <v>0</v>
      </c>
      <c r="AD14" s="418">
        <f>Apoio_Efeito!AC29</f>
        <v>0</v>
      </c>
      <c r="AE14" s="418">
        <f>Apoio_Efeito!AC30</f>
        <v>0</v>
      </c>
      <c r="AF14" s="418">
        <f>Apoio_Efeito!AC31</f>
        <v>0</v>
      </c>
      <c r="AG14" s="418">
        <f>Apoio_Efeito!AC32</f>
        <v>0</v>
      </c>
      <c r="AH14" s="418">
        <f>Apoio_Efeito!AC33</f>
        <v>0</v>
      </c>
      <c r="AI14" s="411">
        <f>Apoio_Efeito!AC34</f>
        <v>0</v>
      </c>
      <c r="AJ14" s="411">
        <f>Apoio_Efeito!AC35</f>
        <v>0</v>
      </c>
      <c r="AK14" s="411">
        <f>Apoio_Efeito!AC36</f>
        <v>0</v>
      </c>
      <c r="AL14" s="411">
        <f>Apoio_Efeito!AC37</f>
        <v>0</v>
      </c>
      <c r="AM14" s="411">
        <f>Apoio_Efeito!AC38</f>
        <v>0</v>
      </c>
      <c r="AN14" s="411">
        <f>Apoio_Efeito!AC39</f>
        <v>0</v>
      </c>
      <c r="AO14" s="411">
        <f>Apoio_Efeito!AC40</f>
        <v>0</v>
      </c>
      <c r="AP14" s="411">
        <f>Apoio_Efeito!AC41</f>
        <v>0</v>
      </c>
      <c r="AQ14" s="411">
        <f>Apoio_Efeito!AC42</f>
        <v>0</v>
      </c>
      <c r="AR14" s="411">
        <f>Apoio_Efeito!AC43</f>
        <v>0</v>
      </c>
      <c r="AS14" s="411">
        <f>Apoio_Efeito!AC44</f>
        <v>0</v>
      </c>
      <c r="AT14" s="411">
        <f>Apoio_Efeito!AC45</f>
        <v>0</v>
      </c>
      <c r="AU14" s="411">
        <f>Apoio_Efeito!AC46</f>
        <v>0</v>
      </c>
      <c r="AV14" s="411">
        <f>Apoio_Efeito!AC47</f>
        <v>0</v>
      </c>
      <c r="AW14" s="411">
        <f>Apoio_Efeito!AC48</f>
        <v>0</v>
      </c>
      <c r="AX14" s="411">
        <f>Apoio_Efeito!AC49</f>
        <v>0</v>
      </c>
      <c r="AY14" s="377">
        <f>Apoio_Efeito!AC50</f>
        <v>0</v>
      </c>
      <c r="AZ14" s="377">
        <f>Apoio_Efeito!AC51</f>
        <v>0</v>
      </c>
      <c r="BA14" s="377">
        <f>Apoio_Efeito!AC52</f>
        <v>0</v>
      </c>
      <c r="BB14" s="377">
        <f>Apoio_Efeito!AC53</f>
        <v>0</v>
      </c>
      <c r="BC14" s="377">
        <f>Apoio_Efeito!AC54</f>
        <v>0</v>
      </c>
      <c r="BD14" s="377">
        <f>Apoio_Efeito!AC55</f>
        <v>0</v>
      </c>
      <c r="BE14">
        <f t="shared" si="2"/>
        <v>0</v>
      </c>
    </row>
    <row r="15" spans="1:60">
      <c r="A15" s="32">
        <f t="shared" si="0"/>
        <v>-627369.27750760922</v>
      </c>
      <c r="B15" s="301">
        <f t="shared" si="1"/>
        <v>1</v>
      </c>
      <c r="C15" s="300"/>
      <c r="D15" s="409" t="s">
        <v>15</v>
      </c>
      <c r="E15" s="419">
        <f>Apoio_Efeito!AD4</f>
        <v>0</v>
      </c>
      <c r="F15" s="418">
        <f>Apoio_Efeito!AD5</f>
        <v>0</v>
      </c>
      <c r="G15" s="418">
        <f>Apoio_Efeito!AD6</f>
        <v>0</v>
      </c>
      <c r="H15" s="418">
        <f>Apoio_Efeito!AD7</f>
        <v>-12881.8067004103</v>
      </c>
      <c r="I15" s="418">
        <f>Apoio_Efeito!AD8</f>
        <v>0</v>
      </c>
      <c r="J15" s="418">
        <f>Apoio_Efeito!AD9</f>
        <v>0</v>
      </c>
      <c r="K15" s="418">
        <f>Apoio_Efeito!AD10</f>
        <v>0</v>
      </c>
      <c r="L15" s="418">
        <f>Apoio_Efeito!AD11</f>
        <v>0</v>
      </c>
      <c r="M15" s="418">
        <f>Apoio_Efeito!AD12</f>
        <v>0</v>
      </c>
      <c r="N15" s="418">
        <f>Apoio_Efeito!AD13</f>
        <v>0</v>
      </c>
      <c r="O15" s="418">
        <f>Apoio_Efeito!AD14</f>
        <v>0</v>
      </c>
      <c r="P15" s="418">
        <f>Apoio_Efeito!AD15</f>
        <v>0</v>
      </c>
      <c r="Q15" s="418">
        <f>Apoio_Efeito!AD16</f>
        <v>0</v>
      </c>
      <c r="R15" s="418">
        <f>Apoio_Efeito!AD17</f>
        <v>0</v>
      </c>
      <c r="S15" s="418">
        <f>Apoio_Efeito!AD18</f>
        <v>0</v>
      </c>
      <c r="T15" s="418">
        <f>Apoio_Efeito!AD19</f>
        <v>0</v>
      </c>
      <c r="U15" s="418">
        <f>Apoio_Efeito!AD20</f>
        <v>0</v>
      </c>
      <c r="V15" s="418">
        <f>Apoio_Efeito!AD21</f>
        <v>0</v>
      </c>
      <c r="W15" s="420">
        <f>Apoio_Efeito!AD22</f>
        <v>0</v>
      </c>
      <c r="X15" s="418">
        <f>Apoio_Efeito!AD23</f>
        <v>0</v>
      </c>
      <c r="Y15" s="418">
        <f>Apoio_Efeito!AD24</f>
        <v>0</v>
      </c>
      <c r="Z15" s="418">
        <f>Apoio_Efeito!AD25</f>
        <v>0</v>
      </c>
      <c r="AA15" s="418">
        <f>Apoio_Efeito!AD26</f>
        <v>0</v>
      </c>
      <c r="AB15" s="418">
        <f>Apoio_Efeito!AD27</f>
        <v>0</v>
      </c>
      <c r="AC15" s="418">
        <f>Apoio_Efeito!AD28</f>
        <v>0</v>
      </c>
      <c r="AD15" s="418">
        <f>Apoio_Efeito!AD29</f>
        <v>0</v>
      </c>
      <c r="AE15" s="418">
        <f>Apoio_Efeito!AD30</f>
        <v>0</v>
      </c>
      <c r="AF15" s="418">
        <f>Apoio_Efeito!AD31</f>
        <v>0</v>
      </c>
      <c r="AG15" s="418">
        <f>Apoio_Efeito!AD32</f>
        <v>0</v>
      </c>
      <c r="AH15" s="418">
        <f>Apoio_Efeito!AD33</f>
        <v>0</v>
      </c>
      <c r="AI15" s="411">
        <f>Apoio_Efeito!AD34</f>
        <v>0</v>
      </c>
      <c r="AJ15" s="411">
        <f>Apoio_Efeito!AD35</f>
        <v>0</v>
      </c>
      <c r="AK15" s="411">
        <f>Apoio_Efeito!AD36</f>
        <v>0</v>
      </c>
      <c r="AL15" s="411">
        <f>Apoio_Efeito!AD37</f>
        <v>0</v>
      </c>
      <c r="AM15" s="411">
        <f>Apoio_Efeito!AD38</f>
        <v>0</v>
      </c>
      <c r="AN15" s="411">
        <f>Apoio_Efeito!AD39</f>
        <v>0</v>
      </c>
      <c r="AO15" s="411">
        <f>Apoio_Efeito!AD40</f>
        <v>0</v>
      </c>
      <c r="AP15" s="411">
        <f>Apoio_Efeito!AD41</f>
        <v>0</v>
      </c>
      <c r="AQ15" s="411">
        <f>Apoio_Efeito!AD42</f>
        <v>0</v>
      </c>
      <c r="AR15" s="411">
        <f>Apoio_Efeito!AD43</f>
        <v>0</v>
      </c>
      <c r="AS15" s="411">
        <f>Apoio_Efeito!AD44</f>
        <v>0</v>
      </c>
      <c r="AT15" s="411">
        <f>Apoio_Efeito!AD45</f>
        <v>0</v>
      </c>
      <c r="AU15" s="411">
        <f>Apoio_Efeito!AD46</f>
        <v>0</v>
      </c>
      <c r="AV15" s="411">
        <f>Apoio_Efeito!AD47</f>
        <v>0</v>
      </c>
      <c r="AW15" s="411">
        <f>Apoio_Efeito!AD48</f>
        <v>0</v>
      </c>
      <c r="AX15" s="411">
        <f>Apoio_Efeito!AD49</f>
        <v>0</v>
      </c>
      <c r="AY15" s="377">
        <f>Apoio_Efeito!AD50</f>
        <v>0</v>
      </c>
      <c r="AZ15" s="377">
        <f>Apoio_Efeito!AD51</f>
        <v>0</v>
      </c>
      <c r="BA15" s="377">
        <f>Apoio_Efeito!AD52</f>
        <v>-560301.484692581</v>
      </c>
      <c r="BB15" s="377">
        <f>Apoio_Efeito!AD53</f>
        <v>-54185.986114617903</v>
      </c>
      <c r="BC15" s="377">
        <f>Apoio_Efeito!AD54</f>
        <v>0</v>
      </c>
      <c r="BD15" s="377">
        <f>Apoio_Efeito!AD55</f>
        <v>0</v>
      </c>
      <c r="BE15">
        <f t="shared" si="2"/>
        <v>1</v>
      </c>
    </row>
    <row r="16" spans="1:60">
      <c r="A16" s="32">
        <f t="shared" si="0"/>
        <v>-31214847.481105991</v>
      </c>
      <c r="B16" s="301">
        <f t="shared" si="1"/>
        <v>1</v>
      </c>
      <c r="C16" s="300"/>
      <c r="D16" s="409" t="s">
        <v>16</v>
      </c>
      <c r="E16" s="419">
        <f>Apoio_Efeito!AE4</f>
        <v>0</v>
      </c>
      <c r="F16" s="418">
        <f>Apoio_Efeito!AE5</f>
        <v>0</v>
      </c>
      <c r="G16" s="418">
        <f>Apoio_Efeito!AE6</f>
        <v>0</v>
      </c>
      <c r="H16" s="418">
        <f>Apoio_Efeito!AE7</f>
        <v>-13396235.4811807</v>
      </c>
      <c r="I16" s="418">
        <f>Apoio_Efeito!AE8</f>
        <v>0</v>
      </c>
      <c r="J16" s="418">
        <f>Apoio_Efeito!AE9</f>
        <v>0</v>
      </c>
      <c r="K16" s="418">
        <f>Apoio_Efeito!AE10</f>
        <v>0</v>
      </c>
      <c r="L16" s="418">
        <f>Apoio_Efeito!AE11</f>
        <v>0</v>
      </c>
      <c r="M16" s="418">
        <f>Apoio_Efeito!AE12</f>
        <v>0</v>
      </c>
      <c r="N16" s="418">
        <f>Apoio_Efeito!AE13</f>
        <v>0</v>
      </c>
      <c r="O16" s="418">
        <f>Apoio_Efeito!AE14</f>
        <v>0</v>
      </c>
      <c r="P16" s="418">
        <f>Apoio_Efeito!AE15</f>
        <v>0</v>
      </c>
      <c r="Q16" s="418">
        <f>Apoio_Efeito!AE16</f>
        <v>0</v>
      </c>
      <c r="R16" s="418">
        <f>Apoio_Efeito!AE17</f>
        <v>0</v>
      </c>
      <c r="S16" s="418">
        <f>Apoio_Efeito!AE18</f>
        <v>0</v>
      </c>
      <c r="T16" s="418">
        <f>Apoio_Efeito!AE19</f>
        <v>0</v>
      </c>
      <c r="U16" s="418">
        <f>Apoio_Efeito!AE20</f>
        <v>0</v>
      </c>
      <c r="V16" s="418">
        <f>Apoio_Efeito!AE21</f>
        <v>0</v>
      </c>
      <c r="W16" s="420">
        <f>Apoio_Efeito!AE22</f>
        <v>0</v>
      </c>
      <c r="X16" s="418">
        <f>Apoio_Efeito!AE23</f>
        <v>0</v>
      </c>
      <c r="Y16" s="418">
        <f>Apoio_Efeito!AE24</f>
        <v>0</v>
      </c>
      <c r="Z16" s="418">
        <f>Apoio_Efeito!AE25</f>
        <v>0</v>
      </c>
      <c r="AA16" s="418">
        <f>Apoio_Efeito!AE26</f>
        <v>0</v>
      </c>
      <c r="AB16" s="418">
        <f>Apoio_Efeito!AE27</f>
        <v>0</v>
      </c>
      <c r="AC16" s="418">
        <f>Apoio_Efeito!AE28</f>
        <v>0</v>
      </c>
      <c r="AD16" s="418">
        <f>Apoio_Efeito!AE29</f>
        <v>0</v>
      </c>
      <c r="AE16" s="418">
        <f>Apoio_Efeito!AE30</f>
        <v>0</v>
      </c>
      <c r="AF16" s="418">
        <f>Apoio_Efeito!AE31</f>
        <v>0</v>
      </c>
      <c r="AG16" s="418">
        <f>Apoio_Efeito!AE32</f>
        <v>0</v>
      </c>
      <c r="AH16" s="418">
        <f>Apoio_Efeito!AE33</f>
        <v>0</v>
      </c>
      <c r="AI16" s="411">
        <f>Apoio_Efeito!AE34</f>
        <v>0</v>
      </c>
      <c r="AJ16" s="411">
        <f>Apoio_Efeito!AE35</f>
        <v>0</v>
      </c>
      <c r="AK16" s="411">
        <f>Apoio_Efeito!AE36</f>
        <v>0</v>
      </c>
      <c r="AL16" s="411">
        <f>Apoio_Efeito!AE37</f>
        <v>0</v>
      </c>
      <c r="AM16" s="411">
        <f>Apoio_Efeito!AE38</f>
        <v>0</v>
      </c>
      <c r="AN16" s="411">
        <f>Apoio_Efeito!AE39</f>
        <v>0</v>
      </c>
      <c r="AO16" s="411">
        <f>Apoio_Efeito!AE40</f>
        <v>0</v>
      </c>
      <c r="AP16" s="411">
        <f>Apoio_Efeito!AE41</f>
        <v>0</v>
      </c>
      <c r="AQ16" s="411">
        <f>Apoio_Efeito!AE42</f>
        <v>0</v>
      </c>
      <c r="AR16" s="411">
        <f>Apoio_Efeito!AE43</f>
        <v>0</v>
      </c>
      <c r="AS16" s="411">
        <f>Apoio_Efeito!AE44</f>
        <v>0</v>
      </c>
      <c r="AT16" s="411">
        <f>Apoio_Efeito!AE45</f>
        <v>0</v>
      </c>
      <c r="AU16" s="411">
        <f>Apoio_Efeito!AE46</f>
        <v>0</v>
      </c>
      <c r="AV16" s="411">
        <f>Apoio_Efeito!AE47</f>
        <v>0</v>
      </c>
      <c r="AW16" s="411">
        <f>Apoio_Efeito!AE48</f>
        <v>0</v>
      </c>
      <c r="AX16" s="411">
        <f>Apoio_Efeito!AE49</f>
        <v>0</v>
      </c>
      <c r="AY16" s="377">
        <f>Apoio_Efeito!AE50</f>
        <v>0</v>
      </c>
      <c r="AZ16" s="377">
        <f>Apoio_Efeito!AE51</f>
        <v>0</v>
      </c>
      <c r="BA16" s="377">
        <f>Apoio_Efeito!AE52</f>
        <v>-11162470.8473772</v>
      </c>
      <c r="BB16" s="377">
        <f>Apoio_Efeito!AE53</f>
        <v>-6656141.1525480896</v>
      </c>
      <c r="BC16" s="377">
        <f>Apoio_Efeito!AE54</f>
        <v>0</v>
      </c>
      <c r="BD16" s="377">
        <f>Apoio_Efeito!AE55</f>
        <v>0</v>
      </c>
      <c r="BE16">
        <f t="shared" si="2"/>
        <v>1</v>
      </c>
    </row>
    <row r="17" spans="1:74">
      <c r="A17" s="32">
        <f t="shared" si="0"/>
        <v>-98.077732042027307</v>
      </c>
      <c r="B17" s="301">
        <f t="shared" si="1"/>
        <v>1</v>
      </c>
      <c r="C17" s="300"/>
      <c r="D17" s="409" t="s">
        <v>17</v>
      </c>
      <c r="E17" s="418">
        <f>Apoio_Efeito!AF4</f>
        <v>0</v>
      </c>
      <c r="F17" s="418">
        <f>Apoio_Efeito!AF5</f>
        <v>0</v>
      </c>
      <c r="G17" s="418">
        <f>Apoio_Efeito!AF6</f>
        <v>0</v>
      </c>
      <c r="H17" s="418">
        <f>Apoio_Efeito!AF7</f>
        <v>0</v>
      </c>
      <c r="I17" s="418">
        <f>Apoio_Efeito!AF8</f>
        <v>0</v>
      </c>
      <c r="J17" s="418">
        <f>Apoio_Efeito!AF9</f>
        <v>0</v>
      </c>
      <c r="K17" s="418">
        <f>Apoio_Efeito!AF10</f>
        <v>0</v>
      </c>
      <c r="L17" s="418">
        <f>Apoio_Efeito!AF11</f>
        <v>0</v>
      </c>
      <c r="M17" s="418">
        <f>Apoio_Efeito!AF12</f>
        <v>0</v>
      </c>
      <c r="N17" s="418">
        <f>Apoio_Efeito!AF13</f>
        <v>0</v>
      </c>
      <c r="O17" s="418">
        <f>Apoio_Efeito!AF14</f>
        <v>0</v>
      </c>
      <c r="P17" s="418">
        <f>Apoio_Efeito!AF15</f>
        <v>0</v>
      </c>
      <c r="Q17" s="418">
        <f>Apoio_Efeito!AF16</f>
        <v>0</v>
      </c>
      <c r="R17" s="418">
        <f>Apoio_Efeito!AF17</f>
        <v>0</v>
      </c>
      <c r="S17" s="418">
        <f>Apoio_Efeito!AF18</f>
        <v>0</v>
      </c>
      <c r="T17" s="418">
        <f>Apoio_Efeito!AF19</f>
        <v>0</v>
      </c>
      <c r="U17" s="418">
        <f>Apoio_Efeito!AF20</f>
        <v>0</v>
      </c>
      <c r="V17" s="418">
        <f>Apoio_Efeito!AF21</f>
        <v>0</v>
      </c>
      <c r="W17" s="418">
        <f>Apoio_Efeito!AF22</f>
        <v>0</v>
      </c>
      <c r="X17" s="418">
        <f>Apoio_Efeito!AF23</f>
        <v>0</v>
      </c>
      <c r="Y17" s="418">
        <f>Apoio_Efeito!AF24</f>
        <v>0</v>
      </c>
      <c r="Z17" s="418">
        <f>Apoio_Efeito!AF25</f>
        <v>0</v>
      </c>
      <c r="AA17" s="418">
        <f>Apoio_Efeito!AF26</f>
        <v>0</v>
      </c>
      <c r="AB17" s="418">
        <f>Apoio_Efeito!AF27</f>
        <v>0</v>
      </c>
      <c r="AC17" s="418">
        <f>Apoio_Efeito!AF28</f>
        <v>0</v>
      </c>
      <c r="AD17" s="418">
        <f>Apoio_Efeito!AF29</f>
        <v>0</v>
      </c>
      <c r="AE17" s="418">
        <f>Apoio_Efeito!AF30</f>
        <v>0</v>
      </c>
      <c r="AF17" s="418">
        <f>Apoio_Efeito!AF31</f>
        <v>0</v>
      </c>
      <c r="AG17" s="418">
        <f>Apoio_Efeito!AF32</f>
        <v>0</v>
      </c>
      <c r="AH17" s="418">
        <f>Apoio_Efeito!AF33</f>
        <v>0</v>
      </c>
      <c r="AI17" s="411">
        <f>Apoio_Efeito!AF34</f>
        <v>0</v>
      </c>
      <c r="AJ17" s="411">
        <f>Apoio_Efeito!AF35</f>
        <v>0</v>
      </c>
      <c r="AK17" s="411">
        <f>Apoio_Efeito!AF36</f>
        <v>0</v>
      </c>
      <c r="AL17" s="411">
        <f>Apoio_Efeito!AF37</f>
        <v>0</v>
      </c>
      <c r="AM17" s="411">
        <f>Apoio_Efeito!AF38</f>
        <v>0</v>
      </c>
      <c r="AN17" s="411">
        <f>Apoio_Efeito!AF39</f>
        <v>0</v>
      </c>
      <c r="AO17" s="411">
        <f>Apoio_Efeito!AF40</f>
        <v>0</v>
      </c>
      <c r="AP17" s="411">
        <f>Apoio_Efeito!AF41</f>
        <v>0</v>
      </c>
      <c r="AQ17" s="411">
        <f>Apoio_Efeito!AF42</f>
        <v>0</v>
      </c>
      <c r="AR17" s="411">
        <f>Apoio_Efeito!AF43</f>
        <v>0</v>
      </c>
      <c r="AS17" s="411">
        <f>Apoio_Efeito!AF44</f>
        <v>0</v>
      </c>
      <c r="AT17" s="411">
        <f>Apoio_Efeito!AF45</f>
        <v>0</v>
      </c>
      <c r="AU17" s="411">
        <f>Apoio_Efeito!AF46</f>
        <v>0</v>
      </c>
      <c r="AV17" s="411">
        <f>Apoio_Efeito!AF47</f>
        <v>0</v>
      </c>
      <c r="AW17" s="411">
        <f>Apoio_Efeito!AF48</f>
        <v>0</v>
      </c>
      <c r="AX17" s="411">
        <f>Apoio_Efeito!AF49</f>
        <v>0</v>
      </c>
      <c r="AY17" s="411">
        <f>Apoio_Efeito!AF50</f>
        <v>0</v>
      </c>
      <c r="AZ17" s="411">
        <f>Apoio_Efeito!AF51</f>
        <v>0</v>
      </c>
      <c r="BA17" s="411">
        <f>Apoio_Efeito!AF52</f>
        <v>-76.768250194452804</v>
      </c>
      <c r="BB17" s="411">
        <f>Apoio_Efeito!AF53</f>
        <v>-21.309481847574499</v>
      </c>
      <c r="BC17" s="411">
        <f>Apoio_Efeito!AF54</f>
        <v>0</v>
      </c>
      <c r="BD17" s="411">
        <f>Apoio_Efeito!AF55</f>
        <v>0</v>
      </c>
      <c r="BE17">
        <f t="shared" si="2"/>
        <v>0</v>
      </c>
    </row>
    <row r="18" spans="1:74">
      <c r="A18" s="32">
        <f>SUM(E18:BD18)</f>
        <v>0</v>
      </c>
      <c r="B18" s="301">
        <f>IF(SUM(E18:BD18)&lt;&gt;0,1,0)</f>
        <v>0</v>
      </c>
      <c r="C18" s="300"/>
      <c r="D18" s="409" t="s">
        <v>317</v>
      </c>
      <c r="E18" s="418">
        <f>Apoio_Efeito!AG4</f>
        <v>0</v>
      </c>
      <c r="F18" s="418">
        <f>Apoio_Efeito!AG5</f>
        <v>0</v>
      </c>
      <c r="G18" s="418">
        <f>Apoio_Efeito!AG6</f>
        <v>0</v>
      </c>
      <c r="H18" s="418">
        <f>Apoio_Efeito!AG7</f>
        <v>0</v>
      </c>
      <c r="I18" s="418">
        <f>Apoio_Efeito!AG8</f>
        <v>0</v>
      </c>
      <c r="J18" s="418">
        <f>Apoio_Efeito!AG9</f>
        <v>0</v>
      </c>
      <c r="K18" s="418">
        <f>Apoio_Efeito!AG10</f>
        <v>0</v>
      </c>
      <c r="L18" s="418">
        <f>Apoio_Efeito!AG11</f>
        <v>0</v>
      </c>
      <c r="M18" s="418">
        <f>Apoio_Efeito!AG12</f>
        <v>0</v>
      </c>
      <c r="N18" s="418">
        <f>Apoio_Efeito!AG13</f>
        <v>0</v>
      </c>
      <c r="O18" s="418">
        <f>Apoio_Efeito!AG14</f>
        <v>0</v>
      </c>
      <c r="P18" s="418">
        <f>Apoio_Efeito!AG15</f>
        <v>0</v>
      </c>
      <c r="Q18" s="418">
        <f>Apoio_Efeito!AG16</f>
        <v>0</v>
      </c>
      <c r="R18" s="418">
        <f>Apoio_Efeito!AG17</f>
        <v>0</v>
      </c>
      <c r="S18" s="418">
        <f>Apoio_Efeito!AG18</f>
        <v>0</v>
      </c>
      <c r="T18" s="418">
        <f>Apoio_Efeito!AG19</f>
        <v>0</v>
      </c>
      <c r="U18" s="418">
        <f>Apoio_Efeito!AG20</f>
        <v>0</v>
      </c>
      <c r="V18" s="418">
        <f>Apoio_Efeito!AG21</f>
        <v>0</v>
      </c>
      <c r="W18" s="418">
        <f>Apoio_Efeito!AG22</f>
        <v>0</v>
      </c>
      <c r="X18" s="418">
        <f>Apoio_Efeito!AG23</f>
        <v>0</v>
      </c>
      <c r="Y18" s="418">
        <f>Apoio_Efeito!AG24</f>
        <v>0</v>
      </c>
      <c r="Z18" s="418">
        <f>Apoio_Efeito!AG25</f>
        <v>0</v>
      </c>
      <c r="AA18" s="418">
        <f>Apoio_Efeito!AG26</f>
        <v>0</v>
      </c>
      <c r="AB18" s="418">
        <f>Apoio_Efeito!AG27</f>
        <v>0</v>
      </c>
      <c r="AC18" s="418">
        <f>Apoio_Efeito!AG28</f>
        <v>0</v>
      </c>
      <c r="AD18" s="418">
        <f>Apoio_Efeito!AG29</f>
        <v>0</v>
      </c>
      <c r="AE18" s="418">
        <f>Apoio_Efeito!AG30</f>
        <v>0</v>
      </c>
      <c r="AF18" s="418">
        <f>Apoio_Efeito!AG31</f>
        <v>0</v>
      </c>
      <c r="AG18" s="418">
        <f>Apoio_Efeito!AG32</f>
        <v>0</v>
      </c>
      <c r="AH18" s="418">
        <f>Apoio_Efeito!AG33</f>
        <v>0</v>
      </c>
      <c r="AI18" s="411">
        <f>Apoio_Efeito!AG34</f>
        <v>0</v>
      </c>
      <c r="AJ18" s="411">
        <f>Apoio_Efeito!AG35</f>
        <v>0</v>
      </c>
      <c r="AK18" s="411">
        <f>Apoio_Efeito!AG36</f>
        <v>0</v>
      </c>
      <c r="AL18" s="411">
        <f>Apoio_Efeito!AG37</f>
        <v>0</v>
      </c>
      <c r="AM18" s="411">
        <f>Apoio_Efeito!AG38</f>
        <v>0</v>
      </c>
      <c r="AN18" s="411">
        <f>Apoio_Efeito!AG39</f>
        <v>0</v>
      </c>
      <c r="AO18" s="411">
        <f>Apoio_Efeito!AG40</f>
        <v>0</v>
      </c>
      <c r="AP18" s="411">
        <f>Apoio_Efeito!AG41</f>
        <v>0</v>
      </c>
      <c r="AQ18" s="411">
        <f>Apoio_Efeito!AG42</f>
        <v>0</v>
      </c>
      <c r="AR18" s="411">
        <f>Apoio_Efeito!AG43</f>
        <v>0</v>
      </c>
      <c r="AS18" s="411">
        <f>Apoio_Efeito!AG44</f>
        <v>0</v>
      </c>
      <c r="AT18" s="411">
        <f>Apoio_Efeito!AG45</f>
        <v>0</v>
      </c>
      <c r="AU18" s="411">
        <f>Apoio_Efeito!AG46</f>
        <v>0</v>
      </c>
      <c r="AV18" s="411">
        <f>Apoio_Efeito!AG47</f>
        <v>0</v>
      </c>
      <c r="AW18" s="411">
        <f>Apoio_Efeito!AG48</f>
        <v>0</v>
      </c>
      <c r="AX18" s="411">
        <f>Apoio_Efeito!AG49</f>
        <v>0</v>
      </c>
      <c r="AY18" s="411">
        <f>Apoio_Efeito!AG50</f>
        <v>0</v>
      </c>
      <c r="AZ18" s="411">
        <f>Apoio_Efeito!AG51</f>
        <v>0</v>
      </c>
      <c r="BA18" s="411">
        <f>Apoio_Efeito!AG52</f>
        <v>0</v>
      </c>
      <c r="BB18" s="411">
        <f>Apoio_Efeito!AG53</f>
        <v>0</v>
      </c>
      <c r="BC18" s="411">
        <f>Apoio_Efeito!AG54</f>
        <v>0</v>
      </c>
      <c r="BD18" s="411">
        <f>Apoio_Efeito!AG55</f>
        <v>0</v>
      </c>
    </row>
    <row r="19" spans="1:74">
      <c r="A19" s="32">
        <f t="shared" si="0"/>
        <v>0</v>
      </c>
      <c r="B19" s="301">
        <f t="shared" si="1"/>
        <v>0</v>
      </c>
      <c r="C19" s="300"/>
      <c r="D19" s="409" t="s">
        <v>350</v>
      </c>
      <c r="E19" s="419">
        <f>Apoio_Efeito!AU4</f>
        <v>0</v>
      </c>
      <c r="F19" s="418">
        <f>Apoio_Efeito!AU5</f>
        <v>0</v>
      </c>
      <c r="G19" s="418">
        <f>Apoio_Efeito!AU6</f>
        <v>0</v>
      </c>
      <c r="H19" s="418">
        <f>Apoio_Efeito!AU7</f>
        <v>0</v>
      </c>
      <c r="I19" s="418">
        <f>Apoio_Efeito!AU8</f>
        <v>0</v>
      </c>
      <c r="J19" s="418">
        <f>Apoio_Efeito!AU9</f>
        <v>0</v>
      </c>
      <c r="K19" s="418">
        <f>Apoio_Efeito!AU10</f>
        <v>0</v>
      </c>
      <c r="L19" s="418">
        <f>Apoio_Efeito!AU11</f>
        <v>0</v>
      </c>
      <c r="M19" s="418">
        <f>Apoio_Efeito!AU12</f>
        <v>0</v>
      </c>
      <c r="N19" s="418">
        <f>Apoio_Efeito!AU13</f>
        <v>0</v>
      </c>
      <c r="O19" s="418">
        <f>Apoio_Efeito!AU14</f>
        <v>0</v>
      </c>
      <c r="P19" s="418">
        <f>Apoio_Efeito!AU15</f>
        <v>0</v>
      </c>
      <c r="Q19" s="418">
        <f>Apoio_Efeito!AU16</f>
        <v>0</v>
      </c>
      <c r="R19" s="418">
        <f>Apoio_Efeito!AU17</f>
        <v>0</v>
      </c>
      <c r="S19" s="418">
        <f>Apoio_Efeito!AU18</f>
        <v>0</v>
      </c>
      <c r="T19" s="418">
        <f>Apoio_Efeito!AU19</f>
        <v>0</v>
      </c>
      <c r="U19" s="418">
        <f>Apoio_Efeito!AU20</f>
        <v>0</v>
      </c>
      <c r="V19" s="418">
        <f>Apoio_Efeito!AU21</f>
        <v>0</v>
      </c>
      <c r="W19" s="420">
        <f>Apoio_Efeito!AU22</f>
        <v>0</v>
      </c>
      <c r="X19" s="418">
        <f>Apoio_Efeito!AU23</f>
        <v>0</v>
      </c>
      <c r="Y19" s="418">
        <f>Apoio_Efeito!AU24</f>
        <v>0</v>
      </c>
      <c r="Z19" s="418">
        <f>Apoio_Efeito!AU25</f>
        <v>0</v>
      </c>
      <c r="AA19" s="418">
        <f>Apoio_Efeito!AU26</f>
        <v>0</v>
      </c>
      <c r="AB19" s="418">
        <f>Apoio_Efeito!AU27</f>
        <v>0</v>
      </c>
      <c r="AC19" s="418">
        <f>Apoio_Efeito!AU28</f>
        <v>0</v>
      </c>
      <c r="AD19" s="418">
        <f>Apoio_Efeito!AU29</f>
        <v>0</v>
      </c>
      <c r="AE19" s="418">
        <f>Apoio_Efeito!AU30</f>
        <v>0</v>
      </c>
      <c r="AF19" s="418">
        <f>Apoio_Efeito!AU31</f>
        <v>0</v>
      </c>
      <c r="AG19" s="418">
        <f>Apoio_Efeito!AU32</f>
        <v>0</v>
      </c>
      <c r="AH19" s="418">
        <f>Apoio_Efeito!AU33</f>
        <v>0</v>
      </c>
      <c r="AI19" s="411">
        <f>Apoio_Efeito!AU34</f>
        <v>0</v>
      </c>
      <c r="AJ19" s="411">
        <f>Apoio_Efeito!AU35</f>
        <v>0</v>
      </c>
      <c r="AK19" s="411">
        <f>Apoio_Efeito!AU36</f>
        <v>0</v>
      </c>
      <c r="AL19" s="411">
        <f>Apoio_Efeito!AU37</f>
        <v>0</v>
      </c>
      <c r="AM19" s="411">
        <f>Apoio_Efeito!AU38</f>
        <v>0</v>
      </c>
      <c r="AN19" s="411">
        <f>Apoio_Efeito!AU39</f>
        <v>0</v>
      </c>
      <c r="AO19" s="411">
        <f>Apoio_Efeito!AU40</f>
        <v>0</v>
      </c>
      <c r="AP19" s="411">
        <f>Apoio_Efeito!AU41</f>
        <v>0</v>
      </c>
      <c r="AQ19" s="411">
        <f>Apoio_Efeito!AU42</f>
        <v>0</v>
      </c>
      <c r="AR19" s="411">
        <f>Apoio_Efeito!AU43</f>
        <v>0</v>
      </c>
      <c r="AS19" s="411">
        <f>Apoio_Efeito!AU44</f>
        <v>0</v>
      </c>
      <c r="AT19" s="411">
        <f>Apoio_Efeito!AU45</f>
        <v>0</v>
      </c>
      <c r="AU19" s="411">
        <f>Apoio_Efeito!AU46</f>
        <v>0</v>
      </c>
      <c r="AV19" s="411">
        <f>Apoio_Efeito!AU47</f>
        <v>0</v>
      </c>
      <c r="AW19" s="411">
        <f>Apoio_Efeito!AU48</f>
        <v>0</v>
      </c>
      <c r="AX19" s="411">
        <f>Apoio_Efeito!AU49</f>
        <v>0</v>
      </c>
      <c r="AY19" s="377">
        <f>Apoio_Efeito!AU50</f>
        <v>0</v>
      </c>
      <c r="AZ19" s="377">
        <f>Apoio_Efeito!AU51</f>
        <v>0</v>
      </c>
      <c r="BA19" s="377">
        <f>Apoio_Efeito!AU52</f>
        <v>0</v>
      </c>
      <c r="BB19" s="377">
        <f>Apoio_Efeito!AU53</f>
        <v>0</v>
      </c>
      <c r="BC19" s="377">
        <f>Apoio_Efeito!AU54</f>
        <v>0</v>
      </c>
      <c r="BD19" s="377">
        <f>Apoio_Efeito!AU55</f>
        <v>0</v>
      </c>
      <c r="BE19">
        <f t="shared" si="2"/>
        <v>0</v>
      </c>
    </row>
    <row r="20" spans="1:74">
      <c r="A20" s="32">
        <f t="shared" si="0"/>
        <v>-1087409.0887999998</v>
      </c>
      <c r="B20" s="301">
        <f t="shared" si="1"/>
        <v>1</v>
      </c>
      <c r="C20" s="300"/>
      <c r="D20" s="409" t="s">
        <v>321</v>
      </c>
      <c r="E20" s="419">
        <f>Apoio_Efeito!AV4</f>
        <v>0</v>
      </c>
      <c r="F20" s="418">
        <f>Apoio_Efeito!AV5</f>
        <v>0</v>
      </c>
      <c r="G20" s="418">
        <f>Apoio_Efeito!AV6</f>
        <v>0</v>
      </c>
      <c r="H20" s="418">
        <f>Apoio_Efeito!AV7</f>
        <v>-1087409.0887999998</v>
      </c>
      <c r="I20" s="418">
        <f>Apoio_Efeito!AV8</f>
        <v>0</v>
      </c>
      <c r="J20" s="418">
        <f>Apoio_Efeito!AV9</f>
        <v>0</v>
      </c>
      <c r="K20" s="418">
        <f>Apoio_Efeito!AV10</f>
        <v>0</v>
      </c>
      <c r="L20" s="418">
        <f>Apoio_Efeito!AV11</f>
        <v>0</v>
      </c>
      <c r="M20" s="418">
        <f>Apoio_Efeito!AV12</f>
        <v>0</v>
      </c>
      <c r="N20" s="418">
        <f>Apoio_Efeito!AV13</f>
        <v>0</v>
      </c>
      <c r="O20" s="418">
        <f>Apoio_Efeito!AV14</f>
        <v>0</v>
      </c>
      <c r="P20" s="418">
        <f>Apoio_Efeito!AV15</f>
        <v>0</v>
      </c>
      <c r="Q20" s="418">
        <f>Apoio_Efeito!AV16</f>
        <v>0</v>
      </c>
      <c r="R20" s="418">
        <f>Apoio_Efeito!AV17</f>
        <v>0</v>
      </c>
      <c r="S20" s="418">
        <f>Apoio_Efeito!AV18</f>
        <v>0</v>
      </c>
      <c r="T20" s="418">
        <f>Apoio_Efeito!AV19</f>
        <v>0</v>
      </c>
      <c r="U20" s="418">
        <f>Apoio_Efeito!AV20</f>
        <v>0</v>
      </c>
      <c r="V20" s="418">
        <f>Apoio_Efeito!AV21</f>
        <v>0</v>
      </c>
      <c r="W20" s="420">
        <f>Apoio_Efeito!AV22</f>
        <v>0</v>
      </c>
      <c r="X20" s="418">
        <f>Apoio_Efeito!AV23</f>
        <v>0</v>
      </c>
      <c r="Y20" s="418">
        <f>Apoio_Efeito!AV24</f>
        <v>0</v>
      </c>
      <c r="Z20" s="418">
        <f>Apoio_Efeito!AV25</f>
        <v>0</v>
      </c>
      <c r="AA20" s="418">
        <f>Apoio_Efeito!AV26</f>
        <v>0</v>
      </c>
      <c r="AB20" s="418">
        <f>Apoio_Efeito!AV27</f>
        <v>0</v>
      </c>
      <c r="AC20" s="418">
        <f>Apoio_Efeito!AV28</f>
        <v>0</v>
      </c>
      <c r="AD20" s="418">
        <f>Apoio_Efeito!AV29</f>
        <v>0</v>
      </c>
      <c r="AE20" s="418">
        <f>Apoio_Efeito!AV30</f>
        <v>0</v>
      </c>
      <c r="AF20" s="418">
        <f>Apoio_Efeito!AV31</f>
        <v>0</v>
      </c>
      <c r="AG20" s="418">
        <f>Apoio_Efeito!AV32</f>
        <v>0</v>
      </c>
      <c r="AH20" s="418">
        <f>Apoio_Efeito!AV33</f>
        <v>0</v>
      </c>
      <c r="AI20" s="411">
        <f>Apoio_Efeito!AV34</f>
        <v>0</v>
      </c>
      <c r="AJ20" s="411">
        <f>Apoio_Efeito!AV35</f>
        <v>0</v>
      </c>
      <c r="AK20" s="411">
        <f>Apoio_Efeito!AV36</f>
        <v>0</v>
      </c>
      <c r="AL20" s="411">
        <f>Apoio_Efeito!AV37</f>
        <v>0</v>
      </c>
      <c r="AM20" s="411">
        <f>Apoio_Efeito!AV38</f>
        <v>0</v>
      </c>
      <c r="AN20" s="411">
        <f>Apoio_Efeito!AV39</f>
        <v>0</v>
      </c>
      <c r="AO20" s="411">
        <f>Apoio_Efeito!AV40</f>
        <v>0</v>
      </c>
      <c r="AP20" s="411">
        <f>Apoio_Efeito!AV41</f>
        <v>0</v>
      </c>
      <c r="AQ20" s="411">
        <f>Apoio_Efeito!AV42</f>
        <v>0</v>
      </c>
      <c r="AR20" s="411">
        <f>Apoio_Efeito!AV43</f>
        <v>0</v>
      </c>
      <c r="AS20" s="411">
        <f>Apoio_Efeito!AV44</f>
        <v>0</v>
      </c>
      <c r="AT20" s="411">
        <f>Apoio_Efeito!AV45</f>
        <v>0</v>
      </c>
      <c r="AU20" s="411">
        <f>Apoio_Efeito!AV46</f>
        <v>0</v>
      </c>
      <c r="AV20" s="411">
        <f>Apoio_Efeito!AV47</f>
        <v>0</v>
      </c>
      <c r="AW20" s="411">
        <f>Apoio_Efeito!AV48</f>
        <v>0</v>
      </c>
      <c r="AX20" s="411">
        <f>Apoio_Efeito!AV49</f>
        <v>0</v>
      </c>
      <c r="AY20" s="377">
        <f>Apoio_Efeito!AV50</f>
        <v>0</v>
      </c>
      <c r="AZ20" s="377">
        <f>Apoio_Efeito!AV51</f>
        <v>0</v>
      </c>
      <c r="BA20" s="377">
        <f>Apoio_Efeito!AV52</f>
        <v>0</v>
      </c>
      <c r="BB20" s="377">
        <f>Apoio_Efeito!AV53</f>
        <v>0</v>
      </c>
      <c r="BC20" s="377">
        <f>Apoio_Efeito!AV54</f>
        <v>0</v>
      </c>
      <c r="BD20" s="377">
        <f>Apoio_Efeito!AV55</f>
        <v>0</v>
      </c>
      <c r="BE20">
        <f t="shared" si="2"/>
        <v>1</v>
      </c>
    </row>
    <row r="21" spans="1:74">
      <c r="A21" s="32">
        <f t="shared" si="0"/>
        <v>40022.245799999997</v>
      </c>
      <c r="B21" s="301">
        <f t="shared" si="1"/>
        <v>1</v>
      </c>
      <c r="C21" s="300"/>
      <c r="D21" s="409" t="s">
        <v>322</v>
      </c>
      <c r="E21" s="419">
        <f>Apoio_Efeito!AW4</f>
        <v>0</v>
      </c>
      <c r="F21" s="418">
        <f>Apoio_Efeito!AW5</f>
        <v>0</v>
      </c>
      <c r="G21" s="418">
        <f>Apoio_Efeito!AW6</f>
        <v>0</v>
      </c>
      <c r="H21" s="418">
        <f>Apoio_Efeito!AW7</f>
        <v>40022.245799999997</v>
      </c>
      <c r="I21" s="418">
        <f>Apoio_Efeito!AW8</f>
        <v>0</v>
      </c>
      <c r="J21" s="418">
        <f>Apoio_Efeito!AW9</f>
        <v>0</v>
      </c>
      <c r="K21" s="418">
        <f>Apoio_Efeito!AW10</f>
        <v>0</v>
      </c>
      <c r="L21" s="418">
        <f>Apoio_Efeito!AW11</f>
        <v>0</v>
      </c>
      <c r="M21" s="418">
        <f>Apoio_Efeito!AW12</f>
        <v>0</v>
      </c>
      <c r="N21" s="418">
        <f>Apoio_Efeito!AW13</f>
        <v>0</v>
      </c>
      <c r="O21" s="418">
        <f>Apoio_Efeito!AW14</f>
        <v>0</v>
      </c>
      <c r="P21" s="418">
        <f>Apoio_Efeito!AW15</f>
        <v>0</v>
      </c>
      <c r="Q21" s="418">
        <f>Apoio_Efeito!AW16</f>
        <v>0</v>
      </c>
      <c r="R21" s="418">
        <f>Apoio_Efeito!AW17</f>
        <v>0</v>
      </c>
      <c r="S21" s="418">
        <f>Apoio_Efeito!AW18</f>
        <v>0</v>
      </c>
      <c r="T21" s="418">
        <f>Apoio_Efeito!AW19</f>
        <v>0</v>
      </c>
      <c r="U21" s="418">
        <f>Apoio_Efeito!AW20</f>
        <v>0</v>
      </c>
      <c r="V21" s="418">
        <f>Apoio_Efeito!AW21</f>
        <v>0</v>
      </c>
      <c r="W21" s="420">
        <f>Apoio_Efeito!AW22</f>
        <v>0</v>
      </c>
      <c r="X21" s="418">
        <f>Apoio_Efeito!AW23</f>
        <v>0</v>
      </c>
      <c r="Y21" s="418">
        <f>Apoio_Efeito!AW24</f>
        <v>0</v>
      </c>
      <c r="Z21" s="418">
        <f>Apoio_Efeito!AW25</f>
        <v>0</v>
      </c>
      <c r="AA21" s="418">
        <f>Apoio_Efeito!AW26</f>
        <v>0</v>
      </c>
      <c r="AB21" s="418">
        <f>Apoio_Efeito!AW27</f>
        <v>0</v>
      </c>
      <c r="AC21" s="418">
        <f>Apoio_Efeito!AW28</f>
        <v>0</v>
      </c>
      <c r="AD21" s="418">
        <f>Apoio_Efeito!AW29</f>
        <v>0</v>
      </c>
      <c r="AE21" s="418">
        <f>Apoio_Efeito!AW30</f>
        <v>0</v>
      </c>
      <c r="AF21" s="418">
        <f>Apoio_Efeito!AW31</f>
        <v>0</v>
      </c>
      <c r="AG21" s="418">
        <f>Apoio_Efeito!AW32</f>
        <v>0</v>
      </c>
      <c r="AH21" s="418">
        <f>Apoio_Efeito!AW33</f>
        <v>0</v>
      </c>
      <c r="AI21" s="411">
        <f>Apoio_Efeito!AW34</f>
        <v>0</v>
      </c>
      <c r="AJ21" s="411">
        <f>Apoio_Efeito!AW35</f>
        <v>0</v>
      </c>
      <c r="AK21" s="411">
        <f>Apoio_Efeito!AW36</f>
        <v>0</v>
      </c>
      <c r="AL21" s="411">
        <f>Apoio_Efeito!AW37</f>
        <v>0</v>
      </c>
      <c r="AM21" s="411">
        <f>Apoio_Efeito!AW38</f>
        <v>0</v>
      </c>
      <c r="AN21" s="411">
        <f>Apoio_Efeito!AW39</f>
        <v>0</v>
      </c>
      <c r="AO21" s="411">
        <f>Apoio_Efeito!AW40</f>
        <v>0</v>
      </c>
      <c r="AP21" s="411">
        <f>Apoio_Efeito!AW41</f>
        <v>0</v>
      </c>
      <c r="AQ21" s="411">
        <f>Apoio_Efeito!AW42</f>
        <v>0</v>
      </c>
      <c r="AR21" s="411">
        <f>Apoio_Efeito!AW43</f>
        <v>0</v>
      </c>
      <c r="AS21" s="411">
        <f>Apoio_Efeito!AW44</f>
        <v>0</v>
      </c>
      <c r="AT21" s="411">
        <f>Apoio_Efeito!AW45</f>
        <v>0</v>
      </c>
      <c r="AU21" s="411">
        <f>Apoio_Efeito!AW46</f>
        <v>0</v>
      </c>
      <c r="AV21" s="411">
        <f>Apoio_Efeito!AW47</f>
        <v>0</v>
      </c>
      <c r="AW21" s="411">
        <f>Apoio_Efeito!AW48</f>
        <v>0</v>
      </c>
      <c r="AX21" s="411">
        <f>Apoio_Efeito!AW49</f>
        <v>0</v>
      </c>
      <c r="AY21" s="377">
        <f>Apoio_Efeito!AW50</f>
        <v>0</v>
      </c>
      <c r="AZ21" s="377">
        <f>Apoio_Efeito!AW51</f>
        <v>0</v>
      </c>
      <c r="BA21" s="377">
        <f>Apoio_Efeito!AW52</f>
        <v>0</v>
      </c>
      <c r="BB21" s="377">
        <f>Apoio_Efeito!AW53</f>
        <v>0</v>
      </c>
      <c r="BC21" s="377">
        <f>Apoio_Efeito!AW54</f>
        <v>0</v>
      </c>
      <c r="BD21" s="377">
        <f>Apoio_Efeito!AW55</f>
        <v>0</v>
      </c>
      <c r="BE21">
        <f t="shared" si="2"/>
        <v>1</v>
      </c>
      <c r="BI21" s="236"/>
      <c r="BN21" s="236"/>
      <c r="BS21" s="236"/>
    </row>
    <row r="22" spans="1:74">
      <c r="A22" s="32">
        <f t="shared" si="0"/>
        <v>-369514.098724543</v>
      </c>
      <c r="B22" s="301">
        <f t="shared" si="1"/>
        <v>1</v>
      </c>
      <c r="C22" s="300"/>
      <c r="D22" s="409" t="s">
        <v>323</v>
      </c>
      <c r="E22" s="419">
        <f>Apoio_Efeito!AY4</f>
        <v>0</v>
      </c>
      <c r="F22" s="418">
        <f>Apoio_Efeito!AY5</f>
        <v>0</v>
      </c>
      <c r="G22" s="418">
        <f>Apoio_Efeito!AY6</f>
        <v>0</v>
      </c>
      <c r="H22" s="418">
        <f>Apoio_Efeito!AY7</f>
        <v>-369514.098724543</v>
      </c>
      <c r="I22" s="418">
        <f>Apoio_Efeito!AY8</f>
        <v>0</v>
      </c>
      <c r="J22" s="418">
        <f>Apoio_Efeito!AY9</f>
        <v>0</v>
      </c>
      <c r="K22" s="418">
        <f>Apoio_Efeito!AY10</f>
        <v>0</v>
      </c>
      <c r="L22" s="418">
        <f>Apoio_Efeito!AY11</f>
        <v>0</v>
      </c>
      <c r="M22" s="418">
        <f>Apoio_Efeito!AY12</f>
        <v>0</v>
      </c>
      <c r="N22" s="418">
        <f>Apoio_Efeito!AY13</f>
        <v>0</v>
      </c>
      <c r="O22" s="418">
        <f>Apoio_Efeito!AY14</f>
        <v>0</v>
      </c>
      <c r="P22" s="418">
        <f>Apoio_Efeito!AY15</f>
        <v>0</v>
      </c>
      <c r="Q22" s="418">
        <f>Apoio_Efeito!AY16</f>
        <v>0</v>
      </c>
      <c r="R22" s="418">
        <f>Apoio_Efeito!AY17</f>
        <v>0</v>
      </c>
      <c r="S22" s="418">
        <f>Apoio_Efeito!AY18</f>
        <v>0</v>
      </c>
      <c r="T22" s="418">
        <f>Apoio_Efeito!AY19</f>
        <v>0</v>
      </c>
      <c r="U22" s="418">
        <f>Apoio_Efeito!AY20</f>
        <v>0</v>
      </c>
      <c r="V22" s="418">
        <f>Apoio_Efeito!AY21</f>
        <v>0</v>
      </c>
      <c r="W22" s="420">
        <f>Apoio_Efeito!AY22</f>
        <v>0</v>
      </c>
      <c r="X22" s="418">
        <f>Apoio_Efeito!AY23</f>
        <v>0</v>
      </c>
      <c r="Y22" s="418">
        <f>Apoio_Efeito!AY24</f>
        <v>0</v>
      </c>
      <c r="Z22" s="418">
        <f>Apoio_Efeito!AY25</f>
        <v>0</v>
      </c>
      <c r="AA22" s="418">
        <f>Apoio_Efeito!AY26</f>
        <v>0</v>
      </c>
      <c r="AB22" s="418">
        <f>Apoio_Efeito!AY27</f>
        <v>0</v>
      </c>
      <c r="AC22" s="418">
        <f>Apoio_Efeito!AY28</f>
        <v>0</v>
      </c>
      <c r="AD22" s="418">
        <f>Apoio_Efeito!AY29</f>
        <v>0</v>
      </c>
      <c r="AE22" s="418">
        <f>Apoio_Efeito!AY30</f>
        <v>0</v>
      </c>
      <c r="AF22" s="418">
        <f>Apoio_Efeito!AY31</f>
        <v>0</v>
      </c>
      <c r="AG22" s="418">
        <f>Apoio_Efeito!AY32</f>
        <v>0</v>
      </c>
      <c r="AH22" s="418">
        <f>Apoio_Efeito!AY33</f>
        <v>0</v>
      </c>
      <c r="AI22" s="411">
        <f>Apoio_Efeito!AY34</f>
        <v>0</v>
      </c>
      <c r="AJ22" s="411">
        <f>Apoio_Efeito!AY35</f>
        <v>0</v>
      </c>
      <c r="AK22" s="411">
        <f>Apoio_Efeito!AY36</f>
        <v>0</v>
      </c>
      <c r="AL22" s="411">
        <f>Apoio_Efeito!AY37</f>
        <v>0</v>
      </c>
      <c r="AM22" s="411">
        <f>Apoio_Efeito!AY38</f>
        <v>0</v>
      </c>
      <c r="AN22" s="411">
        <f>Apoio_Efeito!AY39</f>
        <v>0</v>
      </c>
      <c r="AO22" s="411">
        <f>Apoio_Efeito!AY40</f>
        <v>0</v>
      </c>
      <c r="AP22" s="411">
        <f>Apoio_Efeito!AY41</f>
        <v>0</v>
      </c>
      <c r="AQ22" s="411">
        <f>Apoio_Efeito!AY42</f>
        <v>0</v>
      </c>
      <c r="AR22" s="411">
        <f>Apoio_Efeito!AY43</f>
        <v>0</v>
      </c>
      <c r="AS22" s="411">
        <f>Apoio_Efeito!AY44</f>
        <v>0</v>
      </c>
      <c r="AT22" s="411">
        <f>Apoio_Efeito!AY45</f>
        <v>0</v>
      </c>
      <c r="AU22" s="411">
        <f>Apoio_Efeito!AY46</f>
        <v>0</v>
      </c>
      <c r="AV22" s="411">
        <f>Apoio_Efeito!AY47</f>
        <v>0</v>
      </c>
      <c r="AW22" s="411">
        <f>Apoio_Efeito!AY48</f>
        <v>0</v>
      </c>
      <c r="AX22" s="411">
        <f>Apoio_Efeito!AY49</f>
        <v>0</v>
      </c>
      <c r="AY22" s="377">
        <f>Apoio_Efeito!AY50</f>
        <v>0</v>
      </c>
      <c r="AZ22" s="377">
        <f>Apoio_Efeito!AY51</f>
        <v>0</v>
      </c>
      <c r="BA22" s="377">
        <f>Apoio_Efeito!AY52</f>
        <v>0</v>
      </c>
      <c r="BB22" s="377">
        <f>Apoio_Efeito!AY53</f>
        <v>0</v>
      </c>
      <c r="BC22" s="377">
        <f>Apoio_Efeito!AY54</f>
        <v>0</v>
      </c>
      <c r="BD22" s="377">
        <f>Apoio_Efeito!AY55</f>
        <v>0</v>
      </c>
      <c r="BE22">
        <f t="shared" si="2"/>
        <v>1</v>
      </c>
    </row>
    <row r="23" spans="1:74">
      <c r="A23" s="32">
        <f t="shared" si="0"/>
        <v>-994467.01896482753</v>
      </c>
      <c r="B23" s="301">
        <f t="shared" si="1"/>
        <v>1</v>
      </c>
      <c r="C23" s="300"/>
      <c r="D23" s="409" t="s">
        <v>308</v>
      </c>
      <c r="E23" s="419">
        <f>Apoio_Efeito!AZ4</f>
        <v>0</v>
      </c>
      <c r="F23" s="418">
        <f>Apoio_Efeito!AZ5</f>
        <v>0</v>
      </c>
      <c r="G23" s="418">
        <f>Apoio_Efeito!AZ6</f>
        <v>0</v>
      </c>
      <c r="H23" s="418">
        <f>Apoio_Efeito!AZ7</f>
        <v>-994467.01896482753</v>
      </c>
      <c r="I23" s="418">
        <f>Apoio_Efeito!AZ8</f>
        <v>0</v>
      </c>
      <c r="J23" s="418">
        <f>Apoio_Efeito!AZ9</f>
        <v>0</v>
      </c>
      <c r="K23" s="418">
        <f>Apoio_Efeito!AZ10</f>
        <v>0</v>
      </c>
      <c r="L23" s="418">
        <f>Apoio_Efeito!AZ11</f>
        <v>0</v>
      </c>
      <c r="M23" s="418">
        <f>Apoio_Efeito!AZ12</f>
        <v>0</v>
      </c>
      <c r="N23" s="418">
        <f>Apoio_Efeito!AZ13</f>
        <v>0</v>
      </c>
      <c r="O23" s="418">
        <f>Apoio_Efeito!AZ14</f>
        <v>0</v>
      </c>
      <c r="P23" s="418">
        <f>Apoio_Efeito!AZ15</f>
        <v>0</v>
      </c>
      <c r="Q23" s="418">
        <f>Apoio_Efeito!AZ16</f>
        <v>0</v>
      </c>
      <c r="R23" s="418">
        <f>Apoio_Efeito!AZ17</f>
        <v>0</v>
      </c>
      <c r="S23" s="418">
        <f>Apoio_Efeito!AZ18</f>
        <v>0</v>
      </c>
      <c r="T23" s="418">
        <f>Apoio_Efeito!AZ19</f>
        <v>0</v>
      </c>
      <c r="U23" s="418">
        <f>Apoio_Efeito!AZ20</f>
        <v>0</v>
      </c>
      <c r="V23" s="418">
        <f>Apoio_Efeito!AZ21</f>
        <v>0</v>
      </c>
      <c r="W23" s="420">
        <f>Apoio_Efeito!AZ22</f>
        <v>0</v>
      </c>
      <c r="X23" s="418">
        <f>Apoio_Efeito!AZ23</f>
        <v>0</v>
      </c>
      <c r="Y23" s="418">
        <f>Apoio_Efeito!AZ24</f>
        <v>0</v>
      </c>
      <c r="Z23" s="418">
        <f>Apoio_Efeito!AZ25</f>
        <v>0</v>
      </c>
      <c r="AA23" s="418">
        <f>Apoio_Efeito!AZ26</f>
        <v>0</v>
      </c>
      <c r="AB23" s="418">
        <f>Apoio_Efeito!AZ27</f>
        <v>0</v>
      </c>
      <c r="AC23" s="418">
        <f>Apoio_Efeito!AZ28</f>
        <v>0</v>
      </c>
      <c r="AD23" s="418">
        <f>Apoio_Efeito!AZ29</f>
        <v>0</v>
      </c>
      <c r="AE23" s="418">
        <f>Apoio_Efeito!AZ30</f>
        <v>0</v>
      </c>
      <c r="AF23" s="418">
        <f>Apoio_Efeito!AZ31</f>
        <v>0</v>
      </c>
      <c r="AG23" s="418">
        <f>Apoio_Efeito!AZ32</f>
        <v>0</v>
      </c>
      <c r="AH23" s="418">
        <f>Apoio_Efeito!AZ33</f>
        <v>0</v>
      </c>
      <c r="AI23" s="411">
        <f>Apoio_Efeito!AZ34</f>
        <v>0</v>
      </c>
      <c r="AJ23" s="411">
        <f>Apoio_Efeito!AZ35</f>
        <v>0</v>
      </c>
      <c r="AK23" s="411">
        <f>Apoio_Efeito!AZ36</f>
        <v>0</v>
      </c>
      <c r="AL23" s="411">
        <f>Apoio_Efeito!AZ37</f>
        <v>0</v>
      </c>
      <c r="AM23" s="411">
        <f>Apoio_Efeito!AZ38</f>
        <v>0</v>
      </c>
      <c r="AN23" s="411">
        <f>Apoio_Efeito!AZ39</f>
        <v>0</v>
      </c>
      <c r="AO23" s="411">
        <f>Apoio_Efeito!AZ40</f>
        <v>0</v>
      </c>
      <c r="AP23" s="411">
        <f>Apoio_Efeito!AZ41</f>
        <v>0</v>
      </c>
      <c r="AQ23" s="411">
        <f>Apoio_Efeito!AZ42</f>
        <v>0</v>
      </c>
      <c r="AR23" s="411">
        <f>Apoio_Efeito!AZ43</f>
        <v>0</v>
      </c>
      <c r="AS23" s="411">
        <f>Apoio_Efeito!AZ44</f>
        <v>0</v>
      </c>
      <c r="AT23" s="411">
        <f>Apoio_Efeito!AZ45</f>
        <v>0</v>
      </c>
      <c r="AU23" s="411">
        <f>Apoio_Efeito!AZ46</f>
        <v>0</v>
      </c>
      <c r="AV23" s="411">
        <f>Apoio_Efeito!AZ47</f>
        <v>0</v>
      </c>
      <c r="AW23" s="411">
        <f>Apoio_Efeito!AZ48</f>
        <v>0</v>
      </c>
      <c r="AX23" s="411">
        <f>Apoio_Efeito!AZ49</f>
        <v>0</v>
      </c>
      <c r="AY23" s="377">
        <f>Apoio_Efeito!AZ50</f>
        <v>0</v>
      </c>
      <c r="AZ23" s="377">
        <f>Apoio_Efeito!AZ51</f>
        <v>0</v>
      </c>
      <c r="BA23" s="377">
        <f>Apoio_Efeito!AZ52</f>
        <v>0</v>
      </c>
      <c r="BB23" s="377">
        <f>Apoio_Efeito!AZ53</f>
        <v>0</v>
      </c>
      <c r="BC23" s="377">
        <f>Apoio_Efeito!AZ54</f>
        <v>0</v>
      </c>
      <c r="BD23" s="377">
        <f>Apoio_Efeito!AZ55</f>
        <v>0</v>
      </c>
      <c r="BE23">
        <f t="shared" si="2"/>
        <v>1</v>
      </c>
      <c r="BI23" s="212"/>
      <c r="BJ23" s="234"/>
      <c r="BK23" s="234"/>
      <c r="BN23" s="6"/>
      <c r="BO23" s="239"/>
      <c r="BP23" s="239"/>
      <c r="BS23" s="6"/>
      <c r="BT23" s="239"/>
      <c r="BU23" s="237" t="s">
        <v>347</v>
      </c>
    </row>
    <row r="24" spans="1:74">
      <c r="A24" s="32">
        <f t="shared" si="0"/>
        <v>1122722.319799928</v>
      </c>
      <c r="B24" s="301">
        <f t="shared" si="1"/>
        <v>1</v>
      </c>
      <c r="C24" s="300"/>
      <c r="D24" s="409" t="s">
        <v>290</v>
      </c>
      <c r="E24" s="419">
        <f>Apoio_Efeito!BA4</f>
        <v>0</v>
      </c>
      <c r="F24" s="418">
        <f>Apoio_Efeito!BA5</f>
        <v>0</v>
      </c>
      <c r="G24" s="418">
        <f>Apoio_Efeito!BA6</f>
        <v>0</v>
      </c>
      <c r="H24" s="418">
        <f>Apoio_Efeito!BA7</f>
        <v>1122722.319799928</v>
      </c>
      <c r="I24" s="418">
        <f>Apoio_Efeito!BA8</f>
        <v>0</v>
      </c>
      <c r="J24" s="418">
        <f>Apoio_Efeito!BA9</f>
        <v>0</v>
      </c>
      <c r="K24" s="418">
        <f>Apoio_Efeito!BA10</f>
        <v>0</v>
      </c>
      <c r="L24" s="418">
        <f>Apoio_Efeito!BA11</f>
        <v>0</v>
      </c>
      <c r="M24" s="418">
        <f>Apoio_Efeito!BA12</f>
        <v>0</v>
      </c>
      <c r="N24" s="418">
        <f>Apoio_Efeito!BA13</f>
        <v>0</v>
      </c>
      <c r="O24" s="418">
        <f>Apoio_Efeito!BA14</f>
        <v>0</v>
      </c>
      <c r="P24" s="418">
        <f>Apoio_Efeito!BA15</f>
        <v>0</v>
      </c>
      <c r="Q24" s="418">
        <f>Apoio_Efeito!BA16</f>
        <v>0</v>
      </c>
      <c r="R24" s="418">
        <f>Apoio_Efeito!BA17</f>
        <v>0</v>
      </c>
      <c r="S24" s="418">
        <f>Apoio_Efeito!BA18</f>
        <v>0</v>
      </c>
      <c r="T24" s="418">
        <f>Apoio_Efeito!BA19</f>
        <v>0</v>
      </c>
      <c r="U24" s="418">
        <f>Apoio_Efeito!BA20</f>
        <v>0</v>
      </c>
      <c r="V24" s="418">
        <f>Apoio_Efeito!BA21</f>
        <v>0</v>
      </c>
      <c r="W24" s="420">
        <f>Apoio_Efeito!BA22</f>
        <v>0</v>
      </c>
      <c r="X24" s="418">
        <f>Apoio_Efeito!BA23</f>
        <v>0</v>
      </c>
      <c r="Y24" s="418">
        <f>Apoio_Efeito!BA24</f>
        <v>0</v>
      </c>
      <c r="Z24" s="418">
        <f>Apoio_Efeito!BA25</f>
        <v>0</v>
      </c>
      <c r="AA24" s="418">
        <f>Apoio_Efeito!BA26</f>
        <v>0</v>
      </c>
      <c r="AB24" s="418">
        <f>Apoio_Efeito!BA27</f>
        <v>0</v>
      </c>
      <c r="AC24" s="418">
        <f>Apoio_Efeito!BA28</f>
        <v>0</v>
      </c>
      <c r="AD24" s="418">
        <f>Apoio_Efeito!BA29</f>
        <v>0</v>
      </c>
      <c r="AE24" s="418">
        <f>Apoio_Efeito!BA30</f>
        <v>0</v>
      </c>
      <c r="AF24" s="418">
        <f>Apoio_Efeito!BA31</f>
        <v>0</v>
      </c>
      <c r="AG24" s="418">
        <f>Apoio_Efeito!BA32</f>
        <v>0</v>
      </c>
      <c r="AH24" s="418">
        <f>Apoio_Efeito!BA33</f>
        <v>0</v>
      </c>
      <c r="AI24" s="411">
        <f>Apoio_Efeito!BA34</f>
        <v>0</v>
      </c>
      <c r="AJ24" s="411">
        <f>Apoio_Efeito!BA35</f>
        <v>0</v>
      </c>
      <c r="AK24" s="411">
        <f>Apoio_Efeito!BA36</f>
        <v>0</v>
      </c>
      <c r="AL24" s="411">
        <f>Apoio_Efeito!BA37</f>
        <v>0</v>
      </c>
      <c r="AM24" s="411">
        <f>Apoio_Efeito!BA38</f>
        <v>0</v>
      </c>
      <c r="AN24" s="411">
        <f>Apoio_Efeito!BA39</f>
        <v>0</v>
      </c>
      <c r="AO24" s="411">
        <f>Apoio_Efeito!BA40</f>
        <v>0</v>
      </c>
      <c r="AP24" s="411">
        <f>Apoio_Efeito!BA41</f>
        <v>0</v>
      </c>
      <c r="AQ24" s="411">
        <f>Apoio_Efeito!BA42</f>
        <v>0</v>
      </c>
      <c r="AR24" s="411">
        <f>Apoio_Efeito!BA43</f>
        <v>0</v>
      </c>
      <c r="AS24" s="411">
        <f>Apoio_Efeito!BA44</f>
        <v>0</v>
      </c>
      <c r="AT24" s="411">
        <f>Apoio_Efeito!BA45</f>
        <v>0</v>
      </c>
      <c r="AU24" s="411">
        <f>Apoio_Efeito!BA46</f>
        <v>0</v>
      </c>
      <c r="AV24" s="411">
        <f>Apoio_Efeito!BA47</f>
        <v>0</v>
      </c>
      <c r="AW24" s="411">
        <f>Apoio_Efeito!BA48</f>
        <v>0</v>
      </c>
      <c r="AX24" s="411">
        <f>Apoio_Efeito!BA49</f>
        <v>0</v>
      </c>
      <c r="AY24" s="377">
        <f>Apoio_Efeito!BA50</f>
        <v>0</v>
      </c>
      <c r="AZ24" s="377">
        <f>Apoio_Efeito!BA51</f>
        <v>0</v>
      </c>
      <c r="BA24" s="377">
        <f>Apoio_Efeito!BA52</f>
        <v>0</v>
      </c>
      <c r="BB24" s="377">
        <f>Apoio_Efeito!BA53</f>
        <v>0</v>
      </c>
      <c r="BC24" s="377">
        <f>Apoio_Efeito!BA54</f>
        <v>0</v>
      </c>
      <c r="BD24" s="377">
        <f>Apoio_Efeito!BA55</f>
        <v>0</v>
      </c>
      <c r="BE24">
        <f t="shared" si="2"/>
        <v>1</v>
      </c>
      <c r="BI24" s="8"/>
      <c r="BJ24" s="235"/>
      <c r="BK24" s="235"/>
      <c r="BL24" s="217"/>
      <c r="BO24" s="240"/>
      <c r="BP24" s="240"/>
      <c r="BQ24" s="217"/>
      <c r="BT24" s="240"/>
      <c r="BU24" s="238" t="e">
        <f>HLOOKUP(BS24,Efeito!$J$60:$BF$132,48,0)</f>
        <v>#N/A</v>
      </c>
      <c r="BV24" s="217" t="e">
        <f>BT24-BU24</f>
        <v>#N/A</v>
      </c>
    </row>
    <row r="25" spans="1:74">
      <c r="A25" s="32">
        <f t="shared" si="0"/>
        <v>0</v>
      </c>
      <c r="B25" s="301">
        <f t="shared" si="1"/>
        <v>0</v>
      </c>
      <c r="C25" s="300"/>
      <c r="D25" s="409" t="s">
        <v>331</v>
      </c>
      <c r="E25" s="419">
        <f>Apoio_Efeito!BB4</f>
        <v>0</v>
      </c>
      <c r="F25" s="418">
        <f>Apoio_Efeito!BB5</f>
        <v>0</v>
      </c>
      <c r="G25" s="418">
        <f>Apoio_Efeito!BB6</f>
        <v>0</v>
      </c>
      <c r="H25" s="418">
        <f>Apoio_Efeito!BB7</f>
        <v>0</v>
      </c>
      <c r="I25" s="418">
        <f>Apoio_Efeito!BB8</f>
        <v>0</v>
      </c>
      <c r="J25" s="418">
        <f>Apoio_Efeito!BB9</f>
        <v>0</v>
      </c>
      <c r="K25" s="418">
        <f>Apoio_Efeito!BB10</f>
        <v>0</v>
      </c>
      <c r="L25" s="418">
        <f>Apoio_Efeito!BB11</f>
        <v>0</v>
      </c>
      <c r="M25" s="418">
        <f>Apoio_Efeito!BB12</f>
        <v>0</v>
      </c>
      <c r="N25" s="418">
        <f>Apoio_Efeito!BB13</f>
        <v>0</v>
      </c>
      <c r="O25" s="418">
        <f>Apoio_Efeito!BB14</f>
        <v>0</v>
      </c>
      <c r="P25" s="418">
        <f>Apoio_Efeito!BB15</f>
        <v>0</v>
      </c>
      <c r="Q25" s="418">
        <f>Apoio_Efeito!BB16</f>
        <v>0</v>
      </c>
      <c r="R25" s="418">
        <f>Apoio_Efeito!BB17</f>
        <v>0</v>
      </c>
      <c r="S25" s="418">
        <f>Apoio_Efeito!BB18</f>
        <v>0</v>
      </c>
      <c r="T25" s="418">
        <f>Apoio_Efeito!BB19</f>
        <v>0</v>
      </c>
      <c r="U25" s="418">
        <f>Apoio_Efeito!BB20</f>
        <v>0</v>
      </c>
      <c r="V25" s="418">
        <f>Apoio_Efeito!BB21</f>
        <v>0</v>
      </c>
      <c r="W25" s="420">
        <f>Apoio_Efeito!BB22</f>
        <v>0</v>
      </c>
      <c r="X25" s="418">
        <f>Apoio_Efeito!BB23</f>
        <v>0</v>
      </c>
      <c r="Y25" s="418">
        <f>Apoio_Efeito!BB24</f>
        <v>0</v>
      </c>
      <c r="Z25" s="418">
        <f>Apoio_Efeito!BB25</f>
        <v>0</v>
      </c>
      <c r="AA25" s="418">
        <f>Apoio_Efeito!BB26</f>
        <v>0</v>
      </c>
      <c r="AB25" s="418">
        <f>Apoio_Efeito!BB27</f>
        <v>0</v>
      </c>
      <c r="AC25" s="418">
        <f>Apoio_Efeito!BB28</f>
        <v>0</v>
      </c>
      <c r="AD25" s="418">
        <f>Apoio_Efeito!BB29</f>
        <v>0</v>
      </c>
      <c r="AE25" s="418">
        <f>Apoio_Efeito!BB30</f>
        <v>0</v>
      </c>
      <c r="AF25" s="418">
        <f>Apoio_Efeito!BB31</f>
        <v>0</v>
      </c>
      <c r="AG25" s="418">
        <f>Apoio_Efeito!BB32</f>
        <v>0</v>
      </c>
      <c r="AH25" s="418">
        <f>Apoio_Efeito!BB33</f>
        <v>0</v>
      </c>
      <c r="AI25" s="411">
        <f>Apoio_Efeito!BB34</f>
        <v>0</v>
      </c>
      <c r="AJ25" s="411">
        <f>Apoio_Efeito!BB35</f>
        <v>0</v>
      </c>
      <c r="AK25" s="411">
        <f>Apoio_Efeito!BB36</f>
        <v>0</v>
      </c>
      <c r="AL25" s="411">
        <f>Apoio_Efeito!BB37</f>
        <v>0</v>
      </c>
      <c r="AM25" s="411">
        <f>Apoio_Efeito!BB38</f>
        <v>0</v>
      </c>
      <c r="AN25" s="411">
        <f>Apoio_Efeito!BB39</f>
        <v>0</v>
      </c>
      <c r="AO25" s="411">
        <f>Apoio_Efeito!BB40</f>
        <v>0</v>
      </c>
      <c r="AP25" s="411">
        <f>Apoio_Efeito!BB41</f>
        <v>0</v>
      </c>
      <c r="AQ25" s="411">
        <f>Apoio_Efeito!BB42</f>
        <v>0</v>
      </c>
      <c r="AR25" s="411">
        <f>Apoio_Efeito!BB43</f>
        <v>0</v>
      </c>
      <c r="AS25" s="411">
        <f>Apoio_Efeito!BB44</f>
        <v>0</v>
      </c>
      <c r="AT25" s="411">
        <f>Apoio_Efeito!BB45</f>
        <v>0</v>
      </c>
      <c r="AU25" s="411">
        <f>Apoio_Efeito!BB46</f>
        <v>0</v>
      </c>
      <c r="AV25" s="411">
        <f>Apoio_Efeito!BB47</f>
        <v>0</v>
      </c>
      <c r="AW25" s="411">
        <f>Apoio_Efeito!BB48</f>
        <v>0</v>
      </c>
      <c r="AX25" s="411">
        <f>Apoio_Efeito!BB49</f>
        <v>0</v>
      </c>
      <c r="AY25" s="377">
        <f>Apoio_Efeito!BB50</f>
        <v>0</v>
      </c>
      <c r="AZ25" s="377">
        <f>Apoio_Efeito!BB51</f>
        <v>0</v>
      </c>
      <c r="BA25" s="377">
        <f>Apoio_Efeito!BB52</f>
        <v>0</v>
      </c>
      <c r="BB25" s="377">
        <f>Apoio_Efeito!BB53</f>
        <v>0</v>
      </c>
      <c r="BC25" s="377">
        <f>Apoio_Efeito!BB54</f>
        <v>0</v>
      </c>
      <c r="BD25" s="377">
        <f>Apoio_Efeito!BB55</f>
        <v>0</v>
      </c>
      <c r="BE25">
        <f t="shared" si="2"/>
        <v>0</v>
      </c>
      <c r="BI25" s="8"/>
      <c r="BJ25" s="235"/>
      <c r="BK25" s="235"/>
      <c r="BL25" s="217"/>
      <c r="BO25" s="240"/>
      <c r="BP25" s="240"/>
      <c r="BQ25" s="217"/>
      <c r="BT25" s="240"/>
      <c r="BU25" s="238" t="e">
        <f>HLOOKUP(BS25,Efeito!$J$60:$BF$132,48,0)</f>
        <v>#N/A</v>
      </c>
      <c r="BV25" s="217" t="e">
        <f t="shared" ref="BV25:BV58" si="3">BT25-BU25</f>
        <v>#N/A</v>
      </c>
    </row>
    <row r="26" spans="1:74">
      <c r="A26" s="32">
        <f t="shared" si="0"/>
        <v>-152140.14687615749</v>
      </c>
      <c r="B26" s="301">
        <f t="shared" si="1"/>
        <v>1</v>
      </c>
      <c r="C26" s="300"/>
      <c r="D26" s="409" t="s">
        <v>364</v>
      </c>
      <c r="E26" s="419">
        <f>Apoio_Efeito!BC4</f>
        <v>0</v>
      </c>
      <c r="F26" s="418">
        <f>Apoio_Efeito!BC5</f>
        <v>0</v>
      </c>
      <c r="G26" s="418">
        <f>Apoio_Efeito!BC6</f>
        <v>0</v>
      </c>
      <c r="H26" s="418">
        <f>Apoio_Efeito!BC7</f>
        <v>-152140.14687615749</v>
      </c>
      <c r="I26" s="418">
        <f>Apoio_Efeito!BC8</f>
        <v>0</v>
      </c>
      <c r="J26" s="418">
        <f>Apoio_Efeito!BC9</f>
        <v>0</v>
      </c>
      <c r="K26" s="418">
        <f>Apoio_Efeito!BC10</f>
        <v>0</v>
      </c>
      <c r="L26" s="418">
        <f>Apoio_Efeito!BC11</f>
        <v>0</v>
      </c>
      <c r="M26" s="418">
        <f>Apoio_Efeito!BC12</f>
        <v>0</v>
      </c>
      <c r="N26" s="418">
        <f>Apoio_Efeito!BC13</f>
        <v>0</v>
      </c>
      <c r="O26" s="418">
        <f>Apoio_Efeito!BC14</f>
        <v>0</v>
      </c>
      <c r="P26" s="418">
        <f>Apoio_Efeito!BC15</f>
        <v>0</v>
      </c>
      <c r="Q26" s="418">
        <f>Apoio_Efeito!BC16</f>
        <v>0</v>
      </c>
      <c r="R26" s="418">
        <f>Apoio_Efeito!BC17</f>
        <v>0</v>
      </c>
      <c r="S26" s="418">
        <f>Apoio_Efeito!BC18</f>
        <v>0</v>
      </c>
      <c r="T26" s="418">
        <f>Apoio_Efeito!BC19</f>
        <v>0</v>
      </c>
      <c r="U26" s="418">
        <f>Apoio_Efeito!BC20</f>
        <v>0</v>
      </c>
      <c r="V26" s="418">
        <f>Apoio_Efeito!BC21</f>
        <v>0</v>
      </c>
      <c r="W26" s="420">
        <f>Apoio_Efeito!BC22</f>
        <v>0</v>
      </c>
      <c r="X26" s="418">
        <f>Apoio_Efeito!BC23</f>
        <v>0</v>
      </c>
      <c r="Y26" s="418">
        <f>Apoio_Efeito!BC24</f>
        <v>0</v>
      </c>
      <c r="Z26" s="418">
        <f>Apoio_Efeito!BC25</f>
        <v>0</v>
      </c>
      <c r="AA26" s="418">
        <f>Apoio_Efeito!BC26</f>
        <v>0</v>
      </c>
      <c r="AB26" s="418">
        <f>Apoio_Efeito!BC27</f>
        <v>0</v>
      </c>
      <c r="AC26" s="418">
        <f>Apoio_Efeito!BC28</f>
        <v>0</v>
      </c>
      <c r="AD26" s="418">
        <f>Apoio_Efeito!BC29</f>
        <v>0</v>
      </c>
      <c r="AE26" s="418">
        <f>Apoio_Efeito!BC30</f>
        <v>0</v>
      </c>
      <c r="AF26" s="418">
        <f>Apoio_Efeito!BC31</f>
        <v>0</v>
      </c>
      <c r="AG26" s="418">
        <f>Apoio_Efeito!BC32</f>
        <v>0</v>
      </c>
      <c r="AH26" s="418">
        <f>Apoio_Efeito!BC33</f>
        <v>0</v>
      </c>
      <c r="AI26" s="411">
        <f>Apoio_Efeito!BC34</f>
        <v>0</v>
      </c>
      <c r="AJ26" s="411">
        <f>Apoio_Efeito!BC35</f>
        <v>0</v>
      </c>
      <c r="AK26" s="411">
        <f>Apoio_Efeito!BC36</f>
        <v>0</v>
      </c>
      <c r="AL26" s="411">
        <f>Apoio_Efeito!BC37</f>
        <v>0</v>
      </c>
      <c r="AM26" s="411">
        <f>Apoio_Efeito!BC38</f>
        <v>0</v>
      </c>
      <c r="AN26" s="411">
        <f>Apoio_Efeito!BC39</f>
        <v>0</v>
      </c>
      <c r="AO26" s="411">
        <f>Apoio_Efeito!BC40</f>
        <v>0</v>
      </c>
      <c r="AP26" s="411">
        <f>Apoio_Efeito!BC41</f>
        <v>0</v>
      </c>
      <c r="AQ26" s="411">
        <f>Apoio_Efeito!BC42</f>
        <v>0</v>
      </c>
      <c r="AR26" s="411">
        <f>Apoio_Efeito!BC43</f>
        <v>0</v>
      </c>
      <c r="AS26" s="411">
        <f>Apoio_Efeito!BC44</f>
        <v>0</v>
      </c>
      <c r="AT26" s="411">
        <f>Apoio_Efeito!BC45</f>
        <v>0</v>
      </c>
      <c r="AU26" s="411">
        <f>Apoio_Efeito!BC46</f>
        <v>0</v>
      </c>
      <c r="AV26" s="411">
        <f>Apoio_Efeito!BC47</f>
        <v>0</v>
      </c>
      <c r="AW26" s="411">
        <f>Apoio_Efeito!BC48</f>
        <v>0</v>
      </c>
      <c r="AX26" s="411">
        <f>Apoio_Efeito!BC49</f>
        <v>0</v>
      </c>
      <c r="AY26" s="377">
        <f>Apoio_Efeito!BC50</f>
        <v>0</v>
      </c>
      <c r="AZ26" s="377">
        <f>Apoio_Efeito!BC51</f>
        <v>0</v>
      </c>
      <c r="BA26" s="377">
        <f>Apoio_Efeito!BC52</f>
        <v>0</v>
      </c>
      <c r="BB26" s="377">
        <f>Apoio_Efeito!BC53</f>
        <v>0</v>
      </c>
      <c r="BC26" s="377">
        <f>Apoio_Efeito!BC54</f>
        <v>0</v>
      </c>
      <c r="BD26" s="377">
        <f>Apoio_Efeito!BC55</f>
        <v>0</v>
      </c>
      <c r="BE26">
        <f t="shared" si="2"/>
        <v>1</v>
      </c>
      <c r="BI26" s="8"/>
      <c r="BJ26" s="235"/>
      <c r="BK26" s="235"/>
      <c r="BL26" s="217"/>
      <c r="BO26" s="240"/>
      <c r="BP26" s="240"/>
      <c r="BQ26" s="217"/>
      <c r="BT26" s="240"/>
      <c r="BU26" s="238"/>
      <c r="BV26" s="217"/>
    </row>
    <row r="27" spans="1:74">
      <c r="A27" s="32">
        <f t="shared" si="0"/>
        <v>0</v>
      </c>
      <c r="B27" s="301">
        <f t="shared" si="1"/>
        <v>0</v>
      </c>
      <c r="C27" s="300"/>
      <c r="D27" s="409" t="s">
        <v>340</v>
      </c>
      <c r="E27" s="419">
        <f>Apoio_Efeito!AJ4</f>
        <v>0</v>
      </c>
      <c r="F27" s="418">
        <f>Apoio_Efeito!AJ5</f>
        <v>0</v>
      </c>
      <c r="G27" s="418">
        <f>Apoio_Efeito!AJ6</f>
        <v>0</v>
      </c>
      <c r="H27" s="418">
        <f>Apoio_Efeito!AJ7</f>
        <v>0</v>
      </c>
      <c r="I27" s="418">
        <f>Apoio_Efeito!AJ8</f>
        <v>0</v>
      </c>
      <c r="J27" s="418">
        <f>Apoio_Efeito!AJ9</f>
        <v>0</v>
      </c>
      <c r="K27" s="418">
        <f>Apoio_Efeito!AJ10</f>
        <v>0</v>
      </c>
      <c r="L27" s="418">
        <f>Apoio_Efeito!AJ11</f>
        <v>0</v>
      </c>
      <c r="M27" s="418">
        <f>Apoio_Efeito!AJ12</f>
        <v>0</v>
      </c>
      <c r="N27" s="418">
        <f>Apoio_Efeito!AJ13</f>
        <v>0</v>
      </c>
      <c r="O27" s="418">
        <f>Apoio_Efeito!AJ14</f>
        <v>0</v>
      </c>
      <c r="P27" s="418">
        <f>Apoio_Efeito!AJ15</f>
        <v>0</v>
      </c>
      <c r="Q27" s="418">
        <f>Apoio_Efeito!AJ16</f>
        <v>0</v>
      </c>
      <c r="R27" s="418">
        <f>Apoio_Efeito!AJ17</f>
        <v>0</v>
      </c>
      <c r="S27" s="418">
        <f>Apoio_Efeito!AJ18</f>
        <v>0</v>
      </c>
      <c r="T27" s="418">
        <f>Apoio_Efeito!AJ19</f>
        <v>0</v>
      </c>
      <c r="U27" s="418">
        <f>Apoio_Efeito!AJ20</f>
        <v>0</v>
      </c>
      <c r="V27" s="418">
        <f>Apoio_Efeito!AJ21</f>
        <v>0</v>
      </c>
      <c r="W27" s="420">
        <f>Apoio_Efeito!AJ22</f>
        <v>0</v>
      </c>
      <c r="X27" s="418">
        <f>Apoio_Efeito!AJ23</f>
        <v>0</v>
      </c>
      <c r="Y27" s="418">
        <f>Apoio_Efeito!AJ24</f>
        <v>0</v>
      </c>
      <c r="Z27" s="418">
        <f>Apoio_Efeito!AJ25</f>
        <v>0</v>
      </c>
      <c r="AA27" s="418">
        <f>Apoio_Efeito!AJ26</f>
        <v>0</v>
      </c>
      <c r="AB27" s="418">
        <f>Apoio_Efeito!AJ27</f>
        <v>0</v>
      </c>
      <c r="AC27" s="418">
        <f>Apoio_Efeito!AJ28</f>
        <v>0</v>
      </c>
      <c r="AD27" s="418">
        <f>Apoio_Efeito!AJ29</f>
        <v>0</v>
      </c>
      <c r="AE27" s="418">
        <f>Apoio_Efeito!AJ30</f>
        <v>0</v>
      </c>
      <c r="AF27" s="418">
        <f>Apoio_Efeito!AJ31</f>
        <v>0</v>
      </c>
      <c r="AG27" s="418">
        <f>Apoio_Efeito!AJ32</f>
        <v>0</v>
      </c>
      <c r="AH27" s="418">
        <f>Apoio_Efeito!AJ33</f>
        <v>0</v>
      </c>
      <c r="AI27" s="411">
        <f>Apoio_Efeito!AJ34</f>
        <v>0</v>
      </c>
      <c r="AJ27" s="411">
        <f>Apoio_Efeito!AJ35</f>
        <v>0</v>
      </c>
      <c r="AK27" s="411">
        <f>Apoio_Efeito!AJ36</f>
        <v>0</v>
      </c>
      <c r="AL27" s="411">
        <f>Apoio_Efeito!AJ37</f>
        <v>0</v>
      </c>
      <c r="AM27" s="411">
        <f>Apoio_Efeito!AJ38</f>
        <v>0</v>
      </c>
      <c r="AN27" s="411">
        <f>Apoio_Efeito!AJ39</f>
        <v>0</v>
      </c>
      <c r="AO27" s="411">
        <f>Apoio_Efeito!AJ40</f>
        <v>0</v>
      </c>
      <c r="AP27" s="411">
        <f>Apoio_Efeito!AJ41</f>
        <v>0</v>
      </c>
      <c r="AQ27" s="411">
        <f>Apoio_Efeito!AJ42</f>
        <v>0</v>
      </c>
      <c r="AR27" s="411">
        <f>Apoio_Efeito!AJ43</f>
        <v>0</v>
      </c>
      <c r="AS27" s="411">
        <f>Apoio_Efeito!AJ44</f>
        <v>0</v>
      </c>
      <c r="AT27" s="411">
        <f>Apoio_Efeito!AJ45</f>
        <v>0</v>
      </c>
      <c r="AU27" s="411">
        <f>Apoio_Efeito!AJ46</f>
        <v>0</v>
      </c>
      <c r="AV27" s="411">
        <f>Apoio_Efeito!AJ47</f>
        <v>0</v>
      </c>
      <c r="AW27" s="411">
        <f>Apoio_Efeito!AJ48</f>
        <v>0</v>
      </c>
      <c r="AX27" s="411">
        <f>Apoio_Efeito!AJ49</f>
        <v>0</v>
      </c>
      <c r="AY27" s="377">
        <f>Apoio_Efeito!AJ50</f>
        <v>0</v>
      </c>
      <c r="AZ27" s="377">
        <f>Apoio_Efeito!AJ51</f>
        <v>0</v>
      </c>
      <c r="BA27" s="377">
        <f>Apoio_Efeito!AJ52</f>
        <v>0</v>
      </c>
      <c r="BB27" s="377">
        <f>Apoio_Efeito!AJ53</f>
        <v>0</v>
      </c>
      <c r="BC27" s="377">
        <f>Apoio_Efeito!AJ54</f>
        <v>0</v>
      </c>
      <c r="BD27" s="377">
        <f>Apoio_Efeito!AJ55</f>
        <v>0</v>
      </c>
      <c r="BE27">
        <f t="shared" si="2"/>
        <v>0</v>
      </c>
      <c r="BI27" s="247"/>
      <c r="BJ27" s="303"/>
      <c r="BK27" s="303"/>
      <c r="BL27" s="217"/>
      <c r="BO27" s="240"/>
      <c r="BP27" s="240"/>
      <c r="BQ27" s="217"/>
      <c r="BT27" s="240"/>
      <c r="BU27" s="238"/>
      <c r="BV27" s="217"/>
    </row>
    <row r="28" spans="1:74">
      <c r="A28" s="32">
        <f t="shared" si="0"/>
        <v>0</v>
      </c>
      <c r="B28" s="301">
        <f t="shared" si="1"/>
        <v>0</v>
      </c>
      <c r="C28" s="300"/>
      <c r="D28" s="409" t="str">
        <f>Apoio_Efeito!BD3</f>
        <v>(Neutralidade) CDE GD</v>
      </c>
      <c r="E28" s="419">
        <f>Apoio_Efeito!BD4</f>
        <v>0</v>
      </c>
      <c r="F28" s="418">
        <f>Apoio_Efeito!BD5</f>
        <v>0</v>
      </c>
      <c r="G28" s="418">
        <f>Apoio_Efeito!BD6</f>
        <v>0</v>
      </c>
      <c r="H28" s="418">
        <f>Apoio_Efeito!BD7</f>
        <v>0</v>
      </c>
      <c r="I28" s="418">
        <f>Apoio_Efeito!BD8</f>
        <v>0</v>
      </c>
      <c r="J28" s="418">
        <f>Apoio_Efeito!BD9</f>
        <v>0</v>
      </c>
      <c r="K28" s="418">
        <f>Apoio_Efeito!BD10</f>
        <v>0</v>
      </c>
      <c r="L28" s="418">
        <f>Apoio_Efeito!BD11</f>
        <v>0</v>
      </c>
      <c r="M28" s="418">
        <f>Apoio_Efeito!BD12</f>
        <v>0</v>
      </c>
      <c r="N28" s="418">
        <f>Apoio_Efeito!BD13</f>
        <v>0</v>
      </c>
      <c r="O28" s="418">
        <f>Apoio_Efeito!BD14</f>
        <v>0</v>
      </c>
      <c r="P28" s="418">
        <f>Apoio_Efeito!BD15</f>
        <v>0</v>
      </c>
      <c r="Q28" s="418">
        <f>Apoio_Efeito!BD16</f>
        <v>0</v>
      </c>
      <c r="R28" s="418">
        <f>Apoio_Efeito!BD17</f>
        <v>0</v>
      </c>
      <c r="S28" s="418">
        <f>Apoio_Efeito!BD18</f>
        <v>0</v>
      </c>
      <c r="T28" s="418">
        <f>Apoio_Efeito!BD19</f>
        <v>0</v>
      </c>
      <c r="U28" s="418">
        <f>Apoio_Efeito!BD20</f>
        <v>0</v>
      </c>
      <c r="V28" s="418">
        <f>Apoio_Efeito!BD21</f>
        <v>0</v>
      </c>
      <c r="W28" s="420">
        <f>Apoio_Efeito!BD22</f>
        <v>0</v>
      </c>
      <c r="X28" s="418">
        <f>Apoio_Efeito!BD23</f>
        <v>0</v>
      </c>
      <c r="Y28" s="418">
        <f>Apoio_Efeito!BD24</f>
        <v>0</v>
      </c>
      <c r="Z28" s="418">
        <f>Apoio_Efeito!BD25</f>
        <v>0</v>
      </c>
      <c r="AA28" s="418">
        <f>Apoio_Efeito!BD26</f>
        <v>0</v>
      </c>
      <c r="AB28" s="418">
        <f>Apoio_Efeito!BD27</f>
        <v>0</v>
      </c>
      <c r="AC28" s="418">
        <f>Apoio_Efeito!BD28</f>
        <v>0</v>
      </c>
      <c r="AD28" s="418">
        <f>Apoio_Efeito!BD29</f>
        <v>0</v>
      </c>
      <c r="AE28" s="418">
        <f>Apoio_Efeito!BD30</f>
        <v>0</v>
      </c>
      <c r="AF28" s="418">
        <f>Apoio_Efeito!BD31</f>
        <v>0</v>
      </c>
      <c r="AG28" s="418">
        <f>Apoio_Efeito!BD32</f>
        <v>0</v>
      </c>
      <c r="AH28" s="418">
        <f>Apoio_Efeito!BD33</f>
        <v>0</v>
      </c>
      <c r="AI28" s="411">
        <f>Apoio_Efeito!BD34</f>
        <v>0</v>
      </c>
      <c r="AJ28" s="411">
        <f>Apoio_Efeito!BD35</f>
        <v>0</v>
      </c>
      <c r="AK28" s="411">
        <f>Apoio_Efeito!BD36</f>
        <v>0</v>
      </c>
      <c r="AL28" s="411">
        <f>Apoio_Efeito!BD37</f>
        <v>0</v>
      </c>
      <c r="AM28" s="411">
        <f>Apoio_Efeito!BD38</f>
        <v>0</v>
      </c>
      <c r="AN28" s="411">
        <f>Apoio_Efeito!BD39</f>
        <v>0</v>
      </c>
      <c r="AO28" s="411">
        <f>Apoio_Efeito!BD40</f>
        <v>0</v>
      </c>
      <c r="AP28" s="411">
        <f>Apoio_Efeito!BD41</f>
        <v>0</v>
      </c>
      <c r="AQ28" s="411">
        <f>Apoio_Efeito!BD42</f>
        <v>0</v>
      </c>
      <c r="AR28" s="411">
        <f>Apoio_Efeito!BD43</f>
        <v>0</v>
      </c>
      <c r="AS28" s="411">
        <f>Apoio_Efeito!BD44</f>
        <v>0</v>
      </c>
      <c r="AT28" s="411">
        <f>Apoio_Efeito!BD45</f>
        <v>0</v>
      </c>
      <c r="AU28" s="411">
        <f>Apoio_Efeito!BD46</f>
        <v>0</v>
      </c>
      <c r="AV28" s="411">
        <f>Apoio_Efeito!BD47</f>
        <v>0</v>
      </c>
      <c r="AW28" s="411">
        <f>Apoio_Efeito!BD48</f>
        <v>0</v>
      </c>
      <c r="AX28" s="411">
        <f>Apoio_Efeito!BD49</f>
        <v>0</v>
      </c>
      <c r="AY28" s="377">
        <f>Apoio_Efeito!BD50</f>
        <v>0</v>
      </c>
      <c r="AZ28" s="377">
        <f>Apoio_Efeito!BD51</f>
        <v>0</v>
      </c>
      <c r="BA28" s="377">
        <f>Apoio_Efeito!BD52</f>
        <v>0</v>
      </c>
      <c r="BB28" s="377">
        <f>Apoio_Efeito!BD53</f>
        <v>0</v>
      </c>
      <c r="BC28" s="377">
        <f>Apoio_Efeito!BD54</f>
        <v>0</v>
      </c>
      <c r="BD28" s="377">
        <f>Apoio_Efeito!BD55</f>
        <v>0</v>
      </c>
      <c r="BE28">
        <f t="shared" si="2"/>
        <v>0</v>
      </c>
      <c r="BF28" s="195"/>
      <c r="BI28" s="247"/>
      <c r="BJ28" s="303"/>
      <c r="BK28" s="303"/>
      <c r="BL28" s="217"/>
      <c r="BO28" s="240"/>
      <c r="BP28" s="240"/>
      <c r="BQ28" s="217"/>
      <c r="BT28" s="240"/>
      <c r="BU28" s="238"/>
      <c r="BV28" s="217"/>
    </row>
    <row r="29" spans="1:74">
      <c r="A29" s="32">
        <f t="shared" si="0"/>
        <v>0</v>
      </c>
      <c r="B29" s="301">
        <f t="shared" si="1"/>
        <v>0</v>
      </c>
      <c r="C29" s="300"/>
      <c r="D29" s="409" t="str">
        <f>Apoio_Efeito!BE3</f>
        <v>(Neutralidade) CDE Conta - Escassez Hídrica TE</v>
      </c>
      <c r="E29" s="419">
        <f>Apoio_Efeito!BE4</f>
        <v>0</v>
      </c>
      <c r="F29" s="418">
        <f>Apoio_Efeito!BE5</f>
        <v>0</v>
      </c>
      <c r="G29" s="418">
        <f>Apoio_Efeito!BE6</f>
        <v>0</v>
      </c>
      <c r="H29" s="418">
        <f>Apoio_Efeito!BE7</f>
        <v>0</v>
      </c>
      <c r="I29" s="418">
        <f>Apoio_Efeito!BE8</f>
        <v>0</v>
      </c>
      <c r="J29" s="418">
        <f>Apoio_Efeito!BE9</f>
        <v>0</v>
      </c>
      <c r="K29" s="418">
        <f>Apoio_Efeito!BE10</f>
        <v>0</v>
      </c>
      <c r="L29" s="418">
        <f>Apoio_Efeito!BE11</f>
        <v>0</v>
      </c>
      <c r="M29" s="418">
        <f>Apoio_Efeito!BE12</f>
        <v>0</v>
      </c>
      <c r="N29" s="418">
        <f>Apoio_Efeito!BE13</f>
        <v>0</v>
      </c>
      <c r="O29" s="418">
        <f>Apoio_Efeito!BE14</f>
        <v>0</v>
      </c>
      <c r="P29" s="418">
        <f>Apoio_Efeito!BE15</f>
        <v>0</v>
      </c>
      <c r="Q29" s="418">
        <f>Apoio_Efeito!BE16</f>
        <v>0</v>
      </c>
      <c r="R29" s="418">
        <f>Apoio_Efeito!BE17</f>
        <v>0</v>
      </c>
      <c r="S29" s="418">
        <f>Apoio_Efeito!BE18</f>
        <v>0</v>
      </c>
      <c r="T29" s="418">
        <f>Apoio_Efeito!BE19</f>
        <v>0</v>
      </c>
      <c r="U29" s="418">
        <f>Apoio_Efeito!BE20</f>
        <v>0</v>
      </c>
      <c r="V29" s="418">
        <f>Apoio_Efeito!BE21</f>
        <v>0</v>
      </c>
      <c r="W29" s="420">
        <f>Apoio_Efeito!BE22</f>
        <v>0</v>
      </c>
      <c r="X29" s="418">
        <f>Apoio_Efeito!BE23</f>
        <v>0</v>
      </c>
      <c r="Y29" s="418">
        <f>Apoio_Efeito!BE24</f>
        <v>0</v>
      </c>
      <c r="Z29" s="418">
        <f>Apoio_Efeito!BE25</f>
        <v>0</v>
      </c>
      <c r="AA29" s="418">
        <f>Apoio_Efeito!BE26</f>
        <v>0</v>
      </c>
      <c r="AB29" s="418">
        <f>Apoio_Efeito!BE27</f>
        <v>0</v>
      </c>
      <c r="AC29" s="418">
        <f>Apoio_Efeito!BE28</f>
        <v>0</v>
      </c>
      <c r="AD29" s="418">
        <f>Apoio_Efeito!BE29</f>
        <v>0</v>
      </c>
      <c r="AE29" s="418">
        <f>Apoio_Efeito!BE30</f>
        <v>0</v>
      </c>
      <c r="AF29" s="418">
        <f>Apoio_Efeito!BE31</f>
        <v>0</v>
      </c>
      <c r="AG29" s="418">
        <f>Apoio_Efeito!BE32</f>
        <v>0</v>
      </c>
      <c r="AH29" s="418">
        <f>Apoio_Efeito!BE33</f>
        <v>0</v>
      </c>
      <c r="AI29" s="411">
        <f>Apoio_Efeito!BE34</f>
        <v>0</v>
      </c>
      <c r="AJ29" s="411">
        <f>Apoio_Efeito!BE35</f>
        <v>0</v>
      </c>
      <c r="AK29" s="411">
        <f>Apoio_Efeito!BE36</f>
        <v>0</v>
      </c>
      <c r="AL29" s="411">
        <f>Apoio_Efeito!BE37</f>
        <v>0</v>
      </c>
      <c r="AM29" s="411">
        <f>Apoio_Efeito!BE38</f>
        <v>0</v>
      </c>
      <c r="AN29" s="411">
        <f>Apoio_Efeito!BE39</f>
        <v>0</v>
      </c>
      <c r="AO29" s="411">
        <f>Apoio_Efeito!BE40</f>
        <v>0</v>
      </c>
      <c r="AP29" s="411">
        <f>Apoio_Efeito!BE41</f>
        <v>0</v>
      </c>
      <c r="AQ29" s="411">
        <f>Apoio_Efeito!BE42</f>
        <v>0</v>
      </c>
      <c r="AR29" s="411">
        <f>Apoio_Efeito!BE43</f>
        <v>0</v>
      </c>
      <c r="AS29" s="411">
        <f>Apoio_Efeito!BE44</f>
        <v>0</v>
      </c>
      <c r="AT29" s="411">
        <f>Apoio_Efeito!BE45</f>
        <v>0</v>
      </c>
      <c r="AU29" s="411">
        <f>Apoio_Efeito!BE46</f>
        <v>0</v>
      </c>
      <c r="AV29" s="411">
        <f>Apoio_Efeito!BE47</f>
        <v>0</v>
      </c>
      <c r="AW29" s="411">
        <f>Apoio_Efeito!BE48</f>
        <v>0</v>
      </c>
      <c r="AX29" s="411">
        <f>Apoio_Efeito!BE49</f>
        <v>0</v>
      </c>
      <c r="AY29" s="377">
        <f>Apoio_Efeito!BE50</f>
        <v>0</v>
      </c>
      <c r="AZ29" s="377">
        <f>Apoio_Efeito!BE51</f>
        <v>0</v>
      </c>
      <c r="BA29" s="377">
        <f>Apoio_Efeito!BE52</f>
        <v>0</v>
      </c>
      <c r="BB29" s="377">
        <f>Apoio_Efeito!BE53</f>
        <v>0</v>
      </c>
      <c r="BC29" s="377">
        <f>Apoio_Efeito!BE54</f>
        <v>0</v>
      </c>
      <c r="BD29" s="377">
        <f>Apoio_Efeito!BE55</f>
        <v>0</v>
      </c>
      <c r="BE29">
        <f t="shared" si="2"/>
        <v>0</v>
      </c>
      <c r="BF29" s="195"/>
      <c r="BI29" s="247"/>
      <c r="BJ29" s="303"/>
      <c r="BK29" s="303"/>
      <c r="BL29" s="217"/>
      <c r="BO29" s="240"/>
      <c r="BP29" s="240"/>
      <c r="BQ29" s="217"/>
      <c r="BT29" s="240"/>
      <c r="BU29" s="238"/>
      <c r="BV29" s="217"/>
    </row>
    <row r="30" spans="1:74">
      <c r="A30" s="32">
        <f t="shared" si="0"/>
        <v>0</v>
      </c>
      <c r="B30" s="301">
        <f t="shared" si="1"/>
        <v>0</v>
      </c>
      <c r="C30" s="300"/>
      <c r="D30" s="409" t="str">
        <f>Apoio_Efeito!BF3</f>
        <v>(Neutralidade) CDE Conta - Escassez Hídrica TUSD</v>
      </c>
      <c r="E30" s="419">
        <f>Apoio_Efeito!BF4</f>
        <v>0</v>
      </c>
      <c r="F30" s="418">
        <f>Apoio_Efeito!BF5</f>
        <v>0</v>
      </c>
      <c r="G30" s="418">
        <f>Apoio_Efeito!BF6</f>
        <v>0</v>
      </c>
      <c r="H30" s="418">
        <f>Apoio_Efeito!BF7</f>
        <v>0</v>
      </c>
      <c r="I30" s="418">
        <f>Apoio_Efeito!BF8</f>
        <v>0</v>
      </c>
      <c r="J30" s="418">
        <f>Apoio_Efeito!BF9</f>
        <v>0</v>
      </c>
      <c r="K30" s="418">
        <f>Apoio_Efeito!BF10</f>
        <v>0</v>
      </c>
      <c r="L30" s="418">
        <f>Apoio_Efeito!BF11</f>
        <v>0</v>
      </c>
      <c r="M30" s="418">
        <f>Apoio_Efeito!BF12</f>
        <v>0</v>
      </c>
      <c r="N30" s="418">
        <f>Apoio_Efeito!BF13</f>
        <v>0</v>
      </c>
      <c r="O30" s="418">
        <f>Apoio_Efeito!BF14</f>
        <v>0</v>
      </c>
      <c r="P30" s="418">
        <f>Apoio_Efeito!BF15</f>
        <v>0</v>
      </c>
      <c r="Q30" s="418">
        <f>Apoio_Efeito!BF16</f>
        <v>0</v>
      </c>
      <c r="R30" s="418">
        <f>Apoio_Efeito!BF17</f>
        <v>0</v>
      </c>
      <c r="S30" s="418">
        <f>Apoio_Efeito!BF18</f>
        <v>0</v>
      </c>
      <c r="T30" s="418">
        <f>Apoio_Efeito!BF19</f>
        <v>0</v>
      </c>
      <c r="U30" s="418">
        <f>Apoio_Efeito!BF20</f>
        <v>0</v>
      </c>
      <c r="V30" s="418">
        <f>Apoio_Efeito!BF21</f>
        <v>0</v>
      </c>
      <c r="W30" s="420">
        <f>Apoio_Efeito!BF22</f>
        <v>0</v>
      </c>
      <c r="X30" s="418">
        <f>Apoio_Efeito!BF23</f>
        <v>0</v>
      </c>
      <c r="Y30" s="418">
        <f>Apoio_Efeito!BF24</f>
        <v>0</v>
      </c>
      <c r="Z30" s="418">
        <f>Apoio_Efeito!BF25</f>
        <v>0</v>
      </c>
      <c r="AA30" s="418">
        <f>Apoio_Efeito!BF26</f>
        <v>0</v>
      </c>
      <c r="AB30" s="418">
        <f>Apoio_Efeito!BF27</f>
        <v>0</v>
      </c>
      <c r="AC30" s="418">
        <f>Apoio_Efeito!BF28</f>
        <v>0</v>
      </c>
      <c r="AD30" s="418">
        <f>Apoio_Efeito!BF29</f>
        <v>0</v>
      </c>
      <c r="AE30" s="418">
        <f>Apoio_Efeito!BF30</f>
        <v>0</v>
      </c>
      <c r="AF30" s="418">
        <f>Apoio_Efeito!BF31</f>
        <v>0</v>
      </c>
      <c r="AG30" s="418">
        <f>Apoio_Efeito!BF32</f>
        <v>0</v>
      </c>
      <c r="AH30" s="418">
        <f>Apoio_Efeito!BF33</f>
        <v>0</v>
      </c>
      <c r="AI30" s="411">
        <f>Apoio_Efeito!BF34</f>
        <v>0</v>
      </c>
      <c r="AJ30" s="411">
        <f>Apoio_Efeito!BF35</f>
        <v>0</v>
      </c>
      <c r="AK30" s="411">
        <f>Apoio_Efeito!BF36</f>
        <v>0</v>
      </c>
      <c r="AL30" s="411">
        <f>Apoio_Efeito!BF37</f>
        <v>0</v>
      </c>
      <c r="AM30" s="411">
        <f>Apoio_Efeito!BF38</f>
        <v>0</v>
      </c>
      <c r="AN30" s="411">
        <f>Apoio_Efeito!BF39</f>
        <v>0</v>
      </c>
      <c r="AO30" s="411">
        <f>Apoio_Efeito!BF40</f>
        <v>0</v>
      </c>
      <c r="AP30" s="411">
        <f>Apoio_Efeito!BF41</f>
        <v>0</v>
      </c>
      <c r="AQ30" s="411">
        <f>Apoio_Efeito!BF42</f>
        <v>0</v>
      </c>
      <c r="AR30" s="411">
        <f>Apoio_Efeito!BF43</f>
        <v>0</v>
      </c>
      <c r="AS30" s="411">
        <f>Apoio_Efeito!BF44</f>
        <v>0</v>
      </c>
      <c r="AT30" s="411">
        <f>Apoio_Efeito!BF45</f>
        <v>0</v>
      </c>
      <c r="AU30" s="411">
        <f>Apoio_Efeito!BF46</f>
        <v>0</v>
      </c>
      <c r="AV30" s="411">
        <f>Apoio_Efeito!BF47</f>
        <v>0</v>
      </c>
      <c r="AW30" s="411">
        <f>Apoio_Efeito!BF48</f>
        <v>0</v>
      </c>
      <c r="AX30" s="411">
        <f>Apoio_Efeito!BF49</f>
        <v>0</v>
      </c>
      <c r="AY30" s="377">
        <f>Apoio_Efeito!BF50</f>
        <v>0</v>
      </c>
      <c r="AZ30" s="377">
        <f>Apoio_Efeito!BF51</f>
        <v>0</v>
      </c>
      <c r="BA30" s="377">
        <f>Apoio_Efeito!BF52</f>
        <v>0</v>
      </c>
      <c r="BB30" s="377">
        <f>Apoio_Efeito!BF53</f>
        <v>0</v>
      </c>
      <c r="BC30" s="377">
        <f>Apoio_Efeito!BF54</f>
        <v>0</v>
      </c>
      <c r="BD30" s="377">
        <f>Apoio_Efeito!BF55</f>
        <v>0</v>
      </c>
      <c r="BE30">
        <f t="shared" si="2"/>
        <v>0</v>
      </c>
      <c r="BF30" s="195"/>
      <c r="BI30" s="247"/>
      <c r="BJ30" s="303"/>
      <c r="BK30" s="303"/>
      <c r="BL30" s="217"/>
      <c r="BO30" s="240"/>
      <c r="BP30" s="240"/>
      <c r="BQ30" s="217"/>
      <c r="BT30" s="240"/>
      <c r="BU30" s="238"/>
      <c r="BV30" s="217"/>
    </row>
    <row r="31" spans="1:74">
      <c r="A31" s="32">
        <f t="shared" si="0"/>
        <v>0</v>
      </c>
      <c r="B31" s="301">
        <f t="shared" si="1"/>
        <v>0</v>
      </c>
      <c r="C31" s="300"/>
      <c r="D31" s="409" t="str">
        <f>Apoio_Efeito!BG3</f>
        <v>(Neutralidade)Crédito Pis Cofins</v>
      </c>
      <c r="E31" s="419">
        <f>Apoio_Efeito!BG4</f>
        <v>0</v>
      </c>
      <c r="F31" s="418">
        <f>Apoio_Efeito!BG5</f>
        <v>0</v>
      </c>
      <c r="G31" s="418">
        <f>Apoio_Efeito!BG6</f>
        <v>0</v>
      </c>
      <c r="H31" s="418">
        <f>Apoio_Efeito!BG7</f>
        <v>0</v>
      </c>
      <c r="I31" s="418">
        <f>Apoio_Efeito!BG8</f>
        <v>0</v>
      </c>
      <c r="J31" s="418">
        <f>Apoio_Efeito!BG9</f>
        <v>0</v>
      </c>
      <c r="K31" s="418">
        <f>Apoio_Efeito!BG10</f>
        <v>0</v>
      </c>
      <c r="L31" s="418">
        <f>Apoio_Efeito!BG11</f>
        <v>0</v>
      </c>
      <c r="M31" s="418">
        <f>Apoio_Efeito!BG12</f>
        <v>0</v>
      </c>
      <c r="N31" s="418">
        <f>Apoio_Efeito!BG13</f>
        <v>0</v>
      </c>
      <c r="O31" s="418">
        <f>Apoio_Efeito!BG14</f>
        <v>0</v>
      </c>
      <c r="P31" s="418">
        <f>Apoio_Efeito!BG15</f>
        <v>0</v>
      </c>
      <c r="Q31" s="418">
        <f>Apoio_Efeito!BG16</f>
        <v>0</v>
      </c>
      <c r="R31" s="418">
        <f>Apoio_Efeito!BG17</f>
        <v>0</v>
      </c>
      <c r="S31" s="418">
        <f>Apoio_Efeito!BG18</f>
        <v>0</v>
      </c>
      <c r="T31" s="418">
        <f>Apoio_Efeito!BG19</f>
        <v>0</v>
      </c>
      <c r="U31" s="418">
        <f>Apoio_Efeito!BG20</f>
        <v>0</v>
      </c>
      <c r="V31" s="418">
        <f>Apoio_Efeito!BG21</f>
        <v>0</v>
      </c>
      <c r="W31" s="418">
        <f>Apoio_Efeito!BG22</f>
        <v>0</v>
      </c>
      <c r="X31" s="418">
        <f>Apoio_Efeito!BG23</f>
        <v>0</v>
      </c>
      <c r="Y31" s="418">
        <f>Apoio_Efeito!BG24</f>
        <v>0</v>
      </c>
      <c r="Z31" s="418">
        <f>Apoio_Efeito!BG25</f>
        <v>0</v>
      </c>
      <c r="AA31" s="418">
        <f>Apoio_Efeito!BG26</f>
        <v>0</v>
      </c>
      <c r="AB31" s="418">
        <f>Apoio_Efeito!BG27</f>
        <v>0</v>
      </c>
      <c r="AC31" s="418">
        <f>Apoio_Efeito!BG28</f>
        <v>0</v>
      </c>
      <c r="AD31" s="418">
        <f>Apoio_Efeito!BG29</f>
        <v>0</v>
      </c>
      <c r="AE31" s="418">
        <f>Apoio_Efeito!BG30</f>
        <v>0</v>
      </c>
      <c r="AF31" s="418">
        <f>Apoio_Efeito!BG31</f>
        <v>0</v>
      </c>
      <c r="AG31" s="418">
        <f>Apoio_Efeito!BG32</f>
        <v>0</v>
      </c>
      <c r="AH31" s="418">
        <f>Apoio_Efeito!BG33</f>
        <v>0</v>
      </c>
      <c r="AI31" s="411">
        <f>Apoio_Efeito!BG34</f>
        <v>0</v>
      </c>
      <c r="AJ31" s="411">
        <f>Apoio_Efeito!BG35</f>
        <v>0</v>
      </c>
      <c r="AK31" s="411">
        <f>Apoio_Efeito!BG36</f>
        <v>0</v>
      </c>
      <c r="AL31" s="411">
        <f>Apoio_Efeito!BG37</f>
        <v>0</v>
      </c>
      <c r="AM31" s="411">
        <f>Apoio_Efeito!BG38</f>
        <v>0</v>
      </c>
      <c r="AN31" s="411">
        <f>Apoio_Efeito!BG39</f>
        <v>0</v>
      </c>
      <c r="AO31" s="411">
        <f>Apoio_Efeito!BG40</f>
        <v>0</v>
      </c>
      <c r="AP31" s="411">
        <f>Apoio_Efeito!BG41</f>
        <v>0</v>
      </c>
      <c r="AQ31" s="411">
        <f>Apoio_Efeito!BG42</f>
        <v>0</v>
      </c>
      <c r="AR31" s="411">
        <f>Apoio_Efeito!BG43</f>
        <v>0</v>
      </c>
      <c r="AS31" s="411">
        <f>Apoio_Efeito!BG44</f>
        <v>0</v>
      </c>
      <c r="AT31" s="411">
        <f>Apoio_Efeito!BG45</f>
        <v>0</v>
      </c>
      <c r="AU31" s="411">
        <f>Apoio_Efeito!BG46</f>
        <v>0</v>
      </c>
      <c r="AV31" s="411">
        <f>Apoio_Efeito!BG47</f>
        <v>0</v>
      </c>
      <c r="AW31" s="411">
        <f>Apoio_Efeito!BG48</f>
        <v>0</v>
      </c>
      <c r="AX31" s="411">
        <f>Apoio_Efeito!BG49</f>
        <v>0</v>
      </c>
      <c r="AY31" s="377">
        <f>Apoio_Efeito!BG50</f>
        <v>0</v>
      </c>
      <c r="AZ31" s="377">
        <f>Apoio_Efeito!BG51</f>
        <v>0</v>
      </c>
      <c r="BA31" s="377">
        <f>Apoio_Efeito!BG52</f>
        <v>0</v>
      </c>
      <c r="BB31" s="377">
        <f>Apoio_Efeito!BG53</f>
        <v>0</v>
      </c>
      <c r="BC31" s="377">
        <f>Apoio_Efeito!BG54</f>
        <v>0</v>
      </c>
      <c r="BD31" s="377">
        <f>Apoio_Efeito!BG55</f>
        <v>0</v>
      </c>
      <c r="BE31">
        <f t="shared" si="2"/>
        <v>0</v>
      </c>
      <c r="BF31" s="195"/>
      <c r="BI31" s="247"/>
      <c r="BJ31" s="303"/>
      <c r="BK31" s="303"/>
      <c r="BL31" s="217"/>
      <c r="BO31" s="240"/>
      <c r="BP31" s="240"/>
      <c r="BQ31" s="217"/>
      <c r="BT31" s="240"/>
      <c r="BU31" s="238"/>
      <c r="BV31" s="217"/>
    </row>
    <row r="32" spans="1:74">
      <c r="A32" s="32">
        <f t="shared" si="0"/>
        <v>0</v>
      </c>
      <c r="B32" s="301">
        <f t="shared" si="1"/>
        <v>0</v>
      </c>
      <c r="C32" s="300"/>
      <c r="D32" s="409" t="str">
        <f>Apoio_Efeito!BH3</f>
        <v>Recálculo - Econômico</v>
      </c>
      <c r="E32" s="419">
        <f>Apoio_Efeito!BH4</f>
        <v>0</v>
      </c>
      <c r="F32" s="418">
        <f>Apoio_Efeito!BH5</f>
        <v>0</v>
      </c>
      <c r="G32" s="418">
        <f>Apoio_Efeito!BH6</f>
        <v>0</v>
      </c>
      <c r="H32" s="418">
        <f>Apoio_Efeito!BH7</f>
        <v>0</v>
      </c>
      <c r="I32" s="418">
        <f>Apoio_Efeito!BH8</f>
        <v>0</v>
      </c>
      <c r="J32" s="418">
        <f>Apoio_Efeito!BH9</f>
        <v>0</v>
      </c>
      <c r="K32" s="418">
        <f>Apoio_Efeito!BH10</f>
        <v>0</v>
      </c>
      <c r="L32" s="418">
        <f>Apoio_Efeito!BH11</f>
        <v>0</v>
      </c>
      <c r="M32" s="418">
        <f>Apoio_Efeito!BH12</f>
        <v>0</v>
      </c>
      <c r="N32" s="418">
        <f>Apoio_Efeito!BH13</f>
        <v>0</v>
      </c>
      <c r="O32" s="418">
        <f>Apoio_Efeito!BH14</f>
        <v>0</v>
      </c>
      <c r="P32" s="418">
        <f>Apoio_Efeito!BH15</f>
        <v>0</v>
      </c>
      <c r="Q32" s="418">
        <f>Apoio_Efeito!BH16</f>
        <v>0</v>
      </c>
      <c r="R32" s="418">
        <f>Apoio_Efeito!BH17</f>
        <v>0</v>
      </c>
      <c r="S32" s="418">
        <f>Apoio_Efeito!BH18</f>
        <v>0</v>
      </c>
      <c r="T32" s="418">
        <f>Apoio_Efeito!BH19</f>
        <v>0</v>
      </c>
      <c r="U32" s="418">
        <f>Apoio_Efeito!BH20</f>
        <v>0</v>
      </c>
      <c r="V32" s="418">
        <f>Apoio_Efeito!BH21</f>
        <v>0</v>
      </c>
      <c r="W32" s="418">
        <f>Apoio_Efeito!BH22</f>
        <v>0</v>
      </c>
      <c r="X32" s="418">
        <f>Apoio_Efeito!BH23</f>
        <v>0</v>
      </c>
      <c r="Y32" s="418">
        <f>Apoio_Efeito!BH24</f>
        <v>0</v>
      </c>
      <c r="Z32" s="418">
        <f>Apoio_Efeito!BH25</f>
        <v>0</v>
      </c>
      <c r="AA32" s="418">
        <f>Apoio_Efeito!BH26</f>
        <v>0</v>
      </c>
      <c r="AB32" s="418">
        <f>Apoio_Efeito!BH27</f>
        <v>0</v>
      </c>
      <c r="AC32" s="418">
        <f>Apoio_Efeito!BH28</f>
        <v>0</v>
      </c>
      <c r="AD32" s="418">
        <f>Apoio_Efeito!BH29</f>
        <v>0</v>
      </c>
      <c r="AE32" s="418">
        <f>Apoio_Efeito!BH30</f>
        <v>0</v>
      </c>
      <c r="AF32" s="418">
        <f>Apoio_Efeito!BH31</f>
        <v>0</v>
      </c>
      <c r="AG32" s="418">
        <f>Apoio_Efeito!BH32</f>
        <v>0</v>
      </c>
      <c r="AH32" s="418">
        <f>Apoio_Efeito!BH33</f>
        <v>0</v>
      </c>
      <c r="AI32" s="411">
        <f>Apoio_Efeito!BH34</f>
        <v>0</v>
      </c>
      <c r="AJ32" s="411">
        <f>Apoio_Efeito!BH35</f>
        <v>0</v>
      </c>
      <c r="AK32" s="411">
        <f>Apoio_Efeito!BH36</f>
        <v>0</v>
      </c>
      <c r="AL32" s="411">
        <f>Apoio_Efeito!BH37</f>
        <v>0</v>
      </c>
      <c r="AM32" s="411">
        <f>Apoio_Efeito!BH38</f>
        <v>0</v>
      </c>
      <c r="AN32" s="411">
        <f>Apoio_Efeito!BH39</f>
        <v>0</v>
      </c>
      <c r="AO32" s="411">
        <f>Apoio_Efeito!BH40</f>
        <v>0</v>
      </c>
      <c r="AP32" s="411">
        <f>Apoio_Efeito!BH41</f>
        <v>0</v>
      </c>
      <c r="AQ32" s="411">
        <f>Apoio_Efeito!BH42</f>
        <v>0</v>
      </c>
      <c r="AR32" s="411">
        <f>Apoio_Efeito!BH43</f>
        <v>0</v>
      </c>
      <c r="AS32" s="411">
        <f>Apoio_Efeito!BH44</f>
        <v>0</v>
      </c>
      <c r="AT32" s="411">
        <f>Apoio_Efeito!BH45</f>
        <v>0</v>
      </c>
      <c r="AU32" s="411">
        <f>Apoio_Efeito!BH46</f>
        <v>0</v>
      </c>
      <c r="AV32" s="411">
        <f>Apoio_Efeito!BH47</f>
        <v>0</v>
      </c>
      <c r="AW32" s="411">
        <f>Apoio_Efeito!BH48</f>
        <v>0</v>
      </c>
      <c r="AX32" s="411">
        <f>Apoio_Efeito!BH49</f>
        <v>0</v>
      </c>
      <c r="AY32" s="377">
        <f>Apoio_Efeito!BH50</f>
        <v>0</v>
      </c>
      <c r="AZ32" s="377">
        <f>Apoio_Efeito!BH51</f>
        <v>0</v>
      </c>
      <c r="BA32" s="377">
        <f>Apoio_Efeito!BH52</f>
        <v>0</v>
      </c>
      <c r="BB32" s="377">
        <f>Apoio_Efeito!BH53</f>
        <v>0</v>
      </c>
      <c r="BC32" s="377">
        <f>Apoio_Efeito!BH54</f>
        <v>0</v>
      </c>
      <c r="BD32" s="377">
        <f>Apoio_Efeito!BH55</f>
        <v>0</v>
      </c>
      <c r="BE32">
        <f t="shared" si="2"/>
        <v>0</v>
      </c>
      <c r="BF32" s="162"/>
      <c r="BI32" s="247"/>
      <c r="BJ32" s="303"/>
      <c r="BK32" s="303"/>
      <c r="BL32" s="217"/>
      <c r="BO32" s="240"/>
      <c r="BP32" s="240"/>
      <c r="BQ32" s="217"/>
      <c r="BT32" s="240"/>
      <c r="BU32" s="238"/>
      <c r="BV32" s="217"/>
    </row>
    <row r="33" spans="1:74">
      <c r="A33" s="32">
        <f t="shared" si="0"/>
        <v>0</v>
      </c>
      <c r="B33" s="301">
        <f t="shared" si="1"/>
        <v>0</v>
      </c>
      <c r="C33" s="300"/>
      <c r="D33" s="409" t="str">
        <f>Apoio_Efeito!BI3</f>
        <v>(Neutralidade) CDE Conta - Covid TUSD</v>
      </c>
      <c r="E33" s="419">
        <f>Apoio_Efeito!BI4</f>
        <v>0</v>
      </c>
      <c r="F33" s="418">
        <f>Apoio_Efeito!BI5</f>
        <v>0</v>
      </c>
      <c r="G33" s="418">
        <f>Apoio_Efeito!BI6</f>
        <v>0</v>
      </c>
      <c r="H33" s="418">
        <f>Apoio_Efeito!BI7</f>
        <v>0</v>
      </c>
      <c r="I33" s="418">
        <f>Apoio_Efeito!BI8</f>
        <v>0</v>
      </c>
      <c r="J33" s="418">
        <f>Apoio_Efeito!BI9</f>
        <v>0</v>
      </c>
      <c r="K33" s="418">
        <f>Apoio_Efeito!BI10</f>
        <v>0</v>
      </c>
      <c r="L33" s="418">
        <f>Apoio_Efeito!BI11</f>
        <v>0</v>
      </c>
      <c r="M33" s="418">
        <f>Apoio_Efeito!BI12</f>
        <v>0</v>
      </c>
      <c r="N33" s="418">
        <f>Apoio_Efeito!BI13</f>
        <v>0</v>
      </c>
      <c r="O33" s="418">
        <f>Apoio_Efeito!BI14</f>
        <v>0</v>
      </c>
      <c r="P33" s="418">
        <f>Apoio_Efeito!BI15</f>
        <v>0</v>
      </c>
      <c r="Q33" s="418">
        <f>Apoio_Efeito!BI16</f>
        <v>0</v>
      </c>
      <c r="R33" s="418">
        <f>Apoio_Efeito!BI17</f>
        <v>0</v>
      </c>
      <c r="S33" s="418">
        <f>Apoio_Efeito!BI18</f>
        <v>0</v>
      </c>
      <c r="T33" s="418">
        <f>Apoio_Efeito!BI19</f>
        <v>0</v>
      </c>
      <c r="U33" s="418">
        <f>Apoio_Efeito!BI20</f>
        <v>0</v>
      </c>
      <c r="V33" s="418">
        <f>Apoio_Efeito!BI21</f>
        <v>0</v>
      </c>
      <c r="W33" s="418">
        <f>Apoio_Efeito!BI22</f>
        <v>0</v>
      </c>
      <c r="X33" s="418">
        <f>Apoio_Efeito!BI23</f>
        <v>0</v>
      </c>
      <c r="Y33" s="418">
        <f>Apoio_Efeito!BI24</f>
        <v>0</v>
      </c>
      <c r="Z33" s="418">
        <f>Apoio_Efeito!BI25</f>
        <v>0</v>
      </c>
      <c r="AA33" s="418">
        <f>Apoio_Efeito!BI26</f>
        <v>0</v>
      </c>
      <c r="AB33" s="418">
        <f>Apoio_Efeito!BI27</f>
        <v>0</v>
      </c>
      <c r="AC33" s="418">
        <f>Apoio_Efeito!BI28</f>
        <v>0</v>
      </c>
      <c r="AD33" s="418">
        <f>Apoio_Efeito!BI29</f>
        <v>0</v>
      </c>
      <c r="AE33" s="418">
        <f>Apoio_Efeito!BI30</f>
        <v>0</v>
      </c>
      <c r="AF33" s="418">
        <f>Apoio_Efeito!BI31</f>
        <v>0</v>
      </c>
      <c r="AG33" s="418">
        <f>Apoio_Efeito!BI32</f>
        <v>0</v>
      </c>
      <c r="AH33" s="418">
        <f>Apoio_Efeito!BI33</f>
        <v>0</v>
      </c>
      <c r="AI33" s="411">
        <f>Apoio_Efeito!BI34</f>
        <v>0</v>
      </c>
      <c r="AJ33" s="411">
        <f>Apoio_Efeito!BI35</f>
        <v>0</v>
      </c>
      <c r="AK33" s="411">
        <f>Apoio_Efeito!BI36</f>
        <v>0</v>
      </c>
      <c r="AL33" s="411">
        <f>Apoio_Efeito!BI37</f>
        <v>0</v>
      </c>
      <c r="AM33" s="411">
        <f>Apoio_Efeito!BI38</f>
        <v>0</v>
      </c>
      <c r="AN33" s="411">
        <f>Apoio_Efeito!BI39</f>
        <v>0</v>
      </c>
      <c r="AO33" s="411">
        <f>Apoio_Efeito!BI40</f>
        <v>0</v>
      </c>
      <c r="AP33" s="411">
        <f>Apoio_Efeito!BI41</f>
        <v>0</v>
      </c>
      <c r="AQ33" s="411">
        <f>Apoio_Efeito!BI42</f>
        <v>0</v>
      </c>
      <c r="AR33" s="411">
        <f>Apoio_Efeito!BI43</f>
        <v>0</v>
      </c>
      <c r="AS33" s="411">
        <f>Apoio_Efeito!BI44</f>
        <v>0</v>
      </c>
      <c r="AT33" s="411">
        <f>Apoio_Efeito!BI45</f>
        <v>0</v>
      </c>
      <c r="AU33" s="411">
        <f>Apoio_Efeito!BI46</f>
        <v>0</v>
      </c>
      <c r="AV33" s="411">
        <f>Apoio_Efeito!BI47</f>
        <v>0</v>
      </c>
      <c r="AW33" s="411">
        <f>Apoio_Efeito!BI48</f>
        <v>0</v>
      </c>
      <c r="AX33" s="411">
        <f>Apoio_Efeito!BI49</f>
        <v>0</v>
      </c>
      <c r="AY33" s="377">
        <f>Apoio_Efeito!BI50</f>
        <v>0</v>
      </c>
      <c r="AZ33" s="377">
        <f>Apoio_Efeito!BI51</f>
        <v>0</v>
      </c>
      <c r="BA33" s="377">
        <f>Apoio_Efeito!BI52</f>
        <v>0</v>
      </c>
      <c r="BB33" s="377">
        <f>Apoio_Efeito!BI53</f>
        <v>0</v>
      </c>
      <c r="BC33" s="377">
        <f>Apoio_Efeito!BI54</f>
        <v>0</v>
      </c>
      <c r="BD33" s="377">
        <f>Apoio_Efeito!BI55</f>
        <v>0</v>
      </c>
      <c r="BE33">
        <f t="shared" si="2"/>
        <v>0</v>
      </c>
      <c r="BF33" s="162"/>
      <c r="BI33" s="247"/>
      <c r="BJ33" s="303"/>
      <c r="BK33" s="303"/>
      <c r="BL33" s="217"/>
      <c r="BO33" s="240"/>
      <c r="BP33" s="240"/>
      <c r="BQ33" s="217"/>
      <c r="BT33" s="240"/>
      <c r="BU33" s="238"/>
      <c r="BV33" s="217"/>
    </row>
    <row r="34" spans="1:74" ht="26">
      <c r="A34" s="32">
        <f t="shared" si="0"/>
        <v>0</v>
      </c>
      <c r="B34" s="301">
        <f t="shared" si="1"/>
        <v>0</v>
      </c>
      <c r="C34" s="300"/>
      <c r="D34" s="409" t="s">
        <v>538</v>
      </c>
      <c r="E34" s="419">
        <f>Apoio_Efeito!BJ4</f>
        <v>0</v>
      </c>
      <c r="F34" s="418">
        <f>Apoio_Efeito!BJ5</f>
        <v>0</v>
      </c>
      <c r="G34" s="418">
        <f>Apoio_Efeito!BJ6</f>
        <v>0</v>
      </c>
      <c r="H34" s="418">
        <f>Apoio_Efeito!BJ7</f>
        <v>0</v>
      </c>
      <c r="I34" s="418">
        <f>Apoio_Efeito!BJ8</f>
        <v>0</v>
      </c>
      <c r="J34" s="418">
        <f>Apoio_Efeito!BJ9</f>
        <v>0</v>
      </c>
      <c r="K34" s="418">
        <f>Apoio_Efeito!BJ10</f>
        <v>0</v>
      </c>
      <c r="L34" s="418">
        <f>Apoio_Efeito!BJ11</f>
        <v>0</v>
      </c>
      <c r="M34" s="418">
        <f>Apoio_Efeito!BJ12</f>
        <v>0</v>
      </c>
      <c r="N34" s="418">
        <f>Apoio_Efeito!BJ13</f>
        <v>0</v>
      </c>
      <c r="O34" s="418">
        <f>Apoio_Efeito!BJ14</f>
        <v>0</v>
      </c>
      <c r="P34" s="418">
        <f>Apoio_Efeito!BJ15</f>
        <v>0</v>
      </c>
      <c r="Q34" s="418">
        <f>Apoio_Efeito!BJ16</f>
        <v>0</v>
      </c>
      <c r="R34" s="418">
        <f>Apoio_Efeito!BJ17</f>
        <v>0</v>
      </c>
      <c r="S34" s="418">
        <f>Apoio_Efeito!BJ18</f>
        <v>0</v>
      </c>
      <c r="T34" s="418">
        <f>Apoio_Efeito!BJ19</f>
        <v>0</v>
      </c>
      <c r="U34" s="418">
        <f>Apoio_Efeito!BJ20</f>
        <v>0</v>
      </c>
      <c r="V34" s="418">
        <f>Apoio_Efeito!BJ21</f>
        <v>0</v>
      </c>
      <c r="W34" s="418">
        <f>Apoio_Efeito!BJ22</f>
        <v>0</v>
      </c>
      <c r="X34" s="418">
        <f>Apoio_Efeito!BJ23</f>
        <v>0</v>
      </c>
      <c r="Y34" s="418">
        <f>Apoio_Efeito!BJ24</f>
        <v>0</v>
      </c>
      <c r="Z34" s="418">
        <f>Apoio_Efeito!BJ25</f>
        <v>0</v>
      </c>
      <c r="AA34" s="418">
        <f>Apoio_Efeito!BJ26</f>
        <v>0</v>
      </c>
      <c r="AB34" s="418">
        <f>Apoio_Efeito!BJ27</f>
        <v>0</v>
      </c>
      <c r="AC34" s="418">
        <f>Apoio_Efeito!BJ28</f>
        <v>0</v>
      </c>
      <c r="AD34" s="418">
        <f>Apoio_Efeito!BJ29</f>
        <v>0</v>
      </c>
      <c r="AE34" s="418">
        <f>Apoio_Efeito!BJ30</f>
        <v>0</v>
      </c>
      <c r="AF34" s="418">
        <f>Apoio_Efeito!BJ31</f>
        <v>0</v>
      </c>
      <c r="AG34" s="418">
        <f>Apoio_Efeito!BJ32</f>
        <v>0</v>
      </c>
      <c r="AH34" s="418">
        <f>Apoio_Efeito!BJ33</f>
        <v>0</v>
      </c>
      <c r="AI34" s="411">
        <f>Apoio_Efeito!BJ34</f>
        <v>0</v>
      </c>
      <c r="AJ34" s="411">
        <f>Apoio_Efeito!BJ35</f>
        <v>0</v>
      </c>
      <c r="AK34" s="411">
        <f>Apoio_Efeito!BJ36</f>
        <v>0</v>
      </c>
      <c r="AL34" s="411">
        <f>Apoio_Efeito!BJ37</f>
        <v>0</v>
      </c>
      <c r="AM34" s="411">
        <f>Apoio_Efeito!BJ38</f>
        <v>0</v>
      </c>
      <c r="AN34" s="411">
        <f>Apoio_Efeito!BJ39</f>
        <v>0</v>
      </c>
      <c r="AO34" s="411">
        <f>Apoio_Efeito!BJ40</f>
        <v>0</v>
      </c>
      <c r="AP34" s="411">
        <f>Apoio_Efeito!BJ41</f>
        <v>0</v>
      </c>
      <c r="AQ34" s="411">
        <f>Apoio_Efeito!BJ42</f>
        <v>0</v>
      </c>
      <c r="AR34" s="411">
        <f>Apoio_Efeito!BJ43</f>
        <v>0</v>
      </c>
      <c r="AS34" s="411">
        <f>Apoio_Efeito!BJ44</f>
        <v>0</v>
      </c>
      <c r="AT34" s="411">
        <f>Apoio_Efeito!BJ45</f>
        <v>0</v>
      </c>
      <c r="AU34" s="411">
        <f>Apoio_Efeito!BJ46</f>
        <v>0</v>
      </c>
      <c r="AV34" s="411">
        <f>Apoio_Efeito!BJ47</f>
        <v>0</v>
      </c>
      <c r="AW34" s="411">
        <f>Apoio_Efeito!BJ48</f>
        <v>0</v>
      </c>
      <c r="AX34" s="411">
        <f>Apoio_Efeito!BJ49</f>
        <v>0</v>
      </c>
      <c r="AY34" s="377">
        <f>Apoio_Efeito!BJ50</f>
        <v>0</v>
      </c>
      <c r="AZ34" s="377">
        <f>Apoio_Efeito!BJ51</f>
        <v>0</v>
      </c>
      <c r="BA34" s="377">
        <f>Apoio_Efeito!BJ52</f>
        <v>0</v>
      </c>
      <c r="BB34" s="377">
        <f>Apoio_Efeito!BJ53</f>
        <v>0</v>
      </c>
      <c r="BC34" s="377">
        <f>Apoio_Efeito!BJ54</f>
        <v>0</v>
      </c>
      <c r="BD34" s="377">
        <f>Apoio_Efeito!BJ55</f>
        <v>0</v>
      </c>
      <c r="BE34">
        <f t="shared" si="2"/>
        <v>0</v>
      </c>
      <c r="BF34" s="162"/>
      <c r="BI34" s="247"/>
      <c r="BJ34" s="303"/>
      <c r="BK34" s="303"/>
      <c r="BL34" s="217"/>
      <c r="BO34" s="240"/>
      <c r="BP34" s="240"/>
      <c r="BQ34" s="217"/>
      <c r="BT34" s="240"/>
      <c r="BU34" s="238"/>
      <c r="BV34" s="217"/>
    </row>
    <row r="35" spans="1:74">
      <c r="A35" s="32">
        <f t="shared" si="0"/>
        <v>0</v>
      </c>
      <c r="B35" s="301">
        <f t="shared" si="1"/>
        <v>0</v>
      </c>
      <c r="C35" s="300"/>
      <c r="D35" s="198" t="str">
        <f>Apoio_Efeito!BK3</f>
        <v>Financeiros associados ao §5º do Art. 141 da REN 1.000/2021</v>
      </c>
      <c r="E35" s="419">
        <f>Apoio_Efeito!BK4</f>
        <v>0</v>
      </c>
      <c r="F35" s="418">
        <f>Apoio_Efeito!BK5</f>
        <v>0</v>
      </c>
      <c r="G35" s="418">
        <f>Apoio_Efeito!BK6</f>
        <v>0</v>
      </c>
      <c r="H35" s="418">
        <f>Apoio_Efeito!BK7</f>
        <v>0</v>
      </c>
      <c r="I35" s="418">
        <f>Apoio_Efeito!BK8</f>
        <v>0</v>
      </c>
      <c r="J35" s="418">
        <f>Apoio_Efeito!BK9</f>
        <v>0</v>
      </c>
      <c r="K35" s="418">
        <f>Apoio_Efeito!BK10</f>
        <v>0</v>
      </c>
      <c r="L35" s="418">
        <f>Apoio_Efeito!BK11</f>
        <v>0</v>
      </c>
      <c r="M35" s="418">
        <f>Apoio_Efeito!BK12</f>
        <v>0</v>
      </c>
      <c r="N35" s="418">
        <f>Apoio_Efeito!BK13</f>
        <v>0</v>
      </c>
      <c r="O35" s="418">
        <f>Apoio_Efeito!BK14</f>
        <v>0</v>
      </c>
      <c r="P35" s="418">
        <f>Apoio_Efeito!BK15</f>
        <v>0</v>
      </c>
      <c r="Q35" s="418">
        <f>Apoio_Efeito!BK16</f>
        <v>0</v>
      </c>
      <c r="R35" s="418">
        <f>Apoio_Efeito!BK17</f>
        <v>0</v>
      </c>
      <c r="S35" s="418">
        <f>Apoio_Efeito!BK18</f>
        <v>0</v>
      </c>
      <c r="T35" s="418">
        <f>Apoio_Efeito!BK19</f>
        <v>0</v>
      </c>
      <c r="U35" s="418">
        <f>Apoio_Efeito!BK20</f>
        <v>0</v>
      </c>
      <c r="V35" s="418">
        <f>Apoio_Efeito!BK21</f>
        <v>0</v>
      </c>
      <c r="W35" s="418">
        <f>Apoio_Efeito!BK22</f>
        <v>0</v>
      </c>
      <c r="X35" s="418">
        <f>Apoio_Efeito!BK23</f>
        <v>0</v>
      </c>
      <c r="Y35" s="418">
        <f>Apoio_Efeito!BK24</f>
        <v>0</v>
      </c>
      <c r="Z35" s="418">
        <f>Apoio_Efeito!BK25</f>
        <v>0</v>
      </c>
      <c r="AA35" s="418">
        <f>Apoio_Efeito!BK26</f>
        <v>0</v>
      </c>
      <c r="AB35" s="418">
        <f>Apoio_Efeito!BK27</f>
        <v>0</v>
      </c>
      <c r="AC35" s="418">
        <f>Apoio_Efeito!BK28</f>
        <v>0</v>
      </c>
      <c r="AD35" s="418">
        <f>Apoio_Efeito!BK29</f>
        <v>0</v>
      </c>
      <c r="AE35" s="418">
        <f>Apoio_Efeito!BK30</f>
        <v>0</v>
      </c>
      <c r="AF35" s="418">
        <f>Apoio_Efeito!BK31</f>
        <v>0</v>
      </c>
      <c r="AG35" s="418">
        <f>Apoio_Efeito!BK32</f>
        <v>0</v>
      </c>
      <c r="AH35" s="418">
        <f>Apoio_Efeito!BK33</f>
        <v>0</v>
      </c>
      <c r="AI35" s="411">
        <f>Apoio_Efeito!BK34</f>
        <v>0</v>
      </c>
      <c r="AJ35" s="411">
        <f>Apoio_Efeito!BK35</f>
        <v>0</v>
      </c>
      <c r="AK35" s="411">
        <f>Apoio_Efeito!BK36</f>
        <v>0</v>
      </c>
      <c r="AL35" s="411">
        <f>Apoio_Efeito!BK37</f>
        <v>0</v>
      </c>
      <c r="AM35" s="411">
        <f>Apoio_Efeito!BK38</f>
        <v>0</v>
      </c>
      <c r="AN35" s="411">
        <f>Apoio_Efeito!BK39</f>
        <v>0</v>
      </c>
      <c r="AO35" s="411">
        <f>Apoio_Efeito!BK40</f>
        <v>0</v>
      </c>
      <c r="AP35" s="411">
        <f>Apoio_Efeito!BK41</f>
        <v>0</v>
      </c>
      <c r="AQ35" s="411">
        <f>Apoio_Efeito!BK42</f>
        <v>0</v>
      </c>
      <c r="AR35" s="411">
        <f>Apoio_Efeito!BK43</f>
        <v>0</v>
      </c>
      <c r="AS35" s="411">
        <f>Apoio_Efeito!BK44</f>
        <v>0</v>
      </c>
      <c r="AT35" s="411">
        <f>Apoio_Efeito!BK45</f>
        <v>0</v>
      </c>
      <c r="AU35" s="411">
        <f>Apoio_Efeito!BK46</f>
        <v>0</v>
      </c>
      <c r="AV35" s="411">
        <f>Apoio_Efeito!BK47</f>
        <v>0</v>
      </c>
      <c r="AW35" s="411">
        <f>Apoio_Efeito!BK48</f>
        <v>0</v>
      </c>
      <c r="AX35" s="411">
        <f>Apoio_Efeito!BK49</f>
        <v>0</v>
      </c>
      <c r="AY35" s="377">
        <f>Apoio_Efeito!BK50</f>
        <v>0</v>
      </c>
      <c r="AZ35" s="377">
        <f>Apoio_Efeito!BK51</f>
        <v>0</v>
      </c>
      <c r="BA35" s="377">
        <f>Apoio_Efeito!BK52</f>
        <v>0</v>
      </c>
      <c r="BB35" s="377">
        <f>Apoio_Efeito!BK53</f>
        <v>0</v>
      </c>
      <c r="BC35" s="377">
        <f>Apoio_Efeito!BK54</f>
        <v>0</v>
      </c>
      <c r="BD35" s="377">
        <f>Apoio_Efeito!BK55</f>
        <v>0</v>
      </c>
      <c r="BE35">
        <f t="shared" si="2"/>
        <v>0</v>
      </c>
      <c r="BF35" s="162"/>
      <c r="BI35" s="247"/>
      <c r="BJ35" s="303"/>
      <c r="BK35" s="303"/>
      <c r="BL35" s="217"/>
      <c r="BO35" s="240"/>
      <c r="BP35" s="240"/>
      <c r="BQ35" s="217"/>
      <c r="BT35" s="240"/>
      <c r="BU35" s="238"/>
      <c r="BV35" s="217"/>
    </row>
    <row r="36" spans="1:74" ht="26">
      <c r="A36" s="32">
        <f t="shared" si="0"/>
        <v>0</v>
      </c>
      <c r="B36" s="301">
        <f t="shared" si="1"/>
        <v>0</v>
      </c>
      <c r="C36" s="300"/>
      <c r="D36" s="198" t="s">
        <v>539</v>
      </c>
      <c r="E36" s="419">
        <f>Apoio_Efeito!BL4</f>
        <v>0</v>
      </c>
      <c r="F36" s="418">
        <f>Apoio_Efeito!BL5</f>
        <v>0</v>
      </c>
      <c r="G36" s="418">
        <f>Apoio_Efeito!BL6</f>
        <v>0</v>
      </c>
      <c r="H36" s="418">
        <f>Apoio_Efeito!BL7</f>
        <v>0</v>
      </c>
      <c r="I36" s="418">
        <f>Apoio_Efeito!BL8</f>
        <v>0</v>
      </c>
      <c r="J36" s="418">
        <f>Apoio_Efeito!BL9</f>
        <v>0</v>
      </c>
      <c r="K36" s="418">
        <f>Apoio_Efeito!BL10</f>
        <v>0</v>
      </c>
      <c r="L36" s="418">
        <f>Apoio_Efeito!BL11</f>
        <v>0</v>
      </c>
      <c r="M36" s="418">
        <f>Apoio_Efeito!BL12</f>
        <v>0</v>
      </c>
      <c r="N36" s="418">
        <f>Apoio_Efeito!BL13</f>
        <v>0</v>
      </c>
      <c r="O36" s="418">
        <f>Apoio_Efeito!BL14</f>
        <v>0</v>
      </c>
      <c r="P36" s="418">
        <f>Apoio_Efeito!BL15</f>
        <v>0</v>
      </c>
      <c r="Q36" s="418">
        <f>Apoio_Efeito!BL16</f>
        <v>0</v>
      </c>
      <c r="R36" s="418">
        <f>Apoio_Efeito!BL17</f>
        <v>0</v>
      </c>
      <c r="S36" s="418">
        <f>Apoio_Efeito!BL18</f>
        <v>0</v>
      </c>
      <c r="T36" s="418">
        <f>Apoio_Efeito!BL19</f>
        <v>0</v>
      </c>
      <c r="U36" s="418">
        <f>Apoio_Efeito!BL20</f>
        <v>0</v>
      </c>
      <c r="V36" s="418">
        <f>Apoio_Efeito!BL21</f>
        <v>0</v>
      </c>
      <c r="W36" s="418">
        <f>Apoio_Efeito!BL22</f>
        <v>0</v>
      </c>
      <c r="X36" s="418">
        <f>Apoio_Efeito!BL23</f>
        <v>0</v>
      </c>
      <c r="Y36" s="418">
        <f>Apoio_Efeito!BL24</f>
        <v>0</v>
      </c>
      <c r="Z36" s="418">
        <f>Apoio_Efeito!BL25</f>
        <v>0</v>
      </c>
      <c r="AA36" s="418">
        <f>Apoio_Efeito!BL26</f>
        <v>0</v>
      </c>
      <c r="AB36" s="418">
        <f>Apoio_Efeito!BL27</f>
        <v>0</v>
      </c>
      <c r="AC36" s="418">
        <f>Apoio_Efeito!BL28</f>
        <v>0</v>
      </c>
      <c r="AD36" s="418">
        <f>Apoio_Efeito!BL29</f>
        <v>0</v>
      </c>
      <c r="AE36" s="418">
        <f>Apoio_Efeito!BL30</f>
        <v>0</v>
      </c>
      <c r="AF36" s="418">
        <f>Apoio_Efeito!BL31</f>
        <v>0</v>
      </c>
      <c r="AG36" s="418">
        <f>Apoio_Efeito!BL32</f>
        <v>0</v>
      </c>
      <c r="AH36" s="418">
        <f>Apoio_Efeito!BL33</f>
        <v>0</v>
      </c>
      <c r="AI36" s="411">
        <f>Apoio_Efeito!BL34</f>
        <v>0</v>
      </c>
      <c r="AJ36" s="411">
        <f>Apoio_Efeito!BL35</f>
        <v>0</v>
      </c>
      <c r="AK36" s="411">
        <f>Apoio_Efeito!BL36</f>
        <v>0</v>
      </c>
      <c r="AL36" s="411">
        <f>Apoio_Efeito!BL37</f>
        <v>0</v>
      </c>
      <c r="AM36" s="411">
        <f>Apoio_Efeito!BL38</f>
        <v>0</v>
      </c>
      <c r="AN36" s="411">
        <f>Apoio_Efeito!BL39</f>
        <v>0</v>
      </c>
      <c r="AO36" s="411">
        <f>Apoio_Efeito!BL40</f>
        <v>0</v>
      </c>
      <c r="AP36" s="411">
        <f>Apoio_Efeito!BL41</f>
        <v>0</v>
      </c>
      <c r="AQ36" s="411">
        <f>Apoio_Efeito!BL42</f>
        <v>0</v>
      </c>
      <c r="AR36" s="411">
        <f>Apoio_Efeito!BL43</f>
        <v>0</v>
      </c>
      <c r="AS36" s="411">
        <f>Apoio_Efeito!BL44</f>
        <v>0</v>
      </c>
      <c r="AT36" s="411">
        <f>Apoio_Efeito!BL45</f>
        <v>0</v>
      </c>
      <c r="AU36" s="411">
        <f>Apoio_Efeito!BL46</f>
        <v>0</v>
      </c>
      <c r="AV36" s="411">
        <f>Apoio_Efeito!BL47</f>
        <v>0</v>
      </c>
      <c r="AW36" s="411">
        <f>Apoio_Efeito!BL48</f>
        <v>0</v>
      </c>
      <c r="AX36" s="411">
        <f>Apoio_Efeito!BL49</f>
        <v>0</v>
      </c>
      <c r="AY36" s="377">
        <f>Apoio_Efeito!BL50</f>
        <v>0</v>
      </c>
      <c r="AZ36" s="377">
        <f>Apoio_Efeito!BL51</f>
        <v>0</v>
      </c>
      <c r="BA36" s="377">
        <f>Apoio_Efeito!BL52</f>
        <v>0</v>
      </c>
      <c r="BB36" s="377">
        <f>Apoio_Efeito!BL53</f>
        <v>0</v>
      </c>
      <c r="BC36" s="377">
        <f>Apoio_Efeito!BL54</f>
        <v>0</v>
      </c>
      <c r="BD36" s="377">
        <f>Apoio_Efeito!BL55</f>
        <v>0</v>
      </c>
      <c r="BE36">
        <f t="shared" si="2"/>
        <v>0</v>
      </c>
      <c r="BF36" s="162"/>
      <c r="BI36" s="247"/>
      <c r="BJ36" s="303"/>
      <c r="BK36" s="303"/>
      <c r="BL36" s="217"/>
      <c r="BO36" s="240"/>
      <c r="BP36" s="240"/>
      <c r="BQ36" s="217"/>
      <c r="BT36" s="240"/>
      <c r="BU36" s="238"/>
      <c r="BV36" s="217"/>
    </row>
    <row r="37" spans="1:74">
      <c r="A37" s="32">
        <f t="shared" si="0"/>
        <v>0</v>
      </c>
      <c r="B37" s="301">
        <f t="shared" si="1"/>
        <v>0</v>
      </c>
      <c r="C37" s="300"/>
      <c r="D37" s="198" t="str">
        <f>Apoio_Efeito!BM3</f>
        <v>Diferimento Encargos ESS e EER</v>
      </c>
      <c r="E37" s="419">
        <f>Apoio_Efeito!BM4</f>
        <v>0</v>
      </c>
      <c r="F37" s="418">
        <f>Apoio_Efeito!BM5</f>
        <v>0</v>
      </c>
      <c r="G37" s="418">
        <f>Apoio_Efeito!BM6</f>
        <v>0</v>
      </c>
      <c r="H37" s="418">
        <f>Apoio_Efeito!BM7</f>
        <v>0</v>
      </c>
      <c r="I37" s="418">
        <f>Apoio_Efeito!BM8</f>
        <v>0</v>
      </c>
      <c r="J37" s="418">
        <f>Apoio_Efeito!BM9</f>
        <v>0</v>
      </c>
      <c r="K37" s="418">
        <f>Apoio_Efeito!BM10</f>
        <v>0</v>
      </c>
      <c r="L37" s="418">
        <f>Apoio_Efeito!BM11</f>
        <v>0</v>
      </c>
      <c r="M37" s="418">
        <f>Apoio_Efeito!BM12</f>
        <v>0</v>
      </c>
      <c r="N37" s="418">
        <f>Apoio_Efeito!BM13</f>
        <v>0</v>
      </c>
      <c r="O37" s="418">
        <f>Apoio_Efeito!BM14</f>
        <v>0</v>
      </c>
      <c r="P37" s="418">
        <f>Apoio_Efeito!BM15</f>
        <v>0</v>
      </c>
      <c r="Q37" s="418">
        <f>Apoio_Efeito!BM16</f>
        <v>0</v>
      </c>
      <c r="R37" s="418">
        <f>Apoio_Efeito!BM17</f>
        <v>0</v>
      </c>
      <c r="S37" s="418">
        <f>Apoio_Efeito!BM18</f>
        <v>0</v>
      </c>
      <c r="T37" s="418">
        <f>Apoio_Efeito!BM19</f>
        <v>0</v>
      </c>
      <c r="U37" s="418">
        <f>Apoio_Efeito!BM20</f>
        <v>0</v>
      </c>
      <c r="V37" s="418">
        <f>Apoio_Efeito!BM21</f>
        <v>0</v>
      </c>
      <c r="W37" s="418">
        <f>Apoio_Efeito!BM22</f>
        <v>0</v>
      </c>
      <c r="X37" s="418">
        <f>Apoio_Efeito!BM23</f>
        <v>0</v>
      </c>
      <c r="Y37" s="418">
        <f>Apoio_Efeito!BM24</f>
        <v>0</v>
      </c>
      <c r="Z37" s="418">
        <f>Apoio_Efeito!BM25</f>
        <v>0</v>
      </c>
      <c r="AA37" s="418">
        <f>Apoio_Efeito!BM26</f>
        <v>0</v>
      </c>
      <c r="AB37" s="418">
        <f>Apoio_Efeito!BM27</f>
        <v>0</v>
      </c>
      <c r="AC37" s="418">
        <f>Apoio_Efeito!BM28</f>
        <v>0</v>
      </c>
      <c r="AD37" s="418">
        <f>Apoio_Efeito!BM29</f>
        <v>0</v>
      </c>
      <c r="AE37" s="418">
        <f>Apoio_Efeito!BM30</f>
        <v>0</v>
      </c>
      <c r="AF37" s="418">
        <f>Apoio_Efeito!BM31</f>
        <v>0</v>
      </c>
      <c r="AG37" s="418">
        <f>Apoio_Efeito!BM32</f>
        <v>0</v>
      </c>
      <c r="AH37" s="418">
        <f>Apoio_Efeito!BM33</f>
        <v>0</v>
      </c>
      <c r="AI37" s="411">
        <f>Apoio_Efeito!BM34</f>
        <v>0</v>
      </c>
      <c r="AJ37" s="411">
        <f>Apoio_Efeito!BM35</f>
        <v>0</v>
      </c>
      <c r="AK37" s="411">
        <f>Apoio_Efeito!BM36</f>
        <v>0</v>
      </c>
      <c r="AL37" s="411">
        <f>Apoio_Efeito!BM37</f>
        <v>0</v>
      </c>
      <c r="AM37" s="411">
        <f>Apoio_Efeito!BM38</f>
        <v>0</v>
      </c>
      <c r="AN37" s="411">
        <f>Apoio_Efeito!BM39</f>
        <v>0</v>
      </c>
      <c r="AO37" s="411">
        <f>Apoio_Efeito!BM40</f>
        <v>0</v>
      </c>
      <c r="AP37" s="411">
        <f>Apoio_Efeito!BM41</f>
        <v>0</v>
      </c>
      <c r="AQ37" s="411">
        <f>Apoio_Efeito!BM42</f>
        <v>0</v>
      </c>
      <c r="AR37" s="411">
        <f>Apoio_Efeito!BM43</f>
        <v>0</v>
      </c>
      <c r="AS37" s="411">
        <f>Apoio_Efeito!BM44</f>
        <v>0</v>
      </c>
      <c r="AT37" s="411">
        <f>Apoio_Efeito!BM45</f>
        <v>0</v>
      </c>
      <c r="AU37" s="411">
        <f>Apoio_Efeito!BM46</f>
        <v>0</v>
      </c>
      <c r="AV37" s="411">
        <f>Apoio_Efeito!BM47</f>
        <v>0</v>
      </c>
      <c r="AW37" s="411">
        <f>Apoio_Efeito!BM48</f>
        <v>0</v>
      </c>
      <c r="AX37" s="411">
        <f>Apoio_Efeito!BM49</f>
        <v>0</v>
      </c>
      <c r="AY37" s="377">
        <f>Apoio_Efeito!BM50</f>
        <v>0</v>
      </c>
      <c r="AZ37" s="377">
        <f>Apoio_Efeito!BM51</f>
        <v>0</v>
      </c>
      <c r="BA37" s="377">
        <f>Apoio_Efeito!BM52</f>
        <v>0</v>
      </c>
      <c r="BB37" s="377">
        <f>Apoio_Efeito!BM53</f>
        <v>0</v>
      </c>
      <c r="BC37" s="377">
        <f>Apoio_Efeito!BM54</f>
        <v>0</v>
      </c>
      <c r="BD37" s="377">
        <f>Apoio_Efeito!BM55</f>
        <v>0</v>
      </c>
      <c r="BE37">
        <f t="shared" si="2"/>
        <v>0</v>
      </c>
      <c r="BF37" s="162"/>
      <c r="BI37" s="247"/>
      <c r="BJ37" s="303"/>
      <c r="BK37" s="303"/>
      <c r="BL37" s="217"/>
      <c r="BO37" s="240"/>
      <c r="BP37" s="240"/>
      <c r="BQ37" s="217"/>
      <c r="BT37" s="240"/>
      <c r="BU37" s="238"/>
      <c r="BV37" s="217"/>
    </row>
    <row r="38" spans="1:74">
      <c r="A38" s="32">
        <f t="shared" si="0"/>
        <v>0</v>
      </c>
      <c r="B38" s="301">
        <f t="shared" si="1"/>
        <v>0</v>
      </c>
      <c r="C38" s="300"/>
      <c r="D38" s="198" t="s">
        <v>535</v>
      </c>
      <c r="E38" s="419">
        <f>Apoio_Efeito!BN4</f>
        <v>0</v>
      </c>
      <c r="F38" s="418">
        <f>Apoio_Efeito!BN5</f>
        <v>0</v>
      </c>
      <c r="G38" s="418">
        <f>Apoio_Efeito!BN6</f>
        <v>0</v>
      </c>
      <c r="H38" s="418">
        <f>Apoio_Efeito!BN7</f>
        <v>0</v>
      </c>
      <c r="I38" s="418">
        <f>Apoio_Efeito!BN8</f>
        <v>0</v>
      </c>
      <c r="J38" s="418">
        <f>Apoio_Efeito!BN9</f>
        <v>0</v>
      </c>
      <c r="K38" s="418">
        <f>Apoio_Efeito!BN10</f>
        <v>0</v>
      </c>
      <c r="L38" s="418">
        <f>Apoio_Efeito!BN11</f>
        <v>0</v>
      </c>
      <c r="M38" s="418">
        <f>Apoio_Efeito!BN12</f>
        <v>0</v>
      </c>
      <c r="N38" s="418">
        <f>Apoio_Efeito!BN13</f>
        <v>0</v>
      </c>
      <c r="O38" s="418">
        <f>Apoio_Efeito!BN14</f>
        <v>0</v>
      </c>
      <c r="P38" s="418">
        <f>Apoio_Efeito!BN15</f>
        <v>0</v>
      </c>
      <c r="Q38" s="418">
        <f>Apoio_Efeito!BN16</f>
        <v>0</v>
      </c>
      <c r="R38" s="418">
        <f>Apoio_Efeito!BN17</f>
        <v>0</v>
      </c>
      <c r="S38" s="418">
        <f>Apoio_Efeito!BN18</f>
        <v>0</v>
      </c>
      <c r="T38" s="418">
        <f>Apoio_Efeito!BN19</f>
        <v>0</v>
      </c>
      <c r="U38" s="418">
        <f>Apoio_Efeito!BN20</f>
        <v>0</v>
      </c>
      <c r="V38" s="418">
        <f>Apoio_Efeito!BN21</f>
        <v>0</v>
      </c>
      <c r="W38" s="418">
        <f>Apoio_Efeito!BN22</f>
        <v>0</v>
      </c>
      <c r="X38" s="418">
        <f>Apoio_Efeito!BN23</f>
        <v>0</v>
      </c>
      <c r="Y38" s="418">
        <f>Apoio_Efeito!BN24</f>
        <v>0</v>
      </c>
      <c r="Z38" s="418">
        <f>Apoio_Efeito!BN25</f>
        <v>0</v>
      </c>
      <c r="AA38" s="418">
        <f>Apoio_Efeito!BN26</f>
        <v>0</v>
      </c>
      <c r="AB38" s="418">
        <f>Apoio_Efeito!BN27</f>
        <v>0</v>
      </c>
      <c r="AC38" s="418">
        <f>Apoio_Efeito!BN28</f>
        <v>0</v>
      </c>
      <c r="AD38" s="418">
        <f>Apoio_Efeito!BN29</f>
        <v>0</v>
      </c>
      <c r="AE38" s="418">
        <f>Apoio_Efeito!BN30</f>
        <v>0</v>
      </c>
      <c r="AF38" s="418">
        <f>Apoio_Efeito!BN31</f>
        <v>0</v>
      </c>
      <c r="AG38" s="418">
        <f>Apoio_Efeito!BN32</f>
        <v>0</v>
      </c>
      <c r="AH38" s="418">
        <f>Apoio_Efeito!BN33</f>
        <v>0</v>
      </c>
      <c r="AI38" s="411">
        <f>Apoio_Efeito!BN34</f>
        <v>0</v>
      </c>
      <c r="AJ38" s="411">
        <f>Apoio_Efeito!BN35</f>
        <v>0</v>
      </c>
      <c r="AK38" s="411">
        <f>Apoio_Efeito!BN36</f>
        <v>0</v>
      </c>
      <c r="AL38" s="411">
        <f>Apoio_Efeito!BN37</f>
        <v>0</v>
      </c>
      <c r="AM38" s="411">
        <f>Apoio_Efeito!BN38</f>
        <v>0</v>
      </c>
      <c r="AN38" s="411">
        <f>Apoio_Efeito!BN39</f>
        <v>0</v>
      </c>
      <c r="AO38" s="411">
        <f>Apoio_Efeito!BN40</f>
        <v>0</v>
      </c>
      <c r="AP38" s="411">
        <f>Apoio_Efeito!BN41</f>
        <v>0</v>
      </c>
      <c r="AQ38" s="411">
        <f>Apoio_Efeito!BN42</f>
        <v>0</v>
      </c>
      <c r="AR38" s="411">
        <f>Apoio_Efeito!BN43</f>
        <v>0</v>
      </c>
      <c r="AS38" s="411">
        <f>Apoio_Efeito!BN44</f>
        <v>0</v>
      </c>
      <c r="AT38" s="411">
        <f>Apoio_Efeito!BN45</f>
        <v>0</v>
      </c>
      <c r="AU38" s="411">
        <f>Apoio_Efeito!BN46</f>
        <v>0</v>
      </c>
      <c r="AV38" s="411">
        <f>Apoio_Efeito!BN47</f>
        <v>0</v>
      </c>
      <c r="AW38" s="411">
        <f>Apoio_Efeito!BN48</f>
        <v>0</v>
      </c>
      <c r="AX38" s="411">
        <f>Apoio_Efeito!BN49</f>
        <v>0</v>
      </c>
      <c r="AY38" s="377">
        <f>Apoio_Efeito!BN50</f>
        <v>0</v>
      </c>
      <c r="AZ38" s="377">
        <f>Apoio_Efeito!BN51</f>
        <v>0</v>
      </c>
      <c r="BA38" s="377">
        <f>Apoio_Efeito!BN52</f>
        <v>0</v>
      </c>
      <c r="BB38" s="377">
        <f>Apoio_Efeito!BN53</f>
        <v>0</v>
      </c>
      <c r="BC38" s="377">
        <f>Apoio_Efeito!BN54</f>
        <v>0</v>
      </c>
      <c r="BD38" s="377">
        <f>Apoio_Efeito!BN55</f>
        <v>0</v>
      </c>
      <c r="BE38">
        <f t="shared" si="2"/>
        <v>0</v>
      </c>
      <c r="BF38" s="162"/>
      <c r="BI38" s="247"/>
      <c r="BJ38" s="303"/>
      <c r="BK38" s="303"/>
      <c r="BL38" s="217"/>
      <c r="BO38" s="240"/>
      <c r="BP38" s="240"/>
      <c r="BQ38" s="217"/>
      <c r="BT38" s="240"/>
      <c r="BU38" s="238"/>
      <c r="BV38" s="217"/>
    </row>
    <row r="39" spans="1:74" ht="18.75" customHeight="1">
      <c r="A39" s="32">
        <f t="shared" si="0"/>
        <v>0</v>
      </c>
      <c r="B39" s="301">
        <f t="shared" si="1"/>
        <v>0</v>
      </c>
      <c r="C39" s="300"/>
      <c r="D39" s="198" t="s">
        <v>536</v>
      </c>
      <c r="E39" s="419">
        <f>Apoio_Efeito!BO4</f>
        <v>0</v>
      </c>
      <c r="F39" s="418">
        <f>Apoio_Efeito!BO5</f>
        <v>0</v>
      </c>
      <c r="G39" s="418">
        <f>Apoio_Efeito!BO6</f>
        <v>0</v>
      </c>
      <c r="H39" s="418">
        <f>Apoio_Efeito!BO7</f>
        <v>0</v>
      </c>
      <c r="I39" s="418">
        <f>Apoio_Efeito!BO8</f>
        <v>0</v>
      </c>
      <c r="J39" s="418">
        <f>Apoio_Efeito!BO9</f>
        <v>0</v>
      </c>
      <c r="K39" s="418">
        <f>Apoio_Efeito!BO10</f>
        <v>0</v>
      </c>
      <c r="L39" s="418">
        <f>Apoio_Efeito!BO11</f>
        <v>0</v>
      </c>
      <c r="M39" s="418">
        <f>Apoio_Efeito!BO12</f>
        <v>0</v>
      </c>
      <c r="N39" s="418">
        <f>Apoio_Efeito!BO13</f>
        <v>0</v>
      </c>
      <c r="O39" s="418">
        <f>Apoio_Efeito!BO14</f>
        <v>0</v>
      </c>
      <c r="P39" s="418">
        <f>Apoio_Efeito!BO15</f>
        <v>0</v>
      </c>
      <c r="Q39" s="418">
        <f>Apoio_Efeito!BO16</f>
        <v>0</v>
      </c>
      <c r="R39" s="418">
        <f>Apoio_Efeito!BO17</f>
        <v>0</v>
      </c>
      <c r="S39" s="418">
        <f>Apoio_Efeito!BO18</f>
        <v>0</v>
      </c>
      <c r="T39" s="418">
        <f>Apoio_Efeito!BO19</f>
        <v>0</v>
      </c>
      <c r="U39" s="418">
        <f>Apoio_Efeito!BO20</f>
        <v>0</v>
      </c>
      <c r="V39" s="418">
        <f>Apoio_Efeito!BO21</f>
        <v>0</v>
      </c>
      <c r="W39" s="418">
        <f>Apoio_Efeito!BO22</f>
        <v>0</v>
      </c>
      <c r="X39" s="418">
        <f>Apoio_Efeito!BO23</f>
        <v>0</v>
      </c>
      <c r="Y39" s="418">
        <f>Apoio_Efeito!BO24</f>
        <v>0</v>
      </c>
      <c r="Z39" s="418">
        <f>Apoio_Efeito!BO25</f>
        <v>0</v>
      </c>
      <c r="AA39" s="418">
        <f>Apoio_Efeito!BO26</f>
        <v>0</v>
      </c>
      <c r="AB39" s="418">
        <f>Apoio_Efeito!BO27</f>
        <v>0</v>
      </c>
      <c r="AC39" s="418">
        <f>Apoio_Efeito!BO28</f>
        <v>0</v>
      </c>
      <c r="AD39" s="418">
        <f>Apoio_Efeito!BO29</f>
        <v>0</v>
      </c>
      <c r="AE39" s="418">
        <f>Apoio_Efeito!BO30</f>
        <v>0</v>
      </c>
      <c r="AF39" s="418">
        <f>Apoio_Efeito!BO31</f>
        <v>0</v>
      </c>
      <c r="AG39" s="418">
        <f>Apoio_Efeito!BO32</f>
        <v>0</v>
      </c>
      <c r="AH39" s="418">
        <f>Apoio_Efeito!BO33</f>
        <v>0</v>
      </c>
      <c r="AI39" s="411">
        <f>Apoio_Efeito!BO34</f>
        <v>0</v>
      </c>
      <c r="AJ39" s="411">
        <f>Apoio_Efeito!BO35</f>
        <v>0</v>
      </c>
      <c r="AK39" s="411">
        <f>Apoio_Efeito!BO36</f>
        <v>0</v>
      </c>
      <c r="AL39" s="411">
        <f>Apoio_Efeito!BO37</f>
        <v>0</v>
      </c>
      <c r="AM39" s="411">
        <f>Apoio_Efeito!BO38</f>
        <v>0</v>
      </c>
      <c r="AN39" s="411">
        <f>Apoio_Efeito!BO39</f>
        <v>0</v>
      </c>
      <c r="AO39" s="411">
        <f>Apoio_Efeito!BO40</f>
        <v>0</v>
      </c>
      <c r="AP39" s="411">
        <f>Apoio_Efeito!BO41</f>
        <v>0</v>
      </c>
      <c r="AQ39" s="411">
        <f>Apoio_Efeito!BO42</f>
        <v>0</v>
      </c>
      <c r="AR39" s="411">
        <f>Apoio_Efeito!BO43</f>
        <v>0</v>
      </c>
      <c r="AS39" s="411">
        <f>Apoio_Efeito!BO44</f>
        <v>0</v>
      </c>
      <c r="AT39" s="411">
        <f>Apoio_Efeito!BO45</f>
        <v>0</v>
      </c>
      <c r="AU39" s="411">
        <f>Apoio_Efeito!BO46</f>
        <v>0</v>
      </c>
      <c r="AV39" s="411">
        <f>Apoio_Efeito!BO47</f>
        <v>0</v>
      </c>
      <c r="AW39" s="411">
        <f>Apoio_Efeito!BO48</f>
        <v>0</v>
      </c>
      <c r="AX39" s="411">
        <f>Apoio_Efeito!BO49</f>
        <v>0</v>
      </c>
      <c r="AY39" s="377">
        <f>Apoio_Efeito!BO50</f>
        <v>0</v>
      </c>
      <c r="AZ39" s="377">
        <f>Apoio_Efeito!BO51</f>
        <v>0</v>
      </c>
      <c r="BA39" s="377">
        <f>Apoio_Efeito!BO52</f>
        <v>0</v>
      </c>
      <c r="BB39" s="377">
        <f>Apoio_Efeito!BO53</f>
        <v>0</v>
      </c>
      <c r="BC39" s="377">
        <f>Apoio_Efeito!BO54</f>
        <v>0</v>
      </c>
      <c r="BD39" s="377">
        <f>Apoio_Efeito!BO55</f>
        <v>0</v>
      </c>
      <c r="BE39">
        <f t="shared" si="2"/>
        <v>0</v>
      </c>
      <c r="BF39" s="162"/>
      <c r="BI39" s="247"/>
      <c r="BJ39" s="303"/>
      <c r="BK39" s="303"/>
      <c r="BL39" s="217"/>
      <c r="BO39" s="240"/>
      <c r="BP39" s="240"/>
      <c r="BQ39" s="217"/>
      <c r="BT39" s="240"/>
      <c r="BU39" s="238"/>
      <c r="BV39" s="217"/>
    </row>
    <row r="40" spans="1:74">
      <c r="A40" s="32">
        <f t="shared" si="0"/>
        <v>0</v>
      </c>
      <c r="B40" s="301">
        <f t="shared" si="1"/>
        <v>0</v>
      </c>
      <c r="D40" s="198" t="s">
        <v>699</v>
      </c>
      <c r="E40" s="419">
        <f>Apoio_Efeito!BP4</f>
        <v>0</v>
      </c>
      <c r="F40" s="418">
        <f>Apoio_Efeito!BP5</f>
        <v>0</v>
      </c>
      <c r="G40" s="418">
        <f>Apoio_Efeito!BP6</f>
        <v>0</v>
      </c>
      <c r="H40" s="418">
        <f>Apoio_Efeito!BP7</f>
        <v>0</v>
      </c>
      <c r="I40" s="418">
        <f>Apoio_Efeito!BP8</f>
        <v>0</v>
      </c>
      <c r="J40" s="418">
        <f>Apoio_Efeito!BP9</f>
        <v>0</v>
      </c>
      <c r="K40" s="418">
        <f>Apoio_Efeito!BP10</f>
        <v>0</v>
      </c>
      <c r="L40" s="418">
        <f>Apoio_Efeito!BP11</f>
        <v>0</v>
      </c>
      <c r="M40" s="418">
        <f>Apoio_Efeito!BP12</f>
        <v>0</v>
      </c>
      <c r="N40" s="418">
        <f>Apoio_Efeito!BP13</f>
        <v>0</v>
      </c>
      <c r="O40" s="418">
        <f>Apoio_Efeito!BP14</f>
        <v>0</v>
      </c>
      <c r="P40" s="418">
        <f>Apoio_Efeito!BP15</f>
        <v>0</v>
      </c>
      <c r="Q40" s="418">
        <f>Apoio_Efeito!BP16</f>
        <v>0</v>
      </c>
      <c r="R40" s="418">
        <f>Apoio_Efeito!BP17</f>
        <v>0</v>
      </c>
      <c r="S40" s="418">
        <f>Apoio_Efeito!BP18</f>
        <v>0</v>
      </c>
      <c r="T40" s="418">
        <f>Apoio_Efeito!BP19</f>
        <v>0</v>
      </c>
      <c r="U40" s="418">
        <f>Apoio_Efeito!BP20</f>
        <v>0</v>
      </c>
      <c r="V40" s="418">
        <f>Apoio_Efeito!BP21</f>
        <v>0</v>
      </c>
      <c r="W40" s="418">
        <f>Apoio_Efeito!BP22</f>
        <v>0</v>
      </c>
      <c r="X40" s="418">
        <f>Apoio_Efeito!BP23</f>
        <v>0</v>
      </c>
      <c r="Y40" s="418">
        <f>Apoio_Efeito!BP24</f>
        <v>0</v>
      </c>
      <c r="Z40" s="418">
        <f>Apoio_Efeito!BP25</f>
        <v>0</v>
      </c>
      <c r="AA40" s="418">
        <f>Apoio_Efeito!BP26</f>
        <v>0</v>
      </c>
      <c r="AB40" s="418">
        <f>Apoio_Efeito!BP27</f>
        <v>0</v>
      </c>
      <c r="AC40" s="418">
        <f>Apoio_Efeito!BP28</f>
        <v>0</v>
      </c>
      <c r="AD40" s="418">
        <f>Apoio_Efeito!BP29</f>
        <v>0</v>
      </c>
      <c r="AE40" s="418">
        <f>Apoio_Efeito!BP30</f>
        <v>0</v>
      </c>
      <c r="AF40" s="418">
        <f>Apoio_Efeito!BP31</f>
        <v>0</v>
      </c>
      <c r="AG40" s="418">
        <f>Apoio_Efeito!BP32</f>
        <v>0</v>
      </c>
      <c r="AH40" s="418">
        <f>Apoio_Efeito!BP33</f>
        <v>0</v>
      </c>
      <c r="AI40" s="411">
        <f>Apoio_Efeito!BP34</f>
        <v>0</v>
      </c>
      <c r="AJ40" s="411">
        <f>Apoio_Efeito!BP35</f>
        <v>0</v>
      </c>
      <c r="AK40" s="411">
        <f>Apoio_Efeito!BP36</f>
        <v>0</v>
      </c>
      <c r="AL40" s="411">
        <f>Apoio_Efeito!BP37</f>
        <v>0</v>
      </c>
      <c r="AM40" s="411">
        <f>Apoio_Efeito!BP38</f>
        <v>0</v>
      </c>
      <c r="AN40" s="411">
        <f>Apoio_Efeito!BP39</f>
        <v>0</v>
      </c>
      <c r="AO40" s="411">
        <f>Apoio_Efeito!BP40</f>
        <v>0</v>
      </c>
      <c r="AP40" s="411">
        <f>Apoio_Efeito!BP41</f>
        <v>0</v>
      </c>
      <c r="AQ40" s="411">
        <f>Apoio_Efeito!BP42</f>
        <v>0</v>
      </c>
      <c r="AR40" s="411">
        <f>Apoio_Efeito!BP43</f>
        <v>0</v>
      </c>
      <c r="AS40" s="411">
        <f>Apoio_Efeito!BP44</f>
        <v>0</v>
      </c>
      <c r="AT40" s="411">
        <f>Apoio_Efeito!BP45</f>
        <v>0</v>
      </c>
      <c r="AU40" s="411">
        <f>Apoio_Efeito!BP46</f>
        <v>0</v>
      </c>
      <c r="AV40" s="411">
        <f>Apoio_Efeito!BP47</f>
        <v>0</v>
      </c>
      <c r="AW40" s="411">
        <f>Apoio_Efeito!BP48</f>
        <v>0</v>
      </c>
      <c r="AX40" s="411">
        <f>Apoio_Efeito!BP49</f>
        <v>0</v>
      </c>
      <c r="AY40" s="377">
        <f>Apoio_Efeito!BP50</f>
        <v>0</v>
      </c>
      <c r="AZ40" s="377">
        <f>Apoio_Efeito!BP51</f>
        <v>0</v>
      </c>
      <c r="BA40" s="377">
        <f>Apoio_Efeito!BP52</f>
        <v>0</v>
      </c>
      <c r="BB40" s="377">
        <f>Apoio_Efeito!BP53</f>
        <v>0</v>
      </c>
      <c r="BC40" s="377">
        <f>Apoio_Efeito!BP54</f>
        <v>0</v>
      </c>
      <c r="BD40" s="377">
        <f>Apoio_Efeito!BP55</f>
        <v>0</v>
      </c>
      <c r="BE40">
        <f t="shared" si="2"/>
        <v>0</v>
      </c>
      <c r="BI40" s="8"/>
      <c r="BJ40" s="235"/>
      <c r="BK40" s="235"/>
      <c r="BL40" s="217"/>
      <c r="BO40" s="240"/>
      <c r="BP40" s="240"/>
      <c r="BQ40" s="217"/>
      <c r="BT40" s="240"/>
      <c r="BU40" s="238" t="e">
        <f>HLOOKUP(BS40,Efeito!$J$60:$BF$132,48,0)</f>
        <v>#N/A</v>
      </c>
      <c r="BV40" s="217" t="e">
        <f t="shared" si="3"/>
        <v>#N/A</v>
      </c>
    </row>
    <row r="41" spans="1:74">
      <c r="A41" s="32">
        <f t="shared" si="0"/>
        <v>0</v>
      </c>
      <c r="B41" s="301">
        <f t="shared" si="1"/>
        <v>0</v>
      </c>
      <c r="D41" s="198" t="s">
        <v>700</v>
      </c>
      <c r="E41" s="419">
        <f>Apoio_Efeito!BQ4</f>
        <v>0</v>
      </c>
      <c r="F41" s="418">
        <f>Apoio_Efeito!BQ5</f>
        <v>0</v>
      </c>
      <c r="G41" s="418">
        <f>Apoio_Efeito!BQ6</f>
        <v>0</v>
      </c>
      <c r="H41" s="418">
        <f>Apoio_Efeito!BQ7</f>
        <v>0</v>
      </c>
      <c r="I41" s="418">
        <f>Apoio_Efeito!BQ8</f>
        <v>0</v>
      </c>
      <c r="J41" s="418">
        <f>Apoio_Efeito!BQ9</f>
        <v>0</v>
      </c>
      <c r="K41" s="418">
        <f>Apoio_Efeito!BQ10</f>
        <v>0</v>
      </c>
      <c r="L41" s="418">
        <f>Apoio_Efeito!BQ11</f>
        <v>0</v>
      </c>
      <c r="M41" s="418">
        <f>Apoio_Efeito!BQ12</f>
        <v>0</v>
      </c>
      <c r="N41" s="418">
        <f>Apoio_Efeito!BQ13</f>
        <v>0</v>
      </c>
      <c r="O41" s="418">
        <f>Apoio_Efeito!BQ14</f>
        <v>0</v>
      </c>
      <c r="P41" s="418">
        <f>Apoio_Efeito!BQ15</f>
        <v>0</v>
      </c>
      <c r="Q41" s="418">
        <f>Apoio_Efeito!BQ16</f>
        <v>0</v>
      </c>
      <c r="R41" s="418">
        <f>Apoio_Efeito!BQ17</f>
        <v>0</v>
      </c>
      <c r="S41" s="418">
        <f>Apoio_Efeito!BQ18</f>
        <v>0</v>
      </c>
      <c r="T41" s="418">
        <f>Apoio_Efeito!BQ19</f>
        <v>0</v>
      </c>
      <c r="U41" s="418">
        <f>Apoio_Efeito!BQ20</f>
        <v>0</v>
      </c>
      <c r="V41" s="418">
        <f>Apoio_Efeito!BQ21</f>
        <v>0</v>
      </c>
      <c r="W41" s="418">
        <f>Apoio_Efeito!BQ22</f>
        <v>0</v>
      </c>
      <c r="X41" s="418">
        <f>Apoio_Efeito!BQ23</f>
        <v>0</v>
      </c>
      <c r="Y41" s="418">
        <f>Apoio_Efeito!BQ24</f>
        <v>0</v>
      </c>
      <c r="Z41" s="418">
        <f>Apoio_Efeito!BQ25</f>
        <v>0</v>
      </c>
      <c r="AA41" s="418">
        <f>Apoio_Efeito!BQ26</f>
        <v>0</v>
      </c>
      <c r="AB41" s="418">
        <f>Apoio_Efeito!BQ27</f>
        <v>0</v>
      </c>
      <c r="AC41" s="418">
        <f>Apoio_Efeito!BQ28</f>
        <v>0</v>
      </c>
      <c r="AD41" s="418">
        <f>Apoio_Efeito!BQ29</f>
        <v>0</v>
      </c>
      <c r="AE41" s="418">
        <f>Apoio_Efeito!BQ30</f>
        <v>0</v>
      </c>
      <c r="AF41" s="418">
        <f>Apoio_Efeito!BQ31</f>
        <v>0</v>
      </c>
      <c r="AG41" s="418">
        <f>Apoio_Efeito!BQ32</f>
        <v>0</v>
      </c>
      <c r="AH41" s="418">
        <f>Apoio_Efeito!BQ33</f>
        <v>0</v>
      </c>
      <c r="AI41" s="411">
        <f>Apoio_Efeito!BQ34</f>
        <v>0</v>
      </c>
      <c r="AJ41" s="411">
        <f>Apoio_Efeito!BQ35</f>
        <v>0</v>
      </c>
      <c r="AK41" s="411">
        <f>Apoio_Efeito!BQ36</f>
        <v>0</v>
      </c>
      <c r="AL41" s="411">
        <f>Apoio_Efeito!BQ37</f>
        <v>0</v>
      </c>
      <c r="AM41" s="411">
        <f>Apoio_Efeito!BQ38</f>
        <v>0</v>
      </c>
      <c r="AN41" s="411">
        <f>Apoio_Efeito!BQ39</f>
        <v>0</v>
      </c>
      <c r="AO41" s="411">
        <f>Apoio_Efeito!BQ40</f>
        <v>0</v>
      </c>
      <c r="AP41" s="411">
        <f>Apoio_Efeito!BQ41</f>
        <v>0</v>
      </c>
      <c r="AQ41" s="411">
        <f>Apoio_Efeito!BQ42</f>
        <v>0</v>
      </c>
      <c r="AR41" s="411">
        <f>Apoio_Efeito!BQ43</f>
        <v>0</v>
      </c>
      <c r="AS41" s="411">
        <f>Apoio_Efeito!BQ44</f>
        <v>0</v>
      </c>
      <c r="AT41" s="411">
        <f>Apoio_Efeito!BQ45</f>
        <v>0</v>
      </c>
      <c r="AU41" s="411">
        <f>Apoio_Efeito!BQ46</f>
        <v>0</v>
      </c>
      <c r="AV41" s="411">
        <f>Apoio_Efeito!BQ47</f>
        <v>0</v>
      </c>
      <c r="AW41" s="411">
        <f>Apoio_Efeito!BQ48</f>
        <v>0</v>
      </c>
      <c r="AX41" s="411">
        <f>Apoio_Efeito!BQ49</f>
        <v>0</v>
      </c>
      <c r="AY41" s="377">
        <f>Apoio_Efeito!BQ50</f>
        <v>0</v>
      </c>
      <c r="AZ41" s="377">
        <f>Apoio_Efeito!BQ51</f>
        <v>0</v>
      </c>
      <c r="BA41" s="377">
        <f>Apoio_Efeito!BQ52</f>
        <v>0</v>
      </c>
      <c r="BB41" s="377">
        <f>Apoio_Efeito!BQ53</f>
        <v>0</v>
      </c>
      <c r="BC41" s="377">
        <f>Apoio_Efeito!BQ54</f>
        <v>0</v>
      </c>
      <c r="BD41" s="377">
        <f>Apoio_Efeito!BQ55</f>
        <v>0</v>
      </c>
      <c r="BE41">
        <f t="shared" si="2"/>
        <v>0</v>
      </c>
      <c r="BI41" s="8"/>
      <c r="BJ41" s="235"/>
      <c r="BK41" s="235"/>
      <c r="BL41" s="217"/>
      <c r="BO41" s="240"/>
      <c r="BP41" s="240"/>
      <c r="BQ41" s="217"/>
      <c r="BT41" s="240"/>
      <c r="BU41" s="238" t="e">
        <f>HLOOKUP(BS41,Efeito!$J$60:$BF$132,48,0)</f>
        <v>#N/A</v>
      </c>
      <c r="BV41" s="217" t="e">
        <f t="shared" si="3"/>
        <v>#N/A</v>
      </c>
    </row>
    <row r="42" spans="1:74">
      <c r="A42" s="32">
        <f t="shared" si="0"/>
        <v>0</v>
      </c>
      <c r="B42" s="301">
        <f t="shared" si="1"/>
        <v>0</v>
      </c>
      <c r="D42" s="198" t="s">
        <v>701</v>
      </c>
      <c r="E42" s="419">
        <f>Apoio_Efeito!BR4</f>
        <v>0</v>
      </c>
      <c r="F42" s="418">
        <f>Apoio_Efeito!BR5</f>
        <v>0</v>
      </c>
      <c r="G42" s="418">
        <f>Apoio_Efeito!BR6</f>
        <v>0</v>
      </c>
      <c r="H42" s="418">
        <f>Apoio_Efeito!BR7</f>
        <v>0</v>
      </c>
      <c r="I42" s="418">
        <f>Apoio_Efeito!BR8</f>
        <v>0</v>
      </c>
      <c r="J42" s="418">
        <f>Apoio_Efeito!BR9</f>
        <v>0</v>
      </c>
      <c r="K42" s="418">
        <f>Apoio_Efeito!BR10</f>
        <v>0</v>
      </c>
      <c r="L42" s="418">
        <f>Apoio_Efeito!BR11</f>
        <v>0</v>
      </c>
      <c r="M42" s="418">
        <f>Apoio_Efeito!BR12</f>
        <v>0</v>
      </c>
      <c r="N42" s="418">
        <f>Apoio_Efeito!BR13</f>
        <v>0</v>
      </c>
      <c r="O42" s="418">
        <f>Apoio_Efeito!BR14</f>
        <v>0</v>
      </c>
      <c r="P42" s="418">
        <f>Apoio_Efeito!BR15</f>
        <v>0</v>
      </c>
      <c r="Q42" s="418">
        <f>Apoio_Efeito!BR16</f>
        <v>0</v>
      </c>
      <c r="R42" s="418">
        <f>Apoio_Efeito!BR17</f>
        <v>0</v>
      </c>
      <c r="S42" s="418">
        <f>Apoio_Efeito!BR18</f>
        <v>0</v>
      </c>
      <c r="T42" s="418">
        <f>Apoio_Efeito!BR19</f>
        <v>0</v>
      </c>
      <c r="U42" s="418">
        <f>Apoio_Efeito!BR20</f>
        <v>0</v>
      </c>
      <c r="V42" s="418">
        <f>Apoio_Efeito!BR21</f>
        <v>0</v>
      </c>
      <c r="W42" s="418">
        <f>Apoio_Efeito!BR22</f>
        <v>0</v>
      </c>
      <c r="X42" s="418">
        <f>Apoio_Efeito!BR23</f>
        <v>0</v>
      </c>
      <c r="Y42" s="418">
        <f>Apoio_Efeito!BR24</f>
        <v>0</v>
      </c>
      <c r="Z42" s="418">
        <f>Apoio_Efeito!BR25</f>
        <v>0</v>
      </c>
      <c r="AA42" s="418">
        <f>Apoio_Efeito!BR26</f>
        <v>0</v>
      </c>
      <c r="AB42" s="418">
        <f>Apoio_Efeito!BR27</f>
        <v>0</v>
      </c>
      <c r="AC42" s="418">
        <f>Apoio_Efeito!BR28</f>
        <v>0</v>
      </c>
      <c r="AD42" s="418">
        <f>Apoio_Efeito!BR29</f>
        <v>0</v>
      </c>
      <c r="AE42" s="418">
        <f>Apoio_Efeito!BR30</f>
        <v>0</v>
      </c>
      <c r="AF42" s="418">
        <f>Apoio_Efeito!BR31</f>
        <v>0</v>
      </c>
      <c r="AG42" s="418">
        <f>Apoio_Efeito!BR32</f>
        <v>0</v>
      </c>
      <c r="AH42" s="418">
        <f>Apoio_Efeito!BR33</f>
        <v>0</v>
      </c>
      <c r="AI42" s="411">
        <f>Apoio_Efeito!BR34</f>
        <v>0</v>
      </c>
      <c r="AJ42" s="411">
        <f>Apoio_Efeito!BR35</f>
        <v>0</v>
      </c>
      <c r="AK42" s="411">
        <f>Apoio_Efeito!BR36</f>
        <v>0</v>
      </c>
      <c r="AL42" s="411">
        <f>Apoio_Efeito!BR37</f>
        <v>0</v>
      </c>
      <c r="AM42" s="411">
        <f>Apoio_Efeito!BR38</f>
        <v>0</v>
      </c>
      <c r="AN42" s="411">
        <f>Apoio_Efeito!BR39</f>
        <v>0</v>
      </c>
      <c r="AO42" s="411">
        <f>Apoio_Efeito!BR40</f>
        <v>0</v>
      </c>
      <c r="AP42" s="411">
        <f>Apoio_Efeito!BR41</f>
        <v>0</v>
      </c>
      <c r="AQ42" s="411">
        <f>Apoio_Efeito!BR42</f>
        <v>0</v>
      </c>
      <c r="AR42" s="411">
        <f>Apoio_Efeito!BR43</f>
        <v>0</v>
      </c>
      <c r="AS42" s="411">
        <f>Apoio_Efeito!BR44</f>
        <v>0</v>
      </c>
      <c r="AT42" s="411">
        <f>Apoio_Efeito!BR45</f>
        <v>0</v>
      </c>
      <c r="AU42" s="411">
        <f>Apoio_Efeito!BR46</f>
        <v>0</v>
      </c>
      <c r="AV42" s="411">
        <f>Apoio_Efeito!BR47</f>
        <v>0</v>
      </c>
      <c r="AW42" s="411">
        <f>Apoio_Efeito!BR48</f>
        <v>0</v>
      </c>
      <c r="AX42" s="411">
        <f>Apoio_Efeito!BR49</f>
        <v>0</v>
      </c>
      <c r="AY42" s="377">
        <f>Apoio_Efeito!BR50</f>
        <v>0</v>
      </c>
      <c r="AZ42" s="377">
        <f>Apoio_Efeito!BR51</f>
        <v>0</v>
      </c>
      <c r="BA42" s="377">
        <f>Apoio_Efeito!BR52</f>
        <v>0</v>
      </c>
      <c r="BB42" s="377">
        <f>Apoio_Efeito!BR53</f>
        <v>0</v>
      </c>
      <c r="BC42" s="377">
        <f>Apoio_Efeito!BR54</f>
        <v>0</v>
      </c>
      <c r="BD42" s="377">
        <f>Apoio_Efeito!BR55</f>
        <v>0</v>
      </c>
      <c r="BE42">
        <f t="shared" si="2"/>
        <v>0</v>
      </c>
      <c r="BI42" s="8"/>
      <c r="BJ42" s="235"/>
      <c r="BK42" s="235"/>
      <c r="BL42" s="217"/>
      <c r="BO42" s="240"/>
      <c r="BP42" s="240"/>
      <c r="BQ42" s="217"/>
      <c r="BT42" s="240"/>
      <c r="BU42" s="238" t="e">
        <f>HLOOKUP(BS42,Efeito!$J$60:$BF$132,48,0)</f>
        <v>#N/A</v>
      </c>
      <c r="BV42" s="217" t="e">
        <f t="shared" si="3"/>
        <v>#N/A</v>
      </c>
    </row>
    <row r="43" spans="1:74">
      <c r="A43" s="32">
        <f t="shared" si="0"/>
        <v>0</v>
      </c>
      <c r="B43" s="301">
        <f t="shared" si="1"/>
        <v>0</v>
      </c>
      <c r="D43" s="198" t="s">
        <v>702</v>
      </c>
      <c r="E43" s="419">
        <f>Apoio_Efeito!BS4</f>
        <v>0</v>
      </c>
      <c r="F43" s="418">
        <f>Apoio_Efeito!BS5</f>
        <v>0</v>
      </c>
      <c r="G43" s="418">
        <f>Apoio_Efeito!BS6</f>
        <v>0</v>
      </c>
      <c r="H43" s="418">
        <f>Apoio_Efeito!BS7</f>
        <v>0</v>
      </c>
      <c r="I43" s="418">
        <f>Apoio_Efeito!BS8</f>
        <v>0</v>
      </c>
      <c r="J43" s="418">
        <f>Apoio_Efeito!BS9</f>
        <v>0</v>
      </c>
      <c r="K43" s="418">
        <f>Apoio_Efeito!BS10</f>
        <v>0</v>
      </c>
      <c r="L43" s="418">
        <f>Apoio_Efeito!BS11</f>
        <v>0</v>
      </c>
      <c r="M43" s="418">
        <f>Apoio_Efeito!BS12</f>
        <v>0</v>
      </c>
      <c r="N43" s="418">
        <f>Apoio_Efeito!BS13</f>
        <v>0</v>
      </c>
      <c r="O43" s="418">
        <f>Apoio_Efeito!BS14</f>
        <v>0</v>
      </c>
      <c r="P43" s="418">
        <f>Apoio_Efeito!BS15</f>
        <v>0</v>
      </c>
      <c r="Q43" s="418">
        <f>Apoio_Efeito!BS16</f>
        <v>0</v>
      </c>
      <c r="R43" s="418">
        <f>Apoio_Efeito!BS17</f>
        <v>0</v>
      </c>
      <c r="S43" s="418">
        <f>Apoio_Efeito!BS18</f>
        <v>0</v>
      </c>
      <c r="T43" s="418">
        <f>Apoio_Efeito!BS19</f>
        <v>0</v>
      </c>
      <c r="U43" s="418">
        <f>Apoio_Efeito!BS20</f>
        <v>0</v>
      </c>
      <c r="V43" s="418">
        <f>Apoio_Efeito!BS21</f>
        <v>0</v>
      </c>
      <c r="W43" s="418">
        <f>Apoio_Efeito!BS22</f>
        <v>0</v>
      </c>
      <c r="X43" s="418">
        <f>Apoio_Efeito!BS23</f>
        <v>0</v>
      </c>
      <c r="Y43" s="418">
        <f>Apoio_Efeito!BS24</f>
        <v>0</v>
      </c>
      <c r="Z43" s="418">
        <f>Apoio_Efeito!BS25</f>
        <v>0</v>
      </c>
      <c r="AA43" s="418">
        <f>Apoio_Efeito!BS26</f>
        <v>0</v>
      </c>
      <c r="AB43" s="418">
        <f>Apoio_Efeito!BS27</f>
        <v>0</v>
      </c>
      <c r="AC43" s="418">
        <f>Apoio_Efeito!BS28</f>
        <v>0</v>
      </c>
      <c r="AD43" s="418">
        <f>Apoio_Efeito!BS29</f>
        <v>0</v>
      </c>
      <c r="AE43" s="418">
        <f>Apoio_Efeito!BS30</f>
        <v>0</v>
      </c>
      <c r="AF43" s="418">
        <f>Apoio_Efeito!BS31</f>
        <v>0</v>
      </c>
      <c r="AG43" s="418">
        <f>Apoio_Efeito!BS32</f>
        <v>0</v>
      </c>
      <c r="AH43" s="418">
        <f>Apoio_Efeito!BS33</f>
        <v>0</v>
      </c>
      <c r="AI43" s="411">
        <f>Apoio_Efeito!BS34</f>
        <v>0</v>
      </c>
      <c r="AJ43" s="411">
        <f>Apoio_Efeito!BS35</f>
        <v>0</v>
      </c>
      <c r="AK43" s="411">
        <f>Apoio_Efeito!BS36</f>
        <v>0</v>
      </c>
      <c r="AL43" s="411">
        <f>Apoio_Efeito!BS37</f>
        <v>0</v>
      </c>
      <c r="AM43" s="411">
        <f>Apoio_Efeito!BS38</f>
        <v>0</v>
      </c>
      <c r="AN43" s="411">
        <f>Apoio_Efeito!BS39</f>
        <v>0</v>
      </c>
      <c r="AO43" s="411">
        <f>Apoio_Efeito!BS40</f>
        <v>0</v>
      </c>
      <c r="AP43" s="411">
        <f>Apoio_Efeito!BS41</f>
        <v>0</v>
      </c>
      <c r="AQ43" s="411">
        <f>Apoio_Efeito!BS42</f>
        <v>0</v>
      </c>
      <c r="AR43" s="411">
        <f>Apoio_Efeito!BS43</f>
        <v>0</v>
      </c>
      <c r="AS43" s="411">
        <f>Apoio_Efeito!BS44</f>
        <v>0</v>
      </c>
      <c r="AT43" s="411">
        <f>Apoio_Efeito!BS45</f>
        <v>0</v>
      </c>
      <c r="AU43" s="411">
        <f>Apoio_Efeito!BS46</f>
        <v>0</v>
      </c>
      <c r="AV43" s="411">
        <f>Apoio_Efeito!BS47</f>
        <v>0</v>
      </c>
      <c r="AW43" s="411">
        <f>Apoio_Efeito!BS48</f>
        <v>0</v>
      </c>
      <c r="AX43" s="411">
        <f>Apoio_Efeito!BS49</f>
        <v>0</v>
      </c>
      <c r="AY43" s="377">
        <f>Apoio_Efeito!BS50</f>
        <v>0</v>
      </c>
      <c r="AZ43" s="377">
        <f>Apoio_Efeito!BS51</f>
        <v>0</v>
      </c>
      <c r="BA43" s="377">
        <f>Apoio_Efeito!BS52</f>
        <v>0</v>
      </c>
      <c r="BB43" s="377">
        <f>Apoio_Efeito!BS53</f>
        <v>0</v>
      </c>
      <c r="BC43" s="377">
        <f>Apoio_Efeito!BS54</f>
        <v>0</v>
      </c>
      <c r="BD43" s="377">
        <f>Apoio_Efeito!BS55</f>
        <v>0</v>
      </c>
      <c r="BE43">
        <f t="shared" si="2"/>
        <v>0</v>
      </c>
      <c r="BI43" s="8"/>
      <c r="BJ43" s="235"/>
      <c r="BK43" s="235"/>
      <c r="BL43" s="217"/>
      <c r="BO43" s="240"/>
      <c r="BP43" s="240"/>
      <c r="BQ43" s="217"/>
      <c r="BT43" s="240"/>
      <c r="BU43" s="238" t="e">
        <f>HLOOKUP(BS43,Efeito!$J$60:$BF$132,48,0)</f>
        <v>#N/A</v>
      </c>
      <c r="BV43" s="217" t="e">
        <f t="shared" si="3"/>
        <v>#N/A</v>
      </c>
    </row>
    <row r="44" spans="1:74">
      <c r="A44" s="32">
        <f t="shared" si="0"/>
        <v>0</v>
      </c>
      <c r="B44" s="301">
        <f t="shared" si="1"/>
        <v>0</v>
      </c>
      <c r="D44" s="198" t="s">
        <v>703</v>
      </c>
      <c r="E44" s="410">
        <f>Apoio_Efeito!BT4</f>
        <v>0</v>
      </c>
      <c r="F44" s="411">
        <f>Apoio_Efeito!BT5</f>
        <v>0</v>
      </c>
      <c r="G44" s="411">
        <f>Apoio_Efeito!BT6</f>
        <v>0</v>
      </c>
      <c r="H44" s="411">
        <f>Apoio_Efeito!BT7</f>
        <v>0</v>
      </c>
      <c r="I44" s="411">
        <f>Apoio_Efeito!BT8</f>
        <v>0</v>
      </c>
      <c r="J44" s="411">
        <f>Apoio_Efeito!BT9</f>
        <v>0</v>
      </c>
      <c r="K44" s="411">
        <f>Apoio_Efeito!BT10</f>
        <v>0</v>
      </c>
      <c r="L44" s="411">
        <f>Apoio_Efeito!BT11</f>
        <v>0</v>
      </c>
      <c r="M44" s="411">
        <f>Apoio_Efeito!BT12</f>
        <v>0</v>
      </c>
      <c r="N44" s="411">
        <f>Apoio_Efeito!BT13</f>
        <v>0</v>
      </c>
      <c r="O44" s="411">
        <f>Apoio_Efeito!BT14</f>
        <v>0</v>
      </c>
      <c r="P44" s="411">
        <f>Apoio_Efeito!BT15</f>
        <v>0</v>
      </c>
      <c r="Q44" s="411">
        <f>Apoio_Efeito!BT16</f>
        <v>0</v>
      </c>
      <c r="R44" s="411">
        <f>Apoio_Efeito!BT17</f>
        <v>0</v>
      </c>
      <c r="S44" s="411">
        <f>Apoio_Efeito!BT18</f>
        <v>0</v>
      </c>
      <c r="T44" s="411">
        <f>Apoio_Efeito!BT19</f>
        <v>0</v>
      </c>
      <c r="U44" s="411">
        <f>Apoio_Efeito!BT20</f>
        <v>0</v>
      </c>
      <c r="V44" s="411">
        <f>Apoio_Efeito!BT21</f>
        <v>0</v>
      </c>
      <c r="W44" s="411">
        <f>Apoio_Efeito!BT22</f>
        <v>0</v>
      </c>
      <c r="X44" s="411">
        <f>Apoio_Efeito!BT23</f>
        <v>0</v>
      </c>
      <c r="Y44" s="411">
        <f>Apoio_Efeito!BT24</f>
        <v>0</v>
      </c>
      <c r="Z44" s="411">
        <f>Apoio_Efeito!BT25</f>
        <v>0</v>
      </c>
      <c r="AA44" s="411">
        <f>Apoio_Efeito!BT26</f>
        <v>0</v>
      </c>
      <c r="AB44" s="411">
        <f>Apoio_Efeito!BT27</f>
        <v>0</v>
      </c>
      <c r="AC44" s="411">
        <f>Apoio_Efeito!BT28</f>
        <v>0</v>
      </c>
      <c r="AD44" s="411">
        <f>Apoio_Efeito!BT29</f>
        <v>0</v>
      </c>
      <c r="AE44" s="411">
        <f>Apoio_Efeito!BT30</f>
        <v>0</v>
      </c>
      <c r="AF44" s="411">
        <f>Apoio_Efeito!BT31</f>
        <v>0</v>
      </c>
      <c r="AG44" s="411">
        <f>Apoio_Efeito!BT32</f>
        <v>0</v>
      </c>
      <c r="AH44" s="411">
        <f>Apoio_Efeito!BT33</f>
        <v>0</v>
      </c>
      <c r="AI44" s="411">
        <f>Apoio_Efeito!BT34</f>
        <v>0</v>
      </c>
      <c r="AJ44" s="411">
        <f>Apoio_Efeito!BT35</f>
        <v>0</v>
      </c>
      <c r="AK44" s="411">
        <f>Apoio_Efeito!BT36</f>
        <v>0</v>
      </c>
      <c r="AL44" s="411">
        <f>Apoio_Efeito!BT37</f>
        <v>0</v>
      </c>
      <c r="AM44" s="411">
        <f>Apoio_Efeito!BT38</f>
        <v>0</v>
      </c>
      <c r="AN44" s="411">
        <f>Apoio_Efeito!BT39</f>
        <v>0</v>
      </c>
      <c r="AO44" s="411">
        <f>Apoio_Efeito!BT40</f>
        <v>0</v>
      </c>
      <c r="AP44" s="411">
        <f>Apoio_Efeito!BT41</f>
        <v>0</v>
      </c>
      <c r="AQ44" s="411">
        <f>Apoio_Efeito!BT42</f>
        <v>0</v>
      </c>
      <c r="AR44" s="411">
        <f>Apoio_Efeito!BT43</f>
        <v>0</v>
      </c>
      <c r="AS44" s="411">
        <f>Apoio_Efeito!BT44</f>
        <v>0</v>
      </c>
      <c r="AT44" s="411">
        <f>Apoio_Efeito!BT45</f>
        <v>0</v>
      </c>
      <c r="AU44" s="411">
        <f>Apoio_Efeito!BT46</f>
        <v>0</v>
      </c>
      <c r="AV44" s="411">
        <f>Apoio_Efeito!BT47</f>
        <v>0</v>
      </c>
      <c r="AW44" s="411">
        <f>Apoio_Efeito!BT48</f>
        <v>0</v>
      </c>
      <c r="AX44" s="411">
        <f>Apoio_Efeito!BT49</f>
        <v>0</v>
      </c>
      <c r="AY44" s="377">
        <f>Apoio_Efeito!BT50</f>
        <v>0</v>
      </c>
      <c r="AZ44" s="377">
        <f>Apoio_Efeito!BT51</f>
        <v>0</v>
      </c>
      <c r="BA44" s="377">
        <f>Apoio_Efeito!BT52</f>
        <v>0</v>
      </c>
      <c r="BB44" s="377">
        <f>Apoio_Efeito!BT53</f>
        <v>0</v>
      </c>
      <c r="BC44" s="377">
        <f>Apoio_Efeito!BT54</f>
        <v>0</v>
      </c>
      <c r="BD44" s="377">
        <f>Apoio_Efeito!BT55</f>
        <v>0</v>
      </c>
      <c r="BE44">
        <f t="shared" si="2"/>
        <v>0</v>
      </c>
      <c r="BI44" s="8"/>
      <c r="BJ44" s="235"/>
      <c r="BK44" s="235"/>
      <c r="BL44" s="217"/>
      <c r="BO44" s="240"/>
      <c r="BP44" s="240"/>
      <c r="BQ44" s="217"/>
      <c r="BT44" s="240"/>
      <c r="BU44" s="238" t="e">
        <f>HLOOKUP(BS44,Efeito!$J$60:$BF$132,48,0)</f>
        <v>#N/A</v>
      </c>
      <c r="BV44" s="217" t="e">
        <f t="shared" si="3"/>
        <v>#N/A</v>
      </c>
    </row>
    <row r="45" spans="1:74">
      <c r="A45" s="32">
        <f t="shared" si="0"/>
        <v>-33452559.741154771</v>
      </c>
      <c r="B45" s="301">
        <f t="shared" si="1"/>
        <v>1</v>
      </c>
      <c r="D45" s="196" t="s">
        <v>38</v>
      </c>
      <c r="E45" s="378">
        <f>SUMIFS(Banco[valor],Banco[IdAgente],Efeito!B5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F45" s="378">
        <f>SUMIFS(Banco[valor],Banco[IdAgente],Efeito!B6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G45" s="378">
        <f>SUMIFS(Banco[valor],Banco[IdAgente],Efeito!B7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H45" s="378">
        <f>SUMIFS(Banco[valor],Banco[IdAgente],Efeito!B8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-15388296.524235301</v>
      </c>
      <c r="I45" s="378">
        <f>SUMIFS(Banco[valor],Banco[IdAgente],Efeito!B9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J45" s="378">
        <f>SUMIFS(Banco[valor],Banco[IdAgente],Efeito!B10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K45" s="378">
        <f>SUMIFS(Banco[valor],Banco[IdAgente],Efeito!B11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L45" s="378">
        <f>SUMIFS(Banco[valor],Banco[IdAgente],Efeito!B12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M45" s="378">
        <f>SUMIFS(Banco[valor],Banco[IdAgente],Efeito!B13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N45" s="378">
        <f>SUMIFS(Banco[valor],Banco[IdAgente],Efeito!B14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O45" s="378">
        <f>SUMIFS(Banco[valor],Banco[IdAgente],Efeito!B15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P45" s="378">
        <f>SUMIFS(Banco[valor],Banco[IdAgente],Efeito!B16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Q45" s="378">
        <f>SUMIFS(Banco[valor],Banco[IdAgente],Efeito!B17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R45" s="378">
        <f>SUMIFS(Banco[valor],Banco[IdAgente],Efeito!B18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S45" s="378">
        <f>SUMIFS(Banco[valor],Banco[IdAgente],Efeito!B19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T45" s="378">
        <f>SUMIFS(Banco[valor],Banco[IdAgente],Efeito!B20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U45" s="378">
        <f>SUMIFS(Banco[valor],Banco[IdAgente],Efeito!B21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V45" s="378">
        <f>SUMIFS(Banco[valor],Banco[IdAgente],Efeito!B22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W45" s="378">
        <f>SUMIFS(Banco[valor],Banco[IdAgente],Efeito!B23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X45" s="378">
        <f>SUMIFS(Banco[valor],Banco[IdAgente],Efeito!B24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Y45" s="378">
        <f>SUMIFS(Banco[valor],Banco[IdAgente],Efeito!B25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Z45" s="378">
        <f>SUMIFS(Banco[valor],Banco[IdAgente],Efeito!B26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AA45" s="378">
        <f>SUMIFS(Banco[valor],Banco[IdAgente],Efeito!B27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AB45" s="378">
        <f>SUMIFS(Banco[valor],Banco[IdAgente],Efeito!B28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AC45" s="378">
        <f>SUMIFS(Banco[valor],Banco[IdAgente],Efeito!B29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AD45" s="378">
        <f>SUMIFS(Banco[valor],Banco[IdAgente],Efeito!B30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AE45" s="378">
        <f>SUMIFS(Banco[valor],Banco[IdAgente],Efeito!B31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AF45" s="378">
        <f>SUMIFS(Banco[valor],Banco[IdAgente],Efeito!B32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AG45" s="378">
        <f>SUMIFS(Banco[valor],Banco[IdAgente],Efeito!B33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AH45" s="378">
        <f>SUMIFS(Banco[valor],Banco[IdAgente],Efeito!B34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AI45" s="378">
        <f>SUMIFS(Banco[valor],Banco[IdAgente],Efeito!B35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AJ45" s="378">
        <f>SUMIFS(Banco[valor],Banco[IdAgente],Efeito!B36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AK45" s="378">
        <f>SUMIFS(Banco[valor],Banco[IdAgente],Efeito!B37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AL45" s="378">
        <f>SUMIFS(Banco[valor],Banco[IdAgente],Efeito!B38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AM45" s="378">
        <f>SUMIFS(Banco[valor],Banco[IdAgente],Efeito!B39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AN45" s="378">
        <f>SUMIFS(Banco[valor],Banco[IdAgente],Efeito!B40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AO45" s="378">
        <f>SUMIFS(Banco[valor],Banco[IdAgente],Efeito!B41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AP45" s="378">
        <f>SUMIFS(Banco[valor],Banco[IdAgente],Efeito!B42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AQ45" s="378">
        <f>SUMIFS(Banco[valor],Banco[IdAgente],Efeito!B43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AR45" s="379">
        <f>SUMIFS(Banco[valor],Banco[IdAgente],Efeito!B44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AS45" s="380">
        <f>SUMIFS(Banco[valor],Banco[IdAgente],Efeito!B45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AT45" s="380">
        <f>SUMIFS(Banco[valor],Banco[IdAgente],Efeito!B46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AU45" s="380">
        <f>SUMIFS(Banco[valor],Banco[IdAgente],Efeito!B47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AV45" s="380">
        <f>SUMIFS(Banco[valor],Banco[IdAgente],Efeito!B48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AW45" s="380">
        <f>SUMIFS(Banco[valor],Banco[IdAgente],Efeito!B49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AX45" s="380">
        <f>SUMIFS(Banco[valor],Banco[IdAgente],Efeito!B50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AY45" s="380">
        <f>SUMIFS(Banco[valor],Banco[IdAgente],Efeito!B51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AZ45" s="380">
        <f>SUMIFS(Banco[valor],Banco[IdAgente],Efeito!B52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BA45" s="194">
        <f>SUMIFS(Banco[valor],Banco[IdAgente],Efeito!B53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-11493943.749479</v>
      </c>
      <c r="BB45" s="194">
        <f>SUMIFS(Banco[valor],Banco[IdAgente],Efeito!B54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-6570319.4674404701</v>
      </c>
      <c r="BC45" s="194">
        <f>SUMIFS(Banco[valor],Banco[IdAgente],Efeito!B55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BD45" s="194">
        <f>SUMIFS(Banco[valor],Banco[IdAgente],Efeito!B56,Banco[id_natureza_dado],4,Banco[id_detalhe_natureza],2,Banco[idDet1],51,Banco[idDet2],102,Banco[idDet3],999,Banco[id_grupo_tarifa],99,Banco[id_detalhe_grupo_tarifa],999,Banco[id_tipo_tarifa],9,Banco[id_subgrupo],99,Banco[id_posto],9,Banco[id_unidade],3,Banco[id_UC],99999)</f>
        <v>0</v>
      </c>
      <c r="BE45">
        <f t="shared" si="2"/>
        <v>1</v>
      </c>
      <c r="BF45" s="195"/>
      <c r="BG45" s="195"/>
      <c r="BI45" s="8"/>
      <c r="BJ45" s="235"/>
      <c r="BK45" s="235"/>
      <c r="BL45" s="217"/>
      <c r="BO45" s="240"/>
      <c r="BP45" s="240"/>
      <c r="BQ45" s="217"/>
      <c r="BT45" s="240"/>
      <c r="BU45" s="238" t="e">
        <f>HLOOKUP(BS45,Efeito!$J$60:$BF$132,48,0)</f>
        <v>#N/A</v>
      </c>
      <c r="BV45" s="217" t="e">
        <f t="shared" si="3"/>
        <v>#N/A</v>
      </c>
    </row>
    <row r="46" spans="1:74">
      <c r="E46" s="197">
        <f>SUM(E8:E44)</f>
        <v>0</v>
      </c>
      <c r="F46" s="197">
        <f t="shared" ref="F46:BD46" si="4">SUM(F8:F44)</f>
        <v>0</v>
      </c>
      <c r="G46" s="197">
        <f t="shared" si="4"/>
        <v>0</v>
      </c>
      <c r="H46" s="197">
        <f t="shared" si="4"/>
        <v>-15553241.557857519</v>
      </c>
      <c r="I46" s="197">
        <f t="shared" si="4"/>
        <v>0</v>
      </c>
      <c r="J46" s="197">
        <f t="shared" si="4"/>
        <v>0</v>
      </c>
      <c r="K46" s="197">
        <f t="shared" si="4"/>
        <v>0</v>
      </c>
      <c r="L46" s="197">
        <f t="shared" si="4"/>
        <v>0</v>
      </c>
      <c r="M46" s="197">
        <f t="shared" si="4"/>
        <v>0</v>
      </c>
      <c r="N46" s="197">
        <f t="shared" si="4"/>
        <v>0</v>
      </c>
      <c r="O46" s="197">
        <f t="shared" si="4"/>
        <v>0</v>
      </c>
      <c r="P46" s="197">
        <f t="shared" si="4"/>
        <v>0</v>
      </c>
      <c r="Q46" s="197">
        <f t="shared" si="4"/>
        <v>0</v>
      </c>
      <c r="R46" s="197">
        <f t="shared" si="4"/>
        <v>0</v>
      </c>
      <c r="S46" s="197">
        <f t="shared" si="4"/>
        <v>0</v>
      </c>
      <c r="T46" s="197">
        <f t="shared" si="4"/>
        <v>0</v>
      </c>
      <c r="U46" s="197">
        <f t="shared" si="4"/>
        <v>0</v>
      </c>
      <c r="V46" s="197">
        <f t="shared" si="4"/>
        <v>0</v>
      </c>
      <c r="W46" s="197">
        <f t="shared" si="4"/>
        <v>0</v>
      </c>
      <c r="X46" s="197">
        <f t="shared" si="4"/>
        <v>0</v>
      </c>
      <c r="Y46" s="197">
        <f t="shared" si="4"/>
        <v>0</v>
      </c>
      <c r="Z46" s="197">
        <f t="shared" si="4"/>
        <v>0</v>
      </c>
      <c r="AA46" s="197">
        <f t="shared" si="4"/>
        <v>0</v>
      </c>
      <c r="AB46" s="197">
        <f t="shared" si="4"/>
        <v>0</v>
      </c>
      <c r="AC46" s="197">
        <f t="shared" si="4"/>
        <v>0</v>
      </c>
      <c r="AD46" s="197">
        <f t="shared" si="4"/>
        <v>0</v>
      </c>
      <c r="AE46" s="197">
        <f t="shared" si="4"/>
        <v>0</v>
      </c>
      <c r="AF46" s="197">
        <f t="shared" si="4"/>
        <v>0</v>
      </c>
      <c r="AG46" s="197">
        <f t="shared" si="4"/>
        <v>0</v>
      </c>
      <c r="AH46" s="197">
        <f t="shared" si="4"/>
        <v>0</v>
      </c>
      <c r="AI46" s="197">
        <f t="shared" si="4"/>
        <v>0</v>
      </c>
      <c r="AJ46" s="197">
        <f t="shared" si="4"/>
        <v>0</v>
      </c>
      <c r="AK46" s="197">
        <f t="shared" si="4"/>
        <v>0</v>
      </c>
      <c r="AL46" s="197">
        <f t="shared" si="4"/>
        <v>0</v>
      </c>
      <c r="AM46" s="197">
        <f t="shared" si="4"/>
        <v>0</v>
      </c>
      <c r="AN46" s="197">
        <f t="shared" si="4"/>
        <v>0</v>
      </c>
      <c r="AO46" s="197">
        <f t="shared" si="4"/>
        <v>0</v>
      </c>
      <c r="AP46" s="197">
        <f t="shared" si="4"/>
        <v>0</v>
      </c>
      <c r="AQ46" s="197">
        <f t="shared" si="4"/>
        <v>0</v>
      </c>
      <c r="AR46" s="197">
        <f t="shared" si="4"/>
        <v>0</v>
      </c>
      <c r="AS46" s="197">
        <f t="shared" si="4"/>
        <v>0</v>
      </c>
      <c r="AT46" s="197">
        <f t="shared" si="4"/>
        <v>0</v>
      </c>
      <c r="AU46" s="197">
        <f t="shared" si="4"/>
        <v>0</v>
      </c>
      <c r="AV46" s="197">
        <f t="shared" si="4"/>
        <v>0</v>
      </c>
      <c r="AW46" s="197">
        <f t="shared" si="4"/>
        <v>0</v>
      </c>
      <c r="AX46" s="197">
        <f t="shared" si="4"/>
        <v>0</v>
      </c>
      <c r="AY46" s="197">
        <f t="shared" si="4"/>
        <v>0</v>
      </c>
      <c r="AZ46" s="197">
        <f t="shared" si="4"/>
        <v>0</v>
      </c>
      <c r="BA46" s="197">
        <f t="shared" si="4"/>
        <v>-11493943.749478964</v>
      </c>
      <c r="BB46" s="197">
        <f t="shared" si="4"/>
        <v>-6570319.4674404711</v>
      </c>
      <c r="BC46" s="197">
        <f t="shared" si="4"/>
        <v>0</v>
      </c>
      <c r="BD46" s="197">
        <f t="shared" si="4"/>
        <v>0</v>
      </c>
      <c r="BF46" s="195"/>
      <c r="BG46" s="195"/>
      <c r="BI46" s="8"/>
      <c r="BJ46" s="235"/>
      <c r="BK46" s="235"/>
      <c r="BL46" s="217"/>
      <c r="BO46" s="240"/>
      <c r="BP46" s="240"/>
      <c r="BQ46" s="217"/>
      <c r="BT46" s="240"/>
      <c r="BU46" s="238" t="e">
        <f>HLOOKUP(BS46,Efeito!$J$60:$BF$132,48,0)</f>
        <v>#N/A</v>
      </c>
      <c r="BV46" s="217" t="e">
        <f t="shared" si="3"/>
        <v>#N/A</v>
      </c>
    </row>
    <row r="47" spans="1:74">
      <c r="E47" s="197">
        <f>E46-E45</f>
        <v>0</v>
      </c>
      <c r="F47" s="197">
        <f t="shared" ref="F47:K47" si="5">F46-F45</f>
        <v>0</v>
      </c>
      <c r="G47" s="197">
        <f t="shared" si="5"/>
        <v>0</v>
      </c>
      <c r="H47" s="197">
        <f t="shared" si="5"/>
        <v>-164945.0336222183</v>
      </c>
      <c r="I47" s="197">
        <f t="shared" si="5"/>
        <v>0</v>
      </c>
      <c r="J47" s="197">
        <f>J46-J45</f>
        <v>0</v>
      </c>
      <c r="K47" s="197">
        <f t="shared" si="5"/>
        <v>0</v>
      </c>
      <c r="L47" s="197">
        <f>L46-L45</f>
        <v>0</v>
      </c>
      <c r="M47" s="197">
        <f t="shared" ref="M47:BD47" si="6">M46-M45</f>
        <v>0</v>
      </c>
      <c r="N47" s="197">
        <f t="shared" si="6"/>
        <v>0</v>
      </c>
      <c r="O47" s="197">
        <f t="shared" si="6"/>
        <v>0</v>
      </c>
      <c r="P47" s="197">
        <f t="shared" si="6"/>
        <v>0</v>
      </c>
      <c r="Q47" s="197">
        <f t="shared" si="6"/>
        <v>0</v>
      </c>
      <c r="R47" s="197">
        <f t="shared" si="6"/>
        <v>0</v>
      </c>
      <c r="S47" s="197">
        <f>S46-S45</f>
        <v>0</v>
      </c>
      <c r="T47" s="197">
        <f t="shared" si="6"/>
        <v>0</v>
      </c>
      <c r="U47" s="197">
        <f t="shared" si="6"/>
        <v>0</v>
      </c>
      <c r="V47" s="197">
        <f t="shared" si="6"/>
        <v>0</v>
      </c>
      <c r="W47" s="197">
        <f>W46-W45</f>
        <v>0</v>
      </c>
      <c r="X47" s="197">
        <f t="shared" si="6"/>
        <v>0</v>
      </c>
      <c r="Y47" s="197">
        <f t="shared" si="6"/>
        <v>0</v>
      </c>
      <c r="Z47" s="197">
        <f t="shared" si="6"/>
        <v>0</v>
      </c>
      <c r="AA47" s="197">
        <f>AA46-AA45</f>
        <v>0</v>
      </c>
      <c r="AB47" s="197">
        <f t="shared" si="6"/>
        <v>0</v>
      </c>
      <c r="AC47" s="197">
        <f t="shared" si="6"/>
        <v>0</v>
      </c>
      <c r="AD47" s="197">
        <f t="shared" si="6"/>
        <v>0</v>
      </c>
      <c r="AE47" s="197">
        <f t="shared" si="6"/>
        <v>0</v>
      </c>
      <c r="AF47" s="197">
        <f t="shared" si="6"/>
        <v>0</v>
      </c>
      <c r="AG47" s="197">
        <f t="shared" si="6"/>
        <v>0</v>
      </c>
      <c r="AH47" s="197">
        <f>AH46-AH45</f>
        <v>0</v>
      </c>
      <c r="AI47" s="197">
        <f t="shared" si="6"/>
        <v>0</v>
      </c>
      <c r="AJ47" s="197">
        <f t="shared" si="6"/>
        <v>0</v>
      </c>
      <c r="AK47" s="197">
        <f t="shared" si="6"/>
        <v>0</v>
      </c>
      <c r="AL47" s="197">
        <f t="shared" si="6"/>
        <v>0</v>
      </c>
      <c r="AM47" s="197">
        <f t="shared" si="6"/>
        <v>0</v>
      </c>
      <c r="AN47" s="197">
        <f t="shared" si="6"/>
        <v>0</v>
      </c>
      <c r="AO47" s="197">
        <f t="shared" si="6"/>
        <v>0</v>
      </c>
      <c r="AP47" s="197">
        <f t="shared" si="6"/>
        <v>0</v>
      </c>
      <c r="AQ47" s="197">
        <f t="shared" si="6"/>
        <v>0</v>
      </c>
      <c r="AR47" s="197">
        <f t="shared" si="6"/>
        <v>0</v>
      </c>
      <c r="AS47" s="197">
        <f t="shared" si="6"/>
        <v>0</v>
      </c>
      <c r="AT47" s="197">
        <f t="shared" si="6"/>
        <v>0</v>
      </c>
      <c r="AU47" s="197">
        <f t="shared" si="6"/>
        <v>0</v>
      </c>
      <c r="AV47" s="197">
        <f t="shared" si="6"/>
        <v>0</v>
      </c>
      <c r="AW47" s="197">
        <f t="shared" si="6"/>
        <v>0</v>
      </c>
      <c r="AX47" s="197">
        <f t="shared" si="6"/>
        <v>0</v>
      </c>
      <c r="AY47" s="197">
        <f t="shared" si="6"/>
        <v>0</v>
      </c>
      <c r="AZ47" s="197">
        <f t="shared" si="6"/>
        <v>0</v>
      </c>
      <c r="BA47" s="197">
        <f>BA46-BA45</f>
        <v>3.5390257835388184E-8</v>
      </c>
      <c r="BB47" s="197">
        <f t="shared" si="6"/>
        <v>0</v>
      </c>
      <c r="BC47" s="197">
        <f t="shared" si="6"/>
        <v>0</v>
      </c>
      <c r="BD47" s="197">
        <f t="shared" si="6"/>
        <v>0</v>
      </c>
      <c r="BE47" s="197"/>
      <c r="BI47" s="8"/>
      <c r="BJ47" s="235"/>
      <c r="BK47" s="235"/>
      <c r="BL47" s="217"/>
      <c r="BO47" s="240"/>
      <c r="BP47" s="240"/>
      <c r="BQ47" s="217"/>
      <c r="BT47" s="240"/>
      <c r="BU47" s="238" t="e">
        <f>HLOOKUP(BS47,Efeito!$J$60:$BF$132,48,0)</f>
        <v>#N/A</v>
      </c>
      <c r="BV47" s="217" t="e">
        <f t="shared" si="3"/>
        <v>#N/A</v>
      </c>
    </row>
    <row r="48" spans="1:74">
      <c r="E48" s="192"/>
      <c r="F48" s="163"/>
      <c r="G48" s="5"/>
      <c r="BI48" s="8"/>
      <c r="BJ48" s="235"/>
      <c r="BK48" s="235"/>
      <c r="BL48" s="217"/>
      <c r="BO48" s="240"/>
      <c r="BP48" s="240"/>
      <c r="BQ48" s="217"/>
      <c r="BT48" s="240"/>
      <c r="BU48" s="238" t="e">
        <f>HLOOKUP(BS48,Efeito!$J$60:$BF$132,48,0)</f>
        <v>#N/A</v>
      </c>
      <c r="BV48" s="217" t="e">
        <f t="shared" si="3"/>
        <v>#N/A</v>
      </c>
    </row>
    <row r="49" spans="5:74">
      <c r="E49" s="192"/>
      <c r="F49" s="163"/>
      <c r="G49" s="5"/>
      <c r="W49" s="197"/>
      <c r="BI49" s="8"/>
      <c r="BJ49" s="235"/>
      <c r="BK49" s="235"/>
      <c r="BL49" s="217"/>
      <c r="BO49" s="240"/>
      <c r="BP49" s="240"/>
      <c r="BQ49" s="217"/>
      <c r="BT49" s="240"/>
      <c r="BU49" s="238" t="e">
        <f>HLOOKUP(BS49,Efeito!$J$60:$BF$132,48,0)</f>
        <v>#N/A</v>
      </c>
      <c r="BV49" s="217" t="e">
        <f t="shared" si="3"/>
        <v>#N/A</v>
      </c>
    </row>
    <row r="50" spans="5:74">
      <c r="E50" s="195"/>
      <c r="F50" s="195"/>
      <c r="G50" s="195"/>
      <c r="H50" s="195"/>
      <c r="I50" s="195"/>
      <c r="J50" s="195"/>
      <c r="K50" s="195"/>
      <c r="L50" s="195"/>
      <c r="M50" s="195"/>
      <c r="N50" s="195"/>
      <c r="O50" s="195"/>
      <c r="P50" s="195"/>
      <c r="Q50" s="195"/>
      <c r="R50" s="195"/>
      <c r="S50" s="195"/>
      <c r="T50" s="195"/>
      <c r="U50" s="195"/>
      <c r="V50" s="195"/>
      <c r="W50" s="195"/>
      <c r="X50" s="195"/>
      <c r="Y50" s="195"/>
      <c r="Z50" s="195"/>
      <c r="AA50" s="195"/>
      <c r="AB50" s="195"/>
      <c r="AC50" s="195"/>
      <c r="AD50" s="195"/>
      <c r="AE50" s="195"/>
      <c r="AF50" s="195"/>
      <c r="AG50" s="195"/>
      <c r="AH50" s="195"/>
      <c r="AI50" s="195"/>
      <c r="AJ50" s="195"/>
      <c r="AK50" s="195"/>
      <c r="AL50" s="195"/>
      <c r="AM50" s="195"/>
      <c r="AN50" s="195"/>
      <c r="AO50" s="195"/>
      <c r="AP50" s="195"/>
      <c r="AQ50" s="195"/>
      <c r="AR50" s="195"/>
      <c r="AS50" s="195"/>
      <c r="AT50" s="195"/>
      <c r="AU50" s="195"/>
      <c r="AV50" s="195"/>
      <c r="AW50" s="195"/>
      <c r="AX50" s="195"/>
      <c r="AY50" s="195"/>
      <c r="AZ50" s="195"/>
      <c r="BA50" s="195"/>
      <c r="BB50" s="195"/>
      <c r="BC50" s="195"/>
      <c r="BD50" s="195"/>
      <c r="BE50" s="195"/>
      <c r="BI50" s="8"/>
      <c r="BJ50" s="235"/>
      <c r="BK50" s="235"/>
      <c r="BL50" s="217"/>
      <c r="BO50" s="240"/>
      <c r="BP50" s="240"/>
      <c r="BQ50" s="217"/>
      <c r="BT50" s="240"/>
      <c r="BU50" s="238" t="e">
        <f>HLOOKUP(BS50,Efeito!$J$60:$BF$132,48,0)</f>
        <v>#N/A</v>
      </c>
      <c r="BV50" s="217" t="e">
        <f t="shared" si="3"/>
        <v>#N/A</v>
      </c>
    </row>
    <row r="51" spans="5:74">
      <c r="E51" s="195"/>
      <c r="F51" s="195"/>
      <c r="G51" s="195"/>
      <c r="H51" s="195"/>
      <c r="I51" s="195"/>
      <c r="J51" s="195"/>
      <c r="K51" s="195"/>
      <c r="L51" s="195"/>
      <c r="M51" s="195"/>
      <c r="N51" s="195"/>
      <c r="O51" s="195"/>
      <c r="P51" s="195"/>
      <c r="Q51" s="195"/>
      <c r="R51" s="195"/>
      <c r="S51" s="195"/>
      <c r="T51" s="195"/>
      <c r="U51" s="195"/>
      <c r="V51" s="195"/>
      <c r="W51" s="195"/>
      <c r="X51" s="195"/>
      <c r="Y51" s="195"/>
      <c r="Z51" s="195"/>
      <c r="AA51" s="195"/>
      <c r="AB51" s="195"/>
      <c r="AC51" s="195"/>
      <c r="AD51" s="195"/>
      <c r="AE51" s="195"/>
      <c r="AF51" s="195"/>
      <c r="AG51" s="195"/>
      <c r="AH51" s="195"/>
      <c r="AI51" s="195"/>
      <c r="AJ51" s="195"/>
      <c r="AK51" s="195"/>
      <c r="AL51" s="195"/>
      <c r="AM51" s="195"/>
      <c r="AN51" s="195"/>
      <c r="AO51" s="195"/>
      <c r="AP51" s="195"/>
      <c r="AQ51" s="195"/>
      <c r="AR51" s="195"/>
      <c r="AS51" s="195"/>
      <c r="AT51" s="195"/>
      <c r="AU51" s="195"/>
      <c r="AV51" s="195"/>
      <c r="AW51" s="195"/>
      <c r="AX51" s="195"/>
      <c r="AY51" s="195"/>
      <c r="AZ51" s="195"/>
      <c r="BA51" s="195"/>
      <c r="BB51" s="195"/>
      <c r="BC51" s="195"/>
      <c r="BD51" s="195"/>
      <c r="BE51" s="195"/>
      <c r="BI51" s="8"/>
      <c r="BJ51" s="235"/>
      <c r="BK51" s="235"/>
      <c r="BL51" s="217"/>
      <c r="BO51" s="240"/>
      <c r="BP51" s="240"/>
      <c r="BQ51" s="217"/>
      <c r="BT51" s="240"/>
      <c r="BU51" s="238" t="e">
        <f>HLOOKUP(BS51,Efeito!$J$60:$BF$132,48,0)</f>
        <v>#N/A</v>
      </c>
      <c r="BV51" s="217" t="e">
        <f t="shared" si="3"/>
        <v>#N/A</v>
      </c>
    </row>
    <row r="52" spans="5:74">
      <c r="E52" s="195">
        <f>Apoio_Efeito!BI4</f>
        <v>0</v>
      </c>
      <c r="F52" s="195">
        <f>Apoio_Efeito!BJ4</f>
        <v>0</v>
      </c>
      <c r="G52" s="195">
        <f>Apoio_Efeito!BK4</f>
        <v>0</v>
      </c>
      <c r="H52" s="195">
        <f>Apoio_Efeito!BL4</f>
        <v>0</v>
      </c>
      <c r="I52" s="195">
        <f>Apoio_Efeito!BM4</f>
        <v>0</v>
      </c>
      <c r="J52" s="195" t="s">
        <v>603</v>
      </c>
      <c r="K52" s="195"/>
      <c r="L52" s="195" t="str">
        <f>Apoio_Efeito!BW4</f>
        <v>Cedrap</v>
      </c>
      <c r="BI52" s="8"/>
      <c r="BJ52" s="235"/>
      <c r="BK52" s="235"/>
      <c r="BL52" s="217"/>
      <c r="BO52" s="240"/>
      <c r="BP52" s="240"/>
      <c r="BQ52" s="217"/>
      <c r="BT52" s="240"/>
      <c r="BU52" s="238" t="e">
        <f>HLOOKUP(BS52,Efeito!$J$60:$BF$132,48,0)</f>
        <v>#N/A</v>
      </c>
      <c r="BV52" s="217" t="e">
        <f t="shared" si="3"/>
        <v>#N/A</v>
      </c>
    </row>
    <row r="53" spans="5:74">
      <c r="E53" s="195">
        <f>Apoio_Efeito!BI5</f>
        <v>0</v>
      </c>
      <c r="F53" s="195">
        <f>Apoio_Efeito!BJ5</f>
        <v>0</v>
      </c>
      <c r="G53" s="195">
        <f>Apoio_Efeito!BK5</f>
        <v>0</v>
      </c>
      <c r="H53" s="195">
        <f>Apoio_Efeito!BL5</f>
        <v>0</v>
      </c>
      <c r="I53" s="195">
        <f>Apoio_Efeito!BM5</f>
        <v>0</v>
      </c>
      <c r="J53" s="195" t="s">
        <v>604</v>
      </c>
      <c r="K53" s="195"/>
      <c r="L53" s="195" t="str">
        <f>Apoio_Efeito!BW5</f>
        <v>Cedri</v>
      </c>
      <c r="BI53" s="8"/>
      <c r="BJ53" s="235"/>
      <c r="BK53" s="235"/>
      <c r="BL53" s="217"/>
      <c r="BO53" s="240"/>
      <c r="BP53" s="240"/>
      <c r="BQ53" s="217"/>
      <c r="BT53" s="240"/>
      <c r="BU53" s="238" t="e">
        <f>HLOOKUP(BS53,Efeito!$J$60:$BF$132,48,0)</f>
        <v>#N/A</v>
      </c>
      <c r="BV53" s="217" t="e">
        <f t="shared" si="3"/>
        <v>#N/A</v>
      </c>
    </row>
    <row r="54" spans="5:74">
      <c r="E54" s="195">
        <f>Apoio_Efeito!BI6</f>
        <v>0</v>
      </c>
      <c r="F54" s="195">
        <f>Apoio_Efeito!BJ6</f>
        <v>0</v>
      </c>
      <c r="G54" s="195">
        <f>Apoio_Efeito!BK6</f>
        <v>0</v>
      </c>
      <c r="H54" s="195">
        <f>Apoio_Efeito!BL6</f>
        <v>0</v>
      </c>
      <c r="I54" s="195">
        <f>Apoio_Efeito!BM6</f>
        <v>0</v>
      </c>
      <c r="J54" s="195" t="s">
        <v>605</v>
      </c>
      <c r="K54" s="195"/>
      <c r="L54" s="195" t="str">
        <f>Apoio_Efeito!BW6</f>
        <v>Cejama</v>
      </c>
      <c r="BI54" s="8"/>
      <c r="BJ54" s="235"/>
      <c r="BK54" s="235"/>
      <c r="BL54" s="217"/>
      <c r="BO54" s="240"/>
      <c r="BP54" s="240"/>
      <c r="BQ54" s="217"/>
      <c r="BT54" s="240"/>
      <c r="BU54" s="238" t="e">
        <f>HLOOKUP(BS54,Efeito!$J$60:$BF$132,48,0)</f>
        <v>#N/A</v>
      </c>
      <c r="BV54" s="217" t="e">
        <f t="shared" si="3"/>
        <v>#N/A</v>
      </c>
    </row>
    <row r="55" spans="5:74">
      <c r="E55" s="195">
        <f>Apoio_Efeito!BI7</f>
        <v>0</v>
      </c>
      <c r="F55" s="195">
        <f>Apoio_Efeito!BJ7</f>
        <v>0</v>
      </c>
      <c r="G55" s="195">
        <f>Apoio_Efeito!BK7</f>
        <v>0</v>
      </c>
      <c r="H55" s="195">
        <f>Apoio_Efeito!BL7</f>
        <v>0</v>
      </c>
      <c r="I55" s="195">
        <f>Apoio_Efeito!BM7</f>
        <v>0</v>
      </c>
      <c r="J55" s="195" t="s">
        <v>606</v>
      </c>
      <c r="K55" s="195"/>
      <c r="L55" s="195" t="str">
        <f>Apoio_Efeito!BW7</f>
        <v>Ceprag</v>
      </c>
      <c r="BI55" s="8"/>
      <c r="BJ55" s="235"/>
      <c r="BK55" s="235"/>
      <c r="BL55" s="217"/>
      <c r="BO55" s="240"/>
      <c r="BP55" s="240"/>
      <c r="BQ55" s="217"/>
      <c r="BT55" s="240"/>
      <c r="BU55" s="238" t="e">
        <f>HLOOKUP(BS55,Efeito!$J$60:$BF$132,48,0)</f>
        <v>#N/A</v>
      </c>
      <c r="BV55" s="217" t="e">
        <f t="shared" si="3"/>
        <v>#N/A</v>
      </c>
    </row>
    <row r="56" spans="5:74">
      <c r="E56" s="195">
        <f>Apoio_Efeito!BI8</f>
        <v>0</v>
      </c>
      <c r="F56" s="195">
        <f>Apoio_Efeito!BJ8</f>
        <v>0</v>
      </c>
      <c r="G56" s="195">
        <f>Apoio_Efeito!BK8</f>
        <v>0</v>
      </c>
      <c r="H56" s="195">
        <f>Apoio_Efeito!BL8</f>
        <v>0</v>
      </c>
      <c r="I56" s="195">
        <f>Apoio_Efeito!BM8</f>
        <v>0</v>
      </c>
      <c r="J56" s="195" t="s">
        <v>607</v>
      </c>
      <c r="K56" s="195"/>
      <c r="L56" s="195" t="str">
        <f>Apoio_Efeito!BW8</f>
        <v>Ceraçá</v>
      </c>
      <c r="BI56" s="8"/>
      <c r="BJ56" s="235"/>
      <c r="BK56" s="235"/>
      <c r="BL56" s="217"/>
      <c r="BO56" s="240"/>
      <c r="BP56" s="240"/>
      <c r="BQ56" s="217"/>
      <c r="BT56" s="240"/>
      <c r="BU56" s="238" t="e">
        <f>HLOOKUP(BS56,Efeito!$J$60:$BF$132,48,0)</f>
        <v>#N/A</v>
      </c>
      <c r="BV56" s="217" t="e">
        <f t="shared" si="3"/>
        <v>#N/A</v>
      </c>
    </row>
    <row r="57" spans="5:74">
      <c r="E57" s="195">
        <f>Apoio_Efeito!BI9</f>
        <v>0</v>
      </c>
      <c r="F57" s="195">
        <f>Apoio_Efeito!BJ9</f>
        <v>0</v>
      </c>
      <c r="G57" s="195">
        <f>Apoio_Efeito!BK9</f>
        <v>0</v>
      </c>
      <c r="H57" s="195">
        <f>Apoio_Efeito!BL9</f>
        <v>0</v>
      </c>
      <c r="I57" s="195">
        <f>Apoio_Efeito!BM9</f>
        <v>0</v>
      </c>
      <c r="J57" s="195" t="s">
        <v>608</v>
      </c>
      <c r="K57" s="195"/>
      <c r="L57" s="195" t="str">
        <f>Apoio_Efeito!BW9</f>
        <v>Ceral Anitápolis</v>
      </c>
      <c r="BI57" s="8"/>
      <c r="BJ57" s="235"/>
      <c r="BK57" s="235"/>
      <c r="BL57" s="217"/>
      <c r="BO57" s="240"/>
      <c r="BP57" s="240"/>
      <c r="BQ57" s="217"/>
      <c r="BT57" s="240"/>
      <c r="BU57" s="238" t="e">
        <f>HLOOKUP(BS57,Efeito!$J$60:$BF$132,48,0)</f>
        <v>#N/A</v>
      </c>
      <c r="BV57" s="217" t="e">
        <f t="shared" si="3"/>
        <v>#N/A</v>
      </c>
    </row>
    <row r="58" spans="5:74">
      <c r="E58" s="195">
        <f>Apoio_Efeito!BI10</f>
        <v>0</v>
      </c>
      <c r="F58" s="195">
        <f>Apoio_Efeito!BJ10</f>
        <v>0</v>
      </c>
      <c r="G58" s="195">
        <f>Apoio_Efeito!BK10</f>
        <v>0</v>
      </c>
      <c r="H58" s="195">
        <f>Apoio_Efeito!BL10</f>
        <v>0</v>
      </c>
      <c r="I58" s="195">
        <f>Apoio_Efeito!BM10</f>
        <v>0</v>
      </c>
      <c r="J58" s="195" t="s">
        <v>609</v>
      </c>
      <c r="K58" s="195"/>
      <c r="L58" s="195" t="str">
        <f>Apoio_Efeito!BW10</f>
        <v>Ceral Dis</v>
      </c>
      <c r="M58" s="5"/>
      <c r="N58" s="5"/>
      <c r="BI58" s="8"/>
      <c r="BJ58" s="235"/>
      <c r="BK58" s="235"/>
      <c r="BL58" s="217"/>
      <c r="BO58" s="240"/>
      <c r="BP58" s="240"/>
      <c r="BQ58" s="217"/>
      <c r="BT58" s="240"/>
      <c r="BU58" s="238" t="e">
        <f>HLOOKUP(BS58,Efeito!$J$60:$BF$132,48,0)</f>
        <v>#N/A</v>
      </c>
      <c r="BV58" s="217" t="e">
        <f t="shared" si="3"/>
        <v>#N/A</v>
      </c>
    </row>
    <row r="59" spans="5:74">
      <c r="E59" s="195">
        <f>Apoio_Efeito!BI11</f>
        <v>0</v>
      </c>
      <c r="F59" s="195">
        <f>Apoio_Efeito!BJ11</f>
        <v>0</v>
      </c>
      <c r="G59" s="195">
        <f>Apoio_Efeito!BK11</f>
        <v>0</v>
      </c>
      <c r="H59" s="195">
        <f>Apoio_Efeito!BL11</f>
        <v>0</v>
      </c>
      <c r="I59" s="195">
        <f>Apoio_Efeito!BM11</f>
        <v>0</v>
      </c>
      <c r="J59" s="195" t="s">
        <v>610</v>
      </c>
      <c r="K59" s="195"/>
      <c r="L59" s="195" t="str">
        <f>Apoio_Efeito!BW11</f>
        <v>Cerbranorte</v>
      </c>
      <c r="M59" s="5"/>
      <c r="N59" s="5"/>
    </row>
    <row r="60" spans="5:74">
      <c r="E60" s="195">
        <f>Apoio_Efeito!BI12</f>
        <v>0</v>
      </c>
      <c r="F60" s="195">
        <f>Apoio_Efeito!BJ12</f>
        <v>0</v>
      </c>
      <c r="G60" s="195">
        <f>Apoio_Efeito!BK12</f>
        <v>0</v>
      </c>
      <c r="H60" s="195">
        <f>Apoio_Efeito!BL12</f>
        <v>0</v>
      </c>
      <c r="I60" s="195">
        <f>Apoio_Efeito!BM12</f>
        <v>0</v>
      </c>
      <c r="J60" s="195" t="s">
        <v>611</v>
      </c>
      <c r="K60" s="195"/>
      <c r="L60" s="195" t="str">
        <f>Apoio_Efeito!BW12</f>
        <v>Cercos</v>
      </c>
      <c r="M60" s="5"/>
      <c r="N60" s="5"/>
    </row>
    <row r="61" spans="5:74">
      <c r="E61" s="195">
        <f>Apoio_Efeito!BI13</f>
        <v>0</v>
      </c>
      <c r="F61" s="195">
        <f>Apoio_Efeito!BJ13</f>
        <v>0</v>
      </c>
      <c r="G61" s="195">
        <f>Apoio_Efeito!BK13</f>
        <v>0</v>
      </c>
      <c r="H61" s="195">
        <f>Apoio_Efeito!BL13</f>
        <v>0</v>
      </c>
      <c r="I61" s="195">
        <f>Apoio_Efeito!BM13</f>
        <v>0</v>
      </c>
      <c r="J61" s="195" t="s">
        <v>612</v>
      </c>
      <c r="K61" s="195"/>
      <c r="L61" s="195" t="str">
        <f>Apoio_Efeito!BW13</f>
        <v>Cerej</v>
      </c>
      <c r="M61" s="5"/>
      <c r="N61" s="5"/>
    </row>
    <row r="62" spans="5:74">
      <c r="E62" s="195">
        <f>Apoio_Efeito!BI14</f>
        <v>0</v>
      </c>
      <c r="F62" s="195">
        <f>Apoio_Efeito!BJ14</f>
        <v>0</v>
      </c>
      <c r="G62" s="195">
        <f>Apoio_Efeito!BK14</f>
        <v>0</v>
      </c>
      <c r="H62" s="195">
        <f>Apoio_Efeito!BL14</f>
        <v>0</v>
      </c>
      <c r="I62" s="195">
        <f>Apoio_Efeito!BM14</f>
        <v>0</v>
      </c>
      <c r="J62" s="195" t="s">
        <v>613</v>
      </c>
      <c r="K62" s="195"/>
      <c r="L62" s="195" t="str">
        <f>Apoio_Efeito!BW14</f>
        <v>Ceres</v>
      </c>
      <c r="M62" s="5"/>
      <c r="N62" s="5"/>
    </row>
    <row r="63" spans="5:74">
      <c r="E63" s="195">
        <f>Apoio_Efeito!BI15</f>
        <v>0</v>
      </c>
      <c r="F63" s="195">
        <f>Apoio_Efeito!BJ15</f>
        <v>0</v>
      </c>
      <c r="G63" s="195">
        <f>Apoio_Efeito!BK15</f>
        <v>0</v>
      </c>
      <c r="H63" s="195">
        <f>Apoio_Efeito!BL15</f>
        <v>0</v>
      </c>
      <c r="I63" s="195">
        <f>Apoio_Efeito!BM15</f>
        <v>0</v>
      </c>
      <c r="J63" s="195" t="s">
        <v>614</v>
      </c>
      <c r="K63" s="195"/>
      <c r="L63" s="195" t="str">
        <f>Apoio_Efeito!BW15</f>
        <v>Cergal</v>
      </c>
      <c r="M63" s="5"/>
      <c r="N63" s="5"/>
    </row>
    <row r="64" spans="5:74">
      <c r="E64" s="195">
        <f>Apoio_Efeito!BI16</f>
        <v>0</v>
      </c>
      <c r="F64" s="195">
        <f>Apoio_Efeito!BJ16</f>
        <v>0</v>
      </c>
      <c r="G64" s="195">
        <f>Apoio_Efeito!BK16</f>
        <v>0</v>
      </c>
      <c r="H64" s="195">
        <f>Apoio_Efeito!BL16</f>
        <v>0</v>
      </c>
      <c r="I64" s="195">
        <f>Apoio_Efeito!BM16</f>
        <v>0</v>
      </c>
      <c r="J64" s="195" t="s">
        <v>615</v>
      </c>
      <c r="K64" s="195"/>
      <c r="L64" s="195" t="str">
        <f>Apoio_Efeito!BW16</f>
        <v>Cergapa</v>
      </c>
      <c r="M64" s="5"/>
      <c r="N64" s="5"/>
    </row>
    <row r="65" spans="5:14">
      <c r="E65" s="195">
        <f>Apoio_Efeito!BI17</f>
        <v>0</v>
      </c>
      <c r="F65" s="195">
        <f>Apoio_Efeito!BJ17</f>
        <v>0</v>
      </c>
      <c r="G65" s="195">
        <f>Apoio_Efeito!BK17</f>
        <v>0</v>
      </c>
      <c r="H65" s="195">
        <f>Apoio_Efeito!BL17</f>
        <v>0</v>
      </c>
      <c r="I65" s="195">
        <f>Apoio_Efeito!BM17</f>
        <v>0</v>
      </c>
      <c r="J65" s="195" t="s">
        <v>616</v>
      </c>
      <c r="K65" s="195"/>
      <c r="L65" s="195" t="str">
        <f>Apoio_Efeito!BW17</f>
        <v>Cergral</v>
      </c>
      <c r="M65" s="5"/>
      <c r="N65" s="5"/>
    </row>
    <row r="66" spans="5:14">
      <c r="E66" s="195">
        <f>Apoio_Efeito!BI18</f>
        <v>0</v>
      </c>
      <c r="F66" s="195">
        <f>Apoio_Efeito!BJ18</f>
        <v>0</v>
      </c>
      <c r="G66" s="195">
        <f>Apoio_Efeito!BK18</f>
        <v>0</v>
      </c>
      <c r="H66" s="195">
        <f>Apoio_Efeito!BL18</f>
        <v>0</v>
      </c>
      <c r="I66" s="195">
        <f>Apoio_Efeito!BM18</f>
        <v>0</v>
      </c>
      <c r="J66" s="195" t="s">
        <v>617</v>
      </c>
      <c r="K66" s="195"/>
      <c r="L66" s="195" t="str">
        <f>Apoio_Efeito!BW18</f>
        <v>Ceriluz</v>
      </c>
      <c r="M66" s="5"/>
      <c r="N66" s="5"/>
    </row>
    <row r="67" spans="5:14">
      <c r="E67" s="195">
        <f>Apoio_Efeito!BI19</f>
        <v>0</v>
      </c>
      <c r="F67" s="195">
        <f>Apoio_Efeito!BJ19</f>
        <v>0</v>
      </c>
      <c r="G67" s="195">
        <f>Apoio_Efeito!BK19</f>
        <v>0</v>
      </c>
      <c r="H67" s="195">
        <f>Apoio_Efeito!BL19</f>
        <v>0</v>
      </c>
      <c r="I67" s="195">
        <f>Apoio_Efeito!BM19</f>
        <v>0</v>
      </c>
      <c r="J67" s="195" t="s">
        <v>618</v>
      </c>
      <c r="K67" s="195"/>
      <c r="L67" s="195" t="str">
        <f>Apoio_Efeito!BW19</f>
        <v>Cerim</v>
      </c>
      <c r="M67" s="5"/>
      <c r="N67" s="5"/>
    </row>
    <row r="68" spans="5:14">
      <c r="E68" s="195">
        <f>Apoio_Efeito!BI20</f>
        <v>0</v>
      </c>
      <c r="F68" s="195">
        <f>Apoio_Efeito!BJ20</f>
        <v>0</v>
      </c>
      <c r="G68" s="195">
        <f>Apoio_Efeito!BK20</f>
        <v>0</v>
      </c>
      <c r="H68" s="195">
        <f>Apoio_Efeito!BL20</f>
        <v>0</v>
      </c>
      <c r="I68" s="195">
        <f>Apoio_Efeito!BM20</f>
        <v>0</v>
      </c>
      <c r="J68" s="195" t="s">
        <v>619</v>
      </c>
      <c r="K68" s="195"/>
      <c r="L68" s="195" t="str">
        <f>Apoio_Efeito!BW20</f>
        <v>Ceripa</v>
      </c>
      <c r="M68" s="5"/>
      <c r="N68" s="5"/>
    </row>
    <row r="69" spans="5:14">
      <c r="E69" s="195">
        <f>Apoio_Efeito!BI21</f>
        <v>0</v>
      </c>
      <c r="F69" s="195">
        <f>Apoio_Efeito!BJ21</f>
        <v>0</v>
      </c>
      <c r="G69" s="195">
        <f>Apoio_Efeito!BK21</f>
        <v>0</v>
      </c>
      <c r="H69" s="195">
        <f>Apoio_Efeito!BL21</f>
        <v>0</v>
      </c>
      <c r="I69" s="195">
        <f>Apoio_Efeito!BM21</f>
        <v>0</v>
      </c>
      <c r="J69" s="195" t="s">
        <v>620</v>
      </c>
      <c r="K69" s="195"/>
      <c r="L69" s="195" t="str">
        <f>Apoio_Efeito!BW21</f>
        <v>Ceris</v>
      </c>
      <c r="M69" s="5"/>
      <c r="N69" s="5"/>
    </row>
    <row r="70" spans="5:14">
      <c r="E70" s="195">
        <f>Apoio_Efeito!BI22</f>
        <v>0</v>
      </c>
      <c r="F70" s="195">
        <f>Apoio_Efeito!BJ22</f>
        <v>0</v>
      </c>
      <c r="G70" s="195">
        <f>Apoio_Efeito!BK22</f>
        <v>0</v>
      </c>
      <c r="H70" s="195">
        <f>Apoio_Efeito!BL22</f>
        <v>0</v>
      </c>
      <c r="I70" s="195">
        <f>Apoio_Efeito!BM22</f>
        <v>0</v>
      </c>
      <c r="J70" s="195" t="s">
        <v>621</v>
      </c>
      <c r="K70" s="195"/>
      <c r="L70" s="195" t="str">
        <f>Apoio_Efeito!BW22</f>
        <v>CERMC</v>
      </c>
      <c r="M70" s="5"/>
      <c r="N70" s="5"/>
    </row>
    <row r="71" spans="5:14">
      <c r="E71" s="195">
        <f>Apoio_Efeito!BI23</f>
        <v>0</v>
      </c>
      <c r="F71" s="195">
        <f>Apoio_Efeito!BJ23</f>
        <v>0</v>
      </c>
      <c r="G71" s="195">
        <f>Apoio_Efeito!BK23</f>
        <v>0</v>
      </c>
      <c r="H71" s="195">
        <f>Apoio_Efeito!BL23</f>
        <v>0</v>
      </c>
      <c r="I71" s="195">
        <f>Apoio_Efeito!BM23</f>
        <v>0</v>
      </c>
      <c r="J71" s="195" t="s">
        <v>622</v>
      </c>
      <c r="K71" s="195"/>
      <c r="L71" s="195" t="str">
        <f>Apoio_Efeito!BW23</f>
        <v>Cermissões</v>
      </c>
      <c r="M71" s="5"/>
      <c r="N71" s="5"/>
    </row>
    <row r="72" spans="5:14">
      <c r="E72" s="195">
        <f>Apoio_Efeito!BI24</f>
        <v>0</v>
      </c>
      <c r="F72" s="195">
        <f>Apoio_Efeito!BJ24</f>
        <v>0</v>
      </c>
      <c r="G72" s="195">
        <f>Apoio_Efeito!BK24</f>
        <v>0</v>
      </c>
      <c r="H72" s="195">
        <f>Apoio_Efeito!BL24</f>
        <v>0</v>
      </c>
      <c r="I72" s="195">
        <f>Apoio_Efeito!BM24</f>
        <v>0</v>
      </c>
      <c r="J72" s="195" t="s">
        <v>623</v>
      </c>
      <c r="K72" s="195"/>
      <c r="L72" s="195" t="str">
        <f>Apoio_Efeito!BW24</f>
        <v>Cermoful</v>
      </c>
      <c r="M72" s="5"/>
      <c r="N72" s="5"/>
    </row>
    <row r="73" spans="5:14">
      <c r="E73" s="195">
        <f>Apoio_Efeito!BI25</f>
        <v>0</v>
      </c>
      <c r="F73" s="195">
        <f>Apoio_Efeito!BJ25</f>
        <v>0</v>
      </c>
      <c r="G73" s="195">
        <f>Apoio_Efeito!BK25</f>
        <v>0</v>
      </c>
      <c r="H73" s="195">
        <f>Apoio_Efeito!BL25</f>
        <v>0</v>
      </c>
      <c r="I73" s="195">
        <f>Apoio_Efeito!BM25</f>
        <v>0</v>
      </c>
      <c r="J73" s="195" t="s">
        <v>624</v>
      </c>
      <c r="K73" s="195"/>
      <c r="L73" s="195" t="str">
        <f>Apoio_Efeito!BW25</f>
        <v>Cernhe</v>
      </c>
      <c r="M73" s="5"/>
      <c r="N73" s="5"/>
    </row>
    <row r="74" spans="5:14">
      <c r="E74" s="195">
        <f>Apoio_Efeito!BI26</f>
        <v>0</v>
      </c>
      <c r="F74" s="195">
        <f>Apoio_Efeito!BJ26</f>
        <v>0</v>
      </c>
      <c r="G74" s="195">
        <f>Apoio_Efeito!BK26</f>
        <v>0</v>
      </c>
      <c r="H74" s="195">
        <f>Apoio_Efeito!BL26</f>
        <v>0</v>
      </c>
      <c r="I74" s="195">
        <f>Apoio_Efeito!BM26</f>
        <v>0</v>
      </c>
      <c r="J74" s="195" t="s">
        <v>625</v>
      </c>
      <c r="K74" s="195"/>
      <c r="L74" s="195" t="str">
        <f>Apoio_Efeito!BW26</f>
        <v>Cerpalo</v>
      </c>
      <c r="M74" s="5"/>
      <c r="N74" s="5"/>
    </row>
    <row r="75" spans="5:14">
      <c r="E75" s="195">
        <f>Apoio_Efeito!BI27</f>
        <v>0</v>
      </c>
      <c r="F75" s="195">
        <f>Apoio_Efeito!BJ27</f>
        <v>0</v>
      </c>
      <c r="G75" s="195">
        <f>Apoio_Efeito!BK27</f>
        <v>0</v>
      </c>
      <c r="H75" s="195">
        <f>Apoio_Efeito!BL27</f>
        <v>0</v>
      </c>
      <c r="I75" s="195">
        <f>Apoio_Efeito!BM27</f>
        <v>0</v>
      </c>
      <c r="J75" s="195" t="s">
        <v>626</v>
      </c>
      <c r="K75" s="195"/>
      <c r="L75" s="195" t="str">
        <f>Apoio_Efeito!BW27</f>
        <v>Cerpro</v>
      </c>
      <c r="M75" s="5"/>
      <c r="N75" s="5"/>
    </row>
    <row r="76" spans="5:14">
      <c r="E76" s="195">
        <f>Apoio_Efeito!BI28</f>
        <v>0</v>
      </c>
      <c r="F76" s="195">
        <f>Apoio_Efeito!BJ28</f>
        <v>0</v>
      </c>
      <c r="G76" s="195">
        <f>Apoio_Efeito!BK28</f>
        <v>0</v>
      </c>
      <c r="H76" s="195">
        <f>Apoio_Efeito!BL28</f>
        <v>0</v>
      </c>
      <c r="I76" s="195">
        <f>Apoio_Efeito!BM28</f>
        <v>0</v>
      </c>
      <c r="J76" s="195" t="s">
        <v>627</v>
      </c>
      <c r="K76" s="195"/>
      <c r="L76" s="195" t="str">
        <f>Apoio_Efeito!BW28</f>
        <v>CERRP</v>
      </c>
      <c r="M76" s="5"/>
      <c r="N76" s="5"/>
    </row>
    <row r="77" spans="5:14">
      <c r="E77" s="195">
        <f>Apoio_Efeito!BI29</f>
        <v>0</v>
      </c>
      <c r="F77" s="195">
        <f>Apoio_Efeito!BJ29</f>
        <v>0</v>
      </c>
      <c r="G77" s="195">
        <f>Apoio_Efeito!BK29</f>
        <v>0</v>
      </c>
      <c r="H77" s="195">
        <f>Apoio_Efeito!BL29</f>
        <v>0</v>
      </c>
      <c r="I77" s="195">
        <f>Apoio_Efeito!BM29</f>
        <v>0</v>
      </c>
      <c r="J77" s="195" t="s">
        <v>628</v>
      </c>
      <c r="K77" s="195"/>
      <c r="L77" s="195" t="str">
        <f>Apoio_Efeito!BW29</f>
        <v>Cersul</v>
      </c>
      <c r="M77" s="5"/>
      <c r="N77" s="5"/>
    </row>
    <row r="78" spans="5:14">
      <c r="E78" s="195">
        <f>Apoio_Efeito!BI30</f>
        <v>0</v>
      </c>
      <c r="F78" s="195">
        <f>Apoio_Efeito!BJ30</f>
        <v>0</v>
      </c>
      <c r="G78" s="195">
        <f>Apoio_Efeito!BK30</f>
        <v>0</v>
      </c>
      <c r="H78" s="195">
        <f>Apoio_Efeito!BL30</f>
        <v>0</v>
      </c>
      <c r="I78" s="195">
        <f>Apoio_Efeito!BM30</f>
        <v>0</v>
      </c>
      <c r="J78" s="195" t="s">
        <v>629</v>
      </c>
      <c r="K78" s="195"/>
      <c r="L78" s="195" t="str">
        <f>Apoio_Efeito!BW30</f>
        <v>Certaja</v>
      </c>
      <c r="M78" s="5"/>
      <c r="N78" s="5"/>
    </row>
    <row r="79" spans="5:14">
      <c r="E79" s="195">
        <f>Apoio_Efeito!BI31</f>
        <v>0</v>
      </c>
      <c r="F79" s="195">
        <f>Apoio_Efeito!BJ31</f>
        <v>0</v>
      </c>
      <c r="G79" s="195">
        <f>Apoio_Efeito!BK31</f>
        <v>0</v>
      </c>
      <c r="H79" s="195">
        <f>Apoio_Efeito!BL31</f>
        <v>0</v>
      </c>
      <c r="I79" s="195">
        <f>Apoio_Efeito!BM31</f>
        <v>0</v>
      </c>
      <c r="J79" s="195" t="s">
        <v>630</v>
      </c>
      <c r="K79" s="195"/>
      <c r="L79" s="195" t="str">
        <f>Apoio_Efeito!BW31</f>
        <v>Certel</v>
      </c>
      <c r="M79" s="5"/>
      <c r="N79" s="5"/>
    </row>
    <row r="80" spans="5:14">
      <c r="E80" s="195">
        <f>Apoio_Efeito!BI32</f>
        <v>0</v>
      </c>
      <c r="F80" s="195">
        <f>Apoio_Efeito!BJ32</f>
        <v>0</v>
      </c>
      <c r="G80" s="195">
        <f>Apoio_Efeito!BK32</f>
        <v>0</v>
      </c>
      <c r="H80" s="195">
        <f>Apoio_Efeito!BL32</f>
        <v>0</v>
      </c>
      <c r="I80" s="195">
        <f>Apoio_Efeito!BM32</f>
        <v>0</v>
      </c>
      <c r="J80" s="195" t="s">
        <v>631</v>
      </c>
      <c r="K80" s="195"/>
      <c r="L80" s="195" t="str">
        <f>Apoio_Efeito!BW32</f>
        <v>Certrel</v>
      </c>
      <c r="M80" s="5"/>
      <c r="N80" s="5"/>
    </row>
    <row r="81" spans="5:14">
      <c r="E81" s="195">
        <f>Apoio_Efeito!BI33</f>
        <v>0</v>
      </c>
      <c r="F81" s="195">
        <f>Apoio_Efeito!BJ33</f>
        <v>0</v>
      </c>
      <c r="G81" s="195">
        <f>Apoio_Efeito!BK33</f>
        <v>0</v>
      </c>
      <c r="H81" s="195">
        <f>Apoio_Efeito!BL33</f>
        <v>0</v>
      </c>
      <c r="I81" s="195">
        <f>Apoio_Efeito!BM33</f>
        <v>0</v>
      </c>
      <c r="J81" s="195" t="s">
        <v>632</v>
      </c>
      <c r="K81" s="195"/>
      <c r="L81" s="195" t="str">
        <f>Apoio_Efeito!BW33</f>
        <v>Cetril</v>
      </c>
      <c r="M81" s="5"/>
      <c r="N81" s="5"/>
    </row>
    <row r="82" spans="5:14">
      <c r="E82" s="195">
        <f>Apoio_Efeito!BI34</f>
        <v>0</v>
      </c>
      <c r="F82" s="195">
        <f>Apoio_Efeito!BJ34</f>
        <v>0</v>
      </c>
      <c r="G82" s="195">
        <f>Apoio_Efeito!BK34</f>
        <v>0</v>
      </c>
      <c r="H82" s="195">
        <f>Apoio_Efeito!BL34</f>
        <v>0</v>
      </c>
      <c r="I82" s="195">
        <f>Apoio_Efeito!BM34</f>
        <v>0</v>
      </c>
      <c r="J82" s="195" t="s">
        <v>633</v>
      </c>
      <c r="K82" s="195"/>
      <c r="L82" s="195" t="str">
        <f>Apoio_Efeito!BW34</f>
        <v>Coopera</v>
      </c>
      <c r="M82" s="5"/>
      <c r="N82" s="5"/>
    </row>
    <row r="83" spans="5:14">
      <c r="E83" s="195">
        <f>Apoio_Efeito!BI35</f>
        <v>0</v>
      </c>
      <c r="F83" s="195">
        <f>Apoio_Efeito!BJ35</f>
        <v>0</v>
      </c>
      <c r="G83" s="195">
        <f>Apoio_Efeito!BK35</f>
        <v>0</v>
      </c>
      <c r="H83" s="195">
        <f>Apoio_Efeito!BL35</f>
        <v>0</v>
      </c>
      <c r="I83" s="195">
        <f>Apoio_Efeito!BM35</f>
        <v>0</v>
      </c>
      <c r="J83" s="195" t="s">
        <v>634</v>
      </c>
      <c r="K83" s="195"/>
      <c r="L83" s="195" t="str">
        <f>Apoio_Efeito!BW35</f>
        <v>Coopercocal</v>
      </c>
      <c r="M83" s="5"/>
      <c r="N83" s="5"/>
    </row>
    <row r="84" spans="5:14">
      <c r="E84" s="195">
        <f>Apoio_Efeito!BI36</f>
        <v>0</v>
      </c>
      <c r="F84" s="195">
        <f>Apoio_Efeito!BJ36</f>
        <v>0</v>
      </c>
      <c r="G84" s="195">
        <f>Apoio_Efeito!BK36</f>
        <v>0</v>
      </c>
      <c r="H84" s="195">
        <f>Apoio_Efeito!BL36</f>
        <v>0</v>
      </c>
      <c r="I84" s="195">
        <f>Apoio_Efeito!BM36</f>
        <v>0</v>
      </c>
      <c r="J84" s="195" t="s">
        <v>635</v>
      </c>
      <c r="K84" s="195"/>
      <c r="L84" s="195" t="str">
        <f>Apoio_Efeito!BW36</f>
        <v>Cooperluz</v>
      </c>
      <c r="M84" s="5"/>
      <c r="N84" s="5"/>
    </row>
    <row r="85" spans="5:14">
      <c r="E85" s="195">
        <f>Apoio_Efeito!BI37</f>
        <v>0</v>
      </c>
      <c r="F85" s="195">
        <f>Apoio_Efeito!BJ37</f>
        <v>0</v>
      </c>
      <c r="G85" s="195">
        <f>Apoio_Efeito!BK37</f>
        <v>0</v>
      </c>
      <c r="H85" s="195">
        <f>Apoio_Efeito!BL37</f>
        <v>0</v>
      </c>
      <c r="I85" s="195">
        <f>Apoio_Efeito!BM37</f>
        <v>0</v>
      </c>
      <c r="J85" s="195" t="s">
        <v>636</v>
      </c>
      <c r="K85" s="195"/>
      <c r="L85" s="195" t="str">
        <f>Apoio_Efeito!BW37</f>
        <v>Coopermila</v>
      </c>
      <c r="M85" s="5"/>
      <c r="N85" s="5"/>
    </row>
    <row r="86" spans="5:14">
      <c r="E86" s="195">
        <f>Apoio_Efeito!BI38</f>
        <v>0</v>
      </c>
      <c r="F86" s="195">
        <f>Apoio_Efeito!BJ38</f>
        <v>0</v>
      </c>
      <c r="G86" s="195">
        <f>Apoio_Efeito!BK38</f>
        <v>0</v>
      </c>
      <c r="H86" s="195">
        <f>Apoio_Efeito!BL38</f>
        <v>0</v>
      </c>
      <c r="I86" s="195">
        <f>Apoio_Efeito!BM38</f>
        <v>0</v>
      </c>
      <c r="J86" s="195" t="s">
        <v>637</v>
      </c>
      <c r="K86" s="195"/>
      <c r="L86" s="195" t="str">
        <f>Apoio_Efeito!BW38</f>
        <v>Coorsel</v>
      </c>
      <c r="M86" s="5"/>
      <c r="N86" s="5"/>
    </row>
    <row r="87" spans="5:14">
      <c r="E87" s="195">
        <f>Apoio_Efeito!BI39</f>
        <v>0</v>
      </c>
      <c r="F87" s="195">
        <f>Apoio_Efeito!BJ39</f>
        <v>0</v>
      </c>
      <c r="G87" s="195">
        <f>Apoio_Efeito!BK39</f>
        <v>0</v>
      </c>
      <c r="H87" s="195">
        <f>Apoio_Efeito!BL39</f>
        <v>0</v>
      </c>
      <c r="I87" s="195">
        <f>Apoio_Efeito!BM39</f>
        <v>0</v>
      </c>
      <c r="J87" s="195" t="s">
        <v>638</v>
      </c>
      <c r="K87" s="195"/>
      <c r="L87" s="195" t="str">
        <f>Apoio_Efeito!BW39</f>
        <v>Coprel</v>
      </c>
      <c r="M87" s="5"/>
      <c r="N87" s="5"/>
    </row>
    <row r="88" spans="5:14">
      <c r="E88" s="195">
        <f>Apoio_Efeito!BI40</f>
        <v>0</v>
      </c>
      <c r="F88" s="195">
        <f>Apoio_Efeito!BJ40</f>
        <v>0</v>
      </c>
      <c r="G88" s="195">
        <f>Apoio_Efeito!BK40</f>
        <v>0</v>
      </c>
      <c r="H88" s="195">
        <f>Apoio_Efeito!BL40</f>
        <v>0</v>
      </c>
      <c r="I88" s="195">
        <f>Apoio_Efeito!BM40</f>
        <v>0</v>
      </c>
      <c r="J88" s="195" t="s">
        <v>639</v>
      </c>
      <c r="K88" s="195"/>
      <c r="L88" s="195" t="str">
        <f>Apoio_Efeito!BW40</f>
        <v>Creluz</v>
      </c>
      <c r="M88" s="5"/>
      <c r="N88" s="5"/>
    </row>
    <row r="89" spans="5:14">
      <c r="E89" s="195">
        <f>Apoio_Efeito!BI41</f>
        <v>0</v>
      </c>
      <c r="F89" s="195">
        <f>Apoio_Efeito!BJ41</f>
        <v>0</v>
      </c>
      <c r="G89" s="195">
        <f>Apoio_Efeito!BK41</f>
        <v>0</v>
      </c>
      <c r="H89" s="195">
        <f>Apoio_Efeito!BL41</f>
        <v>0</v>
      </c>
      <c r="I89" s="195">
        <f>Apoio_Efeito!BM41</f>
        <v>0</v>
      </c>
      <c r="J89" s="195" t="s">
        <v>640</v>
      </c>
      <c r="K89" s="195"/>
      <c r="L89" s="195" t="str">
        <f>Apoio_Efeito!BW41</f>
        <v>Creral</v>
      </c>
      <c r="M89" s="5"/>
      <c r="N89" s="5"/>
    </row>
    <row r="90" spans="5:14">
      <c r="E90" s="195">
        <f>Apoio_Efeito!BI42</f>
        <v>0</v>
      </c>
      <c r="F90" s="195">
        <f>Apoio_Efeito!BJ42</f>
        <v>0</v>
      </c>
      <c r="G90" s="195">
        <f>Apoio_Efeito!BK42</f>
        <v>0</v>
      </c>
      <c r="H90" s="195">
        <f>Apoio_Efeito!BL42</f>
        <v>0</v>
      </c>
      <c r="I90" s="195">
        <f>Apoio_Efeito!BM42</f>
        <v>0</v>
      </c>
      <c r="J90" s="195" t="s">
        <v>641</v>
      </c>
      <c r="K90" s="195"/>
      <c r="L90" s="195" t="str">
        <f>Apoio_Efeito!BW42</f>
        <v>Cerci</v>
      </c>
      <c r="M90" s="5"/>
      <c r="N90" s="5"/>
    </row>
    <row r="91" spans="5:14">
      <c r="E91" s="195">
        <f>Apoio_Efeito!BI43</f>
        <v>0</v>
      </c>
      <c r="F91" s="195">
        <f>Apoio_Efeito!BJ43</f>
        <v>0</v>
      </c>
      <c r="G91" s="195">
        <f>Apoio_Efeito!BK43</f>
        <v>0</v>
      </c>
      <c r="H91" s="195">
        <f>Apoio_Efeito!BL43</f>
        <v>0</v>
      </c>
      <c r="I91" s="195">
        <f>Apoio_Efeito!BM43</f>
        <v>0</v>
      </c>
      <c r="J91" s="195" t="s">
        <v>642</v>
      </c>
      <c r="K91" s="195"/>
      <c r="L91" s="195" t="str">
        <f>Apoio_Efeito!BW43</f>
        <v>Ceral Araruama</v>
      </c>
      <c r="M91" s="5"/>
      <c r="N91" s="5"/>
    </row>
    <row r="92" spans="5:14">
      <c r="E92" s="195">
        <f>Apoio_Efeito!BI44</f>
        <v>0</v>
      </c>
      <c r="F92" s="195">
        <f>Apoio_Efeito!BJ44</f>
        <v>0</v>
      </c>
      <c r="G92" s="195">
        <f>Apoio_Efeito!BK44</f>
        <v>0</v>
      </c>
      <c r="H92" s="195">
        <f>Apoio_Efeito!BL44</f>
        <v>0</v>
      </c>
      <c r="I92" s="195">
        <f>Apoio_Efeito!BM44</f>
        <v>0</v>
      </c>
      <c r="J92" s="195" t="s">
        <v>643</v>
      </c>
      <c r="K92" s="195"/>
      <c r="L92" s="195" t="str">
        <f>Apoio_Efeito!BW44</f>
        <v>Cerfox</v>
      </c>
      <c r="M92" s="5"/>
      <c r="N92" s="5"/>
    </row>
    <row r="93" spans="5:14">
      <c r="E93" s="195">
        <f>Apoio_Efeito!BI45</f>
        <v>0</v>
      </c>
      <c r="F93" s="195">
        <f>Apoio_Efeito!BJ45</f>
        <v>0</v>
      </c>
      <c r="G93" s="195">
        <f>Apoio_Efeito!BK45</f>
        <v>0</v>
      </c>
      <c r="H93" s="195">
        <f>Apoio_Efeito!BL45</f>
        <v>0</v>
      </c>
      <c r="I93" s="195">
        <f>Apoio_Efeito!BM45</f>
        <v>0</v>
      </c>
      <c r="J93" s="195" t="s">
        <v>644</v>
      </c>
      <c r="K93" s="195"/>
      <c r="L93" s="195" t="str">
        <f>Apoio_Efeito!BW45</f>
        <v>Certhil</v>
      </c>
      <c r="M93" s="5"/>
      <c r="N93" s="5"/>
    </row>
    <row r="94" spans="5:14">
      <c r="E94" s="195">
        <f>Apoio_Efeito!BI46</f>
        <v>0</v>
      </c>
      <c r="F94" s="195">
        <f>Apoio_Efeito!BJ46</f>
        <v>0</v>
      </c>
      <c r="G94" s="195">
        <f>Apoio_Efeito!BK46</f>
        <v>0</v>
      </c>
      <c r="H94" s="195">
        <f>Apoio_Efeito!BL46</f>
        <v>0</v>
      </c>
      <c r="I94" s="195">
        <f>Apoio_Efeito!BM46</f>
        <v>0</v>
      </c>
      <c r="J94" s="195" t="s">
        <v>645</v>
      </c>
      <c r="K94" s="195"/>
      <c r="L94" s="195" t="str">
        <f>Apoio_Efeito!BW46</f>
        <v>Castro Dis</v>
      </c>
      <c r="M94" s="5"/>
      <c r="N94" s="5"/>
    </row>
    <row r="95" spans="5:14">
      <c r="E95" s="195">
        <f>Apoio_Efeito!BI47</f>
        <v>0</v>
      </c>
      <c r="F95" s="195">
        <f>Apoio_Efeito!BJ47</f>
        <v>0</v>
      </c>
      <c r="G95" s="195">
        <f>Apoio_Efeito!BK47</f>
        <v>0</v>
      </c>
      <c r="H95" s="195">
        <f>Apoio_Efeito!BL47</f>
        <v>0</v>
      </c>
      <c r="I95" s="195">
        <f>Apoio_Efeito!BM47</f>
        <v>0</v>
      </c>
      <c r="J95" s="195" t="s">
        <v>646</v>
      </c>
      <c r="K95" s="195"/>
      <c r="L95" s="195" t="str">
        <f>Apoio_Efeito!BW47</f>
        <v>Cervam</v>
      </c>
      <c r="M95" s="5"/>
      <c r="N95" s="5"/>
    </row>
    <row r="96" spans="5:14">
      <c r="E96" s="195">
        <f>Apoio_Efeito!BI48</f>
        <v>0</v>
      </c>
      <c r="F96" s="195">
        <f>Apoio_Efeito!BJ48</f>
        <v>0</v>
      </c>
      <c r="G96" s="195">
        <f>Apoio_Efeito!BK48</f>
        <v>0</v>
      </c>
      <c r="H96" s="195">
        <f>Apoio_Efeito!BL48</f>
        <v>0</v>
      </c>
      <c r="I96" s="195">
        <f>Apoio_Efeito!BM48</f>
        <v>0</v>
      </c>
      <c r="J96" s="195" t="s">
        <v>647</v>
      </c>
      <c r="K96" s="195"/>
      <c r="L96" s="195" t="str">
        <f>Apoio_Efeito!BW48</f>
        <v>Cegero</v>
      </c>
      <c r="M96" s="5"/>
      <c r="N96" s="5"/>
    </row>
    <row r="97" spans="5:14">
      <c r="E97" s="195">
        <f>Apoio_Efeito!BI49</f>
        <v>0</v>
      </c>
      <c r="F97" s="195">
        <f>Apoio_Efeito!BJ49</f>
        <v>0</v>
      </c>
      <c r="G97" s="195">
        <f>Apoio_Efeito!BK49</f>
        <v>0</v>
      </c>
      <c r="H97" s="195">
        <f>Apoio_Efeito!BL49</f>
        <v>0</v>
      </c>
      <c r="I97" s="195">
        <f>Apoio_Efeito!BM49</f>
        <v>0</v>
      </c>
      <c r="J97" s="195" t="s">
        <v>648</v>
      </c>
      <c r="K97" s="195"/>
      <c r="L97" s="195" t="str">
        <f>Apoio_Efeito!BW49</f>
        <v>Cersad</v>
      </c>
      <c r="M97" s="5"/>
      <c r="N97" s="5"/>
    </row>
    <row r="98" spans="5:14">
      <c r="E98" s="195">
        <f>Apoio_Efeito!BI50</f>
        <v>0</v>
      </c>
      <c r="F98" s="195">
        <f>Apoio_Efeito!BJ50</f>
        <v>0</v>
      </c>
      <c r="G98" s="195">
        <f>Apoio_Efeito!BK50</f>
        <v>0</v>
      </c>
      <c r="H98" s="195">
        <f>Apoio_Efeito!BL50</f>
        <v>0</v>
      </c>
      <c r="I98" s="195">
        <f>Apoio_Efeito!BM50</f>
        <v>0</v>
      </c>
      <c r="J98" s="195" t="s">
        <v>649</v>
      </c>
      <c r="K98" s="195"/>
      <c r="L98" s="195" t="str">
        <f>Apoio_Efeito!BW50</f>
        <v>Codesam</v>
      </c>
      <c r="M98" s="5"/>
      <c r="N98" s="5"/>
    </row>
    <row r="99" spans="5:14">
      <c r="E99" s="195">
        <f>Apoio_Efeito!BI51</f>
        <v>0</v>
      </c>
      <c r="F99" s="195">
        <f>Apoio_Efeito!BJ51</f>
        <v>0</v>
      </c>
      <c r="G99" s="195">
        <f>Apoio_Efeito!BK51</f>
        <v>0</v>
      </c>
      <c r="H99" s="195">
        <f>Apoio_Efeito!BL51</f>
        <v>0</v>
      </c>
      <c r="I99" s="195">
        <f>Apoio_Efeito!BM51</f>
        <v>0</v>
      </c>
      <c r="J99" s="195" t="s">
        <v>650</v>
      </c>
      <c r="K99" s="195"/>
      <c r="L99" s="195" t="str">
        <f>Apoio_Efeito!BW51</f>
        <v>Cooperzem</v>
      </c>
      <c r="M99" s="5"/>
      <c r="N99" s="5"/>
    </row>
    <row r="100" spans="5:14">
      <c r="E100" s="195">
        <f>Apoio_Efeito!BI52</f>
        <v>0</v>
      </c>
      <c r="F100" s="195">
        <f>Apoio_Efeito!BJ52</f>
        <v>0</v>
      </c>
      <c r="G100" s="195">
        <f>Apoio_Efeito!BK52</f>
        <v>0</v>
      </c>
      <c r="H100" s="195">
        <f>Apoio_Efeito!BL52</f>
        <v>0</v>
      </c>
      <c r="I100" s="195">
        <f>Apoio_Efeito!BM52</f>
        <v>0</v>
      </c>
      <c r="J100" s="195" t="s">
        <v>651</v>
      </c>
      <c r="K100" s="195"/>
      <c r="L100" s="195" t="str">
        <f>Apoio_Efeito!BW52</f>
        <v>Coopersul</v>
      </c>
      <c r="M100" s="5"/>
      <c r="N100" s="5"/>
    </row>
    <row r="101" spans="5:14">
      <c r="E101" s="195">
        <f>Apoio_Efeito!BI53</f>
        <v>0</v>
      </c>
      <c r="F101" s="195">
        <f>Apoio_Efeito!BJ53</f>
        <v>0</v>
      </c>
      <c r="G101" s="195">
        <f>Apoio_Efeito!BK53</f>
        <v>0</v>
      </c>
      <c r="H101" s="195">
        <f>Apoio_Efeito!BL53</f>
        <v>0</v>
      </c>
      <c r="I101" s="195">
        <f>Apoio_Efeito!BM53</f>
        <v>0</v>
      </c>
      <c r="J101" s="195" t="s">
        <v>652</v>
      </c>
      <c r="K101" s="195"/>
      <c r="L101" s="195" t="str">
        <f>Apoio_Efeito!BW53</f>
        <v>Coopernorte</v>
      </c>
      <c r="M101" s="5"/>
      <c r="N101" s="5"/>
    </row>
    <row r="102" spans="5:14">
      <c r="E102" s="195">
        <f>Apoio_Efeito!BI54</f>
        <v>0</v>
      </c>
      <c r="F102" s="195">
        <f>Apoio_Efeito!BJ54</f>
        <v>0</v>
      </c>
      <c r="G102" s="195">
        <f>Apoio_Efeito!BK54</f>
        <v>0</v>
      </c>
      <c r="H102" s="195">
        <f>Apoio_Efeito!BL54</f>
        <v>0</v>
      </c>
      <c r="I102" s="195">
        <f>Apoio_Efeito!BM54</f>
        <v>0</v>
      </c>
      <c r="J102" s="195" t="s">
        <v>653</v>
      </c>
      <c r="K102" s="195"/>
      <c r="L102" s="195" t="str">
        <f>Apoio_Efeito!BW54</f>
        <v>Cemirim</v>
      </c>
      <c r="M102" s="5"/>
      <c r="N102" s="5"/>
    </row>
    <row r="103" spans="5:14">
      <c r="E103" s="195">
        <f>Apoio_Efeito!BI55</f>
        <v>0</v>
      </c>
      <c r="F103" s="195">
        <f>Apoio_Efeito!BJ55</f>
        <v>0</v>
      </c>
      <c r="G103" s="195">
        <f>Apoio_Efeito!BK55</f>
        <v>0</v>
      </c>
      <c r="H103" s="195">
        <f>Apoio_Efeito!BL55</f>
        <v>0</v>
      </c>
      <c r="I103" s="195">
        <f>Apoio_Efeito!BM55</f>
        <v>0</v>
      </c>
      <c r="J103" s="195" t="s">
        <v>654</v>
      </c>
      <c r="K103" s="195"/>
      <c r="L103" s="195" t="str">
        <f>Apoio_Efeito!BW55</f>
        <v>Celetro</v>
      </c>
      <c r="M103" s="5"/>
      <c r="N103" s="5"/>
    </row>
    <row r="104" spans="5:14">
      <c r="E104" s="191"/>
      <c r="F104" s="5"/>
      <c r="G104" s="5"/>
      <c r="H104" s="5"/>
      <c r="I104" s="5"/>
      <c r="J104" s="5"/>
      <c r="K104" s="5"/>
      <c r="L104" s="5"/>
      <c r="M104" s="5"/>
      <c r="N104" s="5"/>
    </row>
    <row r="106" spans="5:14">
      <c r="E106" s="191"/>
      <c r="F106" s="5"/>
      <c r="G106" s="5"/>
      <c r="H106" s="5"/>
      <c r="I106" s="5"/>
      <c r="J106" s="5"/>
      <c r="K106" s="5"/>
      <c r="L106" s="5"/>
      <c r="M106" s="5"/>
      <c r="N106" s="5"/>
    </row>
    <row r="107" spans="5:14">
      <c r="E107" s="191"/>
      <c r="F107" s="5"/>
      <c r="G107" s="5"/>
      <c r="H107" s="5"/>
      <c r="I107" s="5"/>
      <c r="J107" s="5"/>
      <c r="K107" s="5"/>
      <c r="L107" s="5"/>
      <c r="M107" s="5"/>
      <c r="N107" s="5"/>
    </row>
    <row r="108" spans="5:14">
      <c r="E108" s="191"/>
      <c r="F108" s="5"/>
      <c r="G108" s="5"/>
      <c r="H108" s="5"/>
      <c r="I108" s="5"/>
      <c r="J108" s="5"/>
      <c r="K108" s="5"/>
      <c r="L108" s="5"/>
      <c r="M108" s="5"/>
      <c r="N108" s="5"/>
    </row>
    <row r="109" spans="5:14">
      <c r="E109" s="191"/>
      <c r="F109" s="5"/>
      <c r="G109" s="5"/>
      <c r="H109" s="5"/>
      <c r="I109" s="5"/>
      <c r="J109" s="5"/>
      <c r="K109" s="5"/>
      <c r="L109" s="5"/>
      <c r="M109" s="5"/>
      <c r="N109" s="5"/>
    </row>
    <row r="110" spans="5:14">
      <c r="E110" s="191"/>
    </row>
    <row r="111" spans="5:14">
      <c r="E111" s="191"/>
    </row>
    <row r="112" spans="5:14">
      <c r="E112" s="191"/>
    </row>
    <row r="113" spans="5:5">
      <c r="E113" s="191"/>
    </row>
    <row r="114" spans="5:5">
      <c r="E114" s="191"/>
    </row>
    <row r="115" spans="5:5">
      <c r="E115" s="191"/>
    </row>
    <row r="116" spans="5:5">
      <c r="E116" s="191"/>
    </row>
    <row r="117" spans="5:5">
      <c r="E117" s="191"/>
    </row>
    <row r="118" spans="5:5">
      <c r="E118" s="191"/>
    </row>
    <row r="119" spans="5:5">
      <c r="E119" s="191"/>
    </row>
    <row r="120" spans="5:5">
      <c r="E120" s="191"/>
    </row>
    <row r="121" spans="5:5">
      <c r="E121" s="191"/>
    </row>
    <row r="122" spans="5:5">
      <c r="E122" s="191"/>
    </row>
    <row r="123" spans="5:5">
      <c r="E123" s="191"/>
    </row>
    <row r="124" spans="5:5">
      <c r="E124" s="191"/>
    </row>
    <row r="125" spans="5:5">
      <c r="E125" s="191"/>
    </row>
    <row r="126" spans="5:5">
      <c r="E126" s="191"/>
    </row>
    <row r="127" spans="5:5">
      <c r="E127" s="191"/>
    </row>
    <row r="128" spans="5:5">
      <c r="E128" s="191"/>
    </row>
    <row r="129" spans="5:5">
      <c r="E129" s="191"/>
    </row>
    <row r="130" spans="5:5">
      <c r="E130" s="191"/>
    </row>
    <row r="131" spans="5:5">
      <c r="E131" s="191"/>
    </row>
    <row r="132" spans="5:5">
      <c r="E132" s="191"/>
    </row>
    <row r="133" spans="5:5">
      <c r="E133" s="191"/>
    </row>
    <row r="134" spans="5:5">
      <c r="E134" s="191"/>
    </row>
    <row r="135" spans="5:5">
      <c r="E135" s="191"/>
    </row>
    <row r="136" spans="5:5">
      <c r="E136" s="191"/>
    </row>
    <row r="137" spans="5:5">
      <c r="E137" s="191"/>
    </row>
    <row r="138" spans="5:5">
      <c r="E138" s="191"/>
    </row>
    <row r="139" spans="5:5">
      <c r="E139" s="191"/>
    </row>
    <row r="140" spans="5:5">
      <c r="E140" s="191"/>
    </row>
    <row r="141" spans="5:5">
      <c r="E141" s="191"/>
    </row>
    <row r="142" spans="5:5">
      <c r="E142" s="191"/>
    </row>
    <row r="143" spans="5:5">
      <c r="E143" s="191"/>
    </row>
    <row r="144" spans="5:5">
      <c r="E144" s="191"/>
    </row>
    <row r="145" spans="5:5">
      <c r="E145" s="191"/>
    </row>
    <row r="146" spans="5:5">
      <c r="E146" s="191"/>
    </row>
    <row r="147" spans="5:5">
      <c r="E147" s="191"/>
    </row>
    <row r="148" spans="5:5">
      <c r="E148" s="191"/>
    </row>
    <row r="149" spans="5:5">
      <c r="E149" s="191"/>
    </row>
    <row r="150" spans="5:5">
      <c r="E150" s="191"/>
    </row>
    <row r="151" spans="5:5">
      <c r="E151" s="191"/>
    </row>
    <row r="152" spans="5:5">
      <c r="E152" s="191"/>
    </row>
    <row r="153" spans="5:5">
      <c r="E153" s="191"/>
    </row>
    <row r="154" spans="5:5">
      <c r="E154" s="191"/>
    </row>
    <row r="155" spans="5:5">
      <c r="E155" s="191"/>
    </row>
    <row r="156" spans="5:5">
      <c r="E156" s="191"/>
    </row>
    <row r="157" spans="5:5">
      <c r="E157" s="191"/>
    </row>
    <row r="158" spans="5:5">
      <c r="E158" s="191"/>
    </row>
    <row r="159" spans="5:5">
      <c r="E159" s="191"/>
    </row>
    <row r="160" spans="5:5">
      <c r="E160" s="191"/>
    </row>
    <row r="161" spans="5:5">
      <c r="E161" s="191"/>
    </row>
    <row r="162" spans="5:5">
      <c r="E162" s="191"/>
    </row>
    <row r="163" spans="5:5">
      <c r="E163" s="191"/>
    </row>
    <row r="164" spans="5:5">
      <c r="E164" s="191"/>
    </row>
    <row r="165" spans="5:5">
      <c r="E165" s="191"/>
    </row>
    <row r="166" spans="5:5">
      <c r="E166" s="191"/>
    </row>
    <row r="167" spans="5:5">
      <c r="E167" s="191"/>
    </row>
    <row r="168" spans="5:5">
      <c r="E168" s="191"/>
    </row>
    <row r="169" spans="5:5">
      <c r="E169" s="191"/>
    </row>
  </sheetData>
  <sortState xmlns:xlrd2="http://schemas.microsoft.com/office/spreadsheetml/2017/richdata2" ref="AO22:AQ40">
    <sortCondition ref="AQ22:AQ40"/>
  </sortState>
  <phoneticPr fontId="23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7">
    <tabColor theme="3" tint="0.79998168889431442"/>
  </sheetPr>
  <dimension ref="A2:N58"/>
  <sheetViews>
    <sheetView workbookViewId="0">
      <selection activeCell="I62" sqref="I62"/>
    </sheetView>
  </sheetViews>
  <sheetFormatPr defaultColWidth="9.08984375" defaultRowHeight="14.5"/>
  <cols>
    <col min="1" max="1" width="12.453125" bestFit="1" customWidth="1"/>
    <col min="2" max="2" width="14.90625" customWidth="1"/>
    <col min="3" max="3" width="12.90625" bestFit="1" customWidth="1"/>
    <col min="4" max="5" width="11.453125" hidden="1" customWidth="1"/>
    <col min="6" max="6" width="13.90625" hidden="1" customWidth="1"/>
    <col min="7" max="7" width="12.90625" customWidth="1"/>
    <col min="8" max="8" width="12.90625" bestFit="1" customWidth="1"/>
    <col min="9" max="9" width="12.90625" customWidth="1"/>
    <col min="10" max="10" width="13.453125" bestFit="1" customWidth="1"/>
    <col min="12" max="12" width="14.54296875" customWidth="1"/>
    <col min="13" max="13" width="15.453125" customWidth="1"/>
    <col min="14" max="14" width="11.54296875" bestFit="1" customWidth="1"/>
  </cols>
  <sheetData>
    <row r="2" spans="1:13">
      <c r="B2" t="s">
        <v>328</v>
      </c>
    </row>
    <row r="5" spans="1:13">
      <c r="B5" s="10" t="s">
        <v>89</v>
      </c>
      <c r="L5" s="10" t="s">
        <v>77</v>
      </c>
    </row>
    <row r="6" spans="1:13" ht="56.4" customHeight="1">
      <c r="A6" t="s">
        <v>248</v>
      </c>
      <c r="B6" s="68" t="s">
        <v>11</v>
      </c>
      <c r="C6" s="68" t="s">
        <v>39</v>
      </c>
      <c r="D6" s="68" t="s">
        <v>40</v>
      </c>
      <c r="E6" s="68" t="s">
        <v>41</v>
      </c>
      <c r="F6" s="68" t="s">
        <v>42</v>
      </c>
      <c r="G6" s="68" t="s">
        <v>43</v>
      </c>
      <c r="H6" s="68" t="s">
        <v>44</v>
      </c>
      <c r="I6" s="68" t="s">
        <v>342</v>
      </c>
      <c r="J6" s="68" t="s">
        <v>45</v>
      </c>
      <c r="L6" s="68" t="s">
        <v>11</v>
      </c>
      <c r="M6" s="68" t="s">
        <v>69</v>
      </c>
    </row>
    <row r="7" spans="1:13" ht="15" hidden="1" customHeight="1">
      <c r="A7" t="str">
        <f>Efeito!B5</f>
        <v>NO SELECT</v>
      </c>
      <c r="B7" s="91" t="s">
        <v>147</v>
      </c>
      <c r="C7" s="92">
        <f>SUMIFS(Banco[valor],Banco[IdAgente],A7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7" s="92">
        <f>SUMIFS(Banco[valor],Banco[IdAgente],A7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7" s="92">
        <f>SUMIFS(Banco[valor],Banco[IdAgente],A7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7" s="92">
        <f>SUMIFS(Banco[valor],Banco[IdAgente],A7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7" s="92">
        <f>SUMIFS(Banco[valor],Banco[IdAgente],A7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7" s="92">
        <f>SUMIFS(Banco[valor],Banco[IdAgente],A7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7" s="143">
        <f>SUMIFS(Banco[valor],Banco[IdAgente],A7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7" s="93">
        <f>SUM(C7:I7)</f>
        <v>0</v>
      </c>
      <c r="L7" s="91" t="str">
        <f>B7</f>
        <v>Cedrap</v>
      </c>
      <c r="M7" s="93">
        <f>(SUMIFS(Banco[valor],Banco[IdAgente],A7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8" spans="1:13" ht="15" hidden="1" customHeight="1">
      <c r="A8" t="str">
        <f>Efeito!B6</f>
        <v>NO SELECT</v>
      </c>
      <c r="B8" s="3" t="s">
        <v>51</v>
      </c>
      <c r="C8" s="92">
        <f>SUMIFS(Banco[valor],Banco[IdAgente],A8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8" s="92">
        <f>SUMIFS(Banco[valor],Banco[IdAgente],A8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8" s="92">
        <f>SUMIFS(Banco[valor],Banco[IdAgente],A8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8" s="92">
        <f>SUMIFS(Banco[valor],Banco[IdAgente],A8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8" s="92">
        <f>SUMIFS(Banco[valor],Banco[IdAgente],A8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8" s="92">
        <f>SUMIFS(Banco[valor],Banco[IdAgente],A8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8" s="143">
        <f>SUMIFS(Banco[valor],Banco[IdAgente],A8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8" s="93">
        <f t="shared" ref="J8:J58" si="0">SUM(C8:I8)</f>
        <v>0</v>
      </c>
      <c r="L8" s="3" t="str">
        <f t="shared" ref="L8:L58" si="1">B8</f>
        <v>Cedri</v>
      </c>
      <c r="M8" s="93">
        <f>(SUMIFS(Banco[valor],Banco[IdAgente],A8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9" spans="1:13" ht="15" hidden="1" customHeight="1">
      <c r="A9" t="str">
        <f>Efeito!B7</f>
        <v>NO SELECT</v>
      </c>
      <c r="B9" s="3" t="s">
        <v>65</v>
      </c>
      <c r="C9" s="92">
        <f>SUMIFS(Banco[valor],Banco[IdAgente],A9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9" s="92">
        <f>SUMIFS(Banco[valor],Banco[IdAgente],A9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9" s="92">
        <f>SUMIFS(Banco[valor],Banco[IdAgente],A9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9" s="92">
        <f>SUMIFS(Banco[valor],Banco[IdAgente],A9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9" s="92">
        <f>SUMIFS(Banco[valor],Banco[IdAgente],A9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9" s="92">
        <f>SUMIFS(Banco[valor],Banco[IdAgente],A9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9" s="143">
        <f>SUMIFS(Banco[valor],Banco[IdAgente],A9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9" s="93">
        <f t="shared" si="0"/>
        <v>0</v>
      </c>
      <c r="L9" s="3" t="str">
        <f t="shared" si="1"/>
        <v>Cejama</v>
      </c>
      <c r="M9" s="93">
        <f>(SUMIFS(Banco[valor],Banco[IdAgente],A9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10" spans="1:13" ht="15" customHeight="1">
      <c r="A10">
        <f>Efeito!B8</f>
        <v>5367</v>
      </c>
      <c r="B10" s="3" t="s">
        <v>150</v>
      </c>
      <c r="C10" s="92">
        <f>SUMIFS(Banco[valor],Banco[IdAgente],A10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10" s="92">
        <f>SUMIFS(Banco[valor],Banco[IdAgente],A10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10" s="92">
        <f>SUMIFS(Banco[valor],Banco[IdAgente],A10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10" s="92">
        <f>SUMIFS(Banco[valor],Banco[IdAgente],A10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446.25749844633202</v>
      </c>
      <c r="G10" s="92">
        <f>SUMIFS(Banco[valor],Banco[IdAgente],A10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1398.23086531273</v>
      </c>
      <c r="H10" s="92">
        <f>SUMIFS(Banco[valor],Banco[IdAgente],A10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5677.2653542216003</v>
      </c>
      <c r="I10" s="143">
        <f>SUMIFS(Banco[valor],Banco[IdAgente],A10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217715.36270341399</v>
      </c>
      <c r="J10" s="93">
        <f t="shared" si="0"/>
        <v>225237.11642139466</v>
      </c>
      <c r="L10" s="3" t="str">
        <f t="shared" si="1"/>
        <v>Ceprag</v>
      </c>
      <c r="M10" s="93">
        <f>(SUMIFS(Banco[valor],Banco[IdAgente],A10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1116352.9567650582</v>
      </c>
    </row>
    <row r="11" spans="1:13" ht="15" hidden="1" customHeight="1">
      <c r="A11" t="str">
        <f>Efeito!B9</f>
        <v>NO SELECT</v>
      </c>
      <c r="B11" s="3" t="s">
        <v>66</v>
      </c>
      <c r="C11" s="92">
        <f>SUMIFS(Banco[valor],Banco[IdAgente],A11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11" s="92">
        <f>SUMIFS(Banco[valor],Banco[IdAgente],A11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11" s="92">
        <f>SUMIFS(Banco[valor],Banco[IdAgente],A11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11" s="92">
        <f>SUMIFS(Banco[valor],Banco[IdAgente],A11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11" s="92">
        <f>SUMIFS(Banco[valor],Banco[IdAgente],A11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11" s="92">
        <f>SUMIFS(Banco[valor],Banco[IdAgente],A11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11" s="143">
        <f>SUMIFS(Banco[valor],Banco[IdAgente],A11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11" s="93">
        <f t="shared" si="0"/>
        <v>0</v>
      </c>
      <c r="L11" s="3" t="str">
        <f t="shared" si="1"/>
        <v>Ceraçá</v>
      </c>
      <c r="M11" s="93">
        <f>(SUMIFS(Banco[valor],Banco[IdAgente],A11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12" spans="1:13" ht="15" hidden="1" customHeight="1">
      <c r="A12" t="str">
        <f>Efeito!B10</f>
        <v>NO SELECT</v>
      </c>
      <c r="B12" s="3" t="s">
        <v>153</v>
      </c>
      <c r="C12" s="92">
        <f>SUMIFS(Banco[valor],Banco[IdAgente],A12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12" s="92">
        <f>SUMIFS(Banco[valor],Banco[IdAgente],A12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12" s="92">
        <f>SUMIFS(Banco[valor],Banco[IdAgente],A12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12" s="92">
        <f>SUMIFS(Banco[valor],Banco[IdAgente],A12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12" s="421">
        <f>SUMIFS(Banco[valor],Banco[IdAgente],A12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12" s="421">
        <f>SUMIFS(Banco[valor],Banco[IdAgente],A12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12" s="143">
        <f>SUMIFS(Banco[valor],Banco[IdAgente],A12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12" s="93">
        <f t="shared" si="0"/>
        <v>0</v>
      </c>
      <c r="L12" s="3" t="str">
        <f t="shared" si="1"/>
        <v>Ceral Anitápolis</v>
      </c>
      <c r="M12" s="93">
        <f>(SUMIFS(Banco[valor],Banco[IdAgente],A12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13" spans="1:13" ht="15" hidden="1" customHeight="1">
      <c r="A13" t="str">
        <f>Efeito!B11</f>
        <v>NO SELECT</v>
      </c>
      <c r="B13" s="3" t="s">
        <v>156</v>
      </c>
      <c r="C13" s="92">
        <f>SUMIFS(Banco[valor],Banco[IdAgente],A13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13" s="92">
        <f>SUMIFS(Banco[valor],Banco[IdAgente],A13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13" s="92">
        <f>SUMIFS(Banco[valor],Banco[IdAgente],A13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13" s="92">
        <f>SUMIFS(Banco[valor],Banco[IdAgente],A13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13" s="92">
        <f>SUMIFS(Banco[valor],Banco[IdAgente],A13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13" s="92">
        <f>SUMIFS(Banco[valor],Banco[IdAgente],A13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13" s="143">
        <f>SUMIFS(Banco[valor],Banco[IdAgente],A13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13" s="93">
        <f t="shared" si="0"/>
        <v>0</v>
      </c>
      <c r="L13" s="3" t="str">
        <f t="shared" si="1"/>
        <v>Ceral Dis</v>
      </c>
      <c r="M13" s="93">
        <f>(SUMIFS(Banco[valor],Banco[IdAgente],A13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14" spans="1:13" ht="15" hidden="1" customHeight="1">
      <c r="A14" t="str">
        <f>Efeito!B12</f>
        <v>NO SELECT</v>
      </c>
      <c r="B14" s="3" t="s">
        <v>54</v>
      </c>
      <c r="C14" s="92">
        <f>SUMIFS(Banco[valor],Banco[IdAgente],A14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14" s="92">
        <f>SUMIFS(Banco[valor],Banco[IdAgente],A14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14" s="92">
        <f>SUMIFS(Banco[valor],Banco[IdAgente],A14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14" s="92">
        <f>SUMIFS(Banco[valor],Banco[IdAgente],A14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14" s="92">
        <f>SUMIFS(Banco[valor],Banco[IdAgente],A14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14" s="92">
        <f>SUMIFS(Banco[valor],Banco[IdAgente],A14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14" s="143">
        <f>SUMIFS(Banco[valor],Banco[IdAgente],A14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14" s="93">
        <f t="shared" si="0"/>
        <v>0</v>
      </c>
      <c r="L14" s="3" t="str">
        <f t="shared" si="1"/>
        <v>Cerbranorte</v>
      </c>
      <c r="M14" s="93">
        <f>(SUMIFS(Banco[valor],Banco[IdAgente],A14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15" spans="1:13" ht="15" hidden="1" customHeight="1">
      <c r="A15" t="str">
        <f>Efeito!B13</f>
        <v>NO SELECT</v>
      </c>
      <c r="B15" s="3" t="s">
        <v>159</v>
      </c>
      <c r="C15" s="92">
        <f>SUMIFS(Banco[valor],Banco[IdAgente],A15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15" s="92">
        <f>SUMIFS(Banco[valor],Banco[IdAgente],A15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15" s="92">
        <f>SUMIFS(Banco[valor],Banco[IdAgente],A15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15" s="92">
        <f>SUMIFS(Banco[valor],Banco[IdAgente],A15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15" s="92">
        <f>SUMIFS(Banco[valor],Banco[IdAgente],A15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15" s="92">
        <f>SUMIFS(Banco[valor],Banco[IdAgente],A15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15" s="143">
        <f>SUMIFS(Banco[valor],Banco[IdAgente],A15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15" s="93">
        <f t="shared" si="0"/>
        <v>0</v>
      </c>
      <c r="L15" s="3" t="str">
        <f t="shared" si="1"/>
        <v>Cercos</v>
      </c>
      <c r="M15" s="93">
        <f>(SUMIFS(Banco[valor],Banco[IdAgente],A15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16" spans="1:13" ht="11.4" hidden="1" customHeight="1">
      <c r="A16" t="str">
        <f>Efeito!B14</f>
        <v>NO SELECT</v>
      </c>
      <c r="B16" s="3" t="s">
        <v>56</v>
      </c>
      <c r="C16" s="92">
        <f>SUMIFS(Banco[valor],Banco[IdAgente],A16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16" s="92">
        <f>SUMIFS(Banco[valor],Banco[IdAgente],A16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16" s="92">
        <f>SUMIFS(Banco[valor],Banco[IdAgente],A16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16" s="92">
        <f>SUMIFS(Banco[valor],Banco[IdAgente],A16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16" s="92">
        <f>SUMIFS(Banco[valor],Banco[IdAgente],A16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16" s="92">
        <f>SUMIFS(Banco[valor],Banco[IdAgente],A16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16" s="143">
        <f>SUMIFS(Banco[valor],Banco[IdAgente],A16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16" s="93">
        <f t="shared" si="0"/>
        <v>0</v>
      </c>
      <c r="L16" s="3" t="str">
        <f t="shared" si="1"/>
        <v>Cerej</v>
      </c>
      <c r="M16" s="93">
        <f>(SUMIFS(Banco[valor],Banco[IdAgente],A16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17" spans="1:14" ht="15" hidden="1" customHeight="1">
      <c r="A17" t="str">
        <f>Efeito!B15</f>
        <v>NO SELECT</v>
      </c>
      <c r="B17" s="3" t="s">
        <v>162</v>
      </c>
      <c r="C17" s="92">
        <f>SUMIFS(Banco[valor],Banco[IdAgente],A17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17" s="92">
        <f>SUMIFS(Banco[valor],Banco[IdAgente],A17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17" s="92">
        <f>SUMIFS(Banco[valor],Banco[IdAgente],A17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17" s="92">
        <f>SUMIFS(Banco[valor],Banco[IdAgente],A17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17" s="92">
        <f>SUMIFS(Banco[valor],Banco[IdAgente],A17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17" s="92">
        <f>SUMIFS(Banco[valor],Banco[IdAgente],A17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17" s="143">
        <f>SUMIFS(Banco[valor],Banco[IdAgente],A17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17" s="93">
        <f t="shared" si="0"/>
        <v>0</v>
      </c>
      <c r="L17" s="3" t="str">
        <f t="shared" si="1"/>
        <v>Ceres</v>
      </c>
      <c r="M17" s="93">
        <f>(SUMIFS(Banco[valor],Banco[IdAgente],A17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18" spans="1:14" ht="15" hidden="1" customHeight="1">
      <c r="A18" t="str">
        <f>Efeito!B16</f>
        <v>NO SELECT</v>
      </c>
      <c r="B18" s="3" t="s">
        <v>55</v>
      </c>
      <c r="C18" s="92">
        <f>SUMIFS(Banco[valor],Banco[IdAgente],A18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18" s="92">
        <f>SUMIFS(Banco[valor],Banco[IdAgente],A18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18" s="92">
        <f>SUMIFS(Banco[valor],Banco[IdAgente],A18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18" s="92">
        <f>SUMIFS(Banco[valor],Banco[IdAgente],A18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18" s="92">
        <f>SUMIFS(Banco[valor],Banco[IdAgente],A18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18" s="92">
        <f>SUMIFS(Banco[valor],Banco[IdAgente],A18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18" s="143">
        <f>SUMIFS(Banco[valor],Banco[IdAgente],A18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18" s="93">
        <f t="shared" si="0"/>
        <v>0</v>
      </c>
      <c r="L18" s="3" t="str">
        <f t="shared" si="1"/>
        <v>Cergal</v>
      </c>
      <c r="M18" s="93">
        <f>(SUMIFS(Banco[valor],Banco[IdAgente],A18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19" spans="1:14" ht="15" hidden="1" customHeight="1">
      <c r="A19" t="str">
        <f>Efeito!B17</f>
        <v>NO SELECT</v>
      </c>
      <c r="B19" s="3" t="s">
        <v>57</v>
      </c>
      <c r="C19" s="92">
        <f>SUMIFS(Banco[valor],Banco[IdAgente],A19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19" s="92">
        <f>SUMIFS(Banco[valor],Banco[IdAgente],A19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19" s="92">
        <f>SUMIFS(Banco[valor],Banco[IdAgente],A19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19" s="92">
        <f>SUMIFS(Banco[valor],Banco[IdAgente],A19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19" s="92">
        <f>SUMIFS(Banco[valor],Banco[IdAgente],A19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19" s="92">
        <f>SUMIFS(Banco[valor],Banco[IdAgente],A19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19" s="143">
        <f>SUMIFS(Banco[valor],Banco[IdAgente],A19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19" s="93">
        <f t="shared" si="0"/>
        <v>0</v>
      </c>
      <c r="L19" s="3" t="str">
        <f t="shared" si="1"/>
        <v>Cergapa</v>
      </c>
      <c r="M19" s="93">
        <f>(SUMIFS(Banco[valor],Banco[IdAgente],A19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20" spans="1:14" ht="15" hidden="1" customHeight="1">
      <c r="A20" t="str">
        <f>Efeito!B18</f>
        <v>NO SELECT</v>
      </c>
      <c r="B20" s="3" t="s">
        <v>58</v>
      </c>
      <c r="C20" s="92">
        <f>SUMIFS(Banco[valor],Banco[IdAgente],A20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20" s="92">
        <f>SUMIFS(Banco[valor],Banco[IdAgente],A20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20" s="92">
        <f>SUMIFS(Banco[valor],Banco[IdAgente],A20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20" s="92">
        <f>SUMIFS(Banco[valor],Banco[IdAgente],A20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20" s="92">
        <f>SUMIFS(Banco[valor],Banco[IdAgente],A20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20" s="92">
        <f>SUMIFS(Banco[valor],Banco[IdAgente],A20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20" s="143">
        <f>SUMIFS(Banco[valor],Banco[IdAgente],A20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20" s="93">
        <f t="shared" si="0"/>
        <v>0</v>
      </c>
      <c r="L20" s="3" t="str">
        <f t="shared" si="1"/>
        <v>Cergral</v>
      </c>
      <c r="M20" s="93">
        <f>(SUMIFS(Banco[valor],Banco[IdAgente],A20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21" spans="1:14" ht="15" hidden="1" customHeight="1">
      <c r="A21" t="str">
        <f>Efeito!B19</f>
        <v>NO SELECT</v>
      </c>
      <c r="B21" s="3" t="s">
        <v>165</v>
      </c>
      <c r="C21" s="92">
        <f>SUMIFS(Banco[valor],Banco[IdAgente],A21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21" s="92">
        <f>SUMIFS(Banco[valor],Banco[IdAgente],A21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21" s="92">
        <f>SUMIFS(Banco[valor],Banco[IdAgente],A21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21" s="92">
        <f>SUMIFS(Banco[valor],Banco[IdAgente],A21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21" s="92">
        <f>SUMIFS(Banco[valor],Banco[IdAgente],A21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21" s="92">
        <f>SUMIFS(Banco[valor],Banco[IdAgente],A21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21" s="143">
        <f>SUMIFS(Banco[valor],Banco[IdAgente],A21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21" s="93">
        <f t="shared" si="0"/>
        <v>0</v>
      </c>
      <c r="L21" s="3" t="str">
        <f t="shared" si="1"/>
        <v>Ceriluz</v>
      </c>
      <c r="M21" s="93">
        <f>(SUMIFS(Banco[valor],Banco[IdAgente],A21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22" spans="1:14" ht="15" hidden="1" customHeight="1">
      <c r="A22" t="str">
        <f>Efeito!B20</f>
        <v>NO SELECT</v>
      </c>
      <c r="B22" s="3" t="s">
        <v>168</v>
      </c>
      <c r="C22" s="92">
        <f>SUMIFS(Banco[valor],Banco[IdAgente],A22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22" s="92">
        <f>SUMIFS(Banco[valor],Banco[IdAgente],A22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22" s="92">
        <f>SUMIFS(Banco[valor],Banco[IdAgente],A22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22" s="92">
        <f>SUMIFS(Banco[valor],Banco[IdAgente],A22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22" s="92">
        <f>SUMIFS(Banco[valor],Banco[IdAgente],A22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22" s="92">
        <f>SUMIFS(Banco[valor],Banco[IdAgente],A22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22" s="143">
        <f>SUMIFS(Banco[valor],Banco[IdAgente],A22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22" s="93">
        <f t="shared" si="0"/>
        <v>0</v>
      </c>
      <c r="L22" s="3" t="str">
        <f t="shared" si="1"/>
        <v>Cerim</v>
      </c>
      <c r="M22" s="93">
        <f>(SUMIFS(Banco[valor],Banco[IdAgente],A22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23" spans="1:14" ht="15" hidden="1" customHeight="1">
      <c r="A23" t="str">
        <f>Efeito!B21</f>
        <v>NO SELECT</v>
      </c>
      <c r="B23" s="3" t="s">
        <v>171</v>
      </c>
      <c r="C23" s="92">
        <f>SUMIFS(Banco[valor],Banco[IdAgente],A23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23" s="92">
        <f>SUMIFS(Banco[valor],Banco[IdAgente],A23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23" s="92">
        <f>SUMIFS(Banco[valor],Banco[IdAgente],A23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23" s="92">
        <f>SUMIFS(Banco[valor],Banco[IdAgente],A23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23" s="92">
        <f>SUMIFS(Banco[valor],Banco[IdAgente],A23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23" s="92">
        <f>SUMIFS(Banco[valor],Banco[IdAgente],A23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23" s="143">
        <f>SUMIFS(Banco[valor],Banco[IdAgente],A23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23" s="93">
        <f t="shared" si="0"/>
        <v>0</v>
      </c>
      <c r="L23" s="3" t="str">
        <f t="shared" si="1"/>
        <v>Ceripa</v>
      </c>
      <c r="M23" s="93">
        <f>(SUMIFS(Banco[valor],Banco[IdAgente],A23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24" spans="1:14" ht="15" hidden="1" customHeight="1">
      <c r="A24" t="str">
        <f>Efeito!B22</f>
        <v>NO SELECT</v>
      </c>
      <c r="B24" s="3" t="s">
        <v>174</v>
      </c>
      <c r="C24" s="92">
        <f>SUMIFS(Banco[valor],Banco[IdAgente],A24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24" s="92">
        <f>SUMIFS(Banco[valor],Banco[IdAgente],A24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24" s="92">
        <f>SUMIFS(Banco[valor],Banco[IdAgente],A24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24" s="92">
        <f>SUMIFS(Banco[valor],Banco[IdAgente],A24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24" s="92">
        <f>SUMIFS(Banco[valor],Banco[IdAgente],A24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24" s="92">
        <f>SUMIFS(Banco[valor],Banco[IdAgente],A24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24" s="143">
        <f>SUMIFS(Banco[valor],Banco[IdAgente],A24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24" s="93">
        <f t="shared" si="0"/>
        <v>0</v>
      </c>
      <c r="L24" s="3" t="str">
        <f t="shared" si="1"/>
        <v>Ceris</v>
      </c>
      <c r="M24" s="93">
        <f>(SUMIFS(Banco[valor],Banco[IdAgente],A24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  <c r="N24" s="32"/>
    </row>
    <row r="25" spans="1:14" ht="15" hidden="1" customHeight="1">
      <c r="A25" t="str">
        <f>Efeito!B23</f>
        <v>NO SELECT</v>
      </c>
      <c r="B25" s="3" t="s">
        <v>177</v>
      </c>
      <c r="C25" s="92">
        <f>SUMIFS(Banco[valor],Banco[IdAgente],A25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25" s="92">
        <f>SUMIFS(Banco[valor],Banco[IdAgente],A25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25" s="92">
        <f>SUMIFS(Banco[valor],Banco[IdAgente],A25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25" s="92">
        <f>SUMIFS(Banco[valor],Banco[IdAgente],A25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25" s="92">
        <f>SUMIFS(Banco[valor],Banco[IdAgente],A25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25" s="92">
        <f>SUMIFS(Banco[valor],Banco[IdAgente],A25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25" s="143">
        <f>SUMIFS(Banco[valor],Banco[IdAgente],A25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25" s="93">
        <f t="shared" si="0"/>
        <v>0</v>
      </c>
      <c r="L25" s="3" t="str">
        <f t="shared" si="1"/>
        <v>CERMC</v>
      </c>
      <c r="M25" s="93">
        <f>(SUMIFS(Banco[valor],Banco[IdAgente],A25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26" spans="1:14" ht="15" hidden="1" customHeight="1">
      <c r="A26" t="str">
        <f>Efeito!B24</f>
        <v>NO SELECT</v>
      </c>
      <c r="B26" s="3" t="s">
        <v>180</v>
      </c>
      <c r="C26" s="92">
        <f>SUMIFS(Banco[valor],Banco[IdAgente],A26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26" s="92">
        <f>SUMIFS(Banco[valor],Banco[IdAgente],A26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26" s="92">
        <f>SUMIFS(Banco[valor],Banco[IdAgente],A26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26" s="92">
        <f>SUMIFS(Banco[valor],Banco[IdAgente],A26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26" s="92">
        <f>SUMIFS(Banco[valor],Banco[IdAgente],A26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26" s="92">
        <f>SUMIFS(Banco[valor],Banco[IdAgente],A26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26" s="143">
        <f>SUMIFS(Banco[valor],Banco[IdAgente],A26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26" s="93">
        <f t="shared" si="0"/>
        <v>0</v>
      </c>
      <c r="L26" s="3" t="str">
        <f t="shared" si="1"/>
        <v>Cermissões</v>
      </c>
      <c r="M26" s="93">
        <f>(SUMIFS(Banco[valor],Banco[IdAgente],A26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27" spans="1:14" ht="15" hidden="1" customHeight="1">
      <c r="A27" t="str">
        <f>Efeito!B25</f>
        <v>NO SELECT</v>
      </c>
      <c r="B27" s="3" t="s">
        <v>52</v>
      </c>
      <c r="C27" s="92">
        <f>SUMIFS(Banco[valor],Banco[IdAgente],A27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27" s="92">
        <f>SUMIFS(Banco[valor],Banco[IdAgente],A27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27" s="92">
        <f>SUMIFS(Banco[valor],Banco[IdAgente],A27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27" s="92">
        <f>SUMIFS(Banco[valor],Banco[IdAgente],A27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27" s="92">
        <f>SUMIFS(Banco[valor],Banco[IdAgente],A27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27" s="92">
        <f>SUMIFS(Banco[valor],Banco[IdAgente],A27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27" s="143">
        <f>SUMIFS(Banco[valor],Banco[IdAgente],A27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27" s="93">
        <f t="shared" si="0"/>
        <v>0</v>
      </c>
      <c r="L27" s="3" t="str">
        <f t="shared" si="1"/>
        <v>Cermoful</v>
      </c>
      <c r="M27" s="93">
        <f>(SUMIFS(Banco[valor],Banco[IdAgente],A27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28" spans="1:14" ht="15" hidden="1" customHeight="1">
      <c r="A28" t="str">
        <f>Efeito!B26</f>
        <v>NO SELECT</v>
      </c>
      <c r="B28" s="3" t="s">
        <v>183</v>
      </c>
      <c r="C28" s="92">
        <f>SUMIFS(Banco[valor],Banco[IdAgente],A28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28" s="92">
        <f>SUMIFS(Banco[valor],Banco[IdAgente],A28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28" s="92">
        <f>SUMIFS(Banco[valor],Banco[IdAgente],A28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28" s="92">
        <f>SUMIFS(Banco[valor],Banco[IdAgente],A28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28" s="92">
        <f>SUMIFS(Banco[valor],Banco[IdAgente],A28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28" s="92">
        <f>SUMIFS(Banco[valor],Banco[IdAgente],A28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28" s="143">
        <f>SUMIFS(Banco[valor],Banco[IdAgente],A28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28" s="93">
        <f t="shared" si="0"/>
        <v>0</v>
      </c>
      <c r="L28" s="3" t="str">
        <f t="shared" si="1"/>
        <v>Cernhe</v>
      </c>
      <c r="M28" s="93">
        <f>(SUMIFS(Banco[valor],Banco[IdAgente],A28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  <c r="N28" s="32"/>
    </row>
    <row r="29" spans="1:14" ht="15" hidden="1" customHeight="1">
      <c r="A29" t="str">
        <f>Efeito!B27</f>
        <v>NO SELECT</v>
      </c>
      <c r="B29" s="3" t="s">
        <v>59</v>
      </c>
      <c r="C29" s="92">
        <f>SUMIFS(Banco[valor],Banco[IdAgente],A29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29" s="92">
        <f>SUMIFS(Banco[valor],Banco[IdAgente],A29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29" s="92">
        <f>SUMIFS(Banco[valor],Banco[IdAgente],A29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29" s="92">
        <f>SUMIFS(Banco[valor],Banco[IdAgente],A29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29" s="92">
        <f>SUMIFS(Banco[valor],Banco[IdAgente],A29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29" s="92">
        <f>SUMIFS(Banco[valor],Banco[IdAgente],A29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29" s="143">
        <f>SUMIFS(Banco[valor],Banco[IdAgente],A29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29" s="93">
        <f t="shared" si="0"/>
        <v>0</v>
      </c>
      <c r="L29" s="3" t="str">
        <f t="shared" si="1"/>
        <v>Cerpalo</v>
      </c>
      <c r="M29" s="93">
        <f>(SUMIFS(Banco[valor],Banco[IdAgente],A29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30" spans="1:14" ht="15" hidden="1" customHeight="1">
      <c r="A30" t="str">
        <f>Efeito!B28</f>
        <v>NO SELECT</v>
      </c>
      <c r="B30" s="3" t="s">
        <v>186</v>
      </c>
      <c r="C30" s="92">
        <f>SUMIFS(Banco[valor],Banco[IdAgente],A30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30" s="92">
        <f>SUMIFS(Banco[valor],Banco[IdAgente],A30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30" s="92">
        <f>SUMIFS(Banco[valor],Banco[IdAgente],A30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30" s="92">
        <f>SUMIFS(Banco[valor],Banco[IdAgente],A30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30" s="92">
        <f>SUMIFS(Banco[valor],Banco[IdAgente],A30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30" s="92">
        <f>SUMIFS(Banco[valor],Banco[IdAgente],A30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30" s="143">
        <f>SUMIFS(Banco[valor],Banco[IdAgente],A30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30" s="93">
        <f t="shared" si="0"/>
        <v>0</v>
      </c>
      <c r="L30" s="3" t="str">
        <f t="shared" si="1"/>
        <v>Cerpro</v>
      </c>
      <c r="M30" s="93">
        <f>(SUMIFS(Banco[valor],Banco[IdAgente],A30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31" spans="1:14" ht="15" hidden="1" customHeight="1">
      <c r="A31" t="str">
        <f>Efeito!B29</f>
        <v>NO SELECT</v>
      </c>
      <c r="B31" s="3" t="s">
        <v>189</v>
      </c>
      <c r="C31" s="92">
        <f>SUMIFS(Banco[valor],Banco[IdAgente],A31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31" s="92">
        <f>SUMIFS(Banco[valor],Banco[IdAgente],A31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31" s="92">
        <f>SUMIFS(Banco[valor],Banco[IdAgente],A31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31" s="92">
        <f>SUMIFS(Banco[valor],Banco[IdAgente],A31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31" s="92">
        <f>SUMIFS(Banco[valor],Banco[IdAgente],A31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31" s="92">
        <f>SUMIFS(Banco[valor],Banco[IdAgente],A31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31" s="143">
        <f>SUMIFS(Banco[valor],Banco[IdAgente],A31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31" s="93">
        <f t="shared" si="0"/>
        <v>0</v>
      </c>
      <c r="L31" s="3" t="str">
        <f t="shared" si="1"/>
        <v>CERRP</v>
      </c>
      <c r="M31" s="93">
        <f>(SUMIFS(Banco[valor],Banco[IdAgente],A31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32" spans="1:14" ht="15" hidden="1" customHeight="1">
      <c r="A32" t="str">
        <f>Efeito!B30</f>
        <v>NO SELECT</v>
      </c>
      <c r="B32" s="3" t="s">
        <v>60</v>
      </c>
      <c r="C32" s="92">
        <f>SUMIFS(Banco[valor],Banco[IdAgente],A32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32" s="92">
        <f>SUMIFS(Banco[valor],Banco[IdAgente],A32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32" s="92">
        <f>SUMIFS(Banco[valor],Banco[IdAgente],A32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32" s="92">
        <f>SUMIFS(Banco[valor],Banco[IdAgente],A32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32" s="92">
        <f>SUMIFS(Banco[valor],Banco[IdAgente],A32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32" s="92">
        <f>SUMIFS(Banco[valor],Banco[IdAgente],A32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32" s="143">
        <f>SUMIFS(Banco[valor],Banco[IdAgente],A32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32" s="93">
        <f t="shared" si="0"/>
        <v>0</v>
      </c>
      <c r="L32" s="3" t="str">
        <f t="shared" si="1"/>
        <v>Cersul</v>
      </c>
      <c r="M32" s="93">
        <f>(SUMIFS(Banco[valor],Banco[IdAgente],A32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33" spans="1:14" ht="15" hidden="1" customHeight="1">
      <c r="A33" t="str">
        <f>Efeito!B31</f>
        <v>NO SELECT</v>
      </c>
      <c r="B33" s="3" t="s">
        <v>192</v>
      </c>
      <c r="C33" s="92">
        <f>SUMIFS(Banco[valor],Banco[IdAgente],A33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33" s="92">
        <f>SUMIFS(Banco[valor],Banco[IdAgente],A33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33" s="92">
        <f>SUMIFS(Banco[valor],Banco[IdAgente],A33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33" s="92">
        <f>SUMIFS(Banco[valor],Banco[IdAgente],A33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33" s="92">
        <f>SUMIFS(Banco[valor],Banco[IdAgente],A33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33" s="92">
        <f>SUMIFS(Banco[valor],Banco[IdAgente],A33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33" s="143">
        <f>SUMIFS(Banco[valor],Banco[IdAgente],A33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33" s="93">
        <f t="shared" si="0"/>
        <v>0</v>
      </c>
      <c r="L33" s="3" t="str">
        <f t="shared" si="1"/>
        <v>Certaja</v>
      </c>
      <c r="M33" s="93">
        <f>(SUMIFS(Banco[valor],Banco[IdAgente],A33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34" spans="1:14" ht="15" hidden="1" customHeight="1">
      <c r="A34" t="str">
        <f>Efeito!B32</f>
        <v>NO SELECT</v>
      </c>
      <c r="B34" s="3" t="s">
        <v>195</v>
      </c>
      <c r="C34" s="92">
        <f>SUMIFS(Banco[valor],Banco[IdAgente],A34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34" s="92">
        <f>SUMIFS(Banco[valor],Banco[IdAgente],A34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34" s="92">
        <f>SUMIFS(Banco[valor],Banco[IdAgente],A34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34" s="92">
        <f>SUMIFS(Banco[valor],Banco[IdAgente],A34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34" s="92">
        <f>SUMIFS(Banco[valor],Banco[IdAgente],A34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34" s="92">
        <f>SUMIFS(Banco[valor],Banco[IdAgente],A34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34" s="143">
        <f>SUMIFS(Banco[valor],Banco[IdAgente],A34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34" s="93">
        <f t="shared" si="0"/>
        <v>0</v>
      </c>
      <c r="L34" s="3" t="str">
        <f t="shared" si="1"/>
        <v>Certel</v>
      </c>
      <c r="M34" s="93">
        <f>(SUMIFS(Banco[valor],Banco[IdAgente],A34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35" spans="1:14" ht="15" hidden="1" customHeight="1">
      <c r="A35" t="str">
        <f>Efeito!B33</f>
        <v>NO SELECT</v>
      </c>
      <c r="B35" s="3" t="s">
        <v>61</v>
      </c>
      <c r="C35" s="92">
        <f>SUMIFS(Banco[valor],Banco[IdAgente],A35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35" s="92">
        <f>SUMIFS(Banco[valor],Banco[IdAgente],A35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35" s="92">
        <f>SUMIFS(Banco[valor],Banco[IdAgente],A35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35" s="92">
        <f>SUMIFS(Banco[valor],Banco[IdAgente],A35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35" s="92">
        <f>SUMIFS(Banco[valor],Banco[IdAgente],A35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35" s="92">
        <f>SUMIFS(Banco[valor],Banco[IdAgente],A35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35" s="143">
        <f>SUMIFS(Banco[valor],Banco[IdAgente],A35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35" s="93">
        <f t="shared" si="0"/>
        <v>0</v>
      </c>
      <c r="L35" s="3" t="str">
        <f t="shared" si="1"/>
        <v>Certrel</v>
      </c>
      <c r="M35" s="93">
        <f>(SUMIFS(Banco[valor],Banco[IdAgente],A35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36" spans="1:14" ht="15" hidden="1" customHeight="1">
      <c r="A36" t="str">
        <f>Efeito!B34</f>
        <v>NO SELECT</v>
      </c>
      <c r="B36" s="3" t="s">
        <v>198</v>
      </c>
      <c r="C36" s="92">
        <f>SUMIFS(Banco[valor],Banco[IdAgente],A36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36" s="92">
        <f>SUMIFS(Banco[valor],Banco[IdAgente],A36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36" s="92">
        <f>SUMIFS(Banco[valor],Banco[IdAgente],A36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36" s="92">
        <f>SUMIFS(Banco[valor],Banco[IdAgente],A36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36" s="92">
        <f>SUMIFS(Banco[valor],Banco[IdAgente],A36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36" s="92">
        <f>SUMIFS(Banco[valor],Banco[IdAgente],A36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36" s="143">
        <f>SUMIFS(Banco[valor],Banco[IdAgente],A36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36" s="93">
        <f t="shared" si="0"/>
        <v>0</v>
      </c>
      <c r="L36" s="3" t="str">
        <f t="shared" si="1"/>
        <v>Cetril</v>
      </c>
      <c r="M36" s="93">
        <f>(SUMIFS(Banco[valor],Banco[IdAgente],A36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37" spans="1:14" ht="15" hidden="1" customHeight="1">
      <c r="A37" t="str">
        <f>Efeito!B35</f>
        <v>NO SELECT</v>
      </c>
      <c r="B37" s="3" t="s">
        <v>62</v>
      </c>
      <c r="C37" s="92">
        <f>SUMIFS(Banco[valor],Banco[IdAgente],A37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37" s="92">
        <f>SUMIFS(Banco[valor],Banco[IdAgente],A37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37" s="92">
        <f>SUMIFS(Banco[valor],Banco[IdAgente],A37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37" s="92">
        <f>SUMIFS(Banco[valor],Banco[IdAgente],A37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37" s="92">
        <f>SUMIFS(Banco[valor],Banco[IdAgente],A37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37" s="92">
        <f>SUMIFS(Banco[valor],Banco[IdAgente],A37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37" s="143">
        <f>SUMIFS(Banco[valor],Banco[IdAgente],A37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37" s="93">
        <f t="shared" si="0"/>
        <v>0</v>
      </c>
      <c r="L37" s="3" t="str">
        <f t="shared" si="1"/>
        <v>Coopera</v>
      </c>
      <c r="M37" s="93">
        <f>(SUMIFS(Banco[valor],Banco[IdAgente],A37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38" spans="1:14" ht="15" hidden="1" customHeight="1">
      <c r="A38" t="str">
        <f>Efeito!B36</f>
        <v>NO SELECT</v>
      </c>
      <c r="B38" s="3" t="s">
        <v>53</v>
      </c>
      <c r="C38" s="92">
        <f>SUMIFS(Banco[valor],Banco[IdAgente],A38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38" s="92">
        <f>SUMIFS(Banco[valor],Banco[IdAgente],A38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38" s="92">
        <f>SUMIFS(Banco[valor],Banco[IdAgente],A38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38" s="92">
        <f>SUMIFS(Banco[valor],Banco[IdAgente],A38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38" s="92">
        <f>SUMIFS(Banco[valor],Banco[IdAgente],A38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38" s="92">
        <f>SUMIFS(Banco[valor],Banco[IdAgente],A38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38" s="143">
        <f>SUMIFS(Banco[valor],Banco[IdAgente],A38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38" s="93">
        <f t="shared" si="0"/>
        <v>0</v>
      </c>
      <c r="L38" s="3" t="str">
        <f t="shared" si="1"/>
        <v>Coopercocal</v>
      </c>
      <c r="M38" s="93">
        <f>(SUMIFS(Banco[valor],Banco[IdAgente],A38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39" spans="1:14" ht="15" hidden="1" customHeight="1">
      <c r="A39" t="str">
        <f>Efeito!B37</f>
        <v>NO SELECT</v>
      </c>
      <c r="B39" s="3" t="s">
        <v>201</v>
      </c>
      <c r="C39" s="92">
        <f>SUMIFS(Banco[valor],Banco[IdAgente],A39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39" s="92">
        <f>SUMIFS(Banco[valor],Banco[IdAgente],A39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39" s="92">
        <f>SUMIFS(Banco[valor],Banco[IdAgente],A39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39" s="92">
        <f>SUMIFS(Banco[valor],Banco[IdAgente],A39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39" s="92">
        <f>SUMIFS(Banco[valor],Banco[IdAgente],A39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39" s="92">
        <f>SUMIFS(Banco[valor],Banco[IdAgente],A39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39" s="143">
        <f>SUMIFS(Banco[valor],Banco[IdAgente],A39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39" s="93">
        <f t="shared" si="0"/>
        <v>0</v>
      </c>
      <c r="L39" s="3" t="str">
        <f t="shared" si="1"/>
        <v>Cooperluz</v>
      </c>
      <c r="M39" s="93">
        <f>(SUMIFS(Banco[valor],Banco[IdAgente],A39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40" spans="1:14" ht="15" hidden="1" customHeight="1">
      <c r="A40" t="str">
        <f>Efeito!B38</f>
        <v>NO SELECT</v>
      </c>
      <c r="B40" s="3" t="s">
        <v>63</v>
      </c>
      <c r="C40" s="92">
        <f>SUMIFS(Banco[valor],Banco[IdAgente],A40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40" s="92">
        <f>SUMIFS(Banco[valor],Banco[IdAgente],A40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40" s="92">
        <f>SUMIFS(Banco[valor],Banco[IdAgente],A40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40" s="92">
        <f>SUMIFS(Banco[valor],Banco[IdAgente],A40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40" s="92">
        <f>SUMIFS(Banco[valor],Banco[IdAgente],A40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40" s="92">
        <f>SUMIFS(Banco[valor],Banco[IdAgente],A40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40" s="143">
        <f>SUMIFS(Banco[valor],Banco[IdAgente],A40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40" s="93">
        <f t="shared" si="0"/>
        <v>0</v>
      </c>
      <c r="L40" s="3" t="str">
        <f t="shared" si="1"/>
        <v>Coopermila</v>
      </c>
      <c r="M40" s="93">
        <f>(SUMIFS(Banco[valor],Banco[IdAgente],A40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41" spans="1:14" ht="15" hidden="1" customHeight="1">
      <c r="A41" t="str">
        <f>Efeito!B39</f>
        <v>NO SELECT</v>
      </c>
      <c r="B41" s="3" t="s">
        <v>64</v>
      </c>
      <c r="C41" s="92">
        <f>SUMIFS(Banco[valor],Banco[IdAgente],A41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41" s="92">
        <f>SUMIFS(Banco[valor],Banco[IdAgente],A41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41" s="92">
        <f>SUMIFS(Banco[valor],Banco[IdAgente],A41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41" s="92">
        <f>SUMIFS(Banco[valor],Banco[IdAgente],A41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41" s="92">
        <f>SUMIFS(Banco[valor],Banco[IdAgente],A41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41" s="92">
        <f>SUMIFS(Banco[valor],Banco[IdAgente],A41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41" s="143">
        <f>SUMIFS(Banco[valor],Banco[IdAgente],A41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41" s="93">
        <f t="shared" si="0"/>
        <v>0</v>
      </c>
      <c r="L41" s="3" t="str">
        <f t="shared" si="1"/>
        <v>Coorsel</v>
      </c>
      <c r="M41" s="93">
        <f>(SUMIFS(Banco[valor],Banco[IdAgente],A41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42" spans="1:14" ht="15" hidden="1" customHeight="1">
      <c r="A42" t="str">
        <f>Efeito!B40</f>
        <v>NO SELECT</v>
      </c>
      <c r="B42" s="3" t="s">
        <v>204</v>
      </c>
      <c r="C42" s="92">
        <f>SUMIFS(Banco[valor],Banco[IdAgente],A42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42" s="92">
        <f>SUMIFS(Banco[valor],Banco[IdAgente],A42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42" s="92">
        <f>SUMIFS(Banco[valor],Banco[IdAgente],A42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42" s="92">
        <f>SUMIFS(Banco[valor],Banco[IdAgente],A42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42" s="92">
        <f>SUMIFS(Banco[valor],Banco[IdAgente],A42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42" s="92">
        <f>SUMIFS(Banco[valor],Banco[IdAgente],A42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42" s="143">
        <f>SUMIFS(Banco[valor],Banco[IdAgente],A42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42" s="93">
        <f t="shared" si="0"/>
        <v>0</v>
      </c>
      <c r="L42" s="3" t="str">
        <f t="shared" si="1"/>
        <v>Coprel</v>
      </c>
      <c r="M42" s="93">
        <f>(SUMIFS(Banco[valor],Banco[IdAgente],A42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  <c r="N42" s="16"/>
    </row>
    <row r="43" spans="1:14" ht="15" hidden="1" customHeight="1">
      <c r="A43" t="str">
        <f>Efeito!B41</f>
        <v>NO SELECT</v>
      </c>
      <c r="B43" s="3" t="s">
        <v>276</v>
      </c>
      <c r="C43" s="92">
        <f>SUMIFS(Banco[valor],Banco[IdAgente],A43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43" s="92">
        <f>SUMIFS(Banco[valor],Banco[IdAgente],A43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43" s="92">
        <f>SUMIFS(Banco[valor],Banco[IdAgente],A43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43" s="92">
        <f>SUMIFS(Banco[valor],Banco[IdAgente],A43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43" s="92">
        <f>SUMIFS(Banco[valor],Banco[IdAgente],A43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43" s="92">
        <f>SUMIFS(Banco[valor],Banco[IdAgente],A43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43" s="143">
        <f>SUMIFS(Banco[valor],Banco[IdAgente],A43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43" s="93">
        <f t="shared" si="0"/>
        <v>0</v>
      </c>
      <c r="L43" s="3" t="str">
        <f t="shared" si="1"/>
        <v>Creluz</v>
      </c>
      <c r="M43" s="93">
        <f>(SUMIFS(Banco[valor],Banco[IdAgente],A43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44" spans="1:14" ht="15" hidden="1" customHeight="1">
      <c r="A44" t="str">
        <f>Efeito!B42</f>
        <v>NO SELECT</v>
      </c>
      <c r="B44" s="3" t="s">
        <v>210</v>
      </c>
      <c r="C44" s="92">
        <f>SUMIFS(Banco[valor],Banco[IdAgente],A44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44" s="92">
        <f>SUMIFS(Banco[valor],Banco[IdAgente],A44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44" s="92">
        <f>SUMIFS(Banco[valor],Banco[IdAgente],A44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44" s="92">
        <f>SUMIFS(Banco[valor],Banco[IdAgente],A44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44" s="92">
        <f>SUMIFS(Banco[valor],Banco[IdAgente],A44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44" s="92">
        <f>SUMIFS(Banco[valor],Banco[IdAgente],A44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44" s="143">
        <f>SUMIFS(Banco[valor],Banco[IdAgente],A44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44" s="93">
        <f t="shared" si="0"/>
        <v>0</v>
      </c>
      <c r="L44" s="3" t="str">
        <f t="shared" si="1"/>
        <v>Creral</v>
      </c>
      <c r="M44" s="93">
        <f>(SUMIFS(Banco[valor],Banco[IdAgente],A44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45" spans="1:14" ht="15" hidden="1" customHeight="1">
      <c r="A45" t="str">
        <f>Efeito!B43</f>
        <v>NO SELECT</v>
      </c>
      <c r="B45" s="3" t="s">
        <v>213</v>
      </c>
      <c r="C45" s="92">
        <f>SUMIFS(Banco[valor],Banco[IdAgente],A45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45" s="92">
        <f>SUMIFS(Banco[valor],Banco[IdAgente],A45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45" s="92">
        <f>SUMIFS(Banco[valor],Banco[IdAgente],A45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45" s="92">
        <f>SUMIFS(Banco[valor],Banco[IdAgente],A45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45" s="92">
        <f>SUMIFS(Banco[valor],Banco[IdAgente],A45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45" s="92">
        <f>SUMIFS(Banco[valor],Banco[IdAgente],A45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45" s="304">
        <v>297916.87208405667</v>
      </c>
      <c r="J45" s="93">
        <f t="shared" si="0"/>
        <v>297916.87208405667</v>
      </c>
      <c r="L45" s="3" t="str">
        <f t="shared" si="1"/>
        <v>Cerci</v>
      </c>
      <c r="M45" s="93">
        <f>(SUMIFS(Banco[valor],Banco[IdAgente],A45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46" spans="1:14" ht="15" hidden="1" customHeight="1">
      <c r="A46" t="str">
        <f>Efeito!B44</f>
        <v>NO SELECT</v>
      </c>
      <c r="B46" s="3" t="s">
        <v>215</v>
      </c>
      <c r="C46" s="92">
        <f>SUMIFS(Banco[valor],Banco[IdAgente],A46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46" s="92">
        <f>SUMIFS(Banco[valor],Banco[IdAgente],A46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46" s="92">
        <f>SUMIFS(Banco[valor],Banco[IdAgente],A46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46" s="92">
        <f>SUMIFS(Banco[valor],Banco[IdAgente],A46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46" s="92">
        <f>SUMIFS(Banco[valor],Banco[IdAgente],A46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46" s="92">
        <f>SUMIFS(Banco[valor],Banco[IdAgente],A46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46" s="143">
        <f>SUMIFS(Banco[valor],Banco[IdAgente],A46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46" s="93">
        <f t="shared" si="0"/>
        <v>0</v>
      </c>
      <c r="L46" s="3" t="str">
        <f t="shared" si="1"/>
        <v>Ceral Araruama</v>
      </c>
      <c r="M46" s="93">
        <f>(SUMIFS(Banco[valor],Banco[IdAgente],A46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47" spans="1:14" ht="15" hidden="1" customHeight="1">
      <c r="A47" t="str">
        <f>Efeito!B45</f>
        <v>NO SELECT</v>
      </c>
      <c r="B47" s="3" t="s">
        <v>217</v>
      </c>
      <c r="C47" s="92">
        <f>SUMIFS(Banco[valor],Banco[IdAgente],A47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47" s="92">
        <f>SUMIFS(Banco[valor],Banco[IdAgente],A47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47" s="92">
        <f>SUMIFS(Banco[valor],Banco[IdAgente],A47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47" s="92">
        <f>SUMIFS(Banco[valor],Banco[IdAgente],A47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47" s="92">
        <f>SUMIFS(Banco[valor],Banco[IdAgente],A47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47" s="92">
        <f>SUMIFS(Banco[valor],Banco[IdAgente],A47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47" s="143">
        <f>SUMIFS(Banco[valor],Banco[IdAgente],A47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47" s="93">
        <f t="shared" si="0"/>
        <v>0</v>
      </c>
      <c r="L47" s="3" t="str">
        <f t="shared" si="1"/>
        <v>Cerfox</v>
      </c>
      <c r="M47" s="93">
        <f>(SUMIFS(Banco[valor],Banco[IdAgente],A47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48" spans="1:14" ht="15" hidden="1" customHeight="1">
      <c r="A48" t="str">
        <f>Efeito!B46</f>
        <v>NO SELECT</v>
      </c>
      <c r="B48" s="3" t="s">
        <v>219</v>
      </c>
      <c r="C48" s="92">
        <f>SUMIFS(Banco[valor],Banco[IdAgente],A48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48" s="92">
        <f>SUMIFS(Banco[valor],Banco[IdAgente],A48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48" s="92">
        <f>SUMIFS(Banco[valor],Banco[IdAgente],A48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48" s="92">
        <f>SUMIFS(Banco[valor],Banco[IdAgente],A48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48" s="92">
        <f>SUMIFS(Banco[valor],Banco[IdAgente],A48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48" s="92">
        <f>SUMIFS(Banco[valor],Banco[IdAgente],A48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48" s="143">
        <f>SUMIFS(Banco[valor],Banco[IdAgente],A48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48" s="93">
        <f t="shared" si="0"/>
        <v>0</v>
      </c>
      <c r="L48" s="3" t="str">
        <f t="shared" si="1"/>
        <v>Certhil</v>
      </c>
      <c r="M48" s="93">
        <f>(SUMIFS(Banco[valor],Banco[IdAgente],A48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49" spans="1:13" ht="15" hidden="1" customHeight="1">
      <c r="A49" t="str">
        <f>Efeito!B47</f>
        <v>NO SELECT</v>
      </c>
      <c r="B49" s="3" t="s">
        <v>221</v>
      </c>
      <c r="C49" s="92">
        <f>SUMIFS(Banco[valor],Banco[IdAgente],A49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49" s="92">
        <f>SUMIFS(Banco[valor],Banco[IdAgente],A49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49" s="92">
        <f>SUMIFS(Banco[valor],Banco[IdAgente],A49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49" s="92">
        <f>SUMIFS(Banco[valor],Banco[IdAgente],A49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49" s="92">
        <f>SUMIFS(Banco[valor],Banco[IdAgente],A49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49" s="92">
        <f>SUMIFS(Banco[valor],Banco[IdAgente],A49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49" s="143">
        <f>SUMIFS(Banco[valor],Banco[IdAgente],A49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49" s="93">
        <f t="shared" si="0"/>
        <v>0</v>
      </c>
      <c r="L49" s="3" t="str">
        <f t="shared" si="1"/>
        <v>Castro Dis</v>
      </c>
      <c r="M49" s="93">
        <f>(SUMIFS(Banco[valor],Banco[IdAgente],A49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50" spans="1:13" ht="15" hidden="1" customHeight="1">
      <c r="A50" t="str">
        <f>Efeito!B48</f>
        <v>NO SELECT</v>
      </c>
      <c r="B50" s="3" t="s">
        <v>223</v>
      </c>
      <c r="C50" s="92">
        <f>SUMIFS(Banco[valor],Banco[IdAgente],A50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50" s="92">
        <f>SUMIFS(Banco[valor],Banco[IdAgente],A50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50" s="92">
        <f>SUMIFS(Banco[valor],Banco[IdAgente],A50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50" s="92">
        <f>SUMIFS(Banco[valor],Banco[IdAgente],A50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50" s="92">
        <f>SUMIFS(Banco[valor],Banco[IdAgente],A50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50" s="92">
        <f>SUMIFS(Banco[valor],Banco[IdAgente],A50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50" s="143">
        <f>SUMIFS(Banco[valor],Banco[IdAgente],A50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50" s="93">
        <f t="shared" si="0"/>
        <v>0</v>
      </c>
      <c r="L50" s="3" t="str">
        <f t="shared" si="1"/>
        <v>Cervam</v>
      </c>
      <c r="M50" s="93">
        <f>(SUMIFS(Banco[valor],Banco[IdAgente],A50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51" spans="1:13" ht="15" hidden="1" customHeight="1">
      <c r="A51" t="str">
        <f>Efeito!B49</f>
        <v>NO SELECT</v>
      </c>
      <c r="B51" s="3" t="s">
        <v>225</v>
      </c>
      <c r="C51" s="92">
        <f>SUMIFS(Banco[valor],Banco[IdAgente],A51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51" s="92">
        <f>SUMIFS(Banco[valor],Banco[IdAgente],A51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51" s="92">
        <f>SUMIFS(Banco[valor],Banco[IdAgente],A51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51" s="92">
        <f>SUMIFS(Banco[valor],Banco[IdAgente],A51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51" s="92">
        <f>SUMIFS(Banco[valor],Banco[IdAgente],A51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51" s="92">
        <f>SUMIFS(Banco[valor],Banco[IdAgente],A51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51" s="143">
        <f>SUMIFS(Banco[valor],Banco[IdAgente],A51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51" s="93">
        <f t="shared" si="0"/>
        <v>0</v>
      </c>
      <c r="L51" s="3" t="str">
        <f t="shared" si="1"/>
        <v>Cegero</v>
      </c>
      <c r="M51" s="93">
        <f>(SUMIFS(Banco[valor],Banco[IdAgente],A51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52" spans="1:13" ht="15" hidden="1" customHeight="1">
      <c r="A52" t="str">
        <f>Efeito!B50</f>
        <v>NO SELECT</v>
      </c>
      <c r="B52" s="3" t="s">
        <v>227</v>
      </c>
      <c r="C52" s="92">
        <f>SUMIFS(Banco[valor],Banco[IdAgente],A52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52" s="92">
        <f>SUMIFS(Banco[valor],Banco[IdAgente],A52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52" s="92">
        <f>SUMIFS(Banco[valor],Banco[IdAgente],A52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52" s="92">
        <f>SUMIFS(Banco[valor],Banco[IdAgente],A52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52" s="92">
        <f>SUMIFS(Banco[valor],Banco[IdAgente],A52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52" s="92">
        <f>SUMIFS(Banco[valor],Banco[IdAgente],A52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52" s="143">
        <f>SUMIFS(Banco[valor],Banco[IdAgente],A52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52" s="93">
        <f t="shared" si="0"/>
        <v>0</v>
      </c>
      <c r="L52" s="3" t="str">
        <f t="shared" si="1"/>
        <v>Cersad</v>
      </c>
      <c r="M52" s="93">
        <f>(SUMIFS(Banco[valor],Banco[IdAgente],A52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53" spans="1:13" ht="15" hidden="1" customHeight="1">
      <c r="A53" t="str">
        <f>Efeito!B51</f>
        <v>NO SELECT</v>
      </c>
      <c r="B53" s="3" t="s">
        <v>229</v>
      </c>
      <c r="C53" s="92">
        <f>SUMIFS(Banco[valor],Banco[IdAgente],A53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53" s="92">
        <f>SUMIFS(Banco[valor],Banco[IdAgente],A53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53" s="92">
        <f>SUMIFS(Banco[valor],Banco[IdAgente],A53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53" s="92">
        <f>SUMIFS(Banco[valor],Banco[IdAgente],A53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53" s="92">
        <f>SUMIFS(Banco[valor],Banco[IdAgente],A53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53" s="92">
        <f>SUMIFS(Banco[valor],Banco[IdAgente],A53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53" s="143">
        <f>SUMIFS(Banco[valor],Banco[IdAgente],A53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53" s="93">
        <f t="shared" si="0"/>
        <v>0</v>
      </c>
      <c r="L53" s="3" t="str">
        <f t="shared" si="1"/>
        <v>Codesam</v>
      </c>
      <c r="M53" s="93">
        <f>(SUMIFS(Banco[valor],Banco[IdAgente],A53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54" spans="1:13" ht="15" hidden="1" customHeight="1">
      <c r="A54" t="str">
        <f>Efeito!B52</f>
        <v>NO SELECT</v>
      </c>
      <c r="B54" s="3" t="s">
        <v>231</v>
      </c>
      <c r="C54" s="92">
        <f>SUMIFS(Banco[valor],Banco[IdAgente],A54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54" s="92">
        <f>SUMIFS(Banco[valor],Banco[IdAgente],A54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54" s="92">
        <f>SUMIFS(Banco[valor],Banco[IdAgente],A54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54" s="92">
        <f>SUMIFS(Banco[valor],Banco[IdAgente],A54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54" s="92">
        <f>SUMIFS(Banco[valor],Banco[IdAgente],A54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54" s="92">
        <f>SUMIFS(Banco[valor],Banco[IdAgente],A54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54" s="143">
        <f>SUMIFS(Banco[valor],Banco[IdAgente],A54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54" s="93">
        <f t="shared" si="0"/>
        <v>0</v>
      </c>
      <c r="L54" s="3" t="str">
        <f t="shared" si="1"/>
        <v>Cooperzem</v>
      </c>
      <c r="M54" s="93">
        <f>(SUMIFS(Banco[valor],Banco[IdAgente],A54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55" spans="1:13" ht="15" customHeight="1">
      <c r="A55">
        <f>Efeito!B53</f>
        <v>5346</v>
      </c>
      <c r="B55" s="3" t="s">
        <v>277</v>
      </c>
      <c r="C55" s="92">
        <f>SUMIFS(Banco[valor],Banco[IdAgente],A55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55" s="92">
        <f>SUMIFS(Banco[valor],Banco[IdAgente],A55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55" s="92">
        <f>SUMIFS(Banco[valor],Banco[IdAgente],A55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55" s="92">
        <f>SUMIFS(Banco[valor],Banco[IdAgente],A55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-365.44614076819101</v>
      </c>
      <c r="G55" s="92">
        <f>SUMIFS(Banco[valor],Banco[IdAgente],A55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2220.55160432106</v>
      </c>
      <c r="H55" s="92">
        <f>SUMIFS(Banco[valor],Banco[IdAgente],A55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41269.915017195497</v>
      </c>
      <c r="I55" s="143">
        <f>SUMIFS(Banco[valor],Banco[IdAgente],A55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48094.0631709523</v>
      </c>
      <c r="J55" s="93">
        <f t="shared" si="0"/>
        <v>91219.083651700668</v>
      </c>
      <c r="L55" s="3" t="str">
        <f t="shared" si="1"/>
        <v>Coopersul</v>
      </c>
      <c r="M55" s="93">
        <f>(SUMIFS(Banco[valor],Banco[IdAgente],A55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930205.90394809993</v>
      </c>
    </row>
    <row r="56" spans="1:13" ht="15" customHeight="1">
      <c r="A56">
        <f>Efeito!B54</f>
        <v>5345</v>
      </c>
      <c r="B56" s="3" t="s">
        <v>234</v>
      </c>
      <c r="C56" s="92">
        <f>SUMIFS(Banco[valor],Banco[IdAgente],A56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56" s="92">
        <f>SUMIFS(Banco[valor],Banco[IdAgente],A56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56" s="92">
        <f>SUMIFS(Banco[valor],Banco[IdAgente],A56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56" s="92">
        <f>SUMIFS(Banco[valor],Banco[IdAgente],A56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56" s="92">
        <f>SUMIFS(Banco[valor],Banco[IdAgente],A56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-872.28192574180605</v>
      </c>
      <c r="H56" s="92">
        <f>SUMIFS(Banco[valor],Banco[IdAgente],A56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56" s="143">
        <f>SUMIFS(Banco[valor],Banco[IdAgente],A56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104392.362879541</v>
      </c>
      <c r="J56" s="93">
        <f>SUM(C56:I56)</f>
        <v>103520.0809537992</v>
      </c>
      <c r="L56" s="3" t="str">
        <f t="shared" si="1"/>
        <v>Coopernorte</v>
      </c>
      <c r="M56" s="93">
        <f>(SUMIFS(Banco[valor],Banco[IdAgente],A56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554678.42937900743</v>
      </c>
    </row>
    <row r="57" spans="1:13" ht="15" hidden="1" customHeight="1">
      <c r="A57" t="str">
        <f>Efeito!B55</f>
        <v>NO SELECT</v>
      </c>
      <c r="B57" s="2" t="s">
        <v>286</v>
      </c>
      <c r="C57" s="92">
        <f>SUMIFS(Banco[valor],Banco[IdAgente],A57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57" s="92">
        <f>SUMIFS(Banco[valor],Banco[IdAgente],A57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57" s="92">
        <f>SUMIFS(Banco[valor],Banco[IdAgente],A57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57" s="92">
        <f>SUMIFS(Banco[valor],Banco[IdAgente],A57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57" s="92">
        <f>SUMIFS(Banco[valor],Banco[IdAgente],A57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57" s="92">
        <f>SUMIFS(Banco[valor],Banco[IdAgente],A57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57" s="143">
        <f>SUMIFS(Banco[valor],Banco[IdAgente],A57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57" s="93">
        <f t="shared" si="0"/>
        <v>0</v>
      </c>
      <c r="L57" s="3" t="str">
        <f t="shared" si="1"/>
        <v>Cemirim</v>
      </c>
      <c r="M57" s="93">
        <f>(SUMIFS(Banco[valor],Banco[IdAgente],A57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  <row r="58" spans="1:13" hidden="1">
      <c r="A58" t="str">
        <f>Efeito!B56</f>
        <v>NO SELECT</v>
      </c>
      <c r="B58" s="1" t="s">
        <v>302</v>
      </c>
      <c r="C58" s="262">
        <f>SUMIFS(Banco[valor],Banco[IdAgente],A58,Banco[id_natureza_dado],3,Banco[id_detalhe_natureza],99,Banco[idDet1],24,Banco[idDet2],79,Banco[idDet3],110,Banco[id_grupo_tarifa],99,Banco[id_detalhe_grupo_tarifa],999,Banco[id_tipo_tarifa],9,Banco[id_subgrupo],99,Banco[id_posto],9,Banco[id_unidade],3,Banco[id_UC],99999)</f>
        <v>0</v>
      </c>
      <c r="D58" s="262">
        <f>SUMIFS(Banco[valor],Banco[IdAgente],A58,Banco[id_natureza_dado],3,Banco[id_detalhe_natureza],99,Banco[idDet1],24,Banco[idDet2],79,Banco[idDet3],111,Banco[id_grupo_tarifa],99,Banco[id_detalhe_grupo_tarifa],999,Banco[id_tipo_tarifa],9,Banco[id_subgrupo],99,Banco[id_posto],9,Banco[id_unidade],3,Banco[id_UC],99999)</f>
        <v>0</v>
      </c>
      <c r="E58" s="262">
        <f>SUMIFS(Banco[valor],Banco[IdAgente],A58,Banco[id_natureza_dado],3,Banco[id_detalhe_natureza],99,Banco[idDet1],24,Banco[idDet2],79,Banco[idDet3],182,Banco[id_grupo_tarifa],99,Banco[id_detalhe_grupo_tarifa],999,Banco[id_tipo_tarifa],9,Banco[id_subgrupo],99,Banco[id_posto],9,Banco[id_unidade],3,Banco[id_UC],99999)</f>
        <v>0</v>
      </c>
      <c r="F58" s="262">
        <f>SUMIFS(Banco[valor],Banco[IdAgente],A58,Banco[id_natureza_dado],3,Banco[id_detalhe_natureza],99,Banco[idDet1],24,Banco[idDet2],79,Banco[idDet3],183,Banco[id_grupo_tarifa],99,Banco[id_detalhe_grupo_tarifa],999,Banco[id_tipo_tarifa],9,Banco[id_subgrupo],99,Banco[id_posto],9,Banco[id_unidade],3,Banco[id_UC],99999)</f>
        <v>0</v>
      </c>
      <c r="G58" s="262">
        <f>SUMIFS(Banco[valor],Banco[IdAgente],A58,Banco[id_natureza_dado],3,Banco[id_detalhe_natureza],99,Banco[idDet1],24,Banco[idDet2],79,Banco[idDet3],184,Banco[id_grupo_tarifa],99,Banco[id_detalhe_grupo_tarifa],999,Banco[id_tipo_tarifa],9,Banco[id_subgrupo],99,Banco[id_posto],9,Banco[id_unidade],3,Banco[id_UC],99999)</f>
        <v>0</v>
      </c>
      <c r="H58" s="262">
        <f>SUMIFS(Banco[valor],Banco[IdAgente],A58,Banco[id_natureza_dado],3,Banco[id_detalhe_natureza],99,Banco[idDet1],24,Banco[idDet2],79,Banco[idDet3],112,Banco[id_grupo_tarifa],99,Banco[id_detalhe_grupo_tarifa],999,Banco[id_tipo_tarifa],9,Banco[id_subgrupo],99,Banco[id_posto],9,Banco[id_unidade],3,Banco[id_UC],99999)</f>
        <v>0</v>
      </c>
      <c r="I58" s="325">
        <f>SUMIFS(Banco[valor],Banco[IdAgente],A58,Banco[id_natureza_dado],3,Banco[id_detalhe_natureza],99,Banco[idDet1],24,Banco[idDet2],79,Banco[idDet3],198,Banco[id_grupo_tarifa],99,Banco[id_detalhe_grupo_tarifa],999,Banco[id_tipo_tarifa],9,Banco[id_subgrupo],99,Banco[id_posto],9,Banco[id_unidade],3,Banco[id_UC],99999)</f>
        <v>0</v>
      </c>
      <c r="J58" s="260">
        <f t="shared" si="0"/>
        <v>0</v>
      </c>
      <c r="L58" s="69" t="str">
        <f t="shared" si="1"/>
        <v>Celetro</v>
      </c>
      <c r="M58" s="87">
        <f>(SUMIFS(Banco[valor],Banco[IdAgente],A58,Banco[id_natureza_dado],2,Banco[id_detalhe_natureza],2,Banco[idDet1],22,Banco[idDet2],60,Banco[idDet3],242,Banco[id_grupo_tarifa],4,Banco[id_detalhe_grupo_tarifa],999,Banco[id_tipo_tarifa],9,Banco[id_subgrupo],99,Banco[id_posto],9,Banco[id_unidade],3,Banco[id_UC],99999))/-12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8">
    <tabColor theme="7" tint="0.59999389629810485"/>
  </sheetPr>
  <dimension ref="A2:AK430"/>
  <sheetViews>
    <sheetView zoomScale="55" zoomScaleNormal="55" workbookViewId="0">
      <selection activeCell="L91" sqref="L91"/>
    </sheetView>
  </sheetViews>
  <sheetFormatPr defaultColWidth="9.08984375" defaultRowHeight="14.5"/>
  <cols>
    <col min="1" max="1" width="11.54296875" customWidth="1"/>
    <col min="2" max="2" width="12.54296875" bestFit="1" customWidth="1"/>
    <col min="3" max="3" width="8.54296875" customWidth="1"/>
    <col min="4" max="4" width="10.54296875" bestFit="1" customWidth="1"/>
    <col min="5" max="5" width="13.08984375" bestFit="1" customWidth="1"/>
    <col min="6" max="6" width="13.54296875" bestFit="1" customWidth="1"/>
    <col min="7" max="7" width="10.90625" customWidth="1"/>
    <col min="8" max="8" width="9.453125" hidden="1" customWidth="1"/>
    <col min="9" max="9" width="8.453125" hidden="1" customWidth="1"/>
    <col min="10" max="10" width="18.90625" bestFit="1" customWidth="1"/>
    <col min="11" max="11" width="13.54296875" customWidth="1"/>
    <col min="12" max="12" width="9.54296875" bestFit="1" customWidth="1"/>
    <col min="13" max="13" width="9.54296875" customWidth="1"/>
    <col min="14" max="14" width="15.90625" customWidth="1"/>
    <col min="15" max="15" width="17.453125" bestFit="1" customWidth="1"/>
    <col min="16" max="16" width="14" customWidth="1"/>
    <col min="17" max="17" width="14.54296875" style="102" customWidth="1"/>
    <col min="18" max="18" width="12" bestFit="1" customWidth="1"/>
    <col min="19" max="20" width="12.90625" hidden="1" customWidth="1"/>
    <col min="21" max="21" width="12.54296875" style="4" bestFit="1" customWidth="1"/>
    <col min="22" max="23" width="9.08984375" style="4"/>
    <col min="24" max="24" width="15" customWidth="1"/>
    <col min="25" max="25" width="34.54296875" bestFit="1" customWidth="1"/>
    <col min="26" max="26" width="17.453125" customWidth="1"/>
    <col min="27" max="27" width="24.54296875" customWidth="1"/>
    <col min="28" max="28" width="23.90625" customWidth="1"/>
    <col min="29" max="29" width="24.54296875" customWidth="1"/>
    <col min="30" max="30" width="28.54296875" customWidth="1"/>
    <col min="31" max="31" width="23.453125" customWidth="1"/>
    <col min="32" max="33" width="25" customWidth="1"/>
    <col min="34" max="34" width="12.54296875" bestFit="1" customWidth="1"/>
    <col min="35" max="35" width="13.54296875" bestFit="1" customWidth="1"/>
    <col min="36" max="36" width="14.453125" bestFit="1" customWidth="1"/>
    <col min="37" max="37" width="6" bestFit="1" customWidth="1"/>
    <col min="38" max="38" width="5.54296875" bestFit="1" customWidth="1"/>
  </cols>
  <sheetData>
    <row r="2" spans="1:24">
      <c r="E2" t="s">
        <v>100</v>
      </c>
      <c r="J2" t="s">
        <v>530</v>
      </c>
      <c r="P2" t="s">
        <v>101</v>
      </c>
      <c r="Q2" s="427" t="s">
        <v>657</v>
      </c>
      <c r="R2" s="427"/>
      <c r="S2" s="427"/>
      <c r="T2" s="427"/>
      <c r="U2" s="427"/>
      <c r="V2" s="427"/>
      <c r="W2" s="427"/>
      <c r="X2" s="427"/>
    </row>
    <row r="3" spans="1:24" ht="15" thickBot="1">
      <c r="F3" s="291" t="s">
        <v>656</v>
      </c>
      <c r="G3" s="383" t="s">
        <v>658</v>
      </c>
      <c r="U3" s="255">
        <v>4</v>
      </c>
      <c r="V3" s="255">
        <v>2</v>
      </c>
      <c r="W3" s="255">
        <v>1</v>
      </c>
      <c r="X3" s="255"/>
    </row>
    <row r="4" spans="1:24" ht="55.5" customHeight="1">
      <c r="B4" t="s">
        <v>491</v>
      </c>
      <c r="C4" t="s">
        <v>46</v>
      </c>
      <c r="D4" t="s">
        <v>248</v>
      </c>
      <c r="E4" s="358" t="s">
        <v>11</v>
      </c>
      <c r="F4" s="359" t="s">
        <v>46</v>
      </c>
      <c r="G4" s="359" t="s">
        <v>78</v>
      </c>
      <c r="H4" s="359" t="s">
        <v>79</v>
      </c>
      <c r="I4" s="359" t="s">
        <v>80</v>
      </c>
      <c r="J4" s="359" t="s">
        <v>698</v>
      </c>
      <c r="K4" s="360" t="s">
        <v>81</v>
      </c>
      <c r="L4" s="187"/>
      <c r="M4" s="187"/>
      <c r="N4" t="s">
        <v>514</v>
      </c>
      <c r="O4" t="s">
        <v>515</v>
      </c>
      <c r="P4" s="126" t="s">
        <v>11</v>
      </c>
      <c r="Q4" s="126" t="s">
        <v>46</v>
      </c>
      <c r="R4" s="126" t="s">
        <v>78</v>
      </c>
      <c r="S4" s="126" t="s">
        <v>79</v>
      </c>
      <c r="T4" s="126" t="s">
        <v>80</v>
      </c>
      <c r="U4" s="126" t="s">
        <v>82</v>
      </c>
      <c r="V4" s="126" t="s">
        <v>83</v>
      </c>
      <c r="W4" s="126" t="s">
        <v>84</v>
      </c>
      <c r="X4" s="126" t="s">
        <v>81</v>
      </c>
    </row>
    <row r="5" spans="1:24" ht="14.4" hidden="1" customHeight="1">
      <c r="A5" s="89">
        <f>VLOOKUP(E5,Fatos!$L$16:$V$67,11,FALSE)</f>
        <v>45260</v>
      </c>
      <c r="B5" s="302">
        <f t="shared" ref="B5:B36" si="0">VLOOKUP(G5,$B$85:$C$98,2,FALSE)</f>
        <v>5</v>
      </c>
      <c r="C5" s="278">
        <v>385</v>
      </c>
      <c r="D5" s="278" t="str">
        <f>VLOOKUP(E5,Efeito!$A$5:$B$56,2,FALSE)</f>
        <v>NO SELECT</v>
      </c>
      <c r="E5" s="361" t="s">
        <v>147</v>
      </c>
      <c r="F5" s="94" t="s">
        <v>145</v>
      </c>
      <c r="G5" s="94" t="s">
        <v>85</v>
      </c>
      <c r="H5" s="95">
        <v>0</v>
      </c>
      <c r="I5" s="95">
        <f>SUMIFS(Banco[valor],Banco[IdAgente],D5,Banco[id_natureza_dado],1,Banco[id_detalhe_natureza],1,Banco[idDet1],15,Banco[idDet2],143,Banco[idDet3],999,Banco[id_grupo_tarifa],2,Banco[id_detalhe_grupo_tarifa],999,Banco[id_tipo_tarifa],9,Banco[id_subgrupo],B5,Banco[id_posto],9,Banco[id_unidade],4,Banco[id_UC],C5)</f>
        <v>0</v>
      </c>
      <c r="J5" s="309">
        <f>SUMIFS(Banco[valor],Banco[IdAgente],D5,Banco[id_natureza_dado],1,Banco[id_detalhe_natureza],1,Banco[idDet1],15,Banco[idDet2],144,Banco[idDet3],999,Banco[id_grupo_tarifa],2,Banco[id_detalhe_grupo_tarifa],999,Banco[id_tipo_tarifa],9,Banco[id_subgrupo],B5,Banco[id_posto],9,Banco[id_unidade],5,Banco[id_UC],C5)</f>
        <v>0</v>
      </c>
      <c r="K5" s="362" t="str">
        <f>VLOOKUP(C5,'BD2'!$BD$2:$BG$100,4,FALSE)</f>
        <v>REH 3253/2023</v>
      </c>
      <c r="L5" s="188">
        <f t="shared" ref="L5:L41" si="1">J5/(1-I5)</f>
        <v>0</v>
      </c>
      <c r="M5" s="188"/>
      <c r="N5" s="278">
        <f t="shared" ref="N5:N36" si="2">B5+1</f>
        <v>6</v>
      </c>
      <c r="O5" s="278" t="str">
        <f>N5&amp;D5</f>
        <v>6NO SELECT</v>
      </c>
      <c r="P5" s="308" t="s">
        <v>147</v>
      </c>
      <c r="Q5" s="94" t="s">
        <v>145</v>
      </c>
      <c r="R5" s="94" t="s">
        <v>85</v>
      </c>
      <c r="S5" s="101">
        <v>0</v>
      </c>
      <c r="T5" s="101" t="e">
        <v>#N/A</v>
      </c>
      <c r="U5" s="309" t="e">
        <f>VLOOKUP($U$3&amp;O5&amp;C5,'BD2'!$BV$2:$CB$200,7,FALSE)</f>
        <v>#N/A</v>
      </c>
      <c r="V5" s="309" t="e">
        <f>VLOOKUP($V$3&amp;O5&amp;C5,'BD2'!$BV$2:$CB$200,7,FALSE)</f>
        <v>#N/A</v>
      </c>
      <c r="W5" s="309" t="e">
        <f>VLOOKUP($W$3&amp;O5&amp;C5,'BD2'!$BV$2:$CB$200,7,FALSE)</f>
        <v>#N/A</v>
      </c>
      <c r="X5" s="94" t="str">
        <f t="shared" ref="X5:X67" si="3">K5</f>
        <v>REH 3253/2023</v>
      </c>
    </row>
    <row r="6" spans="1:24" ht="14.4" hidden="1" customHeight="1">
      <c r="A6" s="89">
        <f>VLOOKUP(E6,Fatos!$L$16:$V$67,11,FALSE)</f>
        <v>45260</v>
      </c>
      <c r="B6" s="302">
        <f t="shared" si="0"/>
        <v>5</v>
      </c>
      <c r="C6" s="278">
        <v>391</v>
      </c>
      <c r="D6" s="278" t="str">
        <f>VLOOKUP(E6,Efeito!$A$5:$B$56,2,FALSE)</f>
        <v>NO SELECT</v>
      </c>
      <c r="E6" s="363" t="s">
        <v>147</v>
      </c>
      <c r="F6" s="94" t="s">
        <v>258</v>
      </c>
      <c r="G6" s="94" t="s">
        <v>85</v>
      </c>
      <c r="H6" s="95">
        <v>0</v>
      </c>
      <c r="I6" s="95">
        <f>SUMIFS(Banco[valor],Banco[IdAgente],D6,Banco[id_natureza_dado],1,Banco[id_detalhe_natureza],1,Banco[idDet1],15,Banco[idDet2],143,Banco[idDet3],999,Banco[id_grupo_tarifa],2,Banco[id_detalhe_grupo_tarifa],999,Banco[id_tipo_tarifa],9,Banco[id_subgrupo],B6,Banco[id_posto],9,Banco[id_unidade],4,Banco[id_UC],C6)</f>
        <v>0</v>
      </c>
      <c r="J6" s="309">
        <f>SUMIFS(Banco[valor],Banco[IdAgente],D6,Banco[id_natureza_dado],1,Banco[id_detalhe_natureza],1,Banco[idDet1],15,Banco[idDet2],144,Banco[idDet3],999,Banco[id_grupo_tarifa],2,Banco[id_detalhe_grupo_tarifa],999,Banco[id_tipo_tarifa],9,Banco[id_subgrupo],B6,Banco[id_posto],9,Banco[id_unidade],5,Banco[id_UC],C6)</f>
        <v>0</v>
      </c>
      <c r="K6" s="362" t="str">
        <f>VLOOKUP(C6,'BD2'!$BD$2:$BG$100,4,FALSE)</f>
        <v>REH 3278/2023</v>
      </c>
      <c r="L6" s="188">
        <f t="shared" si="1"/>
        <v>0</v>
      </c>
      <c r="M6" s="188"/>
      <c r="N6" s="278">
        <f t="shared" si="2"/>
        <v>6</v>
      </c>
      <c r="O6" s="278" t="str">
        <f t="shared" ref="O6:O69" si="4">N6&amp;D6</f>
        <v>6NO SELECT</v>
      </c>
      <c r="P6" s="308" t="s">
        <v>147</v>
      </c>
      <c r="Q6" s="94" t="s">
        <v>258</v>
      </c>
      <c r="R6" s="94" t="s">
        <v>85</v>
      </c>
      <c r="S6" s="101">
        <v>0</v>
      </c>
      <c r="T6" s="101" t="e">
        <v>#N/A</v>
      </c>
      <c r="U6" s="309" t="e">
        <f>VLOOKUP($U$3&amp;O6&amp;C6,'BD2'!$BV$2:$CB$200,7,FALSE)</f>
        <v>#N/A</v>
      </c>
      <c r="V6" s="309" t="e">
        <f>VLOOKUP($V$3&amp;O6&amp;C6,'BD2'!$BV$2:$CB$200,7,FALSE)</f>
        <v>#N/A</v>
      </c>
      <c r="W6" s="309" t="e">
        <f>VLOOKUP($W$3&amp;O6&amp;C6,'BD2'!$BV$2:$CB$200,7,FALSE)</f>
        <v>#N/A</v>
      </c>
      <c r="X6" s="94" t="str">
        <f t="shared" si="3"/>
        <v>REH 3278/2023</v>
      </c>
    </row>
    <row r="7" spans="1:24" ht="14.4" hidden="1" customHeight="1">
      <c r="A7" s="89">
        <f>VLOOKUP(E7,Fatos!$L$16:$V$67,11,FALSE)</f>
        <v>45199</v>
      </c>
      <c r="B7" s="302">
        <f t="shared" si="0"/>
        <v>5</v>
      </c>
      <c r="C7" s="278">
        <v>385</v>
      </c>
      <c r="D7" s="278" t="str">
        <f>VLOOKUP(E7,Efeito!$A$5:$B$56,2,FALSE)</f>
        <v>NO SELECT</v>
      </c>
      <c r="E7" s="361" t="s">
        <v>51</v>
      </c>
      <c r="F7" s="94" t="s">
        <v>145</v>
      </c>
      <c r="G7" s="94" t="s">
        <v>85</v>
      </c>
      <c r="H7" s="95">
        <v>0</v>
      </c>
      <c r="I7" s="95">
        <f>SUMIFS(Banco[valor],Banco[IdAgente],D7,Banco[id_natureza_dado],1,Banco[id_detalhe_natureza],1,Banco[idDet1],15,Banco[idDet2],143,Banco[idDet3],999,Banco[id_grupo_tarifa],2,Banco[id_detalhe_grupo_tarifa],999,Banco[id_tipo_tarifa],9,Banco[id_subgrupo],B7,Banco[id_posto],9,Banco[id_unidade],4,Banco[id_UC],C7)</f>
        <v>0</v>
      </c>
      <c r="J7" s="309">
        <f>SUMIFS(Banco[valor],Banco[IdAgente],D7,Banco[id_natureza_dado],1,Banco[id_detalhe_natureza],1,Banco[idDet1],15,Banco[idDet2],144,Banco[idDet3],999,Banco[id_grupo_tarifa],2,Banco[id_detalhe_grupo_tarifa],999,Banco[id_tipo_tarifa],9,Banco[id_subgrupo],B7,Banco[id_posto],9,Banco[id_unidade],5,Banco[id_UC],C7)</f>
        <v>0</v>
      </c>
      <c r="K7" s="362" t="str">
        <f>VLOOKUP(C7,'BD2'!$BD$2:$BG$100,4,FALSE)</f>
        <v>REH 3253/2023</v>
      </c>
      <c r="L7" s="188">
        <f t="shared" si="1"/>
        <v>0</v>
      </c>
      <c r="M7" s="188"/>
      <c r="N7" s="278">
        <f>B7+1</f>
        <v>6</v>
      </c>
      <c r="O7" s="278" t="str">
        <f t="shared" si="4"/>
        <v>6NO SELECT</v>
      </c>
      <c r="P7" s="308" t="s">
        <v>51</v>
      </c>
      <c r="Q7" s="94" t="s">
        <v>145</v>
      </c>
      <c r="R7" s="94" t="s">
        <v>85</v>
      </c>
      <c r="S7" s="101">
        <v>0</v>
      </c>
      <c r="T7" s="101" t="e">
        <v>#N/A</v>
      </c>
      <c r="U7" s="309" t="e">
        <f>VLOOKUP($U$3&amp;O7&amp;C7,'BD2'!$BV$2:$CB$200,7,FALSE)</f>
        <v>#N/A</v>
      </c>
      <c r="V7" s="309" t="e">
        <f>VLOOKUP($V$3&amp;O7&amp;C7,'BD2'!$BV$2:$CB$200,7,FALSE)</f>
        <v>#N/A</v>
      </c>
      <c r="W7" s="309" t="e">
        <f>VLOOKUP($W$3&amp;O7&amp;C7,'BD2'!$BV$2:$CB$200,7,FALSE)</f>
        <v>#N/A</v>
      </c>
      <c r="X7" s="94" t="str">
        <f t="shared" si="3"/>
        <v>REH 3253/2023</v>
      </c>
    </row>
    <row r="8" spans="1:24" ht="14.4" hidden="1" customHeight="1">
      <c r="A8" s="89">
        <f>VLOOKUP(E8,Fatos!$L$16:$V$67,11,FALSE)</f>
        <v>45199</v>
      </c>
      <c r="B8" s="302">
        <f t="shared" si="0"/>
        <v>5</v>
      </c>
      <c r="C8" s="278">
        <v>5697</v>
      </c>
      <c r="D8" s="278" t="str">
        <f>VLOOKUP(E8,Efeito!$A$5:$B$56,2,FALSE)</f>
        <v>NO SELECT</v>
      </c>
      <c r="E8" s="361" t="s">
        <v>65</v>
      </c>
      <c r="F8" s="94" t="s">
        <v>146</v>
      </c>
      <c r="G8" s="94" t="s">
        <v>85</v>
      </c>
      <c r="H8" s="95">
        <v>0</v>
      </c>
      <c r="I8" s="95">
        <f>SUMIFS(Banco[valor],Banco[IdAgente],D8,Banco[id_natureza_dado],1,Banco[id_detalhe_natureza],1,Banco[idDet1],15,Banco[idDet2],143,Banco[idDet3],999,Banco[id_grupo_tarifa],2,Banco[id_detalhe_grupo_tarifa],999,Banco[id_tipo_tarifa],9,Banco[id_subgrupo],B8,Banco[id_posto],9,Banco[id_unidade],4,Banco[id_UC],C8)</f>
        <v>0</v>
      </c>
      <c r="J8" s="309">
        <f>SUMIFS(Banco[valor],Banco[IdAgente],D8,Banco[id_natureza_dado],1,Banco[id_detalhe_natureza],1,Banco[idDet1],15,Banco[idDet2],144,Banco[idDet3],999,Banco[id_grupo_tarifa],2,Banco[id_detalhe_grupo_tarifa],999,Banco[id_tipo_tarifa],9,Banco[id_subgrupo],B8,Banco[id_posto],9,Banco[id_unidade],5,Banco[id_UC],C8)</f>
        <v>0</v>
      </c>
      <c r="K8" s="362" t="str">
        <f>VLOOKUP(C8,'BD2'!$BD$2:$BG$100,4,FALSE)</f>
        <v>REH 3244/2023</v>
      </c>
      <c r="L8" s="188">
        <f t="shared" si="1"/>
        <v>0</v>
      </c>
      <c r="M8" s="188"/>
      <c r="N8" s="278">
        <f t="shared" si="2"/>
        <v>6</v>
      </c>
      <c r="O8" s="278" t="str">
        <f t="shared" si="4"/>
        <v>6NO SELECT</v>
      </c>
      <c r="P8" s="308" t="s">
        <v>65</v>
      </c>
      <c r="Q8" s="94" t="s">
        <v>146</v>
      </c>
      <c r="R8" s="94" t="s">
        <v>85</v>
      </c>
      <c r="S8" s="101">
        <v>0</v>
      </c>
      <c r="T8" s="101" t="e">
        <v>#N/A</v>
      </c>
      <c r="U8" s="309" t="e">
        <f>VLOOKUP($U$3&amp;O8&amp;C8,'BD2'!$BV$2:$CB$200,7,FALSE)</f>
        <v>#N/A</v>
      </c>
      <c r="V8" s="309" t="e">
        <f>VLOOKUP($V$3&amp;O8&amp;C8,'BD2'!$BV$2:$CB$200,7,FALSE)</f>
        <v>#N/A</v>
      </c>
      <c r="W8" s="309" t="e">
        <f>VLOOKUP($W$3&amp;O8&amp;C8,'BD2'!$BV$2:$CB$200,7,FALSE)</f>
        <v>#N/A</v>
      </c>
      <c r="X8" s="94" t="str">
        <f t="shared" si="3"/>
        <v>REH 3244/2023</v>
      </c>
    </row>
    <row r="9" spans="1:24" ht="14.4" customHeight="1">
      <c r="A9" s="89">
        <f>VLOOKUP(E9,Fatos!$L$16:$V$67,11,FALSE)</f>
        <v>45282</v>
      </c>
      <c r="B9" s="302">
        <f t="shared" si="0"/>
        <v>3</v>
      </c>
      <c r="C9" s="278">
        <v>5697</v>
      </c>
      <c r="D9" s="278">
        <f>VLOOKUP(E9,Efeito!$A$5:$B$56,2,FALSE)</f>
        <v>5367</v>
      </c>
      <c r="E9" s="361" t="s">
        <v>150</v>
      </c>
      <c r="F9" s="94" t="s">
        <v>146</v>
      </c>
      <c r="G9" s="94" t="s">
        <v>87</v>
      </c>
      <c r="H9" s="95">
        <v>0</v>
      </c>
      <c r="I9" s="95">
        <f>SUMIFS(Banco[valor],Banco[IdAgente],D9,Banco[id_natureza_dado],1,Banco[id_detalhe_natureza],1,Banco[idDet1],15,Banco[idDet2],143,Banco[idDet3],999,Banco[id_grupo_tarifa],2,Banco[id_detalhe_grupo_tarifa],999,Banco[id_tipo_tarifa],9,Banco[id_subgrupo],B9,Banco[id_posto],9,Banco[id_unidade],4,Banco[id_UC],C9)</f>
        <v>0</v>
      </c>
      <c r="J9" s="309">
        <f>SUMIFS(Banco[valor],Banco[IdAgente],D9,Banco[id_natureza_dado],1,Banco[id_detalhe_natureza],1,Banco[idDet1],15,Banco[idDet2],144,Banco[idDet3],999,Banco[id_grupo_tarifa],2,Banco[id_detalhe_grupo_tarifa],999,Banco[id_tipo_tarifa],9,Banco[id_subgrupo],B9,Banco[id_posto],9,Banco[id_unidade],5,Banco[id_UC],C9)</f>
        <v>0</v>
      </c>
      <c r="K9" s="362" t="str">
        <f>VLOOKUP(C9,'BD2'!$BD$2:$BG$100,4,FALSE)</f>
        <v>REH 3244/2023</v>
      </c>
      <c r="L9" s="188">
        <f t="shared" si="1"/>
        <v>0</v>
      </c>
      <c r="M9" s="188"/>
      <c r="N9" s="278">
        <f t="shared" si="2"/>
        <v>4</v>
      </c>
      <c r="O9" s="278" t="str">
        <f t="shared" si="4"/>
        <v>45367</v>
      </c>
      <c r="P9" s="308" t="s">
        <v>150</v>
      </c>
      <c r="Q9" s="94" t="s">
        <v>146</v>
      </c>
      <c r="R9" s="94" t="s">
        <v>87</v>
      </c>
      <c r="S9" s="101">
        <v>0</v>
      </c>
      <c r="T9" s="101" t="e">
        <v>#N/A</v>
      </c>
      <c r="U9" s="309">
        <f>VLOOKUP($U$3&amp;O9&amp;C9,'BD2'!$BV$2:$CB$200,7,FALSE)</f>
        <v>27.31</v>
      </c>
      <c r="V9" s="309">
        <f>VLOOKUP($V$3&amp;O9&amp;C9,'BD2'!$BV$2:$CB$200,7,FALSE)</f>
        <v>15.97</v>
      </c>
      <c r="W9" s="309">
        <f>VLOOKUP($W$3&amp;O9&amp;C9,'BD2'!$BV$2:$CB$200,7,FALSE)</f>
        <v>6.82</v>
      </c>
      <c r="X9" s="94" t="str">
        <f t="shared" si="3"/>
        <v>REH 3244/2023</v>
      </c>
    </row>
    <row r="10" spans="1:24" ht="14.4" hidden="1" customHeight="1">
      <c r="A10" s="89">
        <f>VLOOKUP(E10,Fatos!$L$16:$V$67,11,FALSE)</f>
        <v>45199</v>
      </c>
      <c r="B10" s="302">
        <f t="shared" si="0"/>
        <v>5</v>
      </c>
      <c r="C10" s="278">
        <v>5697</v>
      </c>
      <c r="D10" s="278" t="str">
        <f>VLOOKUP(E10,Efeito!$A$5:$B$56,2,FALSE)</f>
        <v>NO SELECT</v>
      </c>
      <c r="E10" s="361" t="s">
        <v>66</v>
      </c>
      <c r="F10" s="94" t="s">
        <v>146</v>
      </c>
      <c r="G10" s="94" t="s">
        <v>85</v>
      </c>
      <c r="H10" s="95">
        <v>0.54410000000000003</v>
      </c>
      <c r="I10" s="95">
        <f>SUMIFS(Banco[valor],Banco[IdAgente],D10,Banco[id_natureza_dado],1,Banco[id_detalhe_natureza],1,Banco[idDet1],15,Banco[idDet2],143,Banco[idDet3],999,Banco[id_grupo_tarifa],2,Banco[id_detalhe_grupo_tarifa],999,Banco[id_tipo_tarifa],9,Banco[id_subgrupo],B10,Banco[id_posto],9,Banco[id_unidade],4,Banco[id_UC],C10)</f>
        <v>0</v>
      </c>
      <c r="J10" s="309">
        <f>SUMIFS(Banco[valor],Banco[IdAgente],D10,Banco[id_natureza_dado],1,Banco[id_detalhe_natureza],1,Banco[idDet1],15,Banco[idDet2],144,Banco[idDet3],999,Banco[id_grupo_tarifa],2,Banco[id_detalhe_grupo_tarifa],999,Banco[id_tipo_tarifa],9,Banco[id_subgrupo],B10,Banco[id_posto],9,Banco[id_unidade],5,Banco[id_UC],C10)</f>
        <v>0</v>
      </c>
      <c r="K10" s="362" t="str">
        <f>VLOOKUP(C10,'BD2'!$BD$2:$BG$100,4,FALSE)</f>
        <v>REH 3244/2023</v>
      </c>
      <c r="L10" s="188">
        <f t="shared" si="1"/>
        <v>0</v>
      </c>
      <c r="M10" s="188"/>
      <c r="N10" s="278">
        <f t="shared" si="2"/>
        <v>6</v>
      </c>
      <c r="O10" s="278" t="str">
        <f t="shared" si="4"/>
        <v>6NO SELECT</v>
      </c>
      <c r="P10" s="308" t="s">
        <v>66</v>
      </c>
      <c r="Q10" s="94" t="s">
        <v>146</v>
      </c>
      <c r="R10" s="94" t="s">
        <v>85</v>
      </c>
      <c r="S10" s="101">
        <v>0</v>
      </c>
      <c r="T10" s="101" t="e">
        <v>#N/A</v>
      </c>
      <c r="U10" s="309" t="e">
        <f>VLOOKUP($U$3&amp;O10&amp;C10,'BD2'!$BV$2:$CB$200,7,FALSE)</f>
        <v>#N/A</v>
      </c>
      <c r="V10" s="309" t="e">
        <f>VLOOKUP($V$3&amp;O10&amp;C10,'BD2'!$BV$2:$CB$200,7,FALSE)</f>
        <v>#N/A</v>
      </c>
      <c r="W10" s="309" t="e">
        <f>VLOOKUP($W$3&amp;O10&amp;C10,'BD2'!$BV$2:$CB$200,7,FALSE)</f>
        <v>#N/A</v>
      </c>
      <c r="X10" s="94" t="str">
        <f t="shared" si="3"/>
        <v>REH 3244/2023</v>
      </c>
    </row>
    <row r="11" spans="1:24" ht="13.5" hidden="1" customHeight="1">
      <c r="A11" s="89">
        <f>VLOOKUP(E11,Fatos!$L$16:$V$67,11,FALSE)</f>
        <v>45260</v>
      </c>
      <c r="B11" s="302">
        <f t="shared" si="0"/>
        <v>5</v>
      </c>
      <c r="C11" s="278">
        <v>6898</v>
      </c>
      <c r="D11" s="278" t="str">
        <f>VLOOKUP(E11,Efeito!$A$5:$B$56,2,FALSE)</f>
        <v>NO SELECT</v>
      </c>
      <c r="E11" s="361" t="s">
        <v>153</v>
      </c>
      <c r="F11" s="94" t="s">
        <v>54</v>
      </c>
      <c r="G11" s="94" t="s">
        <v>85</v>
      </c>
      <c r="H11" s="95">
        <v>0</v>
      </c>
      <c r="I11" s="95">
        <f>SUMIFS(Banco[valor],Banco[IdAgente],D11,Banco[id_natureza_dado],1,Banco[id_detalhe_natureza],1,Banco[idDet1],15,Banco[idDet2],143,Banco[idDet3],999,Banco[id_grupo_tarifa],2,Banco[id_detalhe_grupo_tarifa],999,Banco[id_tipo_tarifa],9,Banco[id_subgrupo],B11,Banco[id_posto],9,Banco[id_unidade],4,Banco[id_UC],C11)</f>
        <v>0</v>
      </c>
      <c r="J11" s="309">
        <f>SUMIFS(Banco[valor],Banco[IdAgente],D11,Banco[id_natureza_dado],1,Banco[id_detalhe_natureza],1,Banco[idDet1],15,Banco[idDet2],144,Banco[idDet3],999,Banco[id_grupo_tarifa],2,Banco[id_detalhe_grupo_tarifa],999,Banco[id_tipo_tarifa],9,Banco[id_subgrupo],B11,Banco[id_posto],9,Banco[id_unidade],5,Banco[id_UC],C11)</f>
        <v>0</v>
      </c>
      <c r="K11" s="362" t="str">
        <f>VLOOKUP(C11,'BD2'!$BD$2:$BG$100,4,FALSE)</f>
        <v>REH 3272/2023</v>
      </c>
      <c r="L11" s="188">
        <f t="shared" si="1"/>
        <v>0</v>
      </c>
      <c r="M11" s="188"/>
      <c r="N11" s="278">
        <f t="shared" si="2"/>
        <v>6</v>
      </c>
      <c r="O11" s="278" t="str">
        <f t="shared" si="4"/>
        <v>6NO SELECT</v>
      </c>
      <c r="P11" s="308" t="s">
        <v>153</v>
      </c>
      <c r="Q11" s="94" t="s">
        <v>54</v>
      </c>
      <c r="R11" s="94" t="s">
        <v>85</v>
      </c>
      <c r="S11" s="101">
        <v>0</v>
      </c>
      <c r="T11" s="101" t="e">
        <v>#N/A</v>
      </c>
      <c r="U11" s="309" t="e">
        <f>VLOOKUP($U$3&amp;O11&amp;C11,'BD2'!$BV$2:$CB$200,7,FALSE)</f>
        <v>#N/A</v>
      </c>
      <c r="V11" s="309" t="e">
        <f>VLOOKUP($V$3&amp;O11&amp;C11,'BD2'!$BV$2:$CB$200,7,FALSE)</f>
        <v>#N/A</v>
      </c>
      <c r="W11" s="309" t="e">
        <f>VLOOKUP($W$3&amp;O11&amp;C11,'BD2'!$BV$2:$CB$200,7,FALSE)</f>
        <v>#N/A</v>
      </c>
      <c r="X11" s="94" t="str">
        <f t="shared" si="3"/>
        <v>REH 3272/2023</v>
      </c>
    </row>
    <row r="12" spans="1:24" ht="14.4" hidden="1" customHeight="1">
      <c r="A12" s="89">
        <f>VLOOKUP(E12,Fatos!$L$16:$V$67,11,FALSE)</f>
        <v>45137</v>
      </c>
      <c r="B12" s="302">
        <f t="shared" si="0"/>
        <v>4</v>
      </c>
      <c r="C12" s="278">
        <v>2866</v>
      </c>
      <c r="D12" s="278" t="str">
        <f>VLOOKUP(E12,Efeito!$A$5:$B$56,2,FALSE)</f>
        <v>NO SELECT</v>
      </c>
      <c r="E12" s="361" t="s">
        <v>156</v>
      </c>
      <c r="F12" s="94" t="s">
        <v>272</v>
      </c>
      <c r="G12" s="94" t="s">
        <v>88</v>
      </c>
      <c r="H12" s="95">
        <v>0.2326</v>
      </c>
      <c r="I12" s="95">
        <f>SUMIFS(Banco[valor],Banco[IdAgente],D12,Banco[id_natureza_dado],1,Banco[id_detalhe_natureza],1,Banco[idDet1],15,Banco[idDet2],143,Banco[idDet3],999,Banco[id_grupo_tarifa],2,Banco[id_detalhe_grupo_tarifa],999,Banco[id_tipo_tarifa],9,Banco[id_subgrupo],B12,Banco[id_posto],9,Banco[id_unidade],4,Banco[id_UC],C12)</f>
        <v>0</v>
      </c>
      <c r="J12" s="309">
        <f>SUMIFS(Banco[valor],Banco[IdAgente],D12,Banco[id_natureza_dado],1,Banco[id_detalhe_natureza],1,Banco[idDet1],15,Banco[idDet2],144,Banco[idDet3],999,Banco[id_grupo_tarifa],2,Banco[id_detalhe_grupo_tarifa],999,Banco[id_tipo_tarifa],9,Banco[id_subgrupo],B12,Banco[id_posto],9,Banco[id_unidade],5,Banco[id_UC],C12)</f>
        <v>0</v>
      </c>
      <c r="K12" s="362" t="str">
        <f>VLOOKUP(C12,'BD2'!$BD$2:$BG$100,4,FALSE)</f>
        <v>REH 0/</v>
      </c>
      <c r="L12" s="188">
        <f t="shared" si="1"/>
        <v>0</v>
      </c>
      <c r="M12" s="188"/>
      <c r="N12" s="278">
        <f t="shared" si="2"/>
        <v>5</v>
      </c>
      <c r="O12" s="278" t="str">
        <f t="shared" si="4"/>
        <v>5NO SELECT</v>
      </c>
      <c r="P12" s="308" t="s">
        <v>156</v>
      </c>
      <c r="Q12" s="94" t="s">
        <v>272</v>
      </c>
      <c r="R12" s="94" t="s">
        <v>88</v>
      </c>
      <c r="S12" s="101">
        <v>0</v>
      </c>
      <c r="T12" s="101">
        <v>0</v>
      </c>
      <c r="U12" s="309" t="e">
        <f>VLOOKUP($U$3&amp;O12&amp;C12,'BD2'!$BV$2:$CB$200,7,FALSE)</f>
        <v>#N/A</v>
      </c>
      <c r="V12" s="309" t="e">
        <f>VLOOKUP($V$3&amp;O12&amp;C12,'BD2'!$BV$2:$CB$200,7,FALSE)</f>
        <v>#N/A</v>
      </c>
      <c r="W12" s="309" t="e">
        <f>VLOOKUP($W$3&amp;O12&amp;C12,'BD2'!$BV$2:$CB$200,7,FALSE)</f>
        <v>#N/A</v>
      </c>
      <c r="X12" s="94" t="str">
        <f t="shared" si="3"/>
        <v>REH 0/</v>
      </c>
    </row>
    <row r="13" spans="1:24" ht="14.4" hidden="1" customHeight="1">
      <c r="A13" s="89">
        <f>VLOOKUP(E13,Fatos!$L$16:$V$67,11,FALSE)</f>
        <v>45137</v>
      </c>
      <c r="B13" s="302">
        <f t="shared" si="0"/>
        <v>5</v>
      </c>
      <c r="C13" s="278">
        <v>2866</v>
      </c>
      <c r="D13" s="278" t="str">
        <f>VLOOKUP(E13,Efeito!$A$5:$B$56,2,FALSE)</f>
        <v>NO SELECT</v>
      </c>
      <c r="E13" s="361" t="s">
        <v>156</v>
      </c>
      <c r="F13" s="94" t="s">
        <v>272</v>
      </c>
      <c r="G13" s="94" t="s">
        <v>85</v>
      </c>
      <c r="H13" s="95">
        <v>0.2326</v>
      </c>
      <c r="I13" s="95">
        <f>SUMIFS(Banco[valor],Banco[IdAgente],D13,Banco[id_natureza_dado],1,Banco[id_detalhe_natureza],1,Banco[idDet1],15,Banco[idDet2],143,Banco[idDet3],999,Banco[id_grupo_tarifa],2,Banco[id_detalhe_grupo_tarifa],999,Banco[id_tipo_tarifa],9,Banco[id_subgrupo],B13,Banco[id_posto],9,Banco[id_unidade],4,Banco[id_UC],C13)</f>
        <v>0</v>
      </c>
      <c r="J13" s="309">
        <f>SUMIFS(Banco[valor],Banco[IdAgente],D13,Banco[id_natureza_dado],1,Banco[id_detalhe_natureza],1,Banco[idDet1],15,Banco[idDet2],144,Banco[idDet3],999,Banco[id_grupo_tarifa],2,Banco[id_detalhe_grupo_tarifa],999,Banco[id_tipo_tarifa],9,Banco[id_subgrupo],B13,Banco[id_posto],9,Banco[id_unidade],5,Banco[id_UC],C13)</f>
        <v>0</v>
      </c>
      <c r="K13" s="362" t="str">
        <f>VLOOKUP(C13,'BD2'!$BD$2:$BG$100,4,FALSE)</f>
        <v>REH 0/</v>
      </c>
      <c r="L13" s="188">
        <f t="shared" si="1"/>
        <v>0</v>
      </c>
      <c r="M13" s="188"/>
      <c r="N13" s="278">
        <f t="shared" si="2"/>
        <v>6</v>
      </c>
      <c r="O13" s="278" t="str">
        <f t="shared" si="4"/>
        <v>6NO SELECT</v>
      </c>
      <c r="P13" s="308" t="s">
        <v>156</v>
      </c>
      <c r="Q13" s="94" t="s">
        <v>272</v>
      </c>
      <c r="R13" s="94" t="s">
        <v>85</v>
      </c>
      <c r="S13" s="101">
        <v>0</v>
      </c>
      <c r="T13" s="101">
        <v>0</v>
      </c>
      <c r="U13" s="309" t="e">
        <f>VLOOKUP($U$3&amp;O13&amp;C13,'BD2'!$BV$2:$CB$200,7,FALSE)</f>
        <v>#N/A</v>
      </c>
      <c r="V13" s="309" t="e">
        <f>VLOOKUP($V$3&amp;O13&amp;C13,'BD2'!$BV$2:$CB$200,7,FALSE)</f>
        <v>#N/A</v>
      </c>
      <c r="W13" s="309" t="e">
        <f>VLOOKUP($W$3&amp;O13&amp;C13,'BD2'!$BV$2:$CB$200,7,FALSE)</f>
        <v>#N/A</v>
      </c>
      <c r="X13" s="94" t="str">
        <f t="shared" si="3"/>
        <v>REH 0/</v>
      </c>
    </row>
    <row r="14" spans="1:24" ht="14.4" hidden="1" customHeight="1">
      <c r="A14" s="89">
        <f>VLOOKUP(E14,Fatos!$L$16:$V$67,11,FALSE)</f>
        <v>45199</v>
      </c>
      <c r="B14" s="302">
        <f t="shared" si="0"/>
        <v>2</v>
      </c>
      <c r="C14" s="278">
        <v>5697</v>
      </c>
      <c r="D14" s="278" t="str">
        <f>VLOOKUP(E14,Efeito!$A$5:$B$56,2,FALSE)</f>
        <v>NO SELECT</v>
      </c>
      <c r="E14" s="361" t="s">
        <v>54</v>
      </c>
      <c r="F14" s="94" t="s">
        <v>146</v>
      </c>
      <c r="G14" s="94" t="s">
        <v>86</v>
      </c>
      <c r="H14" s="95">
        <v>0</v>
      </c>
      <c r="I14" s="95">
        <f>SUMIFS(Banco[valor],Banco[IdAgente],D14,Banco[id_natureza_dado],1,Banco[id_detalhe_natureza],1,Banco[idDet1],15,Banco[idDet2],143,Banco[idDet3],999,Banco[id_grupo_tarifa],2,Banco[id_detalhe_grupo_tarifa],999,Banco[id_tipo_tarifa],9,Banco[id_subgrupo],B14,Banco[id_posto],9,Banco[id_unidade],4,Banco[id_UC],C14)</f>
        <v>0</v>
      </c>
      <c r="J14" s="309">
        <f>SUMIFS(Banco[valor],Banco[IdAgente],D14,Banco[id_natureza_dado],1,Banco[id_detalhe_natureza],1,Banco[idDet1],15,Banco[idDet2],144,Banco[idDet3],999,Banco[id_grupo_tarifa],2,Banco[id_detalhe_grupo_tarifa],999,Banco[id_tipo_tarifa],9,Banco[id_subgrupo],B14,Banco[id_posto],9,Banco[id_unidade],5,Banco[id_UC],C14)</f>
        <v>0</v>
      </c>
      <c r="K14" s="362" t="str">
        <f>VLOOKUP(C14,'BD2'!$BD$2:$BG$100,4,FALSE)</f>
        <v>REH 3244/2023</v>
      </c>
      <c r="L14" s="188">
        <f t="shared" si="1"/>
        <v>0</v>
      </c>
      <c r="M14" s="188"/>
      <c r="N14" s="278">
        <f t="shared" si="2"/>
        <v>3</v>
      </c>
      <c r="O14" s="278" t="str">
        <f t="shared" si="4"/>
        <v>3NO SELECT</v>
      </c>
      <c r="P14" s="308" t="s">
        <v>54</v>
      </c>
      <c r="Q14" s="94" t="s">
        <v>146</v>
      </c>
      <c r="R14" s="94" t="s">
        <v>86</v>
      </c>
      <c r="S14" s="101">
        <v>0</v>
      </c>
      <c r="T14" s="101" t="e">
        <v>#N/A</v>
      </c>
      <c r="U14" s="309" t="e">
        <f>VLOOKUP($U$3&amp;O14&amp;C14,'BD2'!$BV$2:$CB$200,7,FALSE)</f>
        <v>#N/A</v>
      </c>
      <c r="V14" s="309" t="e">
        <f>VLOOKUP($V$3&amp;O14&amp;C14,'BD2'!$BV$2:$CB$200,7,FALSE)</f>
        <v>#N/A</v>
      </c>
      <c r="W14" s="309" t="e">
        <f>VLOOKUP($W$3&amp;O14&amp;C14,'BD2'!$BV$2:$CB$200,7,FALSE)</f>
        <v>#N/A</v>
      </c>
      <c r="X14" s="94" t="str">
        <f t="shared" si="3"/>
        <v>REH 3244/2023</v>
      </c>
    </row>
    <row r="15" spans="1:24" ht="15" hidden="1" customHeight="1">
      <c r="A15" s="89">
        <f>VLOOKUP(E15,Fatos!$L$16:$V$67,11,FALSE)</f>
        <v>45075</v>
      </c>
      <c r="B15" s="302">
        <f t="shared" si="0"/>
        <v>5</v>
      </c>
      <c r="C15" s="278">
        <v>6587</v>
      </c>
      <c r="D15" s="278" t="str">
        <f>VLOOKUP(E15,Efeito!$A$5:$B$56,2,FALSE)</f>
        <v>NO SELECT</v>
      </c>
      <c r="E15" s="361" t="s">
        <v>159</v>
      </c>
      <c r="F15" s="94" t="s">
        <v>319</v>
      </c>
      <c r="G15" s="94" t="s">
        <v>85</v>
      </c>
      <c r="H15" s="95">
        <v>0</v>
      </c>
      <c r="I15" s="95">
        <f>SUMIFS(Banco[valor],Banco[IdAgente],D15,Banco[id_natureza_dado],1,Banco[id_detalhe_natureza],1,Banco[idDet1],15,Banco[idDet2],143,Banco[idDet3],999,Banco[id_grupo_tarifa],2,Banco[id_detalhe_grupo_tarifa],999,Banco[id_tipo_tarifa],9,Banco[id_subgrupo],B15,Banco[id_posto],9,Banco[id_unidade],4,Banco[id_UC],C15)</f>
        <v>0</v>
      </c>
      <c r="J15" s="309">
        <f>SUMIFS(Banco[valor],Banco[IdAgente],D15,Banco[id_natureza_dado],1,Banco[id_detalhe_natureza],1,Banco[idDet1],15,Banco[idDet2],144,Banco[idDet3],999,Banco[id_grupo_tarifa],2,Banco[id_detalhe_grupo_tarifa],999,Banco[id_tipo_tarifa],9,Banco[id_subgrupo],B15,Banco[id_posto],9,Banco[id_unidade],5,Banco[id_UC],C15)</f>
        <v>0</v>
      </c>
      <c r="K15" s="362" t="str">
        <f>VLOOKUP(C15,'BD2'!$BD$2:$BG$100,4,FALSE)</f>
        <v>REH 3184/2023</v>
      </c>
      <c r="L15" s="188">
        <f t="shared" si="1"/>
        <v>0</v>
      </c>
      <c r="M15" s="188"/>
      <c r="N15" s="278">
        <f t="shared" si="2"/>
        <v>6</v>
      </c>
      <c r="O15" s="278" t="str">
        <f t="shared" si="4"/>
        <v>6NO SELECT</v>
      </c>
      <c r="P15" s="308" t="s">
        <v>159</v>
      </c>
      <c r="Q15" s="94" t="s">
        <v>319</v>
      </c>
      <c r="R15" s="94" t="s">
        <v>85</v>
      </c>
      <c r="S15" s="101">
        <v>0</v>
      </c>
      <c r="T15" s="101">
        <v>0</v>
      </c>
      <c r="U15" s="309" t="e">
        <f>VLOOKUP($U$3&amp;O15&amp;C15,'BD2'!$BV$2:$CB$200,7,FALSE)</f>
        <v>#N/A</v>
      </c>
      <c r="V15" s="309" t="e">
        <f>VLOOKUP($V$3&amp;O15&amp;C15,'BD2'!$BV$2:$CB$200,7,FALSE)</f>
        <v>#N/A</v>
      </c>
      <c r="W15" s="309" t="e">
        <f>VLOOKUP($W$3&amp;O15&amp;C15,'BD2'!$BV$2:$CB$200,7,FALSE)</f>
        <v>#N/A</v>
      </c>
      <c r="X15" s="94" t="str">
        <f t="shared" si="3"/>
        <v>REH 3184/2023</v>
      </c>
    </row>
    <row r="16" spans="1:24" ht="14.4" hidden="1" customHeight="1">
      <c r="A16" s="89">
        <f>VLOOKUP(E16,Fatos!$L$16:$V$67,11,FALSE)</f>
        <v>45199</v>
      </c>
      <c r="B16" s="302">
        <f t="shared" si="0"/>
        <v>5</v>
      </c>
      <c r="C16" s="278">
        <v>5697</v>
      </c>
      <c r="D16" s="278" t="str">
        <f>VLOOKUP(E16,Efeito!$A$5:$B$56,2,FALSE)</f>
        <v>NO SELECT</v>
      </c>
      <c r="E16" s="361" t="s">
        <v>56</v>
      </c>
      <c r="F16" s="94" t="s">
        <v>146</v>
      </c>
      <c r="G16" s="94" t="s">
        <v>85</v>
      </c>
      <c r="H16" s="95">
        <v>0.41699999999999998</v>
      </c>
      <c r="I16" s="95">
        <f>SUMIFS(Banco[valor],Banco[IdAgente],D16,Banco[id_natureza_dado],1,Banco[id_detalhe_natureza],1,Banco[idDet1],15,Banco[idDet2],143,Banco[idDet3],999,Banco[id_grupo_tarifa],2,Banco[id_detalhe_grupo_tarifa],999,Banco[id_tipo_tarifa],9,Banco[id_subgrupo],B16,Banco[id_posto],9,Banco[id_unidade],4,Banco[id_UC],C16)</f>
        <v>0</v>
      </c>
      <c r="J16" s="309">
        <f>SUMIFS(Banco[valor],Banco[IdAgente],D16,Banco[id_natureza_dado],1,Banco[id_detalhe_natureza],1,Banco[idDet1],15,Banco[idDet2],144,Banco[idDet3],999,Banco[id_grupo_tarifa],2,Banco[id_detalhe_grupo_tarifa],999,Banco[id_tipo_tarifa],9,Banco[id_subgrupo],B16,Banco[id_posto],9,Banco[id_unidade],5,Banco[id_UC],C16)</f>
        <v>0</v>
      </c>
      <c r="K16" s="362" t="str">
        <f>VLOOKUP(C16,'BD2'!$BD$2:$BG$100,4,FALSE)</f>
        <v>REH 3244/2023</v>
      </c>
      <c r="L16" s="188">
        <f t="shared" si="1"/>
        <v>0</v>
      </c>
      <c r="M16" s="188"/>
      <c r="N16" s="278">
        <f t="shared" si="2"/>
        <v>6</v>
      </c>
      <c r="O16" s="278" t="str">
        <f t="shared" si="4"/>
        <v>6NO SELECT</v>
      </c>
      <c r="P16" s="308" t="s">
        <v>56</v>
      </c>
      <c r="Q16" s="94" t="s">
        <v>146</v>
      </c>
      <c r="R16" s="94" t="s">
        <v>85</v>
      </c>
      <c r="S16" s="101">
        <v>0</v>
      </c>
      <c r="T16" s="101" t="e">
        <v>#N/A</v>
      </c>
      <c r="U16" s="309" t="e">
        <f>VLOOKUP($U$3&amp;O16&amp;C16,'BD2'!$BV$2:$CB$200,7,FALSE)</f>
        <v>#N/A</v>
      </c>
      <c r="V16" s="309" t="e">
        <f>VLOOKUP($V$3&amp;O16&amp;C16,'BD2'!$BV$2:$CB$200,7,FALSE)</f>
        <v>#N/A</v>
      </c>
      <c r="W16" s="309" t="e">
        <f>VLOOKUP($W$3&amp;O16&amp;C16,'BD2'!$BV$2:$CB$200,7,FALSE)</f>
        <v>#N/A</v>
      </c>
      <c r="X16" s="94" t="str">
        <f t="shared" si="3"/>
        <v>REH 3244/2023</v>
      </c>
    </row>
    <row r="17" spans="1:24" ht="14.4" hidden="1" customHeight="1">
      <c r="A17" s="89">
        <f>VLOOKUP(E17,Fatos!$L$16:$V$67,11,FALSE)</f>
        <v>45045</v>
      </c>
      <c r="B17" s="302">
        <f t="shared" si="0"/>
        <v>5</v>
      </c>
      <c r="C17" s="278">
        <f>VLOOKUP(F17,'BD2'!$BB$1:$BD$51,3,FALSE)</f>
        <v>383</v>
      </c>
      <c r="D17" s="278" t="str">
        <f>VLOOKUP(E17,Efeito!$A$5:$B$56,2,FALSE)</f>
        <v>NO SELECT</v>
      </c>
      <c r="E17" s="361" t="s">
        <v>162</v>
      </c>
      <c r="F17" s="94" t="s">
        <v>273</v>
      </c>
      <c r="G17" s="94" t="s">
        <v>85</v>
      </c>
      <c r="H17" s="95">
        <v>0</v>
      </c>
      <c r="I17" s="95">
        <f>SUMIFS(Banco[valor],Banco[IdAgente],D17,Banco[id_natureza_dado],1,Banco[id_detalhe_natureza],1,Banco[idDet1],15,Banco[idDet2],143,Banco[idDet3],999,Banco[id_grupo_tarifa],2,Banco[id_detalhe_grupo_tarifa],999,Banco[id_tipo_tarifa],9,Banco[id_subgrupo],B17,Banco[id_posto],9,Banco[id_unidade],4,Banco[id_UC],C17)</f>
        <v>0</v>
      </c>
      <c r="J17" s="309">
        <f>SUMIFS(Banco[valor],Banco[IdAgente],D17,Banco[id_natureza_dado],1,Banco[id_detalhe_natureza],1,Banco[idDet1],15,Banco[idDet2],144,Banco[idDet3],999,Banco[id_grupo_tarifa],2,Banco[id_detalhe_grupo_tarifa],999,Banco[id_tipo_tarifa],9,Banco[id_subgrupo],B17,Banco[id_posto],9,Banco[id_unidade],5,Banco[id_UC],C17)</f>
        <v>0</v>
      </c>
      <c r="K17" s="362" t="str">
        <f>VLOOKUP(C17,'BD2'!$BD$2:$BG$100,4,FALSE)</f>
        <v>REH 3177/2023</v>
      </c>
      <c r="L17" s="188">
        <f t="shared" si="1"/>
        <v>0</v>
      </c>
      <c r="M17" s="188"/>
      <c r="N17" s="278">
        <f t="shared" si="2"/>
        <v>6</v>
      </c>
      <c r="O17" s="278" t="str">
        <f t="shared" si="4"/>
        <v>6NO SELECT</v>
      </c>
      <c r="P17" s="308" t="s">
        <v>162</v>
      </c>
      <c r="Q17" s="94" t="s">
        <v>273</v>
      </c>
      <c r="R17" s="94" t="s">
        <v>85</v>
      </c>
      <c r="S17" s="101">
        <v>0</v>
      </c>
      <c r="T17" s="101">
        <v>0</v>
      </c>
      <c r="U17" s="309" t="e">
        <f>VLOOKUP($U$3&amp;O17&amp;C17,'BD2'!$BV$2:$CB$200,7,FALSE)</f>
        <v>#N/A</v>
      </c>
      <c r="V17" s="309" t="e">
        <f>VLOOKUP($V$3&amp;O17&amp;C17,'BD2'!$BV$2:$CB$200,7,FALSE)</f>
        <v>#N/A</v>
      </c>
      <c r="W17" s="309" t="e">
        <f>VLOOKUP($W$3&amp;O17&amp;C17,'BD2'!$BV$2:$CB$200,7,FALSE)</f>
        <v>#N/A</v>
      </c>
      <c r="X17" s="94" t="str">
        <f t="shared" si="3"/>
        <v>REH 3177/2023</v>
      </c>
    </row>
    <row r="18" spans="1:24" ht="14.4" hidden="1" customHeight="1">
      <c r="A18" s="89">
        <f>VLOOKUP(E18,Fatos!$L$16:$V$67,11,FALSE)</f>
        <v>45199</v>
      </c>
      <c r="B18" s="302">
        <f t="shared" si="0"/>
        <v>3</v>
      </c>
      <c r="C18" s="278">
        <v>5697</v>
      </c>
      <c r="D18" s="278" t="str">
        <f>VLOOKUP(E18,Efeito!$A$5:$B$56,2,FALSE)</f>
        <v>NO SELECT</v>
      </c>
      <c r="E18" s="361" t="s">
        <v>55</v>
      </c>
      <c r="F18" s="94" t="s">
        <v>146</v>
      </c>
      <c r="G18" s="94" t="s">
        <v>87</v>
      </c>
      <c r="H18" s="95">
        <v>0.115</v>
      </c>
      <c r="I18" s="95">
        <f>SUMIFS(Banco[valor],Banco[IdAgente],D18,Banco[id_natureza_dado],1,Banco[id_detalhe_natureza],1,Banco[idDet1],15,Banco[idDet2],143,Banco[idDet3],999,Banco[id_grupo_tarifa],2,Banco[id_detalhe_grupo_tarifa],999,Banco[id_tipo_tarifa],9,Banco[id_subgrupo],B18,Banco[id_posto],9,Banco[id_unidade],4,Banco[id_UC],C18)</f>
        <v>0</v>
      </c>
      <c r="J18" s="309">
        <f>SUMIFS(Banco[valor],Banco[IdAgente],D18,Banco[id_natureza_dado],1,Banco[id_detalhe_natureza],1,Banco[idDet1],15,Banco[idDet2],144,Banco[idDet3],999,Banco[id_grupo_tarifa],2,Banco[id_detalhe_grupo_tarifa],999,Banco[id_tipo_tarifa],9,Banco[id_subgrupo],B18,Banco[id_posto],9,Banco[id_unidade],5,Banco[id_UC],C18)</f>
        <v>0</v>
      </c>
      <c r="K18" s="362" t="str">
        <f>VLOOKUP(C18,'BD2'!$BD$2:$BG$100,4,FALSE)</f>
        <v>REH 3244/2023</v>
      </c>
      <c r="L18" s="188">
        <f t="shared" si="1"/>
        <v>0</v>
      </c>
      <c r="M18" s="188"/>
      <c r="N18" s="278">
        <f t="shared" si="2"/>
        <v>4</v>
      </c>
      <c r="O18" s="278" t="str">
        <f t="shared" si="4"/>
        <v>4NO SELECT</v>
      </c>
      <c r="P18" s="308" t="s">
        <v>55</v>
      </c>
      <c r="Q18" s="94" t="s">
        <v>146</v>
      </c>
      <c r="R18" s="94" t="s">
        <v>87</v>
      </c>
      <c r="S18" s="101">
        <v>0</v>
      </c>
      <c r="T18" s="101" t="e">
        <v>#N/A</v>
      </c>
      <c r="U18" s="309" t="e">
        <f>VLOOKUP($U$3&amp;O18&amp;C18,'BD2'!$BV$2:$CB$200,7,FALSE)</f>
        <v>#N/A</v>
      </c>
      <c r="V18" s="309" t="e">
        <f>VLOOKUP($V$3&amp;O18&amp;C18,'BD2'!$BV$2:$CB$200,7,FALSE)</f>
        <v>#N/A</v>
      </c>
      <c r="W18" s="309" t="e">
        <f>VLOOKUP($W$3&amp;O18&amp;C18,'BD2'!$BV$2:$CB$200,7,FALSE)</f>
        <v>#N/A</v>
      </c>
      <c r="X18" s="94" t="str">
        <f t="shared" si="3"/>
        <v>REH 3244/2023</v>
      </c>
    </row>
    <row r="19" spans="1:24" ht="14.4" hidden="1" customHeight="1">
      <c r="A19" s="89">
        <f>VLOOKUP(E19,Fatos!$L$16:$V$67,11,FALSE)</f>
        <v>45199</v>
      </c>
      <c r="B19" s="302">
        <f t="shared" si="0"/>
        <v>5</v>
      </c>
      <c r="C19" s="278">
        <v>5697</v>
      </c>
      <c r="D19" s="278" t="str">
        <f>VLOOKUP(E19,Efeito!$A$5:$B$56,2,FALSE)</f>
        <v>NO SELECT</v>
      </c>
      <c r="E19" s="361" t="s">
        <v>55</v>
      </c>
      <c r="F19" s="94" t="s">
        <v>146</v>
      </c>
      <c r="G19" s="94" t="s">
        <v>85</v>
      </c>
      <c r="H19" s="95">
        <v>0.115</v>
      </c>
      <c r="I19" s="95">
        <f>SUMIFS(Banco[valor],Banco[IdAgente],D19,Banco[id_natureza_dado],1,Banco[id_detalhe_natureza],1,Banco[idDet1],15,Banco[idDet2],143,Banco[idDet3],999,Banco[id_grupo_tarifa],2,Banco[id_detalhe_grupo_tarifa],999,Banco[id_tipo_tarifa],9,Banco[id_subgrupo],B19,Banco[id_posto],9,Banco[id_unidade],4,Banco[id_UC],C19)</f>
        <v>0</v>
      </c>
      <c r="J19" s="309">
        <f>SUMIFS(Banco[valor],Banco[IdAgente],D19,Banco[id_natureza_dado],1,Banco[id_detalhe_natureza],1,Banco[idDet1],15,Banco[idDet2],144,Banco[idDet3],999,Banco[id_grupo_tarifa],2,Banco[id_detalhe_grupo_tarifa],999,Banco[id_tipo_tarifa],9,Banco[id_subgrupo],B19,Banco[id_posto],9,Banco[id_unidade],5,Banco[id_UC],C19)</f>
        <v>0</v>
      </c>
      <c r="K19" s="362" t="str">
        <f>VLOOKUP(C19,'BD2'!$BD$2:$BG$100,4,FALSE)</f>
        <v>REH 3244/2023</v>
      </c>
      <c r="L19" s="188">
        <f t="shared" si="1"/>
        <v>0</v>
      </c>
      <c r="M19" s="188"/>
      <c r="N19" s="278">
        <f t="shared" si="2"/>
        <v>6</v>
      </c>
      <c r="O19" s="278" t="str">
        <f t="shared" si="4"/>
        <v>6NO SELECT</v>
      </c>
      <c r="P19" s="308" t="s">
        <v>55</v>
      </c>
      <c r="Q19" s="94" t="s">
        <v>146</v>
      </c>
      <c r="R19" s="94" t="s">
        <v>85</v>
      </c>
      <c r="S19" s="101">
        <v>0</v>
      </c>
      <c r="T19" s="101" t="e">
        <v>#N/A</v>
      </c>
      <c r="U19" s="309" t="e">
        <f>VLOOKUP($U$3&amp;O19&amp;C19,'BD2'!$BV$2:$CB$200,7,FALSE)</f>
        <v>#N/A</v>
      </c>
      <c r="V19" s="309" t="e">
        <f>VLOOKUP($V$3&amp;O19&amp;C19,'BD2'!$BV$2:$CB$200,7,FALSE)</f>
        <v>#N/A</v>
      </c>
      <c r="W19" s="309" t="e">
        <f>VLOOKUP($W$3&amp;O19&amp;C19,'BD2'!$BV$2:$CB$200,7,FALSE)</f>
        <v>#N/A</v>
      </c>
      <c r="X19" s="94" t="str">
        <f t="shared" si="3"/>
        <v>REH 3244/2023</v>
      </c>
    </row>
    <row r="20" spans="1:24" ht="14.4" hidden="1" customHeight="1">
      <c r="A20" s="89">
        <f>VLOOKUP(E20,Fatos!$L$16:$V$67,11,FALSE)</f>
        <v>45199</v>
      </c>
      <c r="B20" s="302">
        <f t="shared" si="0"/>
        <v>5</v>
      </c>
      <c r="C20" s="278">
        <v>5697</v>
      </c>
      <c r="D20" s="278" t="str">
        <f>VLOOKUP(E20,Efeito!$A$5:$B$56,2,FALSE)</f>
        <v>NO SELECT</v>
      </c>
      <c r="E20" s="361" t="s">
        <v>57</v>
      </c>
      <c r="F20" s="94" t="s">
        <v>146</v>
      </c>
      <c r="G20" s="94" t="s">
        <v>85</v>
      </c>
      <c r="H20" s="95">
        <v>0.36749999999999999</v>
      </c>
      <c r="I20" s="95">
        <f>SUMIFS(Banco[valor],Banco[IdAgente],D20,Banco[id_natureza_dado],1,Banco[id_detalhe_natureza],1,Banco[idDet1],15,Banco[idDet2],143,Banco[idDet3],999,Banco[id_grupo_tarifa],2,Banco[id_detalhe_grupo_tarifa],999,Banco[id_tipo_tarifa],9,Banco[id_subgrupo],B20,Banco[id_posto],9,Banco[id_unidade],4,Banco[id_UC],C20)</f>
        <v>0</v>
      </c>
      <c r="J20" s="309">
        <f>SUMIFS(Banco[valor],Banco[IdAgente],D20,Banco[id_natureza_dado],1,Banco[id_detalhe_natureza],1,Banco[idDet1],15,Banco[idDet2],144,Banco[idDet3],999,Banco[id_grupo_tarifa],2,Banco[id_detalhe_grupo_tarifa],999,Banco[id_tipo_tarifa],9,Banco[id_subgrupo],B20,Banco[id_posto],9,Banco[id_unidade],5,Banco[id_UC],C20)</f>
        <v>0</v>
      </c>
      <c r="K20" s="362" t="str">
        <f>VLOOKUP(C20,'BD2'!$BD$2:$BG$100,4,FALSE)</f>
        <v>REH 3244/2023</v>
      </c>
      <c r="L20" s="188">
        <f t="shared" si="1"/>
        <v>0</v>
      </c>
      <c r="M20" s="188"/>
      <c r="N20" s="278">
        <f t="shared" si="2"/>
        <v>6</v>
      </c>
      <c r="O20" s="278" t="str">
        <f t="shared" si="4"/>
        <v>6NO SELECT</v>
      </c>
      <c r="P20" s="308" t="s">
        <v>57</v>
      </c>
      <c r="Q20" s="94" t="s">
        <v>146</v>
      </c>
      <c r="R20" s="94" t="s">
        <v>85</v>
      </c>
      <c r="S20" s="101">
        <v>0</v>
      </c>
      <c r="T20" s="101" t="e">
        <v>#N/A</v>
      </c>
      <c r="U20" s="309" t="e">
        <f>VLOOKUP($U$3&amp;O20&amp;C20,'BD2'!$BV$2:$CB$200,7,FALSE)</f>
        <v>#N/A</v>
      </c>
      <c r="V20" s="309" t="e">
        <f>VLOOKUP($V$3&amp;O20&amp;C20,'BD2'!$BV$2:$CB$200,7,FALSE)</f>
        <v>#N/A</v>
      </c>
      <c r="W20" s="309" t="e">
        <f>VLOOKUP($W$3&amp;O20&amp;C20,'BD2'!$BV$2:$CB$200,7,FALSE)</f>
        <v>#N/A</v>
      </c>
      <c r="X20" s="94" t="str">
        <f t="shared" si="3"/>
        <v>REH 3244/2023</v>
      </c>
    </row>
    <row r="21" spans="1:24" ht="14.4" hidden="1" customHeight="1">
      <c r="A21" s="89">
        <f>VLOOKUP(E21,Fatos!$L$16:$V$67,11,FALSE)</f>
        <v>45199</v>
      </c>
      <c r="B21" s="302">
        <f t="shared" si="0"/>
        <v>5</v>
      </c>
      <c r="C21" s="278">
        <v>5697</v>
      </c>
      <c r="D21" s="278" t="str">
        <f>VLOOKUP(E21,Efeito!$A$5:$B$56,2,FALSE)</f>
        <v>NO SELECT</v>
      </c>
      <c r="E21" s="361" t="s">
        <v>58</v>
      </c>
      <c r="F21" s="94" t="s">
        <v>146</v>
      </c>
      <c r="G21" s="94" t="s">
        <v>85</v>
      </c>
      <c r="H21" s="95">
        <v>0.4299</v>
      </c>
      <c r="I21" s="95">
        <f>SUMIFS(Banco[valor],Banco[IdAgente],D21,Banco[id_natureza_dado],1,Banco[id_detalhe_natureza],1,Banco[idDet1],15,Banco[idDet2],143,Banco[idDet3],999,Banco[id_grupo_tarifa],2,Banco[id_detalhe_grupo_tarifa],999,Banco[id_tipo_tarifa],9,Banco[id_subgrupo],B21,Banco[id_posto],9,Banco[id_unidade],4,Banco[id_UC],C21)</f>
        <v>0</v>
      </c>
      <c r="J21" s="309">
        <f>SUMIFS(Banco[valor],Banco[IdAgente],D21,Banco[id_natureza_dado],1,Banco[id_detalhe_natureza],1,Banco[idDet1],15,Banco[idDet2],144,Banco[idDet3],999,Banco[id_grupo_tarifa],2,Banco[id_detalhe_grupo_tarifa],999,Banco[id_tipo_tarifa],9,Banco[id_subgrupo],B21,Banco[id_posto],9,Banco[id_unidade],5,Banco[id_UC],C21)</f>
        <v>0</v>
      </c>
      <c r="K21" s="362" t="str">
        <f>VLOOKUP(C21,'BD2'!$BD$2:$BG$100,4,FALSE)</f>
        <v>REH 3244/2023</v>
      </c>
      <c r="L21" s="188">
        <f t="shared" si="1"/>
        <v>0</v>
      </c>
      <c r="M21" s="188"/>
      <c r="N21" s="278">
        <f t="shared" si="2"/>
        <v>6</v>
      </c>
      <c r="O21" s="278" t="str">
        <f t="shared" si="4"/>
        <v>6NO SELECT</v>
      </c>
      <c r="P21" s="308" t="s">
        <v>58</v>
      </c>
      <c r="Q21" s="94" t="s">
        <v>146</v>
      </c>
      <c r="R21" s="94" t="s">
        <v>85</v>
      </c>
      <c r="S21" s="101">
        <v>0</v>
      </c>
      <c r="T21" s="101" t="e">
        <v>#N/A</v>
      </c>
      <c r="U21" s="309" t="e">
        <f>VLOOKUP($U$3&amp;O21&amp;C21,'BD2'!$BV$2:$CB$200,7,FALSE)</f>
        <v>#N/A</v>
      </c>
      <c r="V21" s="309" t="e">
        <f>VLOOKUP($V$3&amp;O21&amp;C21,'BD2'!$BV$2:$CB$200,7,FALSE)</f>
        <v>#N/A</v>
      </c>
      <c r="W21" s="309" t="e">
        <f>VLOOKUP($W$3&amp;O21&amp;C21,'BD2'!$BV$2:$CB$200,7,FALSE)</f>
        <v>#N/A</v>
      </c>
      <c r="X21" s="94" t="str">
        <f t="shared" si="3"/>
        <v>REH 3244/2023</v>
      </c>
    </row>
    <row r="22" spans="1:24" ht="14.4" hidden="1" customHeight="1">
      <c r="A22" s="89">
        <f>VLOOKUP(E22,Fatos!$L$16:$V$67,11,FALSE)</f>
        <v>45137</v>
      </c>
      <c r="B22" s="302">
        <f t="shared" si="0"/>
        <v>3</v>
      </c>
      <c r="C22" s="326">
        <v>396</v>
      </c>
      <c r="D22" s="278" t="str">
        <f>VLOOKUP(E22,Efeito!$A$5:$B$56,2,FALSE)</f>
        <v>NO SELECT</v>
      </c>
      <c r="E22" s="361" t="s">
        <v>165</v>
      </c>
      <c r="F22" s="94" t="s">
        <v>262</v>
      </c>
      <c r="G22" s="94" t="s">
        <v>87</v>
      </c>
      <c r="H22" s="95">
        <v>0.2132</v>
      </c>
      <c r="I22" s="95">
        <f>SUMIFS(Banco[valor],Banco[IdAgente],D22,Banco[id_natureza_dado],1,Banco[id_detalhe_natureza],1,Banco[idDet1],15,Banco[idDet2],143,Banco[idDet3],999,Banco[id_grupo_tarifa],2,Banco[id_detalhe_grupo_tarifa],999,Banco[id_tipo_tarifa],9,Banco[id_subgrupo],B22,Banco[id_posto],9,Banco[id_unidade],4,Banco[id_UC],C22)</f>
        <v>0</v>
      </c>
      <c r="J22" s="309">
        <f>SUMIFS(Banco[valor],Banco[IdAgente],D22,Banco[id_natureza_dado],1,Banco[id_detalhe_natureza],1,Banco[idDet1],15,Banco[idDet2],144,Banco[idDet3],999,Banco[id_grupo_tarifa],2,Banco[id_detalhe_grupo_tarifa],999,Banco[id_tipo_tarifa],9,Banco[id_subgrupo],B22,Banco[id_posto],9,Banco[id_unidade],5,Banco[id_UC],C22)</f>
        <v>0</v>
      </c>
      <c r="K22" s="362" t="e">
        <f>VLOOKUP(C22,'BD2'!$BD$2:$BG$100,4,FALSE)</f>
        <v>#N/A</v>
      </c>
      <c r="L22" s="188">
        <f t="shared" si="1"/>
        <v>0</v>
      </c>
      <c r="M22" s="188"/>
      <c r="N22" s="278">
        <f t="shared" si="2"/>
        <v>4</v>
      </c>
      <c r="O22" s="278" t="str">
        <f t="shared" si="4"/>
        <v>4NO SELECT</v>
      </c>
      <c r="P22" s="308" t="s">
        <v>165</v>
      </c>
      <c r="Q22" s="94" t="s">
        <v>262</v>
      </c>
      <c r="R22" s="94" t="s">
        <v>87</v>
      </c>
      <c r="S22" s="101">
        <v>0</v>
      </c>
      <c r="T22" s="101">
        <v>0</v>
      </c>
      <c r="U22" s="309" t="e">
        <f>VLOOKUP($U$3&amp;O22&amp;C22,'BD2'!$BV$2:$CB$200,7,FALSE)</f>
        <v>#N/A</v>
      </c>
      <c r="V22" s="309" t="e">
        <f>VLOOKUP($V$3&amp;O22&amp;C22,'BD2'!$BV$2:$CB$200,7,FALSE)</f>
        <v>#N/A</v>
      </c>
      <c r="W22" s="309" t="e">
        <f>VLOOKUP($W$3&amp;O22&amp;C22,'BD2'!$BV$2:$CB$200,7,FALSE)</f>
        <v>#N/A</v>
      </c>
      <c r="X22" s="94" t="e">
        <f t="shared" si="3"/>
        <v>#N/A</v>
      </c>
    </row>
    <row r="23" spans="1:24" ht="14.4" hidden="1" customHeight="1">
      <c r="A23" s="89">
        <f>VLOOKUP(E23,Fatos!$L$16:$V$67,11,FALSE)</f>
        <v>45137</v>
      </c>
      <c r="B23" s="302">
        <f t="shared" si="0"/>
        <v>5</v>
      </c>
      <c r="C23" s="326">
        <v>396</v>
      </c>
      <c r="D23" s="278" t="str">
        <f>VLOOKUP(E23,Efeito!$A$5:$B$56,2,FALSE)</f>
        <v>NO SELECT</v>
      </c>
      <c r="E23" s="361" t="s">
        <v>165</v>
      </c>
      <c r="F23" s="94" t="s">
        <v>262</v>
      </c>
      <c r="G23" s="94" t="s">
        <v>85</v>
      </c>
      <c r="H23" s="95">
        <v>0.2132</v>
      </c>
      <c r="I23" s="95">
        <f>SUMIFS(Banco[valor],Banco[IdAgente],D23,Banco[id_natureza_dado],1,Banco[id_detalhe_natureza],1,Banco[idDet1],15,Banco[idDet2],143,Banco[idDet3],999,Banco[id_grupo_tarifa],2,Banco[id_detalhe_grupo_tarifa],999,Banco[id_tipo_tarifa],9,Banco[id_subgrupo],B23,Banco[id_posto],9,Banco[id_unidade],4,Banco[id_UC],C23)</f>
        <v>0</v>
      </c>
      <c r="J23" s="309">
        <f>SUMIFS(Banco[valor],Banco[IdAgente],D23,Banco[id_natureza_dado],1,Banco[id_detalhe_natureza],1,Banco[idDet1],15,Banco[idDet2],144,Banco[idDet3],999,Banco[id_grupo_tarifa],2,Banco[id_detalhe_grupo_tarifa],999,Banco[id_tipo_tarifa],9,Banco[id_subgrupo],B23,Banco[id_posto],9,Banco[id_unidade],5,Banco[id_UC],C23)</f>
        <v>0</v>
      </c>
      <c r="K23" s="362" t="e">
        <f>VLOOKUP(C23,'BD2'!$BD$2:$BG$100,4,FALSE)</f>
        <v>#N/A</v>
      </c>
      <c r="L23" s="280">
        <f t="shared" si="1"/>
        <v>0</v>
      </c>
      <c r="M23" s="280"/>
      <c r="N23" s="278">
        <f t="shared" si="2"/>
        <v>6</v>
      </c>
      <c r="O23" s="278" t="str">
        <f t="shared" si="4"/>
        <v>6NO SELECT</v>
      </c>
      <c r="P23" s="308" t="s">
        <v>165</v>
      </c>
      <c r="Q23" s="94" t="s">
        <v>262</v>
      </c>
      <c r="R23" s="94" t="s">
        <v>85</v>
      </c>
      <c r="S23" s="101">
        <v>0</v>
      </c>
      <c r="T23" s="101">
        <v>0</v>
      </c>
      <c r="U23" s="309" t="e">
        <f>VLOOKUP($U$3&amp;O23&amp;C23,'BD2'!$BV$2:$CB$200,7,FALSE)</f>
        <v>#N/A</v>
      </c>
      <c r="V23" s="309" t="e">
        <f>VLOOKUP($V$3&amp;O23&amp;C23,'BD2'!$BV$2:$CB$200,7,FALSE)</f>
        <v>#N/A</v>
      </c>
      <c r="W23" s="309" t="e">
        <f>VLOOKUP($W$3&amp;O23&amp;C23,'BD2'!$BV$2:$CB$200,7,FALSE)</f>
        <v>#N/A</v>
      </c>
      <c r="X23" s="94" t="e">
        <f t="shared" si="3"/>
        <v>#N/A</v>
      </c>
    </row>
    <row r="24" spans="1:24" ht="13.5" hidden="1" customHeight="1">
      <c r="A24" s="89">
        <f>VLOOKUP(E24,Fatos!$L$16:$V$67,11,FALSE)</f>
        <v>45137</v>
      </c>
      <c r="B24" s="302">
        <f t="shared" si="0"/>
        <v>7</v>
      </c>
      <c r="C24" s="326">
        <v>396</v>
      </c>
      <c r="D24" s="278" t="str">
        <f>VLOOKUP(E24,Efeito!$A$5:$B$56,2,FALSE)</f>
        <v>NO SELECT</v>
      </c>
      <c r="E24" s="361" t="s">
        <v>165</v>
      </c>
      <c r="F24" s="94" t="s">
        <v>262</v>
      </c>
      <c r="G24" s="94" t="s">
        <v>296</v>
      </c>
      <c r="H24" s="95">
        <v>0.2132</v>
      </c>
      <c r="I24" s="95">
        <f>SUMIFS(Banco[valor],Banco[IdAgente],D24,Banco[id_natureza_dado],1,Banco[id_detalhe_natureza],1,Banco[idDet1],15,Banco[idDet2],143,Banco[idDet3],999,Banco[id_grupo_tarifa],2,Banco[id_detalhe_grupo_tarifa],999,Banco[id_tipo_tarifa],9,Banco[id_subgrupo],B24,Banco[id_posto],9,Banco[id_unidade],4,Banco[id_UC],C24)</f>
        <v>0</v>
      </c>
      <c r="J24" s="309">
        <f>SUMIFS(Banco[valor],Banco[IdAgente],D24,Banco[id_natureza_dado],1,Banco[id_detalhe_natureza],1,Banco[idDet1],15,Banco[idDet2],144,Banco[idDet3],999,Banco[id_grupo_tarifa],2,Banco[id_detalhe_grupo_tarifa],999,Banco[id_tipo_tarifa],9,Banco[id_subgrupo],B24,Banco[id_posto],9,Banco[id_unidade],5,Banco[id_UC],C24)</f>
        <v>0</v>
      </c>
      <c r="K24" s="362" t="e">
        <f>VLOOKUP(C24,'BD2'!$BD$2:$BG$100,4,FALSE)</f>
        <v>#N/A</v>
      </c>
      <c r="L24" s="280">
        <f t="shared" si="1"/>
        <v>0</v>
      </c>
      <c r="M24" s="280">
        <v>234.3</v>
      </c>
      <c r="N24" s="278">
        <v>13</v>
      </c>
      <c r="O24" s="278" t="str">
        <f t="shared" si="4"/>
        <v>13NO SELECT</v>
      </c>
      <c r="P24" s="308" t="s">
        <v>165</v>
      </c>
      <c r="Q24" s="94" t="s">
        <v>262</v>
      </c>
      <c r="R24" s="94" t="s">
        <v>343</v>
      </c>
      <c r="S24" s="101">
        <v>0</v>
      </c>
      <c r="T24" s="101">
        <v>0</v>
      </c>
      <c r="U24" s="309" t="e">
        <f>VLOOKUP($U$3&amp;O24&amp;C24,'BD2'!$BV$2:$CB$200,7,FALSE)</f>
        <v>#N/A</v>
      </c>
      <c r="V24" s="309" t="e">
        <f>VLOOKUP($V$3&amp;O24&amp;C24,'BD2'!$BV$2:$CB$200,7,FALSE)</f>
        <v>#N/A</v>
      </c>
      <c r="W24" s="309" t="e">
        <f>VLOOKUP($W$3&amp;O24&amp;C24,'BD2'!$BV$2:$CB$200,7,FALSE)</f>
        <v>#N/A</v>
      </c>
      <c r="X24" s="94" t="e">
        <f t="shared" si="3"/>
        <v>#N/A</v>
      </c>
    </row>
    <row r="25" spans="1:24" ht="15" hidden="1" customHeight="1">
      <c r="A25" s="89">
        <f>VLOOKUP(E25,Fatos!$L$16:$V$67,11,FALSE)</f>
        <v>45260</v>
      </c>
      <c r="B25" s="302">
        <f t="shared" si="0"/>
        <v>5</v>
      </c>
      <c r="C25" s="255">
        <v>2937</v>
      </c>
      <c r="D25" s="278" t="str">
        <f>VLOOKUP(E25,Efeito!$A$5:$B$56,2,FALSE)</f>
        <v>NO SELECT</v>
      </c>
      <c r="E25" s="361" t="s">
        <v>168</v>
      </c>
      <c r="F25" s="94" t="s">
        <v>259</v>
      </c>
      <c r="G25" s="94" t="s">
        <v>85</v>
      </c>
      <c r="H25" s="95">
        <v>0</v>
      </c>
      <c r="I25" s="95">
        <f>SUMIFS(Banco[valor],Banco[IdAgente],D25,Banco[id_natureza_dado],1,Banco[id_detalhe_natureza],1,Banco[idDet1],15,Banco[idDet2],143,Banco[idDet3],999,Banco[id_grupo_tarifa],2,Banco[id_detalhe_grupo_tarifa],999,Banco[id_tipo_tarifa],9,Banco[id_subgrupo],B25,Banco[id_posto],9,Banco[id_unidade],4,Banco[id_UC],C25)</f>
        <v>0</v>
      </c>
      <c r="J25" s="309">
        <v>317.54000000000002</v>
      </c>
      <c r="K25" s="362" t="str">
        <f>VLOOKUP(C25,'BD2'!$BD$2:$BG$100,4,FALSE)</f>
        <v>REH 3277/2023</v>
      </c>
      <c r="L25" s="280">
        <f t="shared" si="1"/>
        <v>317.54000000000002</v>
      </c>
      <c r="M25" s="280"/>
      <c r="N25" s="278">
        <f t="shared" si="2"/>
        <v>6</v>
      </c>
      <c r="O25" s="278" t="str">
        <f t="shared" si="4"/>
        <v>6NO SELECT</v>
      </c>
      <c r="P25" s="308" t="s">
        <v>168</v>
      </c>
      <c r="Q25" s="94" t="s">
        <v>259</v>
      </c>
      <c r="R25" s="94" t="s">
        <v>85</v>
      </c>
      <c r="S25" s="101">
        <v>0</v>
      </c>
      <c r="T25" s="101" t="e">
        <v>#N/A</v>
      </c>
      <c r="U25" s="309" t="e">
        <f>VLOOKUP($U$3&amp;O25&amp;C25,'BD2'!$BV$2:$CB$200,7,FALSE)</f>
        <v>#N/A</v>
      </c>
      <c r="V25" s="309" t="e">
        <f>VLOOKUP($V$3&amp;O25&amp;C25,'BD2'!$BV$2:$CB$200,7,FALSE)</f>
        <v>#N/A</v>
      </c>
      <c r="W25" s="309" t="e">
        <f>VLOOKUP($W$3&amp;O25&amp;C25,'BD2'!$BV$2:$CB$200,7,FALSE)</f>
        <v>#N/A</v>
      </c>
      <c r="X25" s="94" t="str">
        <f t="shared" si="3"/>
        <v>REH 3277/2023</v>
      </c>
    </row>
    <row r="26" spans="1:24" hidden="1">
      <c r="A26" s="89">
        <f>VLOOKUP(E26,Fatos!$L$16:$V$67,11,FALSE)</f>
        <v>45045</v>
      </c>
      <c r="B26" s="302">
        <f t="shared" si="0"/>
        <v>3</v>
      </c>
      <c r="C26">
        <v>69</v>
      </c>
      <c r="D26" s="278" t="str">
        <f>VLOOKUP(E26,Efeito!$A$5:$B$56,2,FALSE)</f>
        <v>NO SELECT</v>
      </c>
      <c r="E26" s="361" t="s">
        <v>171</v>
      </c>
      <c r="F26" s="94" t="s">
        <v>274</v>
      </c>
      <c r="G26" s="94" t="s">
        <v>87</v>
      </c>
      <c r="H26" s="95">
        <v>1.2E-2</v>
      </c>
      <c r="I26" s="95">
        <f>SUMIFS(Banco[valor],Banco[IdAgente],D26,Banco[id_natureza_dado],1,Banco[id_detalhe_natureza],1,Banco[idDet1],15,Banco[idDet2],143,Banco[idDet3],999,Banco[id_grupo_tarifa],2,Banco[id_detalhe_grupo_tarifa],999,Banco[id_tipo_tarifa],9,Banco[id_subgrupo],B26,Banco[id_posto],9,Banco[id_unidade],4,Banco[id_UC],C26)</f>
        <v>0</v>
      </c>
      <c r="J26" s="309">
        <v>267.89</v>
      </c>
      <c r="K26" s="362" t="e">
        <f>VLOOKUP(C26,'BD2'!$BD$2:$BG$100,4,FALSE)</f>
        <v>#N/A</v>
      </c>
      <c r="L26" s="280">
        <f t="shared" si="1"/>
        <v>267.89</v>
      </c>
      <c r="M26" s="280"/>
      <c r="N26" s="278">
        <f t="shared" si="2"/>
        <v>4</v>
      </c>
      <c r="O26" s="278" t="str">
        <f t="shared" si="4"/>
        <v>4NO SELECT</v>
      </c>
      <c r="P26" s="308" t="s">
        <v>171</v>
      </c>
      <c r="Q26" s="94" t="s">
        <v>274</v>
      </c>
      <c r="R26" s="94" t="s">
        <v>87</v>
      </c>
      <c r="S26" s="101">
        <v>0</v>
      </c>
      <c r="T26" s="101">
        <v>0</v>
      </c>
      <c r="U26" s="309" t="e">
        <f>VLOOKUP($U$3&amp;O26&amp;C26,'BD2'!$BV$2:$CB$200,7,FALSE)</f>
        <v>#N/A</v>
      </c>
      <c r="V26" s="309" t="e">
        <f>VLOOKUP($V$3&amp;O26&amp;C26,'BD2'!$BV$2:$CB$200,7,FALSE)</f>
        <v>#N/A</v>
      </c>
      <c r="W26" s="309" t="e">
        <f>VLOOKUP($W$3&amp;O26&amp;C26,'BD2'!$BV$2:$CB$200,7,FALSE)</f>
        <v>#N/A</v>
      </c>
      <c r="X26" s="94" t="e">
        <f t="shared" si="3"/>
        <v>#N/A</v>
      </c>
    </row>
    <row r="27" spans="1:24" hidden="1">
      <c r="A27" s="89">
        <f>VLOOKUP(E27,Fatos!$L$16:$V$67,11,FALSE)</f>
        <v>45045</v>
      </c>
      <c r="B27" s="302">
        <f t="shared" si="0"/>
        <v>4</v>
      </c>
      <c r="C27">
        <v>69</v>
      </c>
      <c r="D27" s="278" t="str">
        <f>VLOOKUP(E27,Efeito!$A$5:$B$56,2,FALSE)</f>
        <v>NO SELECT</v>
      </c>
      <c r="E27" s="361" t="s">
        <v>171</v>
      </c>
      <c r="F27" s="94" t="s">
        <v>274</v>
      </c>
      <c r="G27" s="94" t="s">
        <v>88</v>
      </c>
      <c r="H27" s="95">
        <v>1.2E-2</v>
      </c>
      <c r="I27" s="95">
        <f>SUMIFS(Banco[valor],Banco[IdAgente],D27,Banco[id_natureza_dado],1,Banco[id_detalhe_natureza],1,Banco[idDet1],15,Banco[idDet2],143,Banco[idDet3],999,Banco[id_grupo_tarifa],2,Banco[id_detalhe_grupo_tarifa],999,Banco[id_tipo_tarifa],9,Banco[id_subgrupo],B27,Banco[id_posto],9,Banco[id_unidade],4,Banco[id_UC],C27)</f>
        <v>0</v>
      </c>
      <c r="J27" s="309">
        <v>267.89</v>
      </c>
      <c r="K27" s="362" t="e">
        <f>VLOOKUP(C27,'BD2'!$BD$2:$BG$100,4,FALSE)</f>
        <v>#N/A</v>
      </c>
      <c r="L27" s="280">
        <f t="shared" si="1"/>
        <v>267.89</v>
      </c>
      <c r="M27" s="280"/>
      <c r="N27" s="278">
        <f t="shared" si="2"/>
        <v>5</v>
      </c>
      <c r="O27" s="278" t="str">
        <f t="shared" si="4"/>
        <v>5NO SELECT</v>
      </c>
      <c r="P27" s="308" t="s">
        <v>171</v>
      </c>
      <c r="Q27" s="94" t="s">
        <v>274</v>
      </c>
      <c r="R27" s="94" t="s">
        <v>88</v>
      </c>
      <c r="S27" s="101">
        <v>0</v>
      </c>
      <c r="T27" s="101">
        <v>0</v>
      </c>
      <c r="U27" s="309" t="e">
        <f>VLOOKUP($U$3&amp;O27&amp;C27,'BD2'!$BV$2:$CB$200,7,FALSE)</f>
        <v>#N/A</v>
      </c>
      <c r="V27" s="309" t="e">
        <f>VLOOKUP($V$3&amp;O27&amp;C27,'BD2'!$BV$2:$CB$200,7,FALSE)</f>
        <v>#N/A</v>
      </c>
      <c r="W27" s="309" t="e">
        <f>VLOOKUP($W$3&amp;O27&amp;C27,'BD2'!$BV$2:$CB$200,7,FALSE)</f>
        <v>#N/A</v>
      </c>
      <c r="X27" s="94" t="e">
        <f t="shared" si="3"/>
        <v>#N/A</v>
      </c>
    </row>
    <row r="28" spans="1:24" hidden="1">
      <c r="A28" s="89">
        <f>VLOOKUP(E28,Fatos!$L$16:$V$67,11,FALSE)</f>
        <v>45045</v>
      </c>
      <c r="B28" s="302">
        <f t="shared" si="0"/>
        <v>5</v>
      </c>
      <c r="C28">
        <v>69</v>
      </c>
      <c r="D28" s="278" t="str">
        <f>VLOOKUP(E28,Efeito!$A$5:$B$56,2,FALSE)</f>
        <v>NO SELECT</v>
      </c>
      <c r="E28" s="361" t="s">
        <v>171</v>
      </c>
      <c r="F28" s="94" t="s">
        <v>274</v>
      </c>
      <c r="G28" s="94" t="s">
        <v>85</v>
      </c>
      <c r="H28" s="95">
        <v>1.2E-2</v>
      </c>
      <c r="I28" s="95">
        <f>SUMIFS(Banco[valor],Banco[IdAgente],D28,Banco[id_natureza_dado],1,Banco[id_detalhe_natureza],1,Banco[idDet1],15,Banco[idDet2],143,Banco[idDet3],999,Banco[id_grupo_tarifa],2,Banco[id_detalhe_grupo_tarifa],999,Banco[id_tipo_tarifa],9,Banco[id_subgrupo],B28,Banco[id_posto],9,Banco[id_unidade],4,Banco[id_UC],C28)</f>
        <v>0</v>
      </c>
      <c r="J28" s="309">
        <v>267.89</v>
      </c>
      <c r="K28" s="362" t="e">
        <f>VLOOKUP(C28,'BD2'!$BD$2:$BG$100,4,FALSE)</f>
        <v>#N/A</v>
      </c>
      <c r="L28" s="280">
        <f t="shared" si="1"/>
        <v>267.89</v>
      </c>
      <c r="M28" s="280"/>
      <c r="N28" s="278">
        <f t="shared" si="2"/>
        <v>6</v>
      </c>
      <c r="O28" s="278" t="str">
        <f t="shared" si="4"/>
        <v>6NO SELECT</v>
      </c>
      <c r="P28" s="308" t="s">
        <v>171</v>
      </c>
      <c r="Q28" s="94" t="s">
        <v>274</v>
      </c>
      <c r="R28" s="94" t="s">
        <v>85</v>
      </c>
      <c r="S28" s="101">
        <v>0</v>
      </c>
      <c r="T28" s="101">
        <v>0</v>
      </c>
      <c r="U28" s="309" t="e">
        <f>VLOOKUP($U$3&amp;O28&amp;C28,'BD2'!$BV$2:$CB$200,7,FALSE)</f>
        <v>#N/A</v>
      </c>
      <c r="V28" s="309" t="e">
        <f>VLOOKUP($V$3&amp;O28&amp;C28,'BD2'!$BV$2:$CB$200,7,FALSE)</f>
        <v>#N/A</v>
      </c>
      <c r="W28" s="309" t="e">
        <f>VLOOKUP($W$3&amp;O28&amp;C28,'BD2'!$BV$2:$CB$200,7,FALSE)</f>
        <v>#N/A</v>
      </c>
      <c r="X28" s="94" t="e">
        <f t="shared" si="3"/>
        <v>#N/A</v>
      </c>
    </row>
    <row r="29" spans="1:24" hidden="1">
      <c r="A29" s="89">
        <f>VLOOKUP(E29,Fatos!$L$16:$V$67,11,FALSE)</f>
        <v>45045</v>
      </c>
      <c r="B29" s="302">
        <f t="shared" si="0"/>
        <v>4</v>
      </c>
      <c r="C29" s="278">
        <v>385</v>
      </c>
      <c r="D29" s="278" t="str">
        <f>VLOOKUP(E29,Efeito!$A$5:$B$56,2,FALSE)</f>
        <v>NO SELECT</v>
      </c>
      <c r="E29" s="361" t="s">
        <v>171</v>
      </c>
      <c r="F29" s="94" t="s">
        <v>145</v>
      </c>
      <c r="G29" s="94" t="s">
        <v>88</v>
      </c>
      <c r="H29" s="95">
        <v>1.2E-2</v>
      </c>
      <c r="I29" s="95">
        <f>SUMIFS(Banco[valor],Banco[IdAgente],D29,Banco[id_natureza_dado],1,Banco[id_detalhe_natureza],1,Banco[idDet1],15,Banco[idDet2],143,Banco[idDet3],999,Banco[id_grupo_tarifa],2,Banco[id_detalhe_grupo_tarifa],999,Banco[id_tipo_tarifa],9,Banco[id_subgrupo],B29,Banco[id_posto],9,Banco[id_unidade],4,Banco[id_UC],C29)</f>
        <v>0</v>
      </c>
      <c r="J29" s="309">
        <f>SUMIFS(Banco[valor],Banco[IdAgente],D29,Banco[id_natureza_dado],1,Banco[id_detalhe_natureza],1,Banco[idDet1],15,Banco[idDet2],144,Banco[idDet3],999,Banco[id_grupo_tarifa],2,Banco[id_detalhe_grupo_tarifa],999,Banco[id_tipo_tarifa],9,Banco[id_subgrupo],B29,Banco[id_posto],9,Banco[id_unidade],5,Banco[id_UC],C29)</f>
        <v>0</v>
      </c>
      <c r="K29" s="362" t="str">
        <f>VLOOKUP(C29,'BD2'!$BD$2:$BG$100,4,FALSE)</f>
        <v>REH 3253/2023</v>
      </c>
      <c r="L29" s="280">
        <f t="shared" si="1"/>
        <v>0</v>
      </c>
      <c r="M29" s="280"/>
      <c r="N29" s="278">
        <f t="shared" si="2"/>
        <v>5</v>
      </c>
      <c r="O29" s="278" t="str">
        <f t="shared" si="4"/>
        <v>5NO SELECT</v>
      </c>
      <c r="P29" s="308" t="s">
        <v>171</v>
      </c>
      <c r="Q29" s="94" t="s">
        <v>145</v>
      </c>
      <c r="R29" s="94" t="s">
        <v>88</v>
      </c>
      <c r="S29" s="101">
        <v>0</v>
      </c>
      <c r="T29" s="101">
        <v>0</v>
      </c>
      <c r="U29" s="309" t="e">
        <f>VLOOKUP($U$3&amp;O29&amp;C29,'BD2'!$BV$2:$CB$200,7,FALSE)</f>
        <v>#N/A</v>
      </c>
      <c r="V29" s="309" t="e">
        <f>VLOOKUP($V$3&amp;O29&amp;C29,'BD2'!$BV$2:$CB$200,7,FALSE)</f>
        <v>#N/A</v>
      </c>
      <c r="W29" s="309" t="e">
        <f>VLOOKUP($W$3&amp;O29&amp;C29,'BD2'!$BV$2:$CB$200,7,FALSE)</f>
        <v>#N/A</v>
      </c>
      <c r="X29" s="94" t="str">
        <f t="shared" si="3"/>
        <v>REH 3253/2023</v>
      </c>
    </row>
    <row r="30" spans="1:24" hidden="1">
      <c r="A30" s="89">
        <f>VLOOKUP(E30,Fatos!$L$16:$V$67,11,FALSE)</f>
        <v>45045</v>
      </c>
      <c r="B30" s="302">
        <f t="shared" si="0"/>
        <v>5</v>
      </c>
      <c r="C30" s="278">
        <v>385</v>
      </c>
      <c r="D30" s="278" t="str">
        <f>VLOOKUP(E30,Efeito!$A$5:$B$56,2,FALSE)</f>
        <v>NO SELECT</v>
      </c>
      <c r="E30" s="361" t="s">
        <v>171</v>
      </c>
      <c r="F30" s="94" t="s">
        <v>145</v>
      </c>
      <c r="G30" s="94" t="s">
        <v>85</v>
      </c>
      <c r="H30" s="95">
        <v>1.2E-2</v>
      </c>
      <c r="I30" s="95">
        <f>SUMIFS(Banco[valor],Banco[IdAgente],D30,Banco[id_natureza_dado],1,Banco[id_detalhe_natureza],1,Banco[idDet1],15,Banco[idDet2],143,Banco[idDet3],999,Banco[id_grupo_tarifa],2,Banco[id_detalhe_grupo_tarifa],999,Banco[id_tipo_tarifa],9,Banco[id_subgrupo],B30,Banco[id_posto],9,Banco[id_unidade],4,Banco[id_UC],C30)</f>
        <v>0</v>
      </c>
      <c r="J30" s="309">
        <f>SUMIFS(Banco[valor],Banco[IdAgente],D30,Banco[id_natureza_dado],1,Banco[id_detalhe_natureza],1,Banco[idDet1],15,Banco[idDet2],144,Banco[idDet3],999,Banco[id_grupo_tarifa],2,Banco[id_detalhe_grupo_tarifa],999,Banco[id_tipo_tarifa],9,Banco[id_subgrupo],B30,Banco[id_posto],9,Banco[id_unidade],5,Banco[id_UC],C30)</f>
        <v>0</v>
      </c>
      <c r="K30" s="362" t="str">
        <f>VLOOKUP(C30,'BD2'!$BD$2:$BG$100,4,FALSE)</f>
        <v>REH 3253/2023</v>
      </c>
      <c r="L30" s="280">
        <f t="shared" si="1"/>
        <v>0</v>
      </c>
      <c r="M30" s="280"/>
      <c r="N30" s="278">
        <f t="shared" si="2"/>
        <v>6</v>
      </c>
      <c r="O30" s="278" t="str">
        <f t="shared" si="4"/>
        <v>6NO SELECT</v>
      </c>
      <c r="P30" s="308" t="s">
        <v>171</v>
      </c>
      <c r="Q30" s="94" t="s">
        <v>145</v>
      </c>
      <c r="R30" s="94" t="s">
        <v>85</v>
      </c>
      <c r="S30" s="101">
        <v>0</v>
      </c>
      <c r="T30" s="101">
        <v>0</v>
      </c>
      <c r="U30" s="309" t="e">
        <f>VLOOKUP($U$3&amp;O30&amp;C30,'BD2'!$BV$2:$CB$200,7,FALSE)</f>
        <v>#N/A</v>
      </c>
      <c r="V30" s="309" t="e">
        <f>VLOOKUP($V$3&amp;O30&amp;C30,'BD2'!$BV$2:$CB$200,7,FALSE)</f>
        <v>#N/A</v>
      </c>
      <c r="W30" s="309" t="e">
        <f>VLOOKUP($W$3&amp;O30&amp;C30,'BD2'!$BV$2:$CB$200,7,FALSE)</f>
        <v>#N/A</v>
      </c>
      <c r="X30" s="94" t="str">
        <f t="shared" si="3"/>
        <v>REH 3253/2023</v>
      </c>
    </row>
    <row r="31" spans="1:24" ht="15" hidden="1" customHeight="1">
      <c r="A31" s="89">
        <f>VLOOKUP(E31,Fatos!$L$16:$V$67,11,FALSE)</f>
        <v>45137</v>
      </c>
      <c r="B31" s="302">
        <f t="shared" si="0"/>
        <v>5</v>
      </c>
      <c r="C31" s="278">
        <f>VLOOKUP(F31,'BD2'!$BB$1:$BD$51,3,FALSE)</f>
        <v>390</v>
      </c>
      <c r="D31" s="278" t="str">
        <f>VLOOKUP(E31,Efeito!$A$5:$B$56,2,FALSE)</f>
        <v>NO SELECT</v>
      </c>
      <c r="E31" s="361" t="s">
        <v>174</v>
      </c>
      <c r="F31" s="94" t="s">
        <v>309</v>
      </c>
      <c r="G31" s="94" t="s">
        <v>85</v>
      </c>
      <c r="H31" s="95">
        <v>0.58150000000000002</v>
      </c>
      <c r="I31" s="95">
        <f>SUMIFS(Banco[valor],Banco[IdAgente],D31,Banco[id_natureza_dado],1,Banco[id_detalhe_natureza],1,Banco[idDet1],15,Banco[idDet2],143,Banco[idDet3],999,Banco[id_grupo_tarifa],2,Banco[id_detalhe_grupo_tarifa],999,Banco[id_tipo_tarifa],9,Banco[id_subgrupo],B31,Banco[id_posto],9,Banco[id_unidade],4,Banco[id_UC],C31)</f>
        <v>0</v>
      </c>
      <c r="J31" s="309">
        <f>SUMIFS(Banco[valor],Banco[IdAgente],D31,Banco[id_natureza_dado],1,Banco[id_detalhe_natureza],1,Banco[idDet1],15,Banco[idDet2],144,Banco[idDet3],999,Banco[id_grupo_tarifa],2,Banco[id_detalhe_grupo_tarifa],999,Banco[id_tipo_tarifa],9,Banco[id_subgrupo],B31,Banco[id_posto],9,Banco[id_unidade],5,Banco[id_UC],C31)</f>
        <v>0</v>
      </c>
      <c r="K31" s="362" t="str">
        <f>VLOOKUP(C31,'BD2'!$BD$2:$BG$100,4,FALSE)</f>
        <v>REH 3215/2023</v>
      </c>
      <c r="L31" s="188">
        <f t="shared" si="1"/>
        <v>0</v>
      </c>
      <c r="M31" s="188"/>
      <c r="N31" s="278">
        <f t="shared" si="2"/>
        <v>6</v>
      </c>
      <c r="O31" s="278" t="str">
        <f t="shared" si="4"/>
        <v>6NO SELECT</v>
      </c>
      <c r="P31" s="308" t="s">
        <v>174</v>
      </c>
      <c r="Q31" s="94" t="s">
        <v>309</v>
      </c>
      <c r="R31" s="94" t="s">
        <v>85</v>
      </c>
      <c r="S31" s="101">
        <v>0</v>
      </c>
      <c r="T31" s="101">
        <v>0</v>
      </c>
      <c r="U31" s="309" t="e">
        <f>VLOOKUP($U$3&amp;O31&amp;C31,'BD2'!$BV$2:$CB$200,7,FALSE)</f>
        <v>#N/A</v>
      </c>
      <c r="V31" s="309" t="e">
        <f>VLOOKUP($V$3&amp;O31&amp;C31,'BD2'!$BV$2:$CB$200,7,FALSE)</f>
        <v>#N/A</v>
      </c>
      <c r="W31" s="309" t="e">
        <f>VLOOKUP($W$3&amp;O31&amp;C31,'BD2'!$BV$2:$CB$200,7,FALSE)</f>
        <v>#N/A</v>
      </c>
      <c r="X31" s="94" t="str">
        <f t="shared" si="3"/>
        <v>REH 3215/2023</v>
      </c>
    </row>
    <row r="32" spans="1:24" ht="15" hidden="1" customHeight="1">
      <c r="A32" s="89">
        <f>VLOOKUP(E32,Fatos!$L$16:$V$67,11,FALSE)</f>
        <v>45260</v>
      </c>
      <c r="B32" s="302">
        <f t="shared" si="0"/>
        <v>5</v>
      </c>
      <c r="C32" s="278">
        <v>391</v>
      </c>
      <c r="D32" s="278" t="str">
        <f>VLOOKUP(E32,Efeito!$A$5:$B$56,2,FALSE)</f>
        <v>NO SELECT</v>
      </c>
      <c r="E32" s="361" t="s">
        <v>275</v>
      </c>
      <c r="F32" s="94" t="s">
        <v>258</v>
      </c>
      <c r="G32" s="94" t="s">
        <v>85</v>
      </c>
      <c r="H32" s="95">
        <v>0</v>
      </c>
      <c r="I32" s="95">
        <f>SUMIFS(Banco[valor],Banco[IdAgente],D32,Banco[id_natureza_dado],1,Banco[id_detalhe_natureza],1,Banco[idDet1],15,Banco[idDet2],143,Banco[idDet3],999,Banco[id_grupo_tarifa],2,Banco[id_detalhe_grupo_tarifa],999,Banco[id_tipo_tarifa],9,Banco[id_subgrupo],B32,Banco[id_posto],9,Banco[id_unidade],4,Banco[id_UC],C32)</f>
        <v>0</v>
      </c>
      <c r="J32" s="309">
        <f>SUMIFS(Banco[valor],Banco[IdAgente],D32,Banco[id_natureza_dado],1,Banco[id_detalhe_natureza],1,Banco[idDet1],15,Banco[idDet2],144,Banco[idDet3],999,Banco[id_grupo_tarifa],2,Banco[id_detalhe_grupo_tarifa],999,Banco[id_tipo_tarifa],9,Banco[id_subgrupo],B32,Banco[id_posto],9,Banco[id_unidade],5,Banco[id_UC],C32)</f>
        <v>0</v>
      </c>
      <c r="K32" s="362" t="str">
        <f>VLOOKUP(C32,'BD2'!$BD$2:$BG$100,4,FALSE)</f>
        <v>REH 3278/2023</v>
      </c>
      <c r="L32" s="188">
        <f t="shared" si="1"/>
        <v>0</v>
      </c>
      <c r="M32" s="188"/>
      <c r="N32" s="278">
        <f t="shared" si="2"/>
        <v>6</v>
      </c>
      <c r="O32" s="278" t="str">
        <f t="shared" si="4"/>
        <v>6NO SELECT</v>
      </c>
      <c r="P32" s="308" t="s">
        <v>275</v>
      </c>
      <c r="Q32" s="94" t="s">
        <v>258</v>
      </c>
      <c r="R32" s="94" t="s">
        <v>85</v>
      </c>
      <c r="S32" s="101">
        <v>0</v>
      </c>
      <c r="T32" s="101" t="e">
        <v>#N/A</v>
      </c>
      <c r="U32" s="309" t="e">
        <f>VLOOKUP($U$3&amp;O32&amp;C32,'BD2'!$BV$2:$CB$200,7,FALSE)</f>
        <v>#N/A</v>
      </c>
      <c r="V32" s="309" t="e">
        <f>VLOOKUP($V$3&amp;O32&amp;C32,'BD2'!$BV$2:$CB$200,7,FALSE)</f>
        <v>#N/A</v>
      </c>
      <c r="W32" s="309" t="e">
        <f>VLOOKUP($W$3&amp;O32&amp;C32,'BD2'!$BV$2:$CB$200,7,FALSE)</f>
        <v>#N/A</v>
      </c>
      <c r="X32" s="94" t="str">
        <f t="shared" si="3"/>
        <v>REH 3278/2023</v>
      </c>
    </row>
    <row r="33" spans="1:24" ht="15" hidden="1" customHeight="1">
      <c r="A33" s="89">
        <f>VLOOKUP(E33,Fatos!$L$16:$V$67,11,FALSE)</f>
        <v>45137</v>
      </c>
      <c r="B33" s="302">
        <f t="shared" si="0"/>
        <v>3</v>
      </c>
      <c r="C33" s="326">
        <v>396</v>
      </c>
      <c r="D33" s="278" t="str">
        <f>VLOOKUP(E33,Efeito!$A$5:$B$56,2,FALSE)</f>
        <v>NO SELECT</v>
      </c>
      <c r="E33" s="361" t="s">
        <v>180</v>
      </c>
      <c r="F33" s="94" t="s">
        <v>262</v>
      </c>
      <c r="G33" s="94" t="s">
        <v>87</v>
      </c>
      <c r="H33" s="95">
        <v>0</v>
      </c>
      <c r="I33" s="95">
        <f>SUMIFS(Banco[valor],Banco[IdAgente],D33,Banco[id_natureza_dado],1,Banco[id_detalhe_natureza],1,Banco[idDet1],15,Banco[idDet2],143,Banco[idDet3],999,Banco[id_grupo_tarifa],2,Banco[id_detalhe_grupo_tarifa],999,Banco[id_tipo_tarifa],9,Banco[id_subgrupo],B33,Banco[id_posto],9,Banco[id_unidade],4,Banco[id_UC],C33)</f>
        <v>0</v>
      </c>
      <c r="J33" s="309">
        <f>SUMIFS(Banco[valor],Banco[IdAgente],D33,Banco[id_natureza_dado],1,Banco[id_detalhe_natureza],1,Banco[idDet1],15,Banco[idDet2],144,Banco[idDet3],999,Banco[id_grupo_tarifa],2,Banco[id_detalhe_grupo_tarifa],999,Banco[id_tipo_tarifa],9,Banco[id_subgrupo],B33,Banco[id_posto],9,Banco[id_unidade],5,Banco[id_UC],C33)</f>
        <v>0</v>
      </c>
      <c r="K33" s="362" t="e">
        <f>VLOOKUP(C33,'BD2'!$BD$2:$BG$100,4,FALSE)</f>
        <v>#N/A</v>
      </c>
      <c r="L33" s="188">
        <f t="shared" si="1"/>
        <v>0</v>
      </c>
      <c r="M33" s="188"/>
      <c r="N33" s="278">
        <f t="shared" si="2"/>
        <v>4</v>
      </c>
      <c r="O33" s="278" t="str">
        <f t="shared" si="4"/>
        <v>4NO SELECT</v>
      </c>
      <c r="P33" s="308" t="s">
        <v>180</v>
      </c>
      <c r="Q33" s="94" t="s">
        <v>262</v>
      </c>
      <c r="R33" s="94" t="s">
        <v>87</v>
      </c>
      <c r="S33" s="101">
        <v>0</v>
      </c>
      <c r="T33" s="101">
        <v>0</v>
      </c>
      <c r="U33" s="309" t="e">
        <f>VLOOKUP($U$3&amp;O33&amp;C33,'BD2'!$BV$2:$CB$200,7,FALSE)</f>
        <v>#N/A</v>
      </c>
      <c r="V33" s="309" t="e">
        <f>VLOOKUP($V$3&amp;O33&amp;C33,'BD2'!$BV$2:$CB$200,7,FALSE)</f>
        <v>#N/A</v>
      </c>
      <c r="W33" s="309" t="e">
        <f>VLOOKUP($W$3&amp;O33&amp;C33,'BD2'!$BV$2:$CB$200,7,FALSE)</f>
        <v>#N/A</v>
      </c>
      <c r="X33" s="94" t="e">
        <f t="shared" si="3"/>
        <v>#N/A</v>
      </c>
    </row>
    <row r="34" spans="1:24" ht="15" hidden="1" customHeight="1">
      <c r="A34" s="89">
        <f>VLOOKUP(E34,Fatos!$L$16:$V$67,11,FALSE)</f>
        <v>45137</v>
      </c>
      <c r="B34" s="302">
        <f t="shared" si="0"/>
        <v>5</v>
      </c>
      <c r="C34" s="326">
        <v>396</v>
      </c>
      <c r="D34" s="278" t="str">
        <f>VLOOKUP(E34,Efeito!$A$5:$B$56,2,FALSE)</f>
        <v>NO SELECT</v>
      </c>
      <c r="E34" s="361" t="s">
        <v>180</v>
      </c>
      <c r="F34" s="94" t="s">
        <v>262</v>
      </c>
      <c r="G34" s="94" t="s">
        <v>85</v>
      </c>
      <c r="H34" s="95">
        <v>0</v>
      </c>
      <c r="I34" s="95">
        <f>SUMIFS(Banco[valor],Banco[IdAgente],D34,Banco[id_natureza_dado],1,Banco[id_detalhe_natureza],1,Banco[idDet1],15,Banco[idDet2],143,Banco[idDet3],999,Banco[id_grupo_tarifa],2,Banco[id_detalhe_grupo_tarifa],999,Banco[id_tipo_tarifa],9,Banco[id_subgrupo],B34,Banco[id_posto],9,Banco[id_unidade],4,Banco[id_UC],C34)</f>
        <v>0</v>
      </c>
      <c r="J34" s="309">
        <f>SUMIFS(Banco[valor],Banco[IdAgente],D34,Banco[id_natureza_dado],1,Banco[id_detalhe_natureza],1,Banco[idDet1],15,Banco[idDet2],144,Banco[idDet3],999,Banco[id_grupo_tarifa],2,Banco[id_detalhe_grupo_tarifa],999,Banco[id_tipo_tarifa],9,Banco[id_subgrupo],B34,Banco[id_posto],9,Banco[id_unidade],5,Banco[id_UC],C34)</f>
        <v>0</v>
      </c>
      <c r="K34" s="362" t="e">
        <f>VLOOKUP(C34,'BD2'!$BD$2:$BG$100,4,FALSE)</f>
        <v>#N/A</v>
      </c>
      <c r="L34" s="188">
        <f t="shared" si="1"/>
        <v>0</v>
      </c>
      <c r="M34" s="188"/>
      <c r="N34" s="278">
        <f t="shared" si="2"/>
        <v>6</v>
      </c>
      <c r="O34" s="278" t="str">
        <f t="shared" si="4"/>
        <v>6NO SELECT</v>
      </c>
      <c r="P34" s="308" t="s">
        <v>180</v>
      </c>
      <c r="Q34" s="94" t="s">
        <v>262</v>
      </c>
      <c r="R34" s="94" t="s">
        <v>85</v>
      </c>
      <c r="S34" s="101">
        <v>0</v>
      </c>
      <c r="T34" s="101">
        <v>0</v>
      </c>
      <c r="U34" s="309" t="e">
        <f>VLOOKUP($U$3&amp;O34&amp;C34,'BD2'!$BV$2:$CB$200,7,FALSE)</f>
        <v>#N/A</v>
      </c>
      <c r="V34" s="309" t="e">
        <f>VLOOKUP($V$3&amp;O34&amp;C34,'BD2'!$BV$2:$CB$200,7,FALSE)</f>
        <v>#N/A</v>
      </c>
      <c r="W34" s="309" t="e">
        <f>VLOOKUP($W$3&amp;O34&amp;C34,'BD2'!$BV$2:$CB$200,7,FALSE)</f>
        <v>#N/A</v>
      </c>
      <c r="X34" s="94" t="e">
        <f t="shared" si="3"/>
        <v>#N/A</v>
      </c>
    </row>
    <row r="35" spans="1:24" ht="15" hidden="1" customHeight="1">
      <c r="A35" s="89">
        <f>VLOOKUP(E35,Fatos!$L$16:$V$67,11,FALSE)</f>
        <v>45199</v>
      </c>
      <c r="B35" s="302">
        <f t="shared" si="0"/>
        <v>3</v>
      </c>
      <c r="C35" s="278">
        <v>5697</v>
      </c>
      <c r="D35" s="278" t="str">
        <f>VLOOKUP(E35,Efeito!$A$5:$B$56,2,FALSE)</f>
        <v>NO SELECT</v>
      </c>
      <c r="E35" s="361" t="s">
        <v>52</v>
      </c>
      <c r="F35" s="94" t="s">
        <v>146</v>
      </c>
      <c r="G35" s="94" t="s">
        <v>87</v>
      </c>
      <c r="H35" s="95">
        <v>0.45639999999999997</v>
      </c>
      <c r="I35" s="95">
        <f>SUMIFS(Banco[valor],Banco[IdAgente],D35,Banco[id_natureza_dado],1,Banco[id_detalhe_natureza],1,Banco[idDet1],15,Banco[idDet2],143,Banco[idDet3],999,Banco[id_grupo_tarifa],2,Banco[id_detalhe_grupo_tarifa],999,Banco[id_tipo_tarifa],9,Banco[id_subgrupo],B35,Banco[id_posto],9,Banco[id_unidade],4,Banco[id_UC],C35)</f>
        <v>0</v>
      </c>
      <c r="J35" s="309">
        <f>SUMIFS(Banco[valor],Banco[IdAgente],D35,Banco[id_natureza_dado],1,Banco[id_detalhe_natureza],1,Banco[idDet1],15,Banco[idDet2],144,Banco[idDet3],999,Banco[id_grupo_tarifa],2,Banco[id_detalhe_grupo_tarifa],999,Banco[id_tipo_tarifa],9,Banco[id_subgrupo],B35,Banco[id_posto],9,Banco[id_unidade],5,Banco[id_UC],C35)</f>
        <v>0</v>
      </c>
      <c r="K35" s="362" t="str">
        <f>VLOOKUP(C35,'BD2'!$BD$2:$BG$100,4,FALSE)</f>
        <v>REH 3244/2023</v>
      </c>
      <c r="L35" s="188">
        <f t="shared" si="1"/>
        <v>0</v>
      </c>
      <c r="M35" s="188"/>
      <c r="N35" s="278">
        <f t="shared" si="2"/>
        <v>4</v>
      </c>
      <c r="O35" s="278" t="str">
        <f t="shared" si="4"/>
        <v>4NO SELECT</v>
      </c>
      <c r="P35" s="308" t="s">
        <v>52</v>
      </c>
      <c r="Q35" s="94" t="s">
        <v>146</v>
      </c>
      <c r="R35" s="94" t="s">
        <v>87</v>
      </c>
      <c r="S35" s="101">
        <v>0</v>
      </c>
      <c r="T35" s="101" t="e">
        <v>#N/A</v>
      </c>
      <c r="U35" s="309" t="e">
        <f>VLOOKUP($U$3&amp;O35&amp;C35,'BD2'!$BV$2:$CB$200,7,FALSE)</f>
        <v>#N/A</v>
      </c>
      <c r="V35" s="309" t="e">
        <f>VLOOKUP($V$3&amp;O35&amp;C35,'BD2'!$BV$2:$CB$200,7,FALSE)</f>
        <v>#N/A</v>
      </c>
      <c r="W35" s="309" t="e">
        <f>VLOOKUP($W$3&amp;O35&amp;C35,'BD2'!$BV$2:$CB$200,7,FALSE)</f>
        <v>#N/A</v>
      </c>
      <c r="X35" s="94" t="str">
        <f t="shared" si="3"/>
        <v>REH 3244/2023</v>
      </c>
    </row>
    <row r="36" spans="1:24" ht="15" hidden="1" customHeight="1">
      <c r="A36" s="89">
        <f>VLOOKUP(E36,Fatos!$L$16:$V$67,11,FALSE)</f>
        <v>45199</v>
      </c>
      <c r="B36" s="302">
        <f t="shared" si="0"/>
        <v>5</v>
      </c>
      <c r="C36" s="278">
        <v>5697</v>
      </c>
      <c r="D36" s="278" t="str">
        <f>VLOOKUP(E36,Efeito!$A$5:$B$56,2,FALSE)</f>
        <v>NO SELECT</v>
      </c>
      <c r="E36" s="361" t="s">
        <v>52</v>
      </c>
      <c r="F36" s="94" t="s">
        <v>146</v>
      </c>
      <c r="G36" s="94" t="s">
        <v>85</v>
      </c>
      <c r="H36" s="95">
        <v>0.45639999999999997</v>
      </c>
      <c r="I36" s="95">
        <f>SUMIFS(Banco[valor],Banco[IdAgente],D36,Banco[id_natureza_dado],1,Banco[id_detalhe_natureza],1,Banco[idDet1],15,Banco[idDet2],143,Banco[idDet3],999,Banco[id_grupo_tarifa],2,Banco[id_detalhe_grupo_tarifa],999,Banco[id_tipo_tarifa],9,Banco[id_subgrupo],B36,Banco[id_posto],9,Banco[id_unidade],4,Banco[id_UC],C36)</f>
        <v>0</v>
      </c>
      <c r="J36" s="309">
        <f>SUMIFS(Banco[valor],Banco[IdAgente],D36,Banco[id_natureza_dado],1,Banco[id_detalhe_natureza],1,Banco[idDet1],15,Banco[idDet2],144,Banco[idDet3],999,Banco[id_grupo_tarifa],2,Banco[id_detalhe_grupo_tarifa],999,Banco[id_tipo_tarifa],9,Banco[id_subgrupo],B36,Banco[id_posto],9,Banco[id_unidade],5,Banco[id_UC],C36)</f>
        <v>0</v>
      </c>
      <c r="K36" s="362" t="str">
        <f>VLOOKUP(C36,'BD2'!$BD$2:$BG$100,4,FALSE)</f>
        <v>REH 3244/2023</v>
      </c>
      <c r="L36" s="188">
        <f t="shared" si="1"/>
        <v>0</v>
      </c>
      <c r="M36" s="188"/>
      <c r="N36" s="278">
        <f t="shared" si="2"/>
        <v>6</v>
      </c>
      <c r="O36" s="278" t="str">
        <f t="shared" si="4"/>
        <v>6NO SELECT</v>
      </c>
      <c r="P36" s="308" t="s">
        <v>52</v>
      </c>
      <c r="Q36" s="94" t="s">
        <v>146</v>
      </c>
      <c r="R36" s="94" t="s">
        <v>85</v>
      </c>
      <c r="S36" s="101">
        <v>0</v>
      </c>
      <c r="T36" s="101" t="e">
        <v>#N/A</v>
      </c>
      <c r="U36" s="309" t="e">
        <f>VLOOKUP($U$3&amp;O36&amp;C36,'BD2'!$BV$2:$CB$200,7,FALSE)</f>
        <v>#N/A</v>
      </c>
      <c r="V36" s="309" t="e">
        <f>VLOOKUP($V$3&amp;O36&amp;C36,'BD2'!$BV$2:$CB$200,7,FALSE)</f>
        <v>#N/A</v>
      </c>
      <c r="W36" s="309" t="e">
        <f>VLOOKUP($W$3&amp;O36&amp;C36,'BD2'!$BV$2:$CB$200,7,FALSE)</f>
        <v>#N/A</v>
      </c>
      <c r="X36" s="94" t="str">
        <f t="shared" si="3"/>
        <v>REH 3244/2023</v>
      </c>
    </row>
    <row r="37" spans="1:24" ht="15" hidden="1" customHeight="1">
      <c r="A37" s="89">
        <f>VLOOKUP(E37,Fatos!$L$16:$V$67,11,FALSE)</f>
        <v>45137</v>
      </c>
      <c r="B37" s="302">
        <f t="shared" ref="B37:B58" si="5">VLOOKUP(G37,$B$85:$C$98,2,FALSE)</f>
        <v>5</v>
      </c>
      <c r="C37" s="327">
        <v>5216</v>
      </c>
      <c r="D37" s="278" t="str">
        <f>VLOOKUP(E37,Efeito!$A$5:$B$56,2,FALSE)</f>
        <v>NO SELECT</v>
      </c>
      <c r="E37" s="361" t="s">
        <v>183</v>
      </c>
      <c r="F37" s="94" t="s">
        <v>260</v>
      </c>
      <c r="G37" s="94" t="s">
        <v>85</v>
      </c>
      <c r="H37" s="95">
        <v>0</v>
      </c>
      <c r="I37" s="95">
        <f>SUMIFS(Banco[valor],Banco[IdAgente],D37,Banco[id_natureza_dado],1,Banco[id_detalhe_natureza],1,Banco[idDet1],15,Banco[idDet2],143,Banco[idDet3],999,Banco[id_grupo_tarifa],2,Banco[id_detalhe_grupo_tarifa],999,Banco[id_tipo_tarifa],9,Banco[id_subgrupo],B37,Banco[id_posto],9,Banco[id_unidade],4,Banco[id_UC],C37)</f>
        <v>0</v>
      </c>
      <c r="J37" s="309">
        <f>SUMIFS(Banco[valor],Banco[IdAgente],D37,Banco[id_natureza_dado],1,Banco[id_detalhe_natureza],1,Banco[idDet1],15,Banco[idDet2],144,Banco[idDet3],999,Banco[id_grupo_tarifa],2,Banco[id_detalhe_grupo_tarifa],999,Banco[id_tipo_tarifa],9,Banco[id_subgrupo],B37,Banco[id_posto],9,Banco[id_unidade],5,Banco[id_UC],C37)</f>
        <v>0</v>
      </c>
      <c r="K37" s="362" t="e">
        <f>VLOOKUP(C37,'BD2'!$BD$2:$BG$100,4,FALSE)</f>
        <v>#N/A</v>
      </c>
      <c r="L37" s="188">
        <f t="shared" si="1"/>
        <v>0</v>
      </c>
      <c r="M37" s="188"/>
      <c r="N37" s="278">
        <f t="shared" ref="N37:N68" si="6">B37+1</f>
        <v>6</v>
      </c>
      <c r="O37" s="278" t="str">
        <f t="shared" si="4"/>
        <v>6NO SELECT</v>
      </c>
      <c r="P37" s="308" t="s">
        <v>183</v>
      </c>
      <c r="Q37" s="94" t="s">
        <v>260</v>
      </c>
      <c r="R37" s="94" t="s">
        <v>85</v>
      </c>
      <c r="S37" s="101">
        <v>0</v>
      </c>
      <c r="T37" s="101">
        <v>0</v>
      </c>
      <c r="U37" s="309" t="e">
        <f>VLOOKUP($U$3&amp;O37&amp;C37,'BD2'!$BV$2:$CB$200,7,FALSE)</f>
        <v>#N/A</v>
      </c>
      <c r="V37" s="309" t="e">
        <f>VLOOKUP($V$3&amp;O37&amp;C37,'BD2'!$BV$2:$CB$200,7,FALSE)</f>
        <v>#N/A</v>
      </c>
      <c r="W37" s="309" t="e">
        <f>VLOOKUP($W$3&amp;O37&amp;C37,'BD2'!$BV$2:$CB$200,7,FALSE)</f>
        <v>#N/A</v>
      </c>
      <c r="X37" s="94" t="e">
        <f t="shared" si="3"/>
        <v>#N/A</v>
      </c>
    </row>
    <row r="38" spans="1:24" ht="15" hidden="1" customHeight="1">
      <c r="A38" s="89">
        <f>VLOOKUP(E38,Fatos!$L$16:$V$67,11,FALSE)</f>
        <v>45199</v>
      </c>
      <c r="B38" s="302">
        <f t="shared" si="5"/>
        <v>5</v>
      </c>
      <c r="C38" s="278">
        <v>5697</v>
      </c>
      <c r="D38" s="278" t="str">
        <f>VLOOKUP(E38,Efeito!$A$5:$B$56,2,FALSE)</f>
        <v>NO SELECT</v>
      </c>
      <c r="E38" s="361" t="s">
        <v>59</v>
      </c>
      <c r="F38" s="94" t="s">
        <v>146</v>
      </c>
      <c r="G38" s="94" t="s">
        <v>85</v>
      </c>
      <c r="H38" s="95">
        <v>0.31740000000000002</v>
      </c>
      <c r="I38" s="95">
        <f>SUMIFS(Banco[valor],Banco[IdAgente],D38,Banco[id_natureza_dado],1,Banco[id_detalhe_natureza],1,Banco[idDet1],15,Banco[idDet2],143,Banco[idDet3],999,Banco[id_grupo_tarifa],2,Banco[id_detalhe_grupo_tarifa],999,Banco[id_tipo_tarifa],9,Banco[id_subgrupo],B38,Banco[id_posto],9,Banco[id_unidade],4,Banco[id_UC],C38)</f>
        <v>0</v>
      </c>
      <c r="J38" s="309">
        <f>SUMIFS(Banco[valor],Banco[IdAgente],D38,Banco[id_natureza_dado],1,Banco[id_detalhe_natureza],1,Banco[idDet1],15,Banco[idDet2],144,Banco[idDet3],999,Banco[id_grupo_tarifa],2,Banco[id_detalhe_grupo_tarifa],999,Banco[id_tipo_tarifa],9,Banco[id_subgrupo],B38,Banco[id_posto],9,Banco[id_unidade],5,Banco[id_UC],C38)</f>
        <v>0</v>
      </c>
      <c r="K38" s="362" t="str">
        <f>VLOOKUP(C38,'BD2'!$BD$2:$BG$100,4,FALSE)</f>
        <v>REH 3244/2023</v>
      </c>
      <c r="L38" s="188">
        <f t="shared" si="1"/>
        <v>0</v>
      </c>
      <c r="M38" s="188"/>
      <c r="N38" s="278">
        <f t="shared" si="6"/>
        <v>6</v>
      </c>
      <c r="O38" s="278" t="str">
        <f t="shared" si="4"/>
        <v>6NO SELECT</v>
      </c>
      <c r="P38" s="308" t="s">
        <v>59</v>
      </c>
      <c r="Q38" s="94" t="s">
        <v>146</v>
      </c>
      <c r="R38" s="94" t="s">
        <v>85</v>
      </c>
      <c r="S38" s="101">
        <v>0</v>
      </c>
      <c r="T38" s="101" t="e">
        <v>#N/A</v>
      </c>
      <c r="U38" s="309" t="e">
        <f>VLOOKUP($U$3&amp;O38&amp;C38,'BD2'!$BV$2:$CB$200,7,FALSE)</f>
        <v>#N/A</v>
      </c>
      <c r="V38" s="309" t="e">
        <f>VLOOKUP($V$3&amp;O38&amp;C38,'BD2'!$BV$2:$CB$200,7,FALSE)</f>
        <v>#N/A</v>
      </c>
      <c r="W38" s="309" t="e">
        <f>VLOOKUP($W$3&amp;O38&amp;C38,'BD2'!$BV$2:$CB$200,7,FALSE)</f>
        <v>#N/A</v>
      </c>
      <c r="X38" s="94" t="str">
        <f t="shared" si="3"/>
        <v>REH 3244/2023</v>
      </c>
    </row>
    <row r="39" spans="1:24" ht="15" hidden="1" customHeight="1">
      <c r="A39" s="89">
        <f>VLOOKUP(E39,Fatos!$L$16:$V$67,11,FALSE)</f>
        <v>45075</v>
      </c>
      <c r="B39" s="302">
        <f t="shared" si="5"/>
        <v>5</v>
      </c>
      <c r="C39" s="278">
        <f>VLOOKUP(F39,'BD2'!$BB$1:$BD$51,3,FALSE)</f>
        <v>63</v>
      </c>
      <c r="D39" s="278" t="str">
        <f>VLOOKUP(E39,Efeito!$A$5:$B$56,2,FALSE)</f>
        <v>NO SELECT</v>
      </c>
      <c r="E39" s="361" t="s">
        <v>186</v>
      </c>
      <c r="F39" s="94" t="s">
        <v>261</v>
      </c>
      <c r="G39" s="94" t="s">
        <v>85</v>
      </c>
      <c r="H39" s="95">
        <v>0</v>
      </c>
      <c r="I39" s="95">
        <f>SUMIFS(Banco[valor],Banco[IdAgente],D39,Banco[id_natureza_dado],1,Banco[id_detalhe_natureza],1,Banco[idDet1],15,Banco[idDet2],143,Banco[idDet3],999,Banco[id_grupo_tarifa],2,Banco[id_detalhe_grupo_tarifa],999,Banco[id_tipo_tarifa],9,Banco[id_subgrupo],B39,Banco[id_posto],9,Banco[id_unidade],4,Banco[id_UC],C39)</f>
        <v>0</v>
      </c>
      <c r="J39" s="309">
        <f>SUMIFS(Banco[valor],Banco[IdAgente],D39,Banco[id_natureza_dado],1,Banco[id_detalhe_natureza],1,Banco[idDet1],15,Banco[idDet2],144,Banco[idDet3],999,Banco[id_grupo_tarifa],2,Banco[id_detalhe_grupo_tarifa],999,Banco[id_tipo_tarifa],9,Banco[id_subgrupo],B39,Banco[id_posto],9,Banco[id_unidade],5,Banco[id_UC],C39)</f>
        <v>0</v>
      </c>
      <c r="K39" s="362" t="str">
        <f>VLOOKUP(C39,'BD2'!$BD$2:$BG$100,4,FALSE)</f>
        <v>REH 3183/2023</v>
      </c>
      <c r="L39" s="188">
        <f t="shared" si="1"/>
        <v>0</v>
      </c>
      <c r="M39" s="188"/>
      <c r="N39" s="278">
        <f t="shared" si="6"/>
        <v>6</v>
      </c>
      <c r="O39" s="278" t="str">
        <f t="shared" si="4"/>
        <v>6NO SELECT</v>
      </c>
      <c r="P39" s="308" t="s">
        <v>186</v>
      </c>
      <c r="Q39" s="94" t="s">
        <v>261</v>
      </c>
      <c r="R39" s="94" t="s">
        <v>85</v>
      </c>
      <c r="S39" s="101">
        <v>0</v>
      </c>
      <c r="T39" s="101">
        <v>0</v>
      </c>
      <c r="U39" s="309" t="e">
        <f>VLOOKUP($U$3&amp;O39&amp;C39,'BD2'!$BV$2:$CB$200,7,FALSE)</f>
        <v>#N/A</v>
      </c>
      <c r="V39" s="309" t="e">
        <f>VLOOKUP($V$3&amp;O39&amp;C39,'BD2'!$BV$2:$CB$200,7,FALSE)</f>
        <v>#N/A</v>
      </c>
      <c r="W39" s="309" t="e">
        <f>VLOOKUP($W$3&amp;O39&amp;C39,'BD2'!$BV$2:$CB$200,7,FALSE)</f>
        <v>#N/A</v>
      </c>
      <c r="X39" s="94" t="str">
        <f t="shared" si="3"/>
        <v>REH 3183/2023</v>
      </c>
    </row>
    <row r="40" spans="1:24" ht="15" hidden="1" customHeight="1">
      <c r="A40" s="89">
        <f>VLOOKUP(E40,Fatos!$L$16:$V$67,11,FALSE)</f>
        <v>45075</v>
      </c>
      <c r="B40" s="302">
        <f t="shared" si="5"/>
        <v>5</v>
      </c>
      <c r="C40">
        <v>5216</v>
      </c>
      <c r="D40" s="278" t="str">
        <f>VLOOKUP(E40,Efeito!$A$5:$B$56,2,FALSE)</f>
        <v>NO SELECT</v>
      </c>
      <c r="E40" s="361" t="s">
        <v>267</v>
      </c>
      <c r="F40" s="94" t="s">
        <v>260</v>
      </c>
      <c r="G40" s="94" t="s">
        <v>85</v>
      </c>
      <c r="H40" s="95">
        <v>0</v>
      </c>
      <c r="I40" s="95">
        <f>SUMIFS(Banco[valor],Banco[IdAgente],D40,Banco[id_natureza_dado],1,Banco[id_detalhe_natureza],1,Banco[idDet1],15,Banco[idDet2],143,Banco[idDet3],999,Banco[id_grupo_tarifa],2,Banco[id_detalhe_grupo_tarifa],999,Banco[id_tipo_tarifa],9,Banco[id_subgrupo],B40,Banco[id_posto],9,Banco[id_unidade],4,Banco[id_UC],C40)</f>
        <v>0</v>
      </c>
      <c r="J40" s="309">
        <f>SUMIFS(Banco[valor],Banco[IdAgente],D40,Banco[id_natureza_dado],1,Banco[id_detalhe_natureza],1,Banco[idDet1],15,Banco[idDet2],144,Banco[idDet3],999,Banco[id_grupo_tarifa],2,Banco[id_detalhe_grupo_tarifa],999,Banco[id_tipo_tarifa],9,Banco[id_subgrupo],B40,Banco[id_posto],9,Banco[id_unidade],5,Banco[id_UC],C40)</f>
        <v>0</v>
      </c>
      <c r="K40" s="362" t="e">
        <f>VLOOKUP(C40,'BD2'!$BD$2:$BG$100,4,FALSE)</f>
        <v>#N/A</v>
      </c>
      <c r="L40" s="188">
        <f t="shared" si="1"/>
        <v>0</v>
      </c>
      <c r="M40" s="188"/>
      <c r="N40" s="278">
        <f t="shared" si="6"/>
        <v>6</v>
      </c>
      <c r="O40" s="278" t="str">
        <f t="shared" si="4"/>
        <v>6NO SELECT</v>
      </c>
      <c r="P40" s="308" t="s">
        <v>267</v>
      </c>
      <c r="Q40" s="94" t="s">
        <v>260</v>
      </c>
      <c r="R40" s="94" t="s">
        <v>85</v>
      </c>
      <c r="S40" s="101">
        <v>0</v>
      </c>
      <c r="T40" s="101">
        <v>0</v>
      </c>
      <c r="U40" s="309" t="e">
        <f>VLOOKUP($U$3&amp;O40&amp;C40,'BD2'!$BV$2:$CB$200,7,FALSE)</f>
        <v>#N/A</v>
      </c>
      <c r="V40" s="309" t="e">
        <f>VLOOKUP($V$3&amp;O40&amp;C40,'BD2'!$BV$2:$CB$200,7,FALSE)</f>
        <v>#N/A</v>
      </c>
      <c r="W40" s="309" t="e">
        <f>VLOOKUP($W$3&amp;O40&amp;C40,'BD2'!$BV$2:$CB$200,7,FALSE)</f>
        <v>#N/A</v>
      </c>
      <c r="X40" s="94" t="e">
        <f t="shared" si="3"/>
        <v>#N/A</v>
      </c>
    </row>
    <row r="41" spans="1:24" ht="15" hidden="1" customHeight="1">
      <c r="A41" s="89">
        <f>VLOOKUP(E41,Fatos!$L$16:$V$67,11,FALSE)</f>
        <v>45075</v>
      </c>
      <c r="B41" s="302">
        <f t="shared" si="5"/>
        <v>5</v>
      </c>
      <c r="C41" s="278">
        <f>VLOOKUP(F41,'BD2'!$BB$1:$BD$51,3,FALSE)</f>
        <v>63</v>
      </c>
      <c r="D41" s="278" t="str">
        <f>VLOOKUP(E41,Efeito!$A$5:$B$56,2,FALSE)</f>
        <v>NO SELECT</v>
      </c>
      <c r="E41" s="361" t="s">
        <v>267</v>
      </c>
      <c r="F41" s="94" t="s">
        <v>261</v>
      </c>
      <c r="G41" s="94" t="s">
        <v>85</v>
      </c>
      <c r="H41" s="95">
        <v>0</v>
      </c>
      <c r="I41" s="95">
        <f>SUMIFS(Banco[valor],Banco[IdAgente],D41,Banco[id_natureza_dado],1,Banco[id_detalhe_natureza],1,Banco[idDet1],15,Banco[idDet2],143,Banco[idDet3],999,Banco[id_grupo_tarifa],2,Banco[id_detalhe_grupo_tarifa],999,Banco[id_tipo_tarifa],9,Banco[id_subgrupo],B41,Banco[id_posto],9,Banco[id_unidade],4,Banco[id_UC],C41)</f>
        <v>0</v>
      </c>
      <c r="J41" s="309">
        <f>SUMIFS(Banco[valor],Banco[IdAgente],D41,Banco[id_natureza_dado],1,Banco[id_detalhe_natureza],1,Banco[idDet1],15,Banco[idDet2],144,Banco[idDet3],999,Banco[id_grupo_tarifa],2,Banco[id_detalhe_grupo_tarifa],999,Banco[id_tipo_tarifa],9,Banco[id_subgrupo],B41,Banco[id_posto],9,Banco[id_unidade],5,Banco[id_UC],C41)</f>
        <v>0</v>
      </c>
      <c r="K41" s="362" t="str">
        <f>VLOOKUP(C41,'BD2'!$BD$2:$BG$100,4,FALSE)</f>
        <v>REH 3183/2023</v>
      </c>
      <c r="L41" s="188">
        <f t="shared" si="1"/>
        <v>0</v>
      </c>
      <c r="M41" s="188"/>
      <c r="N41" s="278">
        <f t="shared" si="6"/>
        <v>6</v>
      </c>
      <c r="O41" s="278" t="str">
        <f t="shared" si="4"/>
        <v>6NO SELECT</v>
      </c>
      <c r="P41" s="308" t="s">
        <v>267</v>
      </c>
      <c r="Q41" s="94" t="s">
        <v>261</v>
      </c>
      <c r="R41" s="94" t="s">
        <v>85</v>
      </c>
      <c r="S41" s="101">
        <v>0</v>
      </c>
      <c r="T41" s="101">
        <v>0</v>
      </c>
      <c r="U41" s="309" t="e">
        <f>VLOOKUP($U$3&amp;O41&amp;C41,'BD2'!$BV$2:$CB$200,7,FALSE)</f>
        <v>#N/A</v>
      </c>
      <c r="V41" s="309" t="e">
        <f>VLOOKUP($V$3&amp;O41&amp;C41,'BD2'!$BV$2:$CB$200,7,FALSE)</f>
        <v>#N/A</v>
      </c>
      <c r="W41" s="309" t="e">
        <f>VLOOKUP($W$3&amp;O41&amp;C41,'BD2'!$BV$2:$CB$200,7,FALSE)</f>
        <v>#N/A</v>
      </c>
      <c r="X41" s="94" t="str">
        <f t="shared" si="3"/>
        <v>REH 3183/2023</v>
      </c>
    </row>
    <row r="42" spans="1:24" ht="15" hidden="1" customHeight="1">
      <c r="A42" s="89">
        <f>VLOOKUP(E42,Fatos!$L$16:$V$67,11,FALSE)</f>
        <v>45199</v>
      </c>
      <c r="B42" s="302">
        <f t="shared" si="5"/>
        <v>3</v>
      </c>
      <c r="C42" s="278">
        <v>5697</v>
      </c>
      <c r="D42" s="278" t="str">
        <f>VLOOKUP(E42,Efeito!$A$5:$B$56,2,FALSE)</f>
        <v>NO SELECT</v>
      </c>
      <c r="E42" s="361" t="s">
        <v>60</v>
      </c>
      <c r="F42" s="94" t="s">
        <v>146</v>
      </c>
      <c r="G42" s="94" t="s">
        <v>87</v>
      </c>
      <c r="H42" s="95">
        <v>0.54679999999999995</v>
      </c>
      <c r="I42" s="95">
        <f>SUMIFS(Banco[valor],Banco[IdAgente],D42,Banco[id_natureza_dado],1,Banco[id_detalhe_natureza],1,Banco[idDet1],15,Banco[idDet2],143,Banco[idDet3],999,Banco[id_grupo_tarifa],2,Banco[id_detalhe_grupo_tarifa],999,Banco[id_tipo_tarifa],9,Banco[id_subgrupo],B42,Banco[id_posto],9,Banco[id_unidade],4,Banco[id_UC],C42)</f>
        <v>0</v>
      </c>
      <c r="J42" s="309">
        <f>SUMIFS(Banco[valor],Banco[IdAgente],D42,Banco[id_natureza_dado],1,Banco[id_detalhe_natureza],1,Banco[idDet1],15,Banco[idDet2],144,Banco[idDet3],999,Banco[id_grupo_tarifa],2,Banco[id_detalhe_grupo_tarifa],999,Banco[id_tipo_tarifa],9,Banco[id_subgrupo],B42,Banco[id_posto],9,Banco[id_unidade],5,Banco[id_UC],C42)</f>
        <v>0</v>
      </c>
      <c r="K42" s="362" t="str">
        <f>VLOOKUP(C42,'BD2'!$BD$2:$BG$100,4,FALSE)</f>
        <v>REH 3244/2023</v>
      </c>
      <c r="L42" s="188">
        <f>J42/(1-I43)</f>
        <v>0</v>
      </c>
      <c r="M42" s="188"/>
      <c r="N42" s="278">
        <f t="shared" si="6"/>
        <v>4</v>
      </c>
      <c r="O42" s="278" t="str">
        <f t="shared" si="4"/>
        <v>4NO SELECT</v>
      </c>
      <c r="P42" s="308" t="s">
        <v>60</v>
      </c>
      <c r="Q42" s="94" t="s">
        <v>146</v>
      </c>
      <c r="R42" s="94" t="s">
        <v>87</v>
      </c>
      <c r="S42" s="101">
        <v>0</v>
      </c>
      <c r="T42" s="101" t="e">
        <v>#N/A</v>
      </c>
      <c r="U42" s="309" t="e">
        <f>VLOOKUP($U$3&amp;O42&amp;C42,'BD2'!$BV$2:$CB$200,7,FALSE)</f>
        <v>#N/A</v>
      </c>
      <c r="V42" s="309" t="e">
        <f>VLOOKUP($V$3&amp;O42&amp;C42,'BD2'!$BV$2:$CB$200,7,FALSE)</f>
        <v>#N/A</v>
      </c>
      <c r="W42" s="309" t="e">
        <f>VLOOKUP($W$3&amp;O42&amp;C42,'BD2'!$BV$2:$CB$200,7,FALSE)</f>
        <v>#N/A</v>
      </c>
      <c r="X42" s="94" t="str">
        <f t="shared" si="3"/>
        <v>REH 3244/2023</v>
      </c>
    </row>
    <row r="43" spans="1:24" ht="15" hidden="1" customHeight="1">
      <c r="A43" s="89">
        <f>VLOOKUP(E43,Fatos!$L$16:$V$67,11,FALSE)</f>
        <v>45199</v>
      </c>
      <c r="B43" s="302">
        <f t="shared" si="5"/>
        <v>5</v>
      </c>
      <c r="C43" s="278">
        <v>5697</v>
      </c>
      <c r="D43" s="278" t="str">
        <f>VLOOKUP(E43,Efeito!$A$5:$B$56,2,FALSE)</f>
        <v>NO SELECT</v>
      </c>
      <c r="E43" s="361" t="s">
        <v>60</v>
      </c>
      <c r="F43" s="94" t="s">
        <v>146</v>
      </c>
      <c r="G43" s="94" t="s">
        <v>85</v>
      </c>
      <c r="H43" s="95">
        <v>0.48139999999999999</v>
      </c>
      <c r="I43" s="95">
        <f>SUMIFS(Banco[valor],Banco[IdAgente],D43,Banco[id_natureza_dado],1,Banco[id_detalhe_natureza],1,Banco[idDet1],15,Banco[idDet2],143,Banco[idDet3],999,Banco[id_grupo_tarifa],2,Banco[id_detalhe_grupo_tarifa],999,Banco[id_tipo_tarifa],9,Banco[id_subgrupo],B43,Banco[id_posto],9,Banco[id_unidade],4,Banco[id_UC],C43)</f>
        <v>0</v>
      </c>
      <c r="J43" s="309">
        <f>SUMIFS(Banco[valor],Banco[IdAgente],D43,Banco[id_natureza_dado],1,Banco[id_detalhe_natureza],1,Banco[idDet1],15,Banco[idDet2],144,Banco[idDet3],999,Banco[id_grupo_tarifa],2,Banco[id_detalhe_grupo_tarifa],999,Banco[id_tipo_tarifa],9,Banco[id_subgrupo],B43,Banco[id_posto],9,Banco[id_unidade],5,Banco[id_UC],C43)</f>
        <v>0</v>
      </c>
      <c r="K43" s="362" t="str">
        <f>VLOOKUP(C43,'BD2'!$BD$2:$BG$100,4,FALSE)</f>
        <v>REH 3244/2023</v>
      </c>
      <c r="L43" s="188">
        <f>J43/(1-I42)</f>
        <v>0</v>
      </c>
      <c r="M43" s="188"/>
      <c r="N43" s="278">
        <f t="shared" si="6"/>
        <v>6</v>
      </c>
      <c r="O43" s="278" t="str">
        <f t="shared" si="4"/>
        <v>6NO SELECT</v>
      </c>
      <c r="P43" s="308" t="s">
        <v>60</v>
      </c>
      <c r="Q43" s="94" t="s">
        <v>146</v>
      </c>
      <c r="R43" s="94" t="s">
        <v>85</v>
      </c>
      <c r="S43" s="101">
        <v>0</v>
      </c>
      <c r="T43" s="101" t="e">
        <v>#N/A</v>
      </c>
      <c r="U43" s="309" t="e">
        <f>VLOOKUP($U$3&amp;O43&amp;C43,'BD2'!$BV$2:$CB$200,7,FALSE)</f>
        <v>#N/A</v>
      </c>
      <c r="V43" s="309" t="e">
        <f>VLOOKUP($V$3&amp;O43&amp;C43,'BD2'!$BV$2:$CB$200,7,FALSE)</f>
        <v>#N/A</v>
      </c>
      <c r="W43" s="309" t="e">
        <f>VLOOKUP($W$3&amp;O43&amp;C43,'BD2'!$BV$2:$CB$200,7,FALSE)</f>
        <v>#N/A</v>
      </c>
      <c r="X43" s="94" t="str">
        <f t="shared" si="3"/>
        <v>REH 3244/2023</v>
      </c>
    </row>
    <row r="44" spans="1:24" ht="15" hidden="1" customHeight="1">
      <c r="A44" s="89">
        <f>VLOOKUP(E44,Fatos!$L$16:$V$67,11,FALSE)</f>
        <v>45137</v>
      </c>
      <c r="B44" s="302">
        <f t="shared" si="5"/>
        <v>5</v>
      </c>
      <c r="C44" s="326">
        <v>396</v>
      </c>
      <c r="D44" s="278" t="str">
        <f>VLOOKUP(E44,Efeito!$A$5:$B$56,2,FALSE)</f>
        <v>NO SELECT</v>
      </c>
      <c r="E44" s="361" t="s">
        <v>192</v>
      </c>
      <c r="F44" s="94" t="s">
        <v>262</v>
      </c>
      <c r="G44" s="94" t="s">
        <v>85</v>
      </c>
      <c r="H44" s="95">
        <v>0</v>
      </c>
      <c r="I44" s="95">
        <f>SUMIFS(Banco[valor],Banco[IdAgente],D44,Banco[id_natureza_dado],1,Banco[id_detalhe_natureza],1,Banco[idDet1],15,Banco[idDet2],143,Banco[idDet3],999,Banco[id_grupo_tarifa],2,Banco[id_detalhe_grupo_tarifa],999,Banco[id_tipo_tarifa],9,Banco[id_subgrupo],B44,Banco[id_posto],9,Banco[id_unidade],4,Banco[id_UC],C44)</f>
        <v>0</v>
      </c>
      <c r="J44" s="309">
        <f>SUMIFS(Banco[valor],Banco[IdAgente],D44,Banco[id_natureza_dado],1,Banco[id_detalhe_natureza],1,Banco[idDet1],15,Banco[idDet2],144,Banco[idDet3],999,Banco[id_grupo_tarifa],2,Banco[id_detalhe_grupo_tarifa],999,Banco[id_tipo_tarifa],9,Banco[id_subgrupo],B44,Banco[id_posto],9,Banco[id_unidade],5,Banco[id_UC],C44)</f>
        <v>0</v>
      </c>
      <c r="K44" s="362" t="e">
        <f>VLOOKUP(C44,'BD2'!$BD$2:$BG$100,4,FALSE)</f>
        <v>#N/A</v>
      </c>
      <c r="L44" s="188">
        <f>J44/(1-I44)</f>
        <v>0</v>
      </c>
      <c r="M44" s="188"/>
      <c r="N44" s="278">
        <f t="shared" si="6"/>
        <v>6</v>
      </c>
      <c r="O44" s="278" t="str">
        <f t="shared" si="4"/>
        <v>6NO SELECT</v>
      </c>
      <c r="P44" s="308" t="s">
        <v>192</v>
      </c>
      <c r="Q44" s="94" t="s">
        <v>262</v>
      </c>
      <c r="R44" s="94" t="s">
        <v>85</v>
      </c>
      <c r="S44" s="101">
        <v>0</v>
      </c>
      <c r="T44" s="101">
        <v>0</v>
      </c>
      <c r="U44" s="309" t="e">
        <f>VLOOKUP($U$3&amp;O44&amp;C44,'BD2'!$BV$2:$CB$200,7,FALSE)</f>
        <v>#N/A</v>
      </c>
      <c r="V44" s="309" t="e">
        <f>VLOOKUP($V$3&amp;O44&amp;C44,'BD2'!$BV$2:$CB$200,7,FALSE)</f>
        <v>#N/A</v>
      </c>
      <c r="W44" s="309" t="e">
        <f>VLOOKUP($W$3&amp;O44&amp;C44,'BD2'!$BV$2:$CB$200,7,FALSE)</f>
        <v>#N/A</v>
      </c>
      <c r="X44" s="94" t="e">
        <f t="shared" si="3"/>
        <v>#N/A</v>
      </c>
    </row>
    <row r="45" spans="1:24" ht="15" hidden="1" customHeight="1">
      <c r="A45" s="89">
        <f>VLOOKUP(E45,Fatos!$L$16:$V$67,11,FALSE)</f>
        <v>45137</v>
      </c>
      <c r="B45" s="302">
        <f t="shared" si="5"/>
        <v>5</v>
      </c>
      <c r="C45">
        <v>5707</v>
      </c>
      <c r="D45" s="278" t="str">
        <f>VLOOKUP(E45,Efeito!$A$5:$B$56,2,FALSE)</f>
        <v>NO SELECT</v>
      </c>
      <c r="E45" s="361" t="s">
        <v>192</v>
      </c>
      <c r="F45" s="94" t="s">
        <v>265</v>
      </c>
      <c r="G45" s="94" t="s">
        <v>85</v>
      </c>
      <c r="H45" s="95">
        <v>0</v>
      </c>
      <c r="I45" s="95">
        <f>SUMIFS(Banco[valor],Banco[IdAgente],D45,Banco[id_natureza_dado],1,Banco[id_detalhe_natureza],1,Banco[idDet1],15,Banco[idDet2],143,Banco[idDet3],999,Banco[id_grupo_tarifa],2,Banco[id_detalhe_grupo_tarifa],999,Banco[id_tipo_tarifa],9,Banco[id_subgrupo],B45,Banco[id_posto],9,Banco[id_unidade],4,Banco[id_UC],C45)</f>
        <v>0</v>
      </c>
      <c r="J45" s="309">
        <f>SUMIFS(Banco[valor],Banco[IdAgente],D45,Banco[id_natureza_dado],1,Banco[id_detalhe_natureza],1,Banco[idDet1],15,Banco[idDet2],144,Banco[idDet3],999,Banco[id_grupo_tarifa],2,Banco[id_detalhe_grupo_tarifa],999,Banco[id_tipo_tarifa],9,Banco[id_subgrupo],B45,Banco[id_posto],9,Banco[id_unidade],5,Banco[id_UC],C45)</f>
        <v>0</v>
      </c>
      <c r="K45" s="362" t="str">
        <f>VLOOKUP(C45,'BD2'!$BD$2:$BG$100,4,FALSE)</f>
        <v>REH 3283/2023</v>
      </c>
      <c r="L45" s="188">
        <f>J45/(1-I45)</f>
        <v>0</v>
      </c>
      <c r="M45" s="188"/>
      <c r="N45" s="278">
        <f t="shared" si="6"/>
        <v>6</v>
      </c>
      <c r="O45" s="278" t="str">
        <f t="shared" si="4"/>
        <v>6NO SELECT</v>
      </c>
      <c r="P45" s="308" t="s">
        <v>192</v>
      </c>
      <c r="Q45" s="94" t="s">
        <v>265</v>
      </c>
      <c r="R45" s="94" t="s">
        <v>85</v>
      </c>
      <c r="S45" s="101">
        <v>0</v>
      </c>
      <c r="T45" s="101">
        <v>0</v>
      </c>
      <c r="U45" s="309" t="e">
        <f>VLOOKUP($U$3&amp;O45&amp;C45,'BD2'!$BV$2:$CB$200,7,FALSE)</f>
        <v>#N/A</v>
      </c>
      <c r="V45" s="309" t="e">
        <f>VLOOKUP($V$3&amp;O45&amp;C45,'BD2'!$BV$2:$CB$200,7,FALSE)</f>
        <v>#N/A</v>
      </c>
      <c r="W45" s="309" t="e">
        <f>VLOOKUP($W$3&amp;O45&amp;C45,'BD2'!$BV$2:$CB$200,7,FALSE)</f>
        <v>#N/A</v>
      </c>
      <c r="X45" s="94" t="str">
        <f t="shared" si="3"/>
        <v>REH 3283/2023</v>
      </c>
    </row>
    <row r="46" spans="1:24" ht="15" hidden="1" customHeight="1">
      <c r="A46" s="89">
        <f>VLOOKUP(E46,Fatos!$L$16:$V$67,11,FALSE)</f>
        <v>45137</v>
      </c>
      <c r="B46" s="302">
        <f t="shared" si="5"/>
        <v>5</v>
      </c>
      <c r="C46" s="326">
        <v>396</v>
      </c>
      <c r="D46" s="278" t="str">
        <f>VLOOKUP(E46,Efeito!$A$5:$B$56,2,FALSE)</f>
        <v>NO SELECT</v>
      </c>
      <c r="E46" s="361" t="s">
        <v>195</v>
      </c>
      <c r="F46" s="94" t="s">
        <v>262</v>
      </c>
      <c r="G46" s="94" t="s">
        <v>85</v>
      </c>
      <c r="H46" s="95">
        <v>0.32969999999999999</v>
      </c>
      <c r="I46" s="95">
        <f>SUMIFS(Banco[valor],Banco[IdAgente],D46,Banco[id_natureza_dado],1,Banco[id_detalhe_natureza],1,Banco[idDet1],15,Banco[idDet2],143,Banco[idDet3],999,Banco[id_grupo_tarifa],2,Banco[id_detalhe_grupo_tarifa],999,Banco[id_tipo_tarifa],9,Banco[id_subgrupo],B46,Banco[id_posto],9,Banco[id_unidade],4,Banco[id_UC],C46)</f>
        <v>0</v>
      </c>
      <c r="J46" s="309">
        <f>SUMIFS(Banco[valor],Banco[IdAgente],D46,Banco[id_natureza_dado],1,Banco[id_detalhe_natureza],1,Banco[idDet1],15,Banco[idDet2],144,Banco[idDet3],999,Banco[id_grupo_tarifa],2,Banco[id_detalhe_grupo_tarifa],999,Banco[id_tipo_tarifa],9,Banco[id_subgrupo],B46,Banco[id_posto],9,Banco[id_unidade],5,Banco[id_UC],C46)</f>
        <v>0</v>
      </c>
      <c r="K46" s="362" t="e">
        <f>VLOOKUP(C46,'BD2'!$BD$2:$BG$100,4,FALSE)</f>
        <v>#N/A</v>
      </c>
      <c r="L46" s="188">
        <f t="shared" ref="L46:L52" si="7">J46/(1-I46)</f>
        <v>0</v>
      </c>
      <c r="M46" s="188"/>
      <c r="N46" s="278">
        <f t="shared" si="6"/>
        <v>6</v>
      </c>
      <c r="O46" s="278" t="str">
        <f t="shared" si="4"/>
        <v>6NO SELECT</v>
      </c>
      <c r="P46" s="308" t="s">
        <v>195</v>
      </c>
      <c r="Q46" s="94" t="s">
        <v>262</v>
      </c>
      <c r="R46" s="94" t="s">
        <v>85</v>
      </c>
      <c r="S46" s="101">
        <v>0</v>
      </c>
      <c r="T46" s="101">
        <v>0</v>
      </c>
      <c r="U46" s="309" t="e">
        <f>VLOOKUP($U$3&amp;O46&amp;C46,'BD2'!$BV$2:$CB$200,7,FALSE)</f>
        <v>#N/A</v>
      </c>
      <c r="V46" s="309" t="e">
        <f>VLOOKUP($V$3&amp;O46&amp;C46,'BD2'!$BV$2:$CB$200,7,FALSE)</f>
        <v>#N/A</v>
      </c>
      <c r="W46" s="309" t="e">
        <f>VLOOKUP($W$3&amp;O46&amp;C46,'BD2'!$BV$2:$CB$200,7,FALSE)</f>
        <v>#N/A</v>
      </c>
      <c r="X46" s="94" t="e">
        <f t="shared" si="3"/>
        <v>#N/A</v>
      </c>
    </row>
    <row r="47" spans="1:24" ht="15" hidden="1" customHeight="1">
      <c r="A47" s="89">
        <f>VLOOKUP(E47,Fatos!$L$16:$V$67,11,FALSE)</f>
        <v>45199</v>
      </c>
      <c r="B47" s="302">
        <f t="shared" si="5"/>
        <v>5</v>
      </c>
      <c r="C47" s="278">
        <v>5697</v>
      </c>
      <c r="D47" s="278" t="str">
        <f>VLOOKUP(E47,Efeito!$A$5:$B$56,2,FALSE)</f>
        <v>NO SELECT</v>
      </c>
      <c r="E47" s="361" t="s">
        <v>61</v>
      </c>
      <c r="F47" s="94" t="s">
        <v>146</v>
      </c>
      <c r="G47" s="94" t="s">
        <v>85</v>
      </c>
      <c r="H47" s="95">
        <v>0.55959999999999999</v>
      </c>
      <c r="I47" s="95">
        <f>SUMIFS(Banco[valor],Banco[IdAgente],D47,Banco[id_natureza_dado],1,Banco[id_detalhe_natureza],1,Banco[idDet1],15,Banco[idDet2],143,Banco[idDet3],999,Banco[id_grupo_tarifa],2,Banco[id_detalhe_grupo_tarifa],999,Banco[id_tipo_tarifa],9,Banco[id_subgrupo],B47,Banco[id_posto],9,Banco[id_unidade],4,Banco[id_UC],C47)</f>
        <v>0</v>
      </c>
      <c r="J47" s="309">
        <f>SUMIFS(Banco[valor],Banco[IdAgente],D47,Banco[id_natureza_dado],1,Banco[id_detalhe_natureza],1,Banco[idDet1],15,Banco[idDet2],144,Banco[idDet3],999,Banco[id_grupo_tarifa],2,Banco[id_detalhe_grupo_tarifa],999,Banco[id_tipo_tarifa],9,Banco[id_subgrupo],B47,Banco[id_posto],9,Banco[id_unidade],5,Banco[id_UC],C47)</f>
        <v>0</v>
      </c>
      <c r="K47" s="362" t="str">
        <f>VLOOKUP(C47,'BD2'!$BD$2:$BG$100,4,FALSE)</f>
        <v>REH 3244/2023</v>
      </c>
      <c r="L47" s="188">
        <f t="shared" si="7"/>
        <v>0</v>
      </c>
      <c r="M47" s="188"/>
      <c r="N47" s="278">
        <f t="shared" si="6"/>
        <v>6</v>
      </c>
      <c r="O47" s="278" t="str">
        <f t="shared" si="4"/>
        <v>6NO SELECT</v>
      </c>
      <c r="P47" s="308" t="s">
        <v>61</v>
      </c>
      <c r="Q47" s="94" t="s">
        <v>146</v>
      </c>
      <c r="R47" s="94" t="s">
        <v>85</v>
      </c>
      <c r="S47" s="101">
        <v>0</v>
      </c>
      <c r="T47" s="101" t="e">
        <v>#N/A</v>
      </c>
      <c r="U47" s="309" t="e">
        <f>VLOOKUP($U$3&amp;O47&amp;C47,'BD2'!$BV$2:$CB$200,7,FALSE)</f>
        <v>#N/A</v>
      </c>
      <c r="V47" s="309" t="e">
        <f>VLOOKUP($V$3&amp;O47&amp;C47,'BD2'!$BV$2:$CB$200,7,FALSE)</f>
        <v>#N/A</v>
      </c>
      <c r="W47" s="309" t="e">
        <f>VLOOKUP($W$3&amp;O47&amp;C47,'BD2'!$BV$2:$CB$200,7,FALSE)</f>
        <v>#N/A</v>
      </c>
      <c r="X47" s="94" t="str">
        <f t="shared" si="3"/>
        <v>REH 3244/2023</v>
      </c>
    </row>
    <row r="48" spans="1:24" ht="15" hidden="1" customHeight="1">
      <c r="A48" s="89">
        <f>VLOOKUP(E48,Fatos!$L$16:$V$67,11,FALSE)</f>
        <v>45260</v>
      </c>
      <c r="B48" s="302">
        <f t="shared" si="5"/>
        <v>5</v>
      </c>
      <c r="C48" s="255">
        <v>2937</v>
      </c>
      <c r="D48" s="278" t="str">
        <f>VLOOKUP(E48,Efeito!$A$5:$B$56,2,FALSE)</f>
        <v>NO SELECT</v>
      </c>
      <c r="E48" s="361" t="s">
        <v>198</v>
      </c>
      <c r="F48" s="94" t="s">
        <v>259</v>
      </c>
      <c r="G48" s="94" t="s">
        <v>85</v>
      </c>
      <c r="H48" s="95">
        <v>0</v>
      </c>
      <c r="I48" s="95">
        <f>SUMIFS(Banco[valor],Banco[IdAgente],D48,Banco[id_natureza_dado],1,Banco[id_detalhe_natureza],1,Banco[idDet1],15,Banco[idDet2],143,Banco[idDet3],999,Banco[id_grupo_tarifa],2,Banco[id_detalhe_grupo_tarifa],999,Banco[id_tipo_tarifa],9,Banco[id_subgrupo],B48,Banco[id_posto],9,Banco[id_unidade],4,Banco[id_UC],C48)</f>
        <v>0</v>
      </c>
      <c r="J48" s="309">
        <v>317.54000000000002</v>
      </c>
      <c r="K48" s="362" t="str">
        <f>VLOOKUP(C48,'BD2'!$BD$2:$BG$100,4,FALSE)</f>
        <v>REH 3277/2023</v>
      </c>
      <c r="L48" s="188">
        <f t="shared" si="7"/>
        <v>317.54000000000002</v>
      </c>
      <c r="M48" s="188"/>
      <c r="N48" s="278">
        <f t="shared" si="6"/>
        <v>6</v>
      </c>
      <c r="O48" s="278" t="str">
        <f t="shared" si="4"/>
        <v>6NO SELECT</v>
      </c>
      <c r="P48" s="308" t="s">
        <v>198</v>
      </c>
      <c r="Q48" s="94" t="s">
        <v>259</v>
      </c>
      <c r="R48" s="94" t="s">
        <v>85</v>
      </c>
      <c r="S48" s="101">
        <v>0</v>
      </c>
      <c r="T48" s="101" t="e">
        <v>#N/A</v>
      </c>
      <c r="U48" s="309" t="e">
        <f>VLOOKUP($U$3&amp;O48&amp;C48,'BD2'!$BV$2:$CB$200,7,FALSE)</f>
        <v>#N/A</v>
      </c>
      <c r="V48" s="309" t="e">
        <f>VLOOKUP($V$3&amp;O48&amp;C48,'BD2'!$BV$2:$CB$200,7,FALSE)</f>
        <v>#N/A</v>
      </c>
      <c r="W48" s="309" t="e">
        <f>VLOOKUP($W$3&amp;O48&amp;C48,'BD2'!$BV$2:$CB$200,7,FALSE)</f>
        <v>#N/A</v>
      </c>
      <c r="X48" s="94" t="str">
        <f t="shared" si="3"/>
        <v>REH 3277/2023</v>
      </c>
    </row>
    <row r="49" spans="1:24" ht="15" hidden="1" customHeight="1">
      <c r="A49" s="89">
        <f>VLOOKUP(E49,Fatos!$L$16:$V$67,11,FALSE)</f>
        <v>45260</v>
      </c>
      <c r="B49" s="302">
        <f t="shared" si="5"/>
        <v>5</v>
      </c>
      <c r="C49" s="278">
        <v>385</v>
      </c>
      <c r="D49" s="278" t="str">
        <f>VLOOKUP(E49,Efeito!$A$5:$B$56,2,FALSE)</f>
        <v>NO SELECT</v>
      </c>
      <c r="E49" s="384" t="s">
        <v>198</v>
      </c>
      <c r="F49" s="385" t="s">
        <v>145</v>
      </c>
      <c r="G49" s="385" t="s">
        <v>85</v>
      </c>
      <c r="H49" s="386">
        <v>0</v>
      </c>
      <c r="I49" s="386">
        <f>SUMIFS(Banco[valor],Banco[IdAgente],D49,Banco[id_natureza_dado],1,Banco[id_detalhe_natureza],1,Banco[idDet1],15,Banco[idDet2],143,Banco[idDet3],999,Banco[id_grupo_tarifa],2,Banco[id_detalhe_grupo_tarifa],999,Banco[id_tipo_tarifa],9,Banco[id_subgrupo],B49,Banco[id_posto],9,Banco[id_unidade],4,Banco[id_UC],C49)</f>
        <v>0</v>
      </c>
      <c r="J49" s="387">
        <f>SUMIFS(Banco[valor],Banco[IdAgente],D49,Banco[id_natureza_dado],1,Banco[id_detalhe_natureza],1,Banco[idDet1],15,Banco[idDet2],144,Banco[idDet3],999,Banco[id_grupo_tarifa],2,Banco[id_detalhe_grupo_tarifa],999,Banco[id_tipo_tarifa],9,Banco[id_subgrupo],B49,Banco[id_posto],9,Banco[id_unidade],5,Banco[id_UC],C49)</f>
        <v>0</v>
      </c>
      <c r="K49" s="388" t="str">
        <f>VLOOKUP(C49,'BD2'!$BD$2:$BG$100,4,FALSE)</f>
        <v>REH 3253/2023</v>
      </c>
      <c r="L49" s="188">
        <f t="shared" si="7"/>
        <v>0</v>
      </c>
      <c r="M49" s="188"/>
      <c r="N49" s="278">
        <f t="shared" si="6"/>
        <v>6</v>
      </c>
      <c r="O49" s="278" t="str">
        <f t="shared" si="4"/>
        <v>6NO SELECT</v>
      </c>
      <c r="P49" s="308" t="s">
        <v>198</v>
      </c>
      <c r="Q49" s="94" t="s">
        <v>145</v>
      </c>
      <c r="R49" s="94" t="s">
        <v>85</v>
      </c>
      <c r="S49" s="101">
        <v>0</v>
      </c>
      <c r="T49" s="101" t="e">
        <v>#N/A</v>
      </c>
      <c r="U49" s="309" t="e">
        <f>VLOOKUP($U$3&amp;O49&amp;C49,'BD2'!$BV$2:$CB$200,7,FALSE)</f>
        <v>#N/A</v>
      </c>
      <c r="V49" s="309" t="e">
        <f>VLOOKUP($V$3&amp;O49&amp;C49,'BD2'!$BV$2:$CB$200,7,FALSE)</f>
        <v>#N/A</v>
      </c>
      <c r="W49" s="309" t="e">
        <f>VLOOKUP($W$3&amp;O49&amp;C49,'BD2'!$BV$2:$CB$200,7,FALSE)</f>
        <v>#N/A</v>
      </c>
      <c r="X49" s="94" t="str">
        <f t="shared" si="3"/>
        <v>REH 3253/2023</v>
      </c>
    </row>
    <row r="50" spans="1:24" ht="15" hidden="1" customHeight="1">
      <c r="A50" s="89">
        <f>VLOOKUP(E50,Fatos!$L$16:$V$67,11,FALSE)</f>
        <v>45199</v>
      </c>
      <c r="B50" s="302">
        <f t="shared" si="5"/>
        <v>3</v>
      </c>
      <c r="C50" s="278">
        <v>5697</v>
      </c>
      <c r="D50" s="278" t="str">
        <f>VLOOKUP(E50,Efeito!$A$5:$B$56,2,FALSE)</f>
        <v>NO SELECT</v>
      </c>
      <c r="E50" s="361" t="s">
        <v>62</v>
      </c>
      <c r="F50" s="94" t="s">
        <v>146</v>
      </c>
      <c r="G50" s="94" t="s">
        <v>87</v>
      </c>
      <c r="H50" s="95">
        <v>0.59</v>
      </c>
      <c r="I50" s="95">
        <f>SUMIFS(Banco[valor],Banco[IdAgente],D50,Banco[id_natureza_dado],1,Banco[id_detalhe_natureza],1,Banco[idDet1],15,Banco[idDet2],143,Banco[idDet3],999,Banco[id_grupo_tarifa],2,Banco[id_detalhe_grupo_tarifa],999,Banco[id_tipo_tarifa],9,Banco[id_subgrupo],B50,Banco[id_posto],9,Banco[id_unidade],4,Banco[id_UC],C50)</f>
        <v>0</v>
      </c>
      <c r="J50" s="309">
        <f>SUMIFS(Banco[valor],Banco[IdAgente],D50,Banco[id_natureza_dado],1,Banco[id_detalhe_natureza],1,Banco[idDet1],15,Banco[idDet2],144,Banco[idDet3],999,Banco[id_grupo_tarifa],2,Banco[id_detalhe_grupo_tarifa],999,Banco[id_tipo_tarifa],9,Banco[id_subgrupo],B50,Banco[id_posto],9,Banco[id_unidade],5,Banco[id_UC],C50)</f>
        <v>0</v>
      </c>
      <c r="K50" s="362" t="str">
        <f>VLOOKUP(C50,'BD2'!$BD$2:$BG$100,4,FALSE)</f>
        <v>REH 3244/2023</v>
      </c>
      <c r="L50" s="188">
        <f t="shared" si="7"/>
        <v>0</v>
      </c>
      <c r="M50" s="188"/>
      <c r="N50" s="278">
        <f t="shared" si="6"/>
        <v>4</v>
      </c>
      <c r="O50" s="278" t="str">
        <f t="shared" si="4"/>
        <v>4NO SELECT</v>
      </c>
      <c r="P50" s="308" t="s">
        <v>62</v>
      </c>
      <c r="Q50" s="94" t="s">
        <v>146</v>
      </c>
      <c r="R50" s="94" t="s">
        <v>87</v>
      </c>
      <c r="S50" s="101">
        <v>0</v>
      </c>
      <c r="T50" s="101" t="e">
        <v>#N/A</v>
      </c>
      <c r="U50" s="309" t="e">
        <f>VLOOKUP($U$3&amp;O50&amp;C50,'BD2'!$BV$2:$CB$200,7,FALSE)</f>
        <v>#N/A</v>
      </c>
      <c r="V50" s="309" t="e">
        <f>VLOOKUP($V$3&amp;O50&amp;C50,'BD2'!$BV$2:$CB$200,7,FALSE)</f>
        <v>#N/A</v>
      </c>
      <c r="W50" s="309" t="e">
        <f>VLOOKUP($W$3&amp;O50&amp;C50,'BD2'!$BV$2:$CB$200,7,FALSE)</f>
        <v>#N/A</v>
      </c>
      <c r="X50" s="94" t="str">
        <f t="shared" si="3"/>
        <v>REH 3244/2023</v>
      </c>
    </row>
    <row r="51" spans="1:24" ht="15" hidden="1" customHeight="1">
      <c r="A51" s="89">
        <f>VLOOKUP(E51,Fatos!$L$16:$V$67,11,FALSE)</f>
        <v>45199</v>
      </c>
      <c r="B51" s="302">
        <f t="shared" si="5"/>
        <v>3</v>
      </c>
      <c r="C51" s="278">
        <v>5697</v>
      </c>
      <c r="D51" s="278" t="str">
        <f>VLOOKUP(E51,Efeito!$A$5:$B$56,2,FALSE)</f>
        <v>NO SELECT</v>
      </c>
      <c r="E51" s="361" t="s">
        <v>53</v>
      </c>
      <c r="F51" s="94" t="s">
        <v>146</v>
      </c>
      <c r="G51" s="94" t="s">
        <v>87</v>
      </c>
      <c r="H51" s="95">
        <v>0.33450000000000002</v>
      </c>
      <c r="I51" s="95">
        <f>SUMIFS(Banco[valor],Banco[IdAgente],D51,Banco[id_natureza_dado],1,Banco[id_detalhe_natureza],1,Banco[idDet1],15,Banco[idDet2],143,Banco[idDet3],999,Banco[id_grupo_tarifa],2,Banco[id_detalhe_grupo_tarifa],999,Banco[id_tipo_tarifa],9,Banco[id_subgrupo],B51,Banco[id_posto],9,Banco[id_unidade],4,Banco[id_UC],C51)</f>
        <v>0</v>
      </c>
      <c r="J51" s="309">
        <f>SUMIFS(Banco[valor],Banco[IdAgente],D51,Banco[id_natureza_dado],1,Banco[id_detalhe_natureza],1,Banco[idDet1],15,Banco[idDet2],144,Banco[idDet3],999,Banco[id_grupo_tarifa],2,Banco[id_detalhe_grupo_tarifa],999,Banco[id_tipo_tarifa],9,Banco[id_subgrupo],B51,Banco[id_posto],9,Banco[id_unidade],5,Banco[id_UC],C51)</f>
        <v>0</v>
      </c>
      <c r="K51" s="362" t="str">
        <f>VLOOKUP(C51,'BD2'!$BD$2:$BG$100,4,FALSE)</f>
        <v>REH 3244/2023</v>
      </c>
      <c r="L51" s="188">
        <f t="shared" si="7"/>
        <v>0</v>
      </c>
      <c r="M51" s="188"/>
      <c r="N51" s="278">
        <f t="shared" si="6"/>
        <v>4</v>
      </c>
      <c r="O51" s="278" t="str">
        <f t="shared" si="4"/>
        <v>4NO SELECT</v>
      </c>
      <c r="P51" s="308" t="s">
        <v>53</v>
      </c>
      <c r="Q51" s="94" t="s">
        <v>146</v>
      </c>
      <c r="R51" s="94" t="s">
        <v>87</v>
      </c>
      <c r="S51" s="101">
        <v>0</v>
      </c>
      <c r="T51" s="101" t="e">
        <v>#N/A</v>
      </c>
      <c r="U51" s="309" t="e">
        <f>VLOOKUP($U$3&amp;O51&amp;C51,'BD2'!$BV$2:$CB$200,7,FALSE)</f>
        <v>#N/A</v>
      </c>
      <c r="V51" s="309" t="e">
        <f>VLOOKUP($V$3&amp;O51&amp;C51,'BD2'!$BV$2:$CB$200,7,FALSE)</f>
        <v>#N/A</v>
      </c>
      <c r="W51" s="309" t="e">
        <f>VLOOKUP($W$3&amp;O51&amp;C51,'BD2'!$BV$2:$CB$200,7,FALSE)</f>
        <v>#N/A</v>
      </c>
      <c r="X51" s="94" t="str">
        <f t="shared" si="3"/>
        <v>REH 3244/2023</v>
      </c>
    </row>
    <row r="52" spans="1:24" ht="15" hidden="1" customHeight="1">
      <c r="A52" s="89">
        <f>VLOOKUP(E52,Fatos!$L$16:$V$67,11,FALSE)</f>
        <v>45199</v>
      </c>
      <c r="B52" s="302">
        <f t="shared" si="5"/>
        <v>5</v>
      </c>
      <c r="C52" s="278">
        <v>5697</v>
      </c>
      <c r="D52" s="278" t="str">
        <f>VLOOKUP(E52,Efeito!$A$5:$B$56,2,FALSE)</f>
        <v>NO SELECT</v>
      </c>
      <c r="E52" s="361" t="s">
        <v>53</v>
      </c>
      <c r="F52" s="94" t="s">
        <v>146</v>
      </c>
      <c r="G52" s="94" t="s">
        <v>85</v>
      </c>
      <c r="H52" s="95">
        <v>0.33450000000000002</v>
      </c>
      <c r="I52" s="95">
        <f>SUMIFS(Banco[valor],Banco[IdAgente],D52,Banco[id_natureza_dado],1,Banco[id_detalhe_natureza],1,Banco[idDet1],15,Banco[idDet2],143,Banco[idDet3],999,Banco[id_grupo_tarifa],2,Banco[id_detalhe_grupo_tarifa],999,Banco[id_tipo_tarifa],9,Banco[id_subgrupo],B52,Banco[id_posto],9,Banco[id_unidade],4,Banco[id_UC],C52)</f>
        <v>0</v>
      </c>
      <c r="J52" s="309">
        <f>SUMIFS(Banco[valor],Banco[IdAgente],D52,Banco[id_natureza_dado],1,Banco[id_detalhe_natureza],1,Banco[idDet1],15,Banco[idDet2],144,Banco[idDet3],999,Banco[id_grupo_tarifa],2,Banco[id_detalhe_grupo_tarifa],999,Banco[id_tipo_tarifa],9,Banco[id_subgrupo],B52,Banco[id_posto],9,Banco[id_unidade],5,Banco[id_UC],C52)</f>
        <v>0</v>
      </c>
      <c r="K52" s="362" t="str">
        <f>VLOOKUP(C52,'BD2'!$BD$2:$BG$100,4,FALSE)</f>
        <v>REH 3244/2023</v>
      </c>
      <c r="L52" s="188">
        <f t="shared" si="7"/>
        <v>0</v>
      </c>
      <c r="M52" s="188"/>
      <c r="N52" s="278">
        <f t="shared" si="6"/>
        <v>6</v>
      </c>
      <c r="O52" s="278" t="str">
        <f t="shared" si="4"/>
        <v>6NO SELECT</v>
      </c>
      <c r="P52" s="308" t="s">
        <v>53</v>
      </c>
      <c r="Q52" s="94" t="s">
        <v>146</v>
      </c>
      <c r="R52" s="94" t="s">
        <v>85</v>
      </c>
      <c r="S52" s="101">
        <v>0</v>
      </c>
      <c r="T52" s="101" t="e">
        <v>#N/A</v>
      </c>
      <c r="U52" s="309" t="e">
        <f>VLOOKUP($U$3&amp;O52&amp;C52,'BD2'!$BV$2:$CB$200,7,FALSE)</f>
        <v>#N/A</v>
      </c>
      <c r="V52" s="309" t="e">
        <f>VLOOKUP($V$3&amp;O52&amp;C52,'BD2'!$BV$2:$CB$200,7,FALSE)</f>
        <v>#N/A</v>
      </c>
      <c r="W52" s="309" t="e">
        <f>VLOOKUP($W$3&amp;O52&amp;C52,'BD2'!$BV$2:$CB$200,7,FALSE)</f>
        <v>#N/A</v>
      </c>
      <c r="X52" s="94" t="str">
        <f t="shared" si="3"/>
        <v>REH 3244/2023</v>
      </c>
    </row>
    <row r="53" spans="1:24" ht="14.25" hidden="1" customHeight="1">
      <c r="A53" s="89">
        <f>VLOOKUP(E53,Fatos!$L$16:$V$67,11,FALSE)</f>
        <v>45137</v>
      </c>
      <c r="B53" s="302">
        <f t="shared" si="5"/>
        <v>5</v>
      </c>
      <c r="C53" s="326">
        <v>396</v>
      </c>
      <c r="D53" s="278" t="str">
        <f>VLOOKUP(E53,Efeito!$A$5:$B$56,2,FALSE)</f>
        <v>NO SELECT</v>
      </c>
      <c r="E53" s="361" t="s">
        <v>201</v>
      </c>
      <c r="F53" s="94" t="s">
        <v>262</v>
      </c>
      <c r="G53" s="94" t="s">
        <v>85</v>
      </c>
      <c r="H53" s="95">
        <v>0</v>
      </c>
      <c r="I53" s="95">
        <f>SUMIFS(Banco[valor],Banco[IdAgente],D53,Banco[id_natureza_dado],1,Banco[id_detalhe_natureza],1,Banco[idDet1],15,Banco[idDet2],143,Banco[idDet3],999,Banco[id_grupo_tarifa],2,Banco[id_detalhe_grupo_tarifa],999,Banco[id_tipo_tarifa],9,Banco[id_subgrupo],B53,Banco[id_posto],9,Banco[id_unidade],4,Banco[id_UC],C53)</f>
        <v>0</v>
      </c>
      <c r="J53" s="309">
        <f>SUMIFS(Banco[valor],Banco[IdAgente],D53,Banco[id_natureza_dado],1,Banco[id_detalhe_natureza],1,Banco[idDet1],15,Banco[idDet2],144,Banco[idDet3],999,Banco[id_grupo_tarifa],2,Banco[id_detalhe_grupo_tarifa],999,Banco[id_tipo_tarifa],9,Banco[id_subgrupo],B53,Banco[id_posto],9,Banco[id_unidade],5,Banco[id_UC],C53)</f>
        <v>0</v>
      </c>
      <c r="K53" s="362" t="e">
        <f>VLOOKUP(C53,'BD2'!$BD$2:$BG$100,4,FALSE)</f>
        <v>#N/A</v>
      </c>
      <c r="L53" s="188">
        <f t="shared" ref="L53:L64" si="8">J53/(1-I53)</f>
        <v>0</v>
      </c>
      <c r="M53" s="188"/>
      <c r="N53" s="278">
        <f t="shared" si="6"/>
        <v>6</v>
      </c>
      <c r="O53" s="278" t="str">
        <f t="shared" si="4"/>
        <v>6NO SELECT</v>
      </c>
      <c r="P53" s="308" t="s">
        <v>201</v>
      </c>
      <c r="Q53" s="94" t="s">
        <v>262</v>
      </c>
      <c r="R53" s="94" t="s">
        <v>85</v>
      </c>
      <c r="S53" s="101">
        <v>0</v>
      </c>
      <c r="T53" s="101">
        <v>0</v>
      </c>
      <c r="U53" s="309" t="e">
        <f>VLOOKUP($U$3&amp;O53&amp;C53,'BD2'!$BV$2:$CB$200,7,FALSE)</f>
        <v>#N/A</v>
      </c>
      <c r="V53" s="309" t="e">
        <f>VLOOKUP($V$3&amp;O53&amp;C53,'BD2'!$BV$2:$CB$200,7,FALSE)</f>
        <v>#N/A</v>
      </c>
      <c r="W53" s="309" t="e">
        <f>VLOOKUP($W$3&amp;O53&amp;C53,'BD2'!$BV$2:$CB$200,7,FALSE)</f>
        <v>#N/A</v>
      </c>
      <c r="X53" s="94" t="e">
        <f t="shared" si="3"/>
        <v>#N/A</v>
      </c>
    </row>
    <row r="54" spans="1:24" ht="15" hidden="1" customHeight="1">
      <c r="A54" s="89">
        <f>VLOOKUP(E54,Fatos!$L$16:$V$67,11,FALSE)</f>
        <v>45199</v>
      </c>
      <c r="B54" s="302">
        <f t="shared" si="5"/>
        <v>5</v>
      </c>
      <c r="C54" s="278">
        <v>5697</v>
      </c>
      <c r="D54" s="278" t="str">
        <f>VLOOKUP(E54,Efeito!$A$5:$B$56,2,FALSE)</f>
        <v>NO SELECT</v>
      </c>
      <c r="E54" s="361" t="s">
        <v>63</v>
      </c>
      <c r="F54" s="94" t="s">
        <v>146</v>
      </c>
      <c r="G54" s="94" t="s">
        <v>85</v>
      </c>
      <c r="H54" s="95">
        <v>0</v>
      </c>
      <c r="I54" s="95">
        <f>SUMIFS(Banco[valor],Banco[IdAgente],D54,Banco[id_natureza_dado],1,Banco[id_detalhe_natureza],1,Banco[idDet1],15,Banco[idDet2],143,Banco[idDet3],999,Banco[id_grupo_tarifa],2,Banco[id_detalhe_grupo_tarifa],999,Banco[id_tipo_tarifa],9,Banco[id_subgrupo],B54,Banco[id_posto],9,Banco[id_unidade],4,Banco[id_UC],C54)</f>
        <v>0</v>
      </c>
      <c r="J54" s="309">
        <f>SUMIFS(Banco[valor],Banco[IdAgente],D54,Banco[id_natureza_dado],1,Banco[id_detalhe_natureza],1,Banco[idDet1],15,Banco[idDet2],144,Banco[idDet3],999,Banco[id_grupo_tarifa],2,Banco[id_detalhe_grupo_tarifa],999,Banco[id_tipo_tarifa],9,Banco[id_subgrupo],B54,Banco[id_posto],9,Banco[id_unidade],5,Banco[id_UC],C54)</f>
        <v>0</v>
      </c>
      <c r="K54" s="362" t="str">
        <f>VLOOKUP(C54,'BD2'!$BD$2:$BG$100,4,FALSE)</f>
        <v>REH 3244/2023</v>
      </c>
      <c r="L54" s="188">
        <f t="shared" si="8"/>
        <v>0</v>
      </c>
      <c r="M54" s="188"/>
      <c r="N54" s="278">
        <f t="shared" si="6"/>
        <v>6</v>
      </c>
      <c r="O54" s="278" t="str">
        <f t="shared" si="4"/>
        <v>6NO SELECT</v>
      </c>
      <c r="P54" s="308" t="s">
        <v>63</v>
      </c>
      <c r="Q54" s="94" t="s">
        <v>146</v>
      </c>
      <c r="R54" s="94" t="s">
        <v>85</v>
      </c>
      <c r="S54" s="101">
        <v>0</v>
      </c>
      <c r="T54" s="101" t="e">
        <v>#N/A</v>
      </c>
      <c r="U54" s="309" t="e">
        <f>VLOOKUP($U$3&amp;O54&amp;C54,'BD2'!$BV$2:$CB$200,7,FALSE)</f>
        <v>#N/A</v>
      </c>
      <c r="V54" s="309" t="e">
        <f>VLOOKUP($V$3&amp;O54&amp;C54,'BD2'!$BV$2:$CB$200,7,FALSE)</f>
        <v>#N/A</v>
      </c>
      <c r="W54" s="309" t="e">
        <f>VLOOKUP($W$3&amp;O54&amp;C54,'BD2'!$BV$2:$CB$200,7,FALSE)</f>
        <v>#N/A</v>
      </c>
      <c r="X54" s="94" t="str">
        <f t="shared" si="3"/>
        <v>REH 3244/2023</v>
      </c>
    </row>
    <row r="55" spans="1:24" ht="15" hidden="1" customHeight="1">
      <c r="A55" s="89">
        <f>VLOOKUP(E55,Fatos!$L$16:$V$67,11,FALSE)</f>
        <v>45199</v>
      </c>
      <c r="B55" s="302">
        <f t="shared" si="5"/>
        <v>5</v>
      </c>
      <c r="C55" s="278">
        <v>5697</v>
      </c>
      <c r="D55" s="278" t="str">
        <f>VLOOKUP(E55,Efeito!$A$5:$B$56,2,FALSE)</f>
        <v>NO SELECT</v>
      </c>
      <c r="E55" s="361" t="s">
        <v>64</v>
      </c>
      <c r="F55" s="94" t="s">
        <v>146</v>
      </c>
      <c r="G55" s="94" t="s">
        <v>85</v>
      </c>
      <c r="H55" s="95">
        <v>0</v>
      </c>
      <c r="I55" s="95">
        <f>SUMIFS(Banco[valor],Banco[IdAgente],D55,Banco[id_natureza_dado],1,Banco[id_detalhe_natureza],1,Banco[idDet1],15,Banco[idDet2],143,Banco[idDet3],999,Banco[id_grupo_tarifa],2,Banco[id_detalhe_grupo_tarifa],999,Banco[id_tipo_tarifa],9,Banco[id_subgrupo],B55,Banco[id_posto],9,Banco[id_unidade],4,Banco[id_UC],C55)</f>
        <v>0</v>
      </c>
      <c r="J55" s="309">
        <f>SUMIFS(Banco[valor],Banco[IdAgente],D55,Banco[id_natureza_dado],1,Banco[id_detalhe_natureza],1,Banco[idDet1],15,Banco[idDet2],144,Banco[idDet3],999,Banco[id_grupo_tarifa],2,Banco[id_detalhe_grupo_tarifa],999,Banco[id_tipo_tarifa],9,Banco[id_subgrupo],B55,Banco[id_posto],9,Banco[id_unidade],5,Banco[id_UC],C55)</f>
        <v>0</v>
      </c>
      <c r="K55" s="362" t="str">
        <f>VLOOKUP(C55,'BD2'!$BD$2:$BG$100,4,FALSE)</f>
        <v>REH 3244/2023</v>
      </c>
      <c r="L55" s="188">
        <f t="shared" si="8"/>
        <v>0</v>
      </c>
      <c r="M55" s="188"/>
      <c r="N55" s="278">
        <f t="shared" si="6"/>
        <v>6</v>
      </c>
      <c r="O55" s="278" t="str">
        <f t="shared" si="4"/>
        <v>6NO SELECT</v>
      </c>
      <c r="P55" s="308" t="s">
        <v>64</v>
      </c>
      <c r="Q55" s="94" t="s">
        <v>146</v>
      </c>
      <c r="R55" s="94" t="s">
        <v>85</v>
      </c>
      <c r="S55" s="101">
        <v>0</v>
      </c>
      <c r="T55" s="101" t="e">
        <v>#N/A</v>
      </c>
      <c r="U55" s="309" t="e">
        <f>VLOOKUP($U$3&amp;O55&amp;C55,'BD2'!$BV$2:$CB$200,7,FALSE)</f>
        <v>#N/A</v>
      </c>
      <c r="V55" s="309" t="e">
        <f>VLOOKUP($V$3&amp;O55&amp;C55,'BD2'!$BV$2:$CB$200,7,FALSE)</f>
        <v>#N/A</v>
      </c>
      <c r="W55" s="309" t="e">
        <f>VLOOKUP($W$3&amp;O55&amp;C55,'BD2'!$BV$2:$CB$200,7,FALSE)</f>
        <v>#N/A</v>
      </c>
      <c r="X55" s="94" t="str">
        <f t="shared" si="3"/>
        <v>REH 3244/2023</v>
      </c>
    </row>
    <row r="56" spans="1:24" ht="15" hidden="1" customHeight="1">
      <c r="A56" s="89">
        <f>VLOOKUP(E56,Fatos!$L$16:$V$67,11,FALSE)</f>
        <v>45137</v>
      </c>
      <c r="B56" s="302">
        <f t="shared" si="5"/>
        <v>2</v>
      </c>
      <c r="C56" s="326">
        <v>396</v>
      </c>
      <c r="D56" s="278" t="str">
        <f>VLOOKUP(E56,Efeito!$A$5:$B$56,2,FALSE)</f>
        <v>NO SELECT</v>
      </c>
      <c r="E56" s="361" t="s">
        <v>204</v>
      </c>
      <c r="F56" s="94" t="s">
        <v>262</v>
      </c>
      <c r="G56" s="94" t="s">
        <v>86</v>
      </c>
      <c r="H56" s="95">
        <v>0</v>
      </c>
      <c r="I56" s="95">
        <f>SUMIFS(Banco[valor],Banco[IdAgente],D56,Banco[id_natureza_dado],1,Banco[id_detalhe_natureza],1,Banco[idDet1],15,Banco[idDet2],143,Banco[idDet3],999,Banco[id_grupo_tarifa],2,Banco[id_detalhe_grupo_tarifa],999,Banco[id_tipo_tarifa],9,Banco[id_subgrupo],B56,Banco[id_posto],9,Banco[id_unidade],4,Banco[id_UC],C56)</f>
        <v>0</v>
      </c>
      <c r="J56" s="309">
        <f>SUMIFS(Banco[valor],Banco[IdAgente],D56,Banco[id_natureza_dado],1,Banco[id_detalhe_natureza],1,Banco[idDet1],15,Banco[idDet2],144,Banco[idDet3],999,Banco[id_grupo_tarifa],2,Banco[id_detalhe_grupo_tarifa],999,Banco[id_tipo_tarifa],9,Banco[id_subgrupo],B56,Banco[id_posto],9,Banco[id_unidade],5,Banco[id_UC],C56)</f>
        <v>0</v>
      </c>
      <c r="K56" s="362" t="e">
        <f>VLOOKUP(C56,'BD2'!$BD$2:$BG$100,4,FALSE)</f>
        <v>#N/A</v>
      </c>
      <c r="L56" s="188">
        <f t="shared" si="8"/>
        <v>0</v>
      </c>
      <c r="M56" s="188"/>
      <c r="N56" s="278">
        <f t="shared" si="6"/>
        <v>3</v>
      </c>
      <c r="O56" s="278" t="str">
        <f t="shared" si="4"/>
        <v>3NO SELECT</v>
      </c>
      <c r="P56" s="308" t="s">
        <v>204</v>
      </c>
      <c r="Q56" s="94" t="s">
        <v>262</v>
      </c>
      <c r="R56" s="94" t="s">
        <v>86</v>
      </c>
      <c r="S56" s="101">
        <v>0</v>
      </c>
      <c r="T56" s="101">
        <v>0</v>
      </c>
      <c r="U56" s="309" t="e">
        <f>VLOOKUP($U$3&amp;O56&amp;C56,'BD2'!$BV$2:$CB$200,7,FALSE)</f>
        <v>#N/A</v>
      </c>
      <c r="V56" s="309" t="e">
        <f>VLOOKUP($V$3&amp;O56&amp;C56,'BD2'!$BV$2:$CB$200,7,FALSE)</f>
        <v>#N/A</v>
      </c>
      <c r="W56" s="309" t="e">
        <f>VLOOKUP($W$3&amp;O56&amp;C56,'BD2'!$BV$2:$CB$200,7,FALSE)</f>
        <v>#N/A</v>
      </c>
      <c r="X56" s="94" t="e">
        <f t="shared" si="3"/>
        <v>#N/A</v>
      </c>
    </row>
    <row r="57" spans="1:24" ht="15" hidden="1" customHeight="1">
      <c r="A57" s="89">
        <f>VLOOKUP(E57,Fatos!$L$16:$V$67,11,FALSE)</f>
        <v>45137</v>
      </c>
      <c r="B57" s="302">
        <f t="shared" si="5"/>
        <v>3</v>
      </c>
      <c r="C57" s="326">
        <v>396</v>
      </c>
      <c r="D57" s="278" t="str">
        <f>VLOOKUP(E57,Efeito!$A$5:$B$56,2,FALSE)</f>
        <v>NO SELECT</v>
      </c>
      <c r="E57" s="361" t="s">
        <v>204</v>
      </c>
      <c r="F57" s="94" t="s">
        <v>262</v>
      </c>
      <c r="G57" s="94" t="s">
        <v>87</v>
      </c>
      <c r="H57" s="95">
        <v>0</v>
      </c>
      <c r="I57" s="95">
        <f>SUMIFS(Banco[valor],Banco[IdAgente],D57,Banco[id_natureza_dado],1,Banco[id_detalhe_natureza],1,Banco[idDet1],15,Banco[idDet2],143,Banco[idDet3],999,Banco[id_grupo_tarifa],2,Banco[id_detalhe_grupo_tarifa],999,Banco[id_tipo_tarifa],9,Banco[id_subgrupo],B57,Banco[id_posto],9,Banco[id_unidade],4,Banco[id_UC],C57)</f>
        <v>0</v>
      </c>
      <c r="J57" s="309">
        <f>SUMIFS(Banco[valor],Banco[IdAgente],D57,Banco[id_natureza_dado],1,Banco[id_detalhe_natureza],1,Banco[idDet1],15,Banco[idDet2],144,Banco[idDet3],999,Banco[id_grupo_tarifa],2,Banco[id_detalhe_grupo_tarifa],999,Banco[id_tipo_tarifa],9,Banco[id_subgrupo],B57,Banco[id_posto],9,Banco[id_unidade],5,Banco[id_UC],C57)</f>
        <v>0</v>
      </c>
      <c r="K57" s="362" t="e">
        <f>VLOOKUP(C57,'BD2'!$BD$2:$BG$100,4,FALSE)</f>
        <v>#N/A</v>
      </c>
      <c r="L57" s="188">
        <f t="shared" si="8"/>
        <v>0</v>
      </c>
      <c r="M57" s="188"/>
      <c r="N57" s="278">
        <f t="shared" si="6"/>
        <v>4</v>
      </c>
      <c r="O57" s="278" t="str">
        <f t="shared" si="4"/>
        <v>4NO SELECT</v>
      </c>
      <c r="P57" s="308" t="s">
        <v>204</v>
      </c>
      <c r="Q57" s="94" t="s">
        <v>262</v>
      </c>
      <c r="R57" s="94" t="s">
        <v>87</v>
      </c>
      <c r="S57" s="101">
        <v>0</v>
      </c>
      <c r="T57" s="101">
        <v>0</v>
      </c>
      <c r="U57" s="309" t="e">
        <f>VLOOKUP($U$3&amp;O57&amp;C57,'BD2'!$BV$2:$CB$200,7,FALSE)</f>
        <v>#N/A</v>
      </c>
      <c r="V57" s="309" t="e">
        <f>VLOOKUP($V$3&amp;O57&amp;C57,'BD2'!$BV$2:$CB$200,7,FALSE)</f>
        <v>#N/A</v>
      </c>
      <c r="W57" s="309" t="e">
        <f>VLOOKUP($W$3&amp;O57&amp;C57,'BD2'!$BV$2:$CB$200,7,FALSE)</f>
        <v>#N/A</v>
      </c>
      <c r="X57" s="94" t="e">
        <f t="shared" si="3"/>
        <v>#N/A</v>
      </c>
    </row>
    <row r="58" spans="1:24" ht="15" hidden="1" customHeight="1">
      <c r="A58" s="89">
        <f>VLOOKUP(E58,Fatos!$L$16:$V$67,11,FALSE)</f>
        <v>45137</v>
      </c>
      <c r="B58" s="302">
        <f t="shared" si="5"/>
        <v>5</v>
      </c>
      <c r="C58" s="326">
        <v>396</v>
      </c>
      <c r="D58" s="278" t="str">
        <f>VLOOKUP(E58,Efeito!$A$5:$B$56,2,FALSE)</f>
        <v>NO SELECT</v>
      </c>
      <c r="E58" s="361" t="s">
        <v>204</v>
      </c>
      <c r="F58" s="94" t="s">
        <v>262</v>
      </c>
      <c r="G58" s="94" t="s">
        <v>85</v>
      </c>
      <c r="H58" s="95">
        <v>0</v>
      </c>
      <c r="I58" s="95">
        <f>SUMIFS(Banco[valor],Banco[IdAgente],D58,Banco[id_natureza_dado],1,Banco[id_detalhe_natureza],1,Banco[idDet1],15,Banco[idDet2],143,Banco[idDet3],999,Banco[id_grupo_tarifa],2,Banco[id_detalhe_grupo_tarifa],999,Banco[id_tipo_tarifa],9,Banco[id_subgrupo],B58,Banco[id_posto],9,Banco[id_unidade],4,Banco[id_UC],C58)</f>
        <v>0</v>
      </c>
      <c r="J58" s="309">
        <f>SUMIFS(Banco[valor],Banco[IdAgente],D58,Banco[id_natureza_dado],1,Banco[id_detalhe_natureza],1,Banco[idDet1],15,Banco[idDet2],144,Banco[idDet3],999,Banco[id_grupo_tarifa],2,Banco[id_detalhe_grupo_tarifa],999,Banco[id_tipo_tarifa],9,Banco[id_subgrupo],B58,Banco[id_posto],9,Banco[id_unidade],5,Banco[id_UC],C58)</f>
        <v>0</v>
      </c>
      <c r="K58" s="362" t="e">
        <f>VLOOKUP(C58,'BD2'!$BD$2:$BG$100,4,FALSE)</f>
        <v>#N/A</v>
      </c>
      <c r="L58" s="188">
        <f t="shared" si="8"/>
        <v>0</v>
      </c>
      <c r="M58" s="188"/>
      <c r="N58" s="278">
        <f t="shared" si="6"/>
        <v>6</v>
      </c>
      <c r="O58" s="278" t="str">
        <f t="shared" si="4"/>
        <v>6NO SELECT</v>
      </c>
      <c r="P58" s="308" t="s">
        <v>204</v>
      </c>
      <c r="Q58" s="94" t="s">
        <v>262</v>
      </c>
      <c r="R58" s="94" t="s">
        <v>85</v>
      </c>
      <c r="S58" s="101">
        <v>0</v>
      </c>
      <c r="T58" s="101">
        <v>0</v>
      </c>
      <c r="U58" s="309" t="e">
        <f>VLOOKUP($U$3&amp;O58&amp;C58,'BD2'!$BV$2:$CB$200,7,FALSE)</f>
        <v>#N/A</v>
      </c>
      <c r="V58" s="309" t="e">
        <f>VLOOKUP($V$3&amp;O58&amp;C58,'BD2'!$BV$2:$CB$200,7,FALSE)</f>
        <v>#N/A</v>
      </c>
      <c r="W58" s="309" t="e">
        <f>VLOOKUP($W$3&amp;O58&amp;C58,'BD2'!$BV$2:$CB$200,7,FALSE)</f>
        <v>#N/A</v>
      </c>
      <c r="X58" s="94" t="e">
        <f t="shared" si="3"/>
        <v>#N/A</v>
      </c>
    </row>
    <row r="59" spans="1:24" ht="15" hidden="1" customHeight="1">
      <c r="A59" s="89">
        <v>45503</v>
      </c>
      <c r="B59" s="302">
        <v>5</v>
      </c>
      <c r="C59" s="326">
        <v>396</v>
      </c>
      <c r="D59" s="278" t="str">
        <f>VLOOKUP(E59,Efeito!$A$5:$B$56,2,FALSE)</f>
        <v>NO SELECT</v>
      </c>
      <c r="E59" s="361" t="s">
        <v>204</v>
      </c>
      <c r="F59" s="94" t="s">
        <v>519</v>
      </c>
      <c r="G59" s="94" t="s">
        <v>85</v>
      </c>
      <c r="H59" s="95"/>
      <c r="I59" s="95">
        <f>SUMIFS(Banco[valor],Banco[IdAgente],D59,Banco[id_natureza_dado],1,Banco[id_detalhe_natureza],1,Banco[idDet1],15,Banco[idDet2],143,Banco[idDet3],999,Banco[id_grupo_tarifa],2,Banco[id_detalhe_grupo_tarifa],999,Banco[id_tipo_tarifa],9,Banco[id_subgrupo],B59,Banco[id_posto],9,Banco[id_unidade],4,Banco[id_UC],C59)</f>
        <v>0</v>
      </c>
      <c r="J59" s="309">
        <v>230.42</v>
      </c>
      <c r="K59" s="362" t="e">
        <f>VLOOKUP(C59,'BD2'!$BD$2:$BG$100,4,FALSE)</f>
        <v>#N/A</v>
      </c>
      <c r="L59" s="188">
        <v>230.42</v>
      </c>
      <c r="M59" s="188"/>
      <c r="N59" s="278">
        <v>6</v>
      </c>
      <c r="O59" s="278" t="s">
        <v>543</v>
      </c>
      <c r="P59" s="308" t="s">
        <v>204</v>
      </c>
      <c r="Q59" s="94" t="s">
        <v>519</v>
      </c>
      <c r="R59" s="94" t="s">
        <v>85</v>
      </c>
      <c r="S59" s="101"/>
      <c r="T59" s="101"/>
      <c r="U59" s="309" t="e">
        <f>VLOOKUP($U$3&amp;O59&amp;C59,'BD2'!$BV$2:$CB$200,7,FALSE)</f>
        <v>#N/A</v>
      </c>
      <c r="V59" s="309" t="e">
        <f>VLOOKUP($V$3&amp;O59&amp;C59,'BD2'!$BV$2:$CB$200,7,FALSE)</f>
        <v>#N/A</v>
      </c>
      <c r="W59" s="309" t="e">
        <f>VLOOKUP($W$3&amp;O59&amp;C59,'BD2'!$BV$2:$CB$200,7,FALSE)</f>
        <v>#N/A</v>
      </c>
      <c r="X59" s="94" t="e">
        <f t="shared" si="3"/>
        <v>#N/A</v>
      </c>
    </row>
    <row r="60" spans="1:24" ht="15" hidden="1" customHeight="1">
      <c r="A60" s="89">
        <f>VLOOKUP(E60,Fatos!$L$16:$V$67,11,FALSE)</f>
        <v>45137</v>
      </c>
      <c r="B60" s="302">
        <f t="shared" ref="B60:B66" si="9">VLOOKUP(G60,$B$85:$C$98,2,FALSE)</f>
        <v>2</v>
      </c>
      <c r="C60" s="326">
        <v>396</v>
      </c>
      <c r="D60" s="278" t="str">
        <f>VLOOKUP(E60,Efeito!$A$5:$B$56,2,FALSE)</f>
        <v>NO SELECT</v>
      </c>
      <c r="E60" s="361" t="s">
        <v>276</v>
      </c>
      <c r="F60" s="94" t="s">
        <v>262</v>
      </c>
      <c r="G60" s="94" t="s">
        <v>86</v>
      </c>
      <c r="H60" s="95">
        <v>0.28499999999999998</v>
      </c>
      <c r="I60" s="95">
        <f>SUMIFS(Banco[valor],Banco[IdAgente],D60,Banco[id_natureza_dado],1,Banco[id_detalhe_natureza],1,Banco[idDet1],15,Banco[idDet2],143,Banco[idDet3],999,Banco[id_grupo_tarifa],2,Banco[id_detalhe_grupo_tarifa],999,Banco[id_tipo_tarifa],9,Banco[id_subgrupo],B60,Banco[id_posto],9,Banco[id_unidade],4,Banco[id_UC],C60)</f>
        <v>0</v>
      </c>
      <c r="J60" s="309">
        <f>SUMIFS(Banco[valor],Banco[IdAgente],D60,Banco[id_natureza_dado],1,Banco[id_detalhe_natureza],1,Banco[idDet1],15,Banco[idDet2],144,Banco[idDet3],999,Banco[id_grupo_tarifa],2,Banco[id_detalhe_grupo_tarifa],999,Banco[id_tipo_tarifa],9,Banco[id_subgrupo],B60,Banco[id_posto],9,Banco[id_unidade],5,Banco[id_UC],C60)</f>
        <v>0</v>
      </c>
      <c r="K60" s="362" t="e">
        <f>VLOOKUP(C60,'BD2'!$BD$2:$BG$100,4,FALSE)</f>
        <v>#N/A</v>
      </c>
      <c r="L60" s="188">
        <f t="shared" si="8"/>
        <v>0</v>
      </c>
      <c r="M60" s="188"/>
      <c r="N60" s="278">
        <f t="shared" si="6"/>
        <v>3</v>
      </c>
      <c r="O60" s="278" t="str">
        <f t="shared" si="4"/>
        <v>3NO SELECT</v>
      </c>
      <c r="P60" s="308" t="s">
        <v>276</v>
      </c>
      <c r="Q60" s="94" t="s">
        <v>262</v>
      </c>
      <c r="R60" s="94" t="s">
        <v>86</v>
      </c>
      <c r="S60" s="101">
        <v>0</v>
      </c>
      <c r="T60" s="101">
        <v>0</v>
      </c>
      <c r="U60" s="309" t="e">
        <f>VLOOKUP($U$3&amp;O60&amp;C60,'BD2'!$BV$2:$CB$200,7,FALSE)</f>
        <v>#N/A</v>
      </c>
      <c r="V60" s="309" t="e">
        <f>VLOOKUP($V$3&amp;O60&amp;C60,'BD2'!$BV$2:$CB$200,7,FALSE)</f>
        <v>#N/A</v>
      </c>
      <c r="W60" s="309" t="e">
        <f>VLOOKUP($W$3&amp;O60&amp;C60,'BD2'!$BV$2:$CB$200,7,FALSE)</f>
        <v>#N/A</v>
      </c>
      <c r="X60" s="94" t="e">
        <f t="shared" si="3"/>
        <v>#N/A</v>
      </c>
    </row>
    <row r="61" spans="1:24" ht="15" hidden="1" customHeight="1">
      <c r="A61" s="89">
        <f>VLOOKUP(E61,Fatos!$L$16:$V$67,11,FALSE)</f>
        <v>45137</v>
      </c>
      <c r="B61" s="302">
        <f t="shared" si="9"/>
        <v>5</v>
      </c>
      <c r="C61" s="326">
        <v>396</v>
      </c>
      <c r="D61" s="278" t="str">
        <f>VLOOKUP(E61,Efeito!$A$5:$B$56,2,FALSE)</f>
        <v>NO SELECT</v>
      </c>
      <c r="E61" s="361" t="s">
        <v>276</v>
      </c>
      <c r="F61" s="94" t="s">
        <v>262</v>
      </c>
      <c r="G61" s="94" t="s">
        <v>85</v>
      </c>
      <c r="H61" s="95">
        <v>0.28499999999999998</v>
      </c>
      <c r="I61" s="95">
        <f>SUMIFS(Banco[valor],Banco[IdAgente],D61,Banco[id_natureza_dado],1,Banco[id_detalhe_natureza],1,Banco[idDet1],15,Banco[idDet2],143,Banco[idDet3],999,Banco[id_grupo_tarifa],2,Banco[id_detalhe_grupo_tarifa],999,Banco[id_tipo_tarifa],9,Banco[id_subgrupo],B61,Banco[id_posto],9,Banco[id_unidade],4,Banco[id_UC],C61)</f>
        <v>0</v>
      </c>
      <c r="J61" s="309">
        <f>SUMIFS(Banco[valor],Banco[IdAgente],D61,Banco[id_natureza_dado],1,Banco[id_detalhe_natureza],1,Banco[idDet1],15,Banco[idDet2],144,Banco[idDet3],999,Banco[id_grupo_tarifa],2,Banco[id_detalhe_grupo_tarifa],999,Banco[id_tipo_tarifa],9,Banco[id_subgrupo],B61,Banco[id_posto],9,Banco[id_unidade],5,Banco[id_UC],C61)</f>
        <v>0</v>
      </c>
      <c r="K61" s="362" t="e">
        <f>VLOOKUP(C61,'BD2'!$BD$2:$BG$100,4,FALSE)</f>
        <v>#N/A</v>
      </c>
      <c r="L61" s="188">
        <f t="shared" si="8"/>
        <v>0</v>
      </c>
      <c r="M61" s="188"/>
      <c r="N61" s="278">
        <f t="shared" si="6"/>
        <v>6</v>
      </c>
      <c r="O61" s="278" t="str">
        <f t="shared" si="4"/>
        <v>6NO SELECT</v>
      </c>
      <c r="P61" s="308" t="s">
        <v>276</v>
      </c>
      <c r="Q61" s="94" t="s">
        <v>262</v>
      </c>
      <c r="R61" s="94" t="s">
        <v>85</v>
      </c>
      <c r="S61" s="101">
        <v>0</v>
      </c>
      <c r="T61" s="101">
        <v>0</v>
      </c>
      <c r="U61" s="309" t="e">
        <f>VLOOKUP($U$3&amp;O61&amp;C61,'BD2'!$BV$2:$CB$200,7,FALSE)</f>
        <v>#N/A</v>
      </c>
      <c r="V61" s="309" t="e">
        <f>VLOOKUP($V$3&amp;O61&amp;C61,'BD2'!$BV$2:$CB$200,7,FALSE)</f>
        <v>#N/A</v>
      </c>
      <c r="W61" s="309" t="e">
        <f>VLOOKUP($W$3&amp;O61&amp;C61,'BD2'!$BV$2:$CB$200,7,FALSE)</f>
        <v>#N/A</v>
      </c>
      <c r="X61" s="94" t="e">
        <f t="shared" si="3"/>
        <v>#N/A</v>
      </c>
    </row>
    <row r="62" spans="1:24" ht="15" hidden="1" customHeight="1">
      <c r="A62" s="89">
        <f>VLOOKUP(E62,Fatos!$L$16:$V$67,11,FALSE)</f>
        <v>45137</v>
      </c>
      <c r="B62" s="302">
        <f t="shared" si="9"/>
        <v>5</v>
      </c>
      <c r="C62" s="326">
        <v>396</v>
      </c>
      <c r="D62" s="278" t="str">
        <f>VLOOKUP(E62,Efeito!$A$5:$B$56,2,FALSE)</f>
        <v>NO SELECT</v>
      </c>
      <c r="E62" s="361" t="s">
        <v>210</v>
      </c>
      <c r="F62" s="94" t="s">
        <v>262</v>
      </c>
      <c r="G62" s="94" t="s">
        <v>85</v>
      </c>
      <c r="H62" s="95">
        <v>0.214</v>
      </c>
      <c r="I62" s="95">
        <f>SUMIFS(Banco[valor],Banco[IdAgente],D62,Banco[id_natureza_dado],1,Banco[id_detalhe_natureza],1,Banco[idDet1],15,Banco[idDet2],143,Banco[idDet3],999,Banco[id_grupo_tarifa],2,Banco[id_detalhe_grupo_tarifa],999,Banco[id_tipo_tarifa],9,Banco[id_subgrupo],B62,Banco[id_posto],9,Banco[id_unidade],4,Banco[id_UC],C62)</f>
        <v>0</v>
      </c>
      <c r="J62" s="309">
        <f>SUMIFS(Banco[valor],Banco[IdAgente],D62,Banco[id_natureza_dado],1,Banco[id_detalhe_natureza],1,Banco[idDet1],15,Banco[idDet2],144,Banco[idDet3],999,Banco[id_grupo_tarifa],2,Banco[id_detalhe_grupo_tarifa],999,Banco[id_tipo_tarifa],9,Banco[id_subgrupo],B62,Banco[id_posto],9,Banco[id_unidade],5,Banco[id_UC],C62)</f>
        <v>0</v>
      </c>
      <c r="K62" s="362" t="e">
        <f>VLOOKUP(C62,'BD2'!$BD$2:$BG$100,4,FALSE)</f>
        <v>#N/A</v>
      </c>
      <c r="L62" s="188">
        <f t="shared" si="8"/>
        <v>0</v>
      </c>
      <c r="M62" s="188"/>
      <c r="N62" s="278">
        <f t="shared" si="6"/>
        <v>6</v>
      </c>
      <c r="O62" s="278" t="str">
        <f t="shared" si="4"/>
        <v>6NO SELECT</v>
      </c>
      <c r="P62" s="308" t="s">
        <v>210</v>
      </c>
      <c r="Q62" s="94" t="s">
        <v>262</v>
      </c>
      <c r="R62" s="94" t="s">
        <v>85</v>
      </c>
      <c r="S62" s="101">
        <v>0</v>
      </c>
      <c r="T62" s="101">
        <v>0</v>
      </c>
      <c r="U62" s="309" t="e">
        <f>VLOOKUP($U$3&amp;O62&amp;C62,'BD2'!$BV$2:$CB$200,7,FALSE)</f>
        <v>#N/A</v>
      </c>
      <c r="V62" s="309" t="e">
        <f>VLOOKUP($V$3&amp;O62&amp;C62,'BD2'!$BV$2:$CB$200,7,FALSE)</f>
        <v>#N/A</v>
      </c>
      <c r="W62" s="309" t="e">
        <f>VLOOKUP($W$3&amp;O62&amp;C62,'BD2'!$BV$2:$CB$200,7,FALSE)</f>
        <v>#N/A</v>
      </c>
      <c r="X62" s="94" t="e">
        <f t="shared" si="3"/>
        <v>#N/A</v>
      </c>
    </row>
    <row r="63" spans="1:24" ht="15" hidden="1" customHeight="1">
      <c r="A63" s="89">
        <f>VLOOKUP(E63,Fatos!$L$16:$V$67,11,FALSE)</f>
        <v>45137</v>
      </c>
      <c r="B63" s="302">
        <f t="shared" si="9"/>
        <v>7</v>
      </c>
      <c r="C63" s="326">
        <v>396</v>
      </c>
      <c r="D63" s="278" t="str">
        <f>VLOOKUP(E63,Efeito!$A$5:$B$56,2,FALSE)</f>
        <v>NO SELECT</v>
      </c>
      <c r="E63" s="361" t="s">
        <v>210</v>
      </c>
      <c r="F63" s="94" t="s">
        <v>262</v>
      </c>
      <c r="G63" s="94" t="s">
        <v>296</v>
      </c>
      <c r="H63" s="95">
        <v>2.07E-2</v>
      </c>
      <c r="I63" s="95">
        <f>SUMIFS(Banco[valor],Banco[IdAgente],D63,Banco[id_natureza_dado],1,Banco[id_detalhe_natureza],1,Banco[idDet1],15,Banco[idDet2],143,Banco[idDet3],999,Banco[id_grupo_tarifa],2,Banco[id_detalhe_grupo_tarifa],999,Banco[id_tipo_tarifa],9,Banco[id_subgrupo],B63,Banco[id_posto],9,Banco[id_unidade],4,Banco[id_UC],C63)</f>
        <v>0</v>
      </c>
      <c r="J63" s="309">
        <v>308.82</v>
      </c>
      <c r="K63" s="362" t="e">
        <f>VLOOKUP(C63,'BD2'!$BD$2:$BG$100,4,FALSE)</f>
        <v>#N/A</v>
      </c>
      <c r="L63" s="188">
        <f t="shared" si="8"/>
        <v>308.82</v>
      </c>
      <c r="M63" s="188"/>
      <c r="N63" s="278">
        <v>13</v>
      </c>
      <c r="O63" s="278" t="str">
        <f t="shared" si="4"/>
        <v>13NO SELECT</v>
      </c>
      <c r="P63" s="308" t="s">
        <v>210</v>
      </c>
      <c r="Q63" s="94" t="s">
        <v>262</v>
      </c>
      <c r="R63" s="94" t="s">
        <v>343</v>
      </c>
      <c r="S63" s="101">
        <v>0</v>
      </c>
      <c r="T63" s="101">
        <v>0</v>
      </c>
      <c r="U63" s="309" t="e">
        <f>VLOOKUP($U$3&amp;O63&amp;C63,'BD2'!$BV$2:$CB$200,7,FALSE)</f>
        <v>#N/A</v>
      </c>
      <c r="V63" s="309" t="e">
        <f>VLOOKUP($V$3&amp;O63&amp;C63,'BD2'!$BV$2:$CB$200,7,FALSE)</f>
        <v>#N/A</v>
      </c>
      <c r="W63" s="309" t="e">
        <f>VLOOKUP($W$3&amp;O63&amp;C63,'BD2'!$BV$2:$CB$200,7,FALSE)</f>
        <v>#N/A</v>
      </c>
      <c r="X63" s="94" t="e">
        <f t="shared" si="3"/>
        <v>#N/A</v>
      </c>
    </row>
    <row r="64" spans="1:24" hidden="1">
      <c r="A64" s="89">
        <f>VLOOKUP(E64,Fatos!$L$16:$V$67,11,FALSE)</f>
        <v>45045</v>
      </c>
      <c r="B64" s="302">
        <f t="shared" si="9"/>
        <v>5</v>
      </c>
      <c r="C64" s="278">
        <f>VLOOKUP(F64,'BD2'!$BB$1:$BD$51,3,FALSE)</f>
        <v>383</v>
      </c>
      <c r="D64" s="278" t="str">
        <f>VLOOKUP(E64,Efeito!$A$5:$B$56,2,FALSE)</f>
        <v>NO SELECT</v>
      </c>
      <c r="E64" s="361" t="s">
        <v>213</v>
      </c>
      <c r="F64" s="94" t="s">
        <v>273</v>
      </c>
      <c r="G64" s="94" t="s">
        <v>85</v>
      </c>
      <c r="H64" s="95">
        <v>0</v>
      </c>
      <c r="I64" s="95">
        <f>SUMIFS(Banco[valor],Banco[IdAgente],D64,Banco[id_natureza_dado],1,Banco[id_detalhe_natureza],1,Banco[idDet1],15,Banco[idDet2],143,Banco[idDet3],999,Banco[id_grupo_tarifa],2,Banco[id_detalhe_grupo_tarifa],999,Banco[id_tipo_tarifa],9,Banco[id_subgrupo],B64,Banco[id_posto],9,Banco[id_unidade],4,Banco[id_UC],C64)</f>
        <v>0</v>
      </c>
      <c r="J64" s="309">
        <f>SUMIFS(Banco[valor],Banco[IdAgente],D64,Banco[id_natureza_dado],1,Banco[id_detalhe_natureza],1,Banco[idDet1],15,Banco[idDet2],144,Banco[idDet3],999,Banco[id_grupo_tarifa],2,Banco[id_detalhe_grupo_tarifa],999,Banco[id_tipo_tarifa],9,Banco[id_subgrupo],B64,Banco[id_posto],9,Banco[id_unidade],5,Banco[id_UC],C64)</f>
        <v>0</v>
      </c>
      <c r="K64" s="362" t="str">
        <f>VLOOKUP(C64,'BD2'!$BD$2:$BG$100,4,FALSE)</f>
        <v>REH 3177/2023</v>
      </c>
      <c r="L64" s="188">
        <f t="shared" si="8"/>
        <v>0</v>
      </c>
      <c r="M64" s="188"/>
      <c r="N64" s="278">
        <f t="shared" si="6"/>
        <v>6</v>
      </c>
      <c r="O64" s="278" t="str">
        <f t="shared" si="4"/>
        <v>6NO SELECT</v>
      </c>
      <c r="P64" s="308" t="s">
        <v>213</v>
      </c>
      <c r="Q64" s="94" t="s">
        <v>273</v>
      </c>
      <c r="R64" s="94" t="s">
        <v>85</v>
      </c>
      <c r="S64" s="101">
        <v>0</v>
      </c>
      <c r="T64" s="101">
        <v>0</v>
      </c>
      <c r="U64" s="309" t="e">
        <f>VLOOKUP($U$3&amp;O64&amp;C64,'BD2'!$BV$2:$CB$200,7,FALSE)</f>
        <v>#N/A</v>
      </c>
      <c r="V64" s="309" t="e">
        <f>VLOOKUP($V$3&amp;O64&amp;C64,'BD2'!$BV$2:$CB$200,7,FALSE)</f>
        <v>#N/A</v>
      </c>
      <c r="W64" s="309" t="e">
        <f>VLOOKUP($W$3&amp;O64&amp;C64,'BD2'!$BV$2:$CB$200,7,FALSE)</f>
        <v>#N/A</v>
      </c>
      <c r="X64" s="94" t="str">
        <f t="shared" si="3"/>
        <v>REH 3177/2023</v>
      </c>
    </row>
    <row r="65" spans="1:24" hidden="1">
      <c r="A65" s="89">
        <f>VLOOKUP(E65,Fatos!$L$16:$V$67,11,FALSE)</f>
        <v>45045</v>
      </c>
      <c r="B65" s="302">
        <f t="shared" si="9"/>
        <v>5</v>
      </c>
      <c r="C65" s="278">
        <f>VLOOKUP(F65,'BD2'!$BB$1:$BD$51,3,FALSE)</f>
        <v>383</v>
      </c>
      <c r="D65" s="278" t="str">
        <f>VLOOKUP(E65,Efeito!$A$5:$B$56,2,FALSE)</f>
        <v>NO SELECT</v>
      </c>
      <c r="E65" s="361" t="s">
        <v>215</v>
      </c>
      <c r="F65" s="94" t="s">
        <v>273</v>
      </c>
      <c r="G65" s="94" t="s">
        <v>85</v>
      </c>
      <c r="H65" s="95">
        <v>0</v>
      </c>
      <c r="I65" s="95">
        <f>SUMIFS(Banco[valor],Banco[IdAgente],D65,Banco[id_natureza_dado],1,Banco[id_detalhe_natureza],1,Banco[idDet1],15,Banco[idDet2],143,Banco[idDet3],999,Banco[id_grupo_tarifa],2,Banco[id_detalhe_grupo_tarifa],999,Banco[id_tipo_tarifa],9,Banco[id_subgrupo],B65,Banco[id_posto],9,Banco[id_unidade],4,Banco[id_UC],C65)</f>
        <v>0</v>
      </c>
      <c r="J65" s="309">
        <v>303.47000000000003</v>
      </c>
      <c r="K65" s="362" t="str">
        <f>VLOOKUP(C65,'BD2'!$BD$2:$BG$100,4,FALSE)</f>
        <v>REH 3177/2023</v>
      </c>
      <c r="L65" s="188">
        <f t="shared" ref="L65:L81" si="10">J65/(1-I65)</f>
        <v>303.47000000000003</v>
      </c>
      <c r="M65" s="188"/>
      <c r="N65" s="278">
        <f t="shared" si="6"/>
        <v>6</v>
      </c>
      <c r="O65" s="278" t="str">
        <f t="shared" si="4"/>
        <v>6NO SELECT</v>
      </c>
      <c r="P65" s="308" t="s">
        <v>215</v>
      </c>
      <c r="Q65" s="94" t="s">
        <v>273</v>
      </c>
      <c r="R65" s="94" t="s">
        <v>85</v>
      </c>
      <c r="S65" s="101">
        <v>0</v>
      </c>
      <c r="T65" s="101">
        <v>0</v>
      </c>
      <c r="U65" s="309" t="e">
        <f>VLOOKUP($U$3&amp;O65&amp;C65,'BD2'!$BV$2:$CB$200,7,FALSE)</f>
        <v>#N/A</v>
      </c>
      <c r="V65" s="309" t="e">
        <f>VLOOKUP($V$3&amp;O65&amp;C65,'BD2'!$BV$2:$CB$200,7,FALSE)</f>
        <v>#N/A</v>
      </c>
      <c r="W65" s="309" t="e">
        <f>VLOOKUP($W$3&amp;O65&amp;C65,'BD2'!$BV$2:$CB$200,7,FALSE)</f>
        <v>#N/A</v>
      </c>
      <c r="X65" s="94" t="str">
        <f t="shared" si="3"/>
        <v>REH 3177/2023</v>
      </c>
    </row>
    <row r="66" spans="1:24" hidden="1">
      <c r="A66" s="89">
        <f>VLOOKUP(E66,Fatos!$L$16:$V$67,11,FALSE)</f>
        <v>45137</v>
      </c>
      <c r="B66" s="302">
        <f t="shared" si="9"/>
        <v>5</v>
      </c>
      <c r="C66" s="326">
        <v>396</v>
      </c>
      <c r="D66" s="278" t="str">
        <f>VLOOKUP(E66,Efeito!$A$5:$B$56,2,FALSE)</f>
        <v>NO SELECT</v>
      </c>
      <c r="E66" s="361" t="s">
        <v>217</v>
      </c>
      <c r="F66" s="94" t="s">
        <v>262</v>
      </c>
      <c r="G66" s="94" t="s">
        <v>85</v>
      </c>
      <c r="H66" s="95">
        <v>0.1401</v>
      </c>
      <c r="I66" s="95">
        <f>SUMIFS(Banco[valor],Banco[IdAgente],D66,Banco[id_natureza_dado],1,Banco[id_detalhe_natureza],1,Banco[idDet1],15,Banco[idDet2],143,Banco[idDet3],999,Banco[id_grupo_tarifa],2,Banco[id_detalhe_grupo_tarifa],999,Banco[id_tipo_tarifa],9,Banco[id_subgrupo],B66,Banco[id_posto],9,Banco[id_unidade],4,Banco[id_UC],C66)</f>
        <v>0</v>
      </c>
      <c r="J66" s="309">
        <f>SUMIFS(Banco[valor],Banco[IdAgente],D66,Banco[id_natureza_dado],1,Banco[id_detalhe_natureza],1,Banco[idDet1],15,Banco[idDet2],144,Banco[idDet3],999,Banco[id_grupo_tarifa],2,Banco[id_detalhe_grupo_tarifa],999,Banco[id_tipo_tarifa],9,Banco[id_subgrupo],B66,Banco[id_posto],9,Banco[id_unidade],5,Banco[id_UC],C66)</f>
        <v>0</v>
      </c>
      <c r="K66" s="362" t="e">
        <f>VLOOKUP(C66,'BD2'!$BD$2:$BG$100,4,FALSE)</f>
        <v>#N/A</v>
      </c>
      <c r="L66" s="188">
        <f t="shared" si="10"/>
        <v>0</v>
      </c>
      <c r="M66" s="188"/>
      <c r="N66" s="278">
        <f t="shared" si="6"/>
        <v>6</v>
      </c>
      <c r="O66" s="278" t="str">
        <f t="shared" si="4"/>
        <v>6NO SELECT</v>
      </c>
      <c r="P66" s="308" t="s">
        <v>217</v>
      </c>
      <c r="Q66" s="94" t="s">
        <v>262</v>
      </c>
      <c r="R66" s="94" t="s">
        <v>85</v>
      </c>
      <c r="S66" s="101">
        <v>0</v>
      </c>
      <c r="T66" s="101">
        <v>0</v>
      </c>
      <c r="U66" s="309" t="e">
        <f>VLOOKUP($U$3&amp;O66&amp;C66,'BD2'!$BV$2:$CB$200,7,FALSE)</f>
        <v>#N/A</v>
      </c>
      <c r="V66" s="309" t="e">
        <f>VLOOKUP($V$3&amp;O66&amp;C66,'BD2'!$BV$2:$CB$200,7,FALSE)</f>
        <v>#N/A</v>
      </c>
      <c r="W66" s="309" t="e">
        <f>VLOOKUP($W$3&amp;O66&amp;C66,'BD2'!$BV$2:$CB$200,7,FALSE)</f>
        <v>#N/A</v>
      </c>
      <c r="X66" s="94" t="e">
        <f t="shared" si="3"/>
        <v>#N/A</v>
      </c>
    </row>
    <row r="67" spans="1:24" hidden="1">
      <c r="A67" s="89">
        <f>VLOOKUP(E67,Fatos!$L$16:$V$67,11,FALSE)</f>
        <v>45137</v>
      </c>
      <c r="B67" s="302">
        <f t="shared" ref="B67:B81" si="11">VLOOKUP(G67,$B$85:$C$98,2,FALSE)</f>
        <v>5</v>
      </c>
      <c r="C67" s="326">
        <v>396</v>
      </c>
      <c r="D67" s="278" t="str">
        <f>VLOOKUP(E67,Efeito!$A$5:$B$56,2,FALSE)</f>
        <v>NO SELECT</v>
      </c>
      <c r="E67" s="361" t="s">
        <v>219</v>
      </c>
      <c r="F67" s="94" t="s">
        <v>262</v>
      </c>
      <c r="G67" s="94" t="s">
        <v>85</v>
      </c>
      <c r="H67" s="95">
        <v>0</v>
      </c>
      <c r="I67" s="95">
        <f>SUMIFS(Banco[valor],Banco[IdAgente],D67,Banco[id_natureza_dado],1,Banco[id_detalhe_natureza],1,Banco[idDet1],15,Banco[idDet2],143,Banco[idDet3],999,Banco[id_grupo_tarifa],2,Banco[id_detalhe_grupo_tarifa],999,Banco[id_tipo_tarifa],9,Banco[id_subgrupo],B67,Banco[id_posto],9,Banco[id_unidade],4,Banco[id_UC],C67)</f>
        <v>0</v>
      </c>
      <c r="J67" s="309">
        <f>SUMIFS(Banco[valor],Banco[IdAgente],D67,Banco[id_natureza_dado],1,Banco[id_detalhe_natureza],1,Banco[idDet1],15,Banco[idDet2],144,Banco[idDet3],999,Banco[id_grupo_tarifa],2,Banco[id_detalhe_grupo_tarifa],999,Banco[id_tipo_tarifa],9,Banco[id_subgrupo],B67,Banco[id_posto],9,Banco[id_unidade],5,Banco[id_UC],C67)</f>
        <v>0</v>
      </c>
      <c r="K67" s="362" t="e">
        <f>VLOOKUP(C67,'BD2'!$BD$2:$BG$100,4,FALSE)</f>
        <v>#N/A</v>
      </c>
      <c r="L67" s="188">
        <f t="shared" si="10"/>
        <v>0</v>
      </c>
      <c r="M67" s="188"/>
      <c r="N67" s="278">
        <f t="shared" si="6"/>
        <v>6</v>
      </c>
      <c r="O67" s="278" t="str">
        <f t="shared" si="4"/>
        <v>6NO SELECT</v>
      </c>
      <c r="P67" s="308" t="s">
        <v>219</v>
      </c>
      <c r="Q67" s="94" t="s">
        <v>262</v>
      </c>
      <c r="R67" s="94" t="s">
        <v>85</v>
      </c>
      <c r="S67" s="101">
        <v>0</v>
      </c>
      <c r="T67" s="101">
        <v>0</v>
      </c>
      <c r="U67" s="309" t="e">
        <f>VLOOKUP($U$3&amp;O67&amp;C67,'BD2'!$BV$2:$CB$200,7,FALSE)</f>
        <v>#N/A</v>
      </c>
      <c r="V67" s="309" t="e">
        <f>VLOOKUP($V$3&amp;O67&amp;C67,'BD2'!$BV$2:$CB$200,7,FALSE)</f>
        <v>#N/A</v>
      </c>
      <c r="W67" s="309" t="e">
        <f>VLOOKUP($W$3&amp;O67&amp;C67,'BD2'!$BV$2:$CB$200,7,FALSE)</f>
        <v>#N/A</v>
      </c>
      <c r="X67" s="94" t="e">
        <f t="shared" si="3"/>
        <v>#N/A</v>
      </c>
    </row>
    <row r="68" spans="1:24" hidden="1">
      <c r="A68" s="89">
        <f>VLOOKUP(E68,Fatos!$L$16:$V$67,11,FALSE)</f>
        <v>45137</v>
      </c>
      <c r="B68" s="302">
        <f t="shared" si="11"/>
        <v>4</v>
      </c>
      <c r="C68" s="278">
        <v>2866</v>
      </c>
      <c r="D68" s="278" t="str">
        <f>VLOOKUP(E68,Efeito!$A$5:$B$56,2,FALSE)</f>
        <v>NO SELECT</v>
      </c>
      <c r="E68" s="361" t="s">
        <v>221</v>
      </c>
      <c r="F68" s="94" t="s">
        <v>272</v>
      </c>
      <c r="G68" s="94" t="s">
        <v>88</v>
      </c>
      <c r="H68" s="95">
        <v>0.33839999999999998</v>
      </c>
      <c r="I68" s="95">
        <f>SUMIFS(Banco[valor],Banco[IdAgente],D68,Banco[id_natureza_dado],1,Banco[id_detalhe_natureza],1,Banco[idDet1],15,Banco[idDet2],143,Banco[idDet3],999,Banco[id_grupo_tarifa],2,Banco[id_detalhe_grupo_tarifa],999,Banco[id_tipo_tarifa],9,Banco[id_subgrupo],B68,Banco[id_posto],9,Banco[id_unidade],4,Banco[id_UC],C68)</f>
        <v>0</v>
      </c>
      <c r="J68" s="309">
        <f>SUMIFS(Banco[valor],Banco[IdAgente],D68,Banco[id_natureza_dado],1,Banco[id_detalhe_natureza],1,Banco[idDet1],15,Banco[idDet2],144,Banco[idDet3],999,Banco[id_grupo_tarifa],2,Banco[id_detalhe_grupo_tarifa],999,Banco[id_tipo_tarifa],9,Banco[id_subgrupo],B68,Banco[id_posto],9,Banco[id_unidade],5,Banco[id_UC],C68)</f>
        <v>0</v>
      </c>
      <c r="K68" s="362" t="str">
        <f>VLOOKUP(C68,'BD2'!$BD$2:$BG$100,4,FALSE)</f>
        <v>REH 0/</v>
      </c>
      <c r="L68" s="188">
        <f t="shared" si="10"/>
        <v>0</v>
      </c>
      <c r="M68" s="188"/>
      <c r="N68" s="278">
        <f t="shared" si="6"/>
        <v>5</v>
      </c>
      <c r="O68" s="278" t="str">
        <f t="shared" si="4"/>
        <v>5NO SELECT</v>
      </c>
      <c r="P68" s="308" t="s">
        <v>221</v>
      </c>
      <c r="Q68" s="94" t="s">
        <v>272</v>
      </c>
      <c r="R68" s="94" t="s">
        <v>88</v>
      </c>
      <c r="S68" s="101">
        <v>0</v>
      </c>
      <c r="T68" s="101">
        <v>0</v>
      </c>
      <c r="U68" s="309" t="e">
        <f>VLOOKUP($U$3&amp;O68&amp;C68,'BD2'!$BV$2:$CB$200,7,FALSE)</f>
        <v>#N/A</v>
      </c>
      <c r="V68" s="309" t="e">
        <f>VLOOKUP($V$3&amp;O68&amp;C68,'BD2'!$BV$2:$CB$200,7,FALSE)</f>
        <v>#N/A</v>
      </c>
      <c r="W68" s="309" t="e">
        <f>VLOOKUP($W$3&amp;O68&amp;C68,'BD2'!$BV$2:$CB$200,7,FALSE)</f>
        <v>#N/A</v>
      </c>
      <c r="X68" s="94" t="str">
        <f t="shared" ref="X68:X81" si="12">K68</f>
        <v>REH 0/</v>
      </c>
    </row>
    <row r="69" spans="1:24" hidden="1">
      <c r="A69" s="89">
        <f>VLOOKUP(E69,Fatos!$L$16:$V$67,11,FALSE)</f>
        <v>45137</v>
      </c>
      <c r="B69" s="302">
        <f t="shared" si="11"/>
        <v>5</v>
      </c>
      <c r="C69" s="278">
        <v>2866</v>
      </c>
      <c r="D69" s="278" t="str">
        <f>VLOOKUP(E69,Efeito!$A$5:$B$56,2,FALSE)</f>
        <v>NO SELECT</v>
      </c>
      <c r="E69" s="361" t="s">
        <v>221</v>
      </c>
      <c r="F69" s="94" t="s">
        <v>272</v>
      </c>
      <c r="G69" s="94" t="s">
        <v>85</v>
      </c>
      <c r="H69" s="95">
        <v>0.33839999999999998</v>
      </c>
      <c r="I69" s="95">
        <f>SUMIFS(Banco[valor],Banco[IdAgente],D69,Banco[id_natureza_dado],1,Banco[id_detalhe_natureza],1,Banco[idDet1],15,Banco[idDet2],143,Banco[idDet3],999,Banco[id_grupo_tarifa],2,Banco[id_detalhe_grupo_tarifa],999,Banco[id_tipo_tarifa],9,Banco[id_subgrupo],B69,Banco[id_posto],9,Banco[id_unidade],4,Banco[id_UC],C69)</f>
        <v>0</v>
      </c>
      <c r="J69" s="309">
        <f>SUMIFS(Banco[valor],Banco[IdAgente],D69,Banco[id_natureza_dado],1,Banco[id_detalhe_natureza],1,Banco[idDet1],15,Banco[idDet2],144,Banco[idDet3],999,Banco[id_grupo_tarifa],2,Banco[id_detalhe_grupo_tarifa],999,Banco[id_tipo_tarifa],9,Banco[id_subgrupo],B69,Banco[id_posto],9,Banco[id_unidade],5,Banco[id_UC],C69)</f>
        <v>0</v>
      </c>
      <c r="K69" s="362" t="str">
        <f>VLOOKUP(C69,'BD2'!$BD$2:$BG$100,4,FALSE)</f>
        <v>REH 0/</v>
      </c>
      <c r="L69" s="188">
        <f t="shared" si="10"/>
        <v>0</v>
      </c>
      <c r="M69" s="188"/>
      <c r="N69" s="278">
        <f t="shared" ref="N69:N81" si="13">B69+1</f>
        <v>6</v>
      </c>
      <c r="O69" s="278" t="str">
        <f t="shared" si="4"/>
        <v>6NO SELECT</v>
      </c>
      <c r="P69" s="308" t="s">
        <v>221</v>
      </c>
      <c r="Q69" s="94" t="s">
        <v>272</v>
      </c>
      <c r="R69" s="94" t="s">
        <v>85</v>
      </c>
      <c r="S69" s="101">
        <v>0</v>
      </c>
      <c r="T69" s="101">
        <v>0</v>
      </c>
      <c r="U69" s="309" t="e">
        <f>VLOOKUP($U$3&amp;O69&amp;C69,'BD2'!$BV$2:$CB$200,7,FALSE)</f>
        <v>#N/A</v>
      </c>
      <c r="V69" s="309" t="e">
        <f>VLOOKUP($V$3&amp;O69&amp;C69,'BD2'!$BV$2:$CB$200,7,FALSE)</f>
        <v>#N/A</v>
      </c>
      <c r="W69" s="309" t="e">
        <f>VLOOKUP($W$3&amp;O69&amp;C69,'BD2'!$BV$2:$CB$200,7,FALSE)</f>
        <v>#N/A</v>
      </c>
      <c r="X69" s="94" t="str">
        <f t="shared" si="12"/>
        <v>REH 0/</v>
      </c>
    </row>
    <row r="70" spans="1:24" hidden="1">
      <c r="A70" s="89">
        <f>VLOOKUP(E70,Fatos!$L$16:$V$67,11,FALSE)</f>
        <v>45199</v>
      </c>
      <c r="B70" s="302">
        <f t="shared" si="11"/>
        <v>5</v>
      </c>
      <c r="C70" s="278">
        <v>385</v>
      </c>
      <c r="D70" s="278" t="str">
        <f>VLOOKUP(E70,Efeito!$A$5:$B$56,2,FALSE)</f>
        <v>NO SELECT</v>
      </c>
      <c r="E70" s="361" t="s">
        <v>223</v>
      </c>
      <c r="F70" s="94" t="s">
        <v>145</v>
      </c>
      <c r="G70" s="94" t="s">
        <v>85</v>
      </c>
      <c r="H70" s="95">
        <v>0</v>
      </c>
      <c r="I70" s="95">
        <f>SUMIFS(Banco[valor],Banco[IdAgente],D70,Banco[id_natureza_dado],1,Banco[id_detalhe_natureza],1,Banco[idDet1],15,Banco[idDet2],143,Banco[idDet3],999,Banco[id_grupo_tarifa],2,Banco[id_detalhe_grupo_tarifa],999,Banco[id_tipo_tarifa],9,Banco[id_subgrupo],B70,Banco[id_posto],9,Banco[id_unidade],4,Banco[id_UC],C70)</f>
        <v>0</v>
      </c>
      <c r="J70" s="309">
        <f>SUMIFS(Banco[valor],Banco[IdAgente],D70,Banco[id_natureza_dado],1,Banco[id_detalhe_natureza],1,Banco[idDet1],15,Banco[idDet2],144,Banco[idDet3],999,Banco[id_grupo_tarifa],2,Banco[id_detalhe_grupo_tarifa],999,Banco[id_tipo_tarifa],9,Banco[id_subgrupo],B70,Banco[id_posto],9,Banco[id_unidade],5,Banco[id_UC],C70)</f>
        <v>0</v>
      </c>
      <c r="K70" s="362" t="str">
        <f>VLOOKUP(C70,'BD2'!$BD$2:$BG$100,4,FALSE)</f>
        <v>REH 3253/2023</v>
      </c>
      <c r="L70" s="188">
        <f t="shared" si="10"/>
        <v>0</v>
      </c>
      <c r="M70" s="188"/>
      <c r="N70" s="278">
        <f t="shared" si="13"/>
        <v>6</v>
      </c>
      <c r="O70" s="278" t="str">
        <f t="shared" ref="O70:O81" si="14">N70&amp;D70</f>
        <v>6NO SELECT</v>
      </c>
      <c r="P70" s="308" t="s">
        <v>223</v>
      </c>
      <c r="Q70" s="94" t="s">
        <v>145</v>
      </c>
      <c r="R70" s="94" t="s">
        <v>85</v>
      </c>
      <c r="S70" s="101">
        <v>0</v>
      </c>
      <c r="T70" s="101" t="e">
        <v>#N/A</v>
      </c>
      <c r="U70" s="309" t="e">
        <f>VLOOKUP($U$3&amp;O70&amp;C70,'BD2'!$BV$2:$CB$200,7,FALSE)</f>
        <v>#N/A</v>
      </c>
      <c r="V70" s="309" t="e">
        <f>VLOOKUP($V$3&amp;O70&amp;C70,'BD2'!$BV$2:$CB$200,7,FALSE)</f>
        <v>#N/A</v>
      </c>
      <c r="W70" s="309" t="e">
        <f>VLOOKUP($W$3&amp;O70&amp;C70,'BD2'!$BV$2:$CB$200,7,FALSE)</f>
        <v>#N/A</v>
      </c>
      <c r="X70" s="94" t="str">
        <f t="shared" si="12"/>
        <v>REH 3253/2023</v>
      </c>
    </row>
    <row r="71" spans="1:24" hidden="1">
      <c r="A71" s="89">
        <f>VLOOKUP(E71,Fatos!$L$16:$V$67,11,FALSE)</f>
        <v>45199</v>
      </c>
      <c r="B71" s="302">
        <f t="shared" si="11"/>
        <v>5</v>
      </c>
      <c r="C71" s="278">
        <f>VLOOKUP(F71,'BD2'!$BB$1:$BD$51,3,FALSE)</f>
        <v>63</v>
      </c>
      <c r="D71" s="278" t="str">
        <f>VLOOKUP(E71,Efeito!$A$5:$B$56,2,FALSE)</f>
        <v>NO SELECT</v>
      </c>
      <c r="E71" s="361" t="s">
        <v>223</v>
      </c>
      <c r="F71" s="94" t="s">
        <v>261</v>
      </c>
      <c r="G71" s="94" t="s">
        <v>85</v>
      </c>
      <c r="H71" s="95">
        <v>0</v>
      </c>
      <c r="I71" s="95">
        <f>SUMIFS(Banco[valor],Banco[IdAgente],D71,Banco[id_natureza_dado],1,Banco[id_detalhe_natureza],1,Banco[idDet1],15,Banco[idDet2],143,Banco[idDet3],999,Banco[id_grupo_tarifa],2,Banco[id_detalhe_grupo_tarifa],999,Banco[id_tipo_tarifa],9,Banco[id_subgrupo],B71,Banco[id_posto],9,Banco[id_unidade],4,Banco[id_UC],C71)</f>
        <v>0</v>
      </c>
      <c r="J71" s="309">
        <f>SUMIFS(Banco[valor],Banco[IdAgente],D71,Banco[id_natureza_dado],1,Banco[id_detalhe_natureza],1,Banco[idDet1],15,Banco[idDet2],144,Banco[idDet3],999,Banco[id_grupo_tarifa],2,Banco[id_detalhe_grupo_tarifa],999,Banco[id_tipo_tarifa],9,Banco[id_subgrupo],B71,Banco[id_posto],9,Banco[id_unidade],5,Banco[id_UC],C71)</f>
        <v>0</v>
      </c>
      <c r="K71" s="362" t="str">
        <f>VLOOKUP(C71,'BD2'!$BD$2:$BG$100,4,FALSE)</f>
        <v>REH 3183/2023</v>
      </c>
      <c r="L71" s="188">
        <f t="shared" si="10"/>
        <v>0</v>
      </c>
      <c r="M71" s="188"/>
      <c r="N71" s="278">
        <f t="shared" si="13"/>
        <v>6</v>
      </c>
      <c r="O71" s="278" t="str">
        <f t="shared" si="14"/>
        <v>6NO SELECT</v>
      </c>
      <c r="P71" s="308" t="s">
        <v>223</v>
      </c>
      <c r="Q71" s="94" t="s">
        <v>261</v>
      </c>
      <c r="R71" s="94" t="s">
        <v>85</v>
      </c>
      <c r="S71" s="101">
        <v>0</v>
      </c>
      <c r="T71" s="101" t="e">
        <v>#N/A</v>
      </c>
      <c r="U71" s="309" t="e">
        <f>VLOOKUP($U$3&amp;O71&amp;C71,'BD2'!$BV$2:$CB$200,7,FALSE)</f>
        <v>#N/A</v>
      </c>
      <c r="V71" s="309" t="e">
        <f>VLOOKUP($V$3&amp;O71&amp;C71,'BD2'!$BV$2:$CB$200,7,FALSE)</f>
        <v>#N/A</v>
      </c>
      <c r="W71" s="309" t="e">
        <f>VLOOKUP($W$3&amp;O71&amp;C71,'BD2'!$BV$2:$CB$200,7,FALSE)</f>
        <v>#N/A</v>
      </c>
      <c r="X71" s="94" t="str">
        <f t="shared" si="12"/>
        <v>REH 3183/2023</v>
      </c>
    </row>
    <row r="72" spans="1:24" hidden="1">
      <c r="A72" s="89">
        <f>VLOOKUP(E72,Fatos!$L$16:$V$67,11,FALSE)</f>
        <v>45199</v>
      </c>
      <c r="B72" s="302">
        <f t="shared" si="11"/>
        <v>2</v>
      </c>
      <c r="C72" s="278">
        <v>5697</v>
      </c>
      <c r="D72" s="278" t="str">
        <f>VLOOKUP(E72,Efeito!$A$5:$B$56,2,FALSE)</f>
        <v>NO SELECT</v>
      </c>
      <c r="E72" s="361" t="s">
        <v>225</v>
      </c>
      <c r="F72" s="94" t="s">
        <v>146</v>
      </c>
      <c r="G72" s="94" t="s">
        <v>86</v>
      </c>
      <c r="H72" s="95">
        <v>0</v>
      </c>
      <c r="I72" s="95">
        <f>SUMIFS(Banco[valor],Banco[IdAgente],D72,Banco[id_natureza_dado],1,Banco[id_detalhe_natureza],1,Banco[idDet1],15,Banco[idDet2],143,Banco[idDet3],999,Banco[id_grupo_tarifa],2,Banco[id_detalhe_grupo_tarifa],999,Banco[id_tipo_tarifa],9,Banco[id_subgrupo],B72,Banco[id_posto],9,Banco[id_unidade],4,Banco[id_UC],C72)</f>
        <v>0</v>
      </c>
      <c r="J72" s="309">
        <f>SUMIFS(Banco[valor],Banco[IdAgente],D72,Banco[id_natureza_dado],1,Banco[id_detalhe_natureza],1,Banco[idDet1],15,Banco[idDet2],144,Banco[idDet3],999,Banco[id_grupo_tarifa],2,Banco[id_detalhe_grupo_tarifa],999,Banco[id_tipo_tarifa],9,Banco[id_subgrupo],B72,Banco[id_posto],9,Banco[id_unidade],5,Banco[id_UC],C72)</f>
        <v>0</v>
      </c>
      <c r="K72" s="362" t="str">
        <f>VLOOKUP(C72,'BD2'!$BD$2:$BG$100,4,FALSE)</f>
        <v>REH 3244/2023</v>
      </c>
      <c r="L72" s="188">
        <f t="shared" si="10"/>
        <v>0</v>
      </c>
      <c r="M72" s="188"/>
      <c r="N72" s="278">
        <f t="shared" si="13"/>
        <v>3</v>
      </c>
      <c r="O72" s="278" t="str">
        <f t="shared" si="14"/>
        <v>3NO SELECT</v>
      </c>
      <c r="P72" s="308" t="s">
        <v>225</v>
      </c>
      <c r="Q72" s="94" t="s">
        <v>146</v>
      </c>
      <c r="R72" s="94" t="s">
        <v>86</v>
      </c>
      <c r="S72" s="101">
        <v>0</v>
      </c>
      <c r="T72" s="101" t="e">
        <v>#N/A</v>
      </c>
      <c r="U72" s="309" t="e">
        <f>VLOOKUP($U$3&amp;O72&amp;C72,'BD2'!$BV$2:$CB$200,7,FALSE)</f>
        <v>#N/A</v>
      </c>
      <c r="V72" s="309" t="e">
        <f>VLOOKUP($V$3&amp;O72&amp;C72,'BD2'!$BV$2:$CB$200,7,FALSE)</f>
        <v>#N/A</v>
      </c>
      <c r="W72" s="309" t="e">
        <f>VLOOKUP($W$3&amp;O72&amp;C72,'BD2'!$BV$2:$CB$200,7,FALSE)</f>
        <v>#N/A</v>
      </c>
      <c r="X72" s="94" t="str">
        <f t="shared" si="12"/>
        <v>REH 3244/2023</v>
      </c>
    </row>
    <row r="73" spans="1:24" hidden="1">
      <c r="A73" s="89">
        <f>VLOOKUP(E73,Fatos!$L$16:$V$67,11,FALSE)</f>
        <v>45199</v>
      </c>
      <c r="B73" s="302">
        <f t="shared" si="11"/>
        <v>5</v>
      </c>
      <c r="C73" s="278">
        <v>5697</v>
      </c>
      <c r="D73" s="278" t="str">
        <f>VLOOKUP(E73,Efeito!$A$5:$B$56,2,FALSE)</f>
        <v>NO SELECT</v>
      </c>
      <c r="E73" s="361" t="s">
        <v>227</v>
      </c>
      <c r="F73" s="94" t="s">
        <v>146</v>
      </c>
      <c r="G73" s="94" t="s">
        <v>85</v>
      </c>
      <c r="H73" s="95">
        <v>0</v>
      </c>
      <c r="I73" s="95">
        <f>SUMIFS(Banco[valor],Banco[IdAgente],D73,Banco[id_natureza_dado],1,Banco[id_detalhe_natureza],1,Banco[idDet1],15,Banco[idDet2],143,Banco[idDet3],999,Banco[id_grupo_tarifa],2,Banco[id_detalhe_grupo_tarifa],999,Banco[id_tipo_tarifa],9,Banco[id_subgrupo],B73,Banco[id_posto],9,Banco[id_unidade],4,Banco[id_UC],C73)</f>
        <v>0</v>
      </c>
      <c r="J73" s="309">
        <f>SUMIFS(Banco[valor],Banco[IdAgente],D73,Banco[id_natureza_dado],1,Banco[id_detalhe_natureza],1,Banco[idDet1],15,Banco[idDet2],144,Banco[idDet3],999,Banco[id_grupo_tarifa],2,Banco[id_detalhe_grupo_tarifa],999,Banco[id_tipo_tarifa],9,Banco[id_subgrupo],B73,Banco[id_posto],9,Banco[id_unidade],5,Banco[id_UC],C73)</f>
        <v>0</v>
      </c>
      <c r="K73" s="362" t="str">
        <f>VLOOKUP(C73,'BD2'!$BD$2:$BG$100,4,FALSE)</f>
        <v>REH 3244/2023</v>
      </c>
      <c r="L73" s="188">
        <f t="shared" si="10"/>
        <v>0</v>
      </c>
      <c r="M73" s="188"/>
      <c r="N73" s="278">
        <f t="shared" si="13"/>
        <v>6</v>
      </c>
      <c r="O73" s="278" t="str">
        <f t="shared" si="14"/>
        <v>6NO SELECT</v>
      </c>
      <c r="P73" s="308" t="s">
        <v>227</v>
      </c>
      <c r="Q73" s="94" t="s">
        <v>146</v>
      </c>
      <c r="R73" s="94" t="s">
        <v>85</v>
      </c>
      <c r="S73" s="101">
        <v>0</v>
      </c>
      <c r="T73" s="101" t="e">
        <v>#N/A</v>
      </c>
      <c r="U73" s="309" t="e">
        <f>VLOOKUP($U$3&amp;O73&amp;C73,'BD2'!$BV$2:$CB$200,7,FALSE)</f>
        <v>#N/A</v>
      </c>
      <c r="V73" s="309" t="e">
        <f>VLOOKUP($V$3&amp;O73&amp;C73,'BD2'!$BV$2:$CB$200,7,FALSE)</f>
        <v>#N/A</v>
      </c>
      <c r="W73" s="309" t="e">
        <f>VLOOKUP($W$3&amp;O73&amp;C73,'BD2'!$BV$2:$CB$200,7,FALSE)</f>
        <v>#N/A</v>
      </c>
      <c r="X73" s="94" t="str">
        <f t="shared" si="12"/>
        <v>REH 3244/2023</v>
      </c>
    </row>
    <row r="74" spans="1:24" hidden="1">
      <c r="A74" s="89">
        <f>VLOOKUP(E74,Fatos!$L$16:$V$67,11,FALSE)</f>
        <v>45199</v>
      </c>
      <c r="B74" s="302">
        <f t="shared" si="11"/>
        <v>2</v>
      </c>
      <c r="C74" s="278">
        <v>5697</v>
      </c>
      <c r="D74" s="278" t="str">
        <f>VLOOKUP(E74,Efeito!$A$5:$B$56,2,FALSE)</f>
        <v>NO SELECT</v>
      </c>
      <c r="E74" s="361" t="s">
        <v>229</v>
      </c>
      <c r="F74" s="94" t="s">
        <v>146</v>
      </c>
      <c r="G74" s="94" t="s">
        <v>86</v>
      </c>
      <c r="H74" s="95">
        <v>0</v>
      </c>
      <c r="I74" s="95">
        <f>SUMIFS(Banco[valor],Banco[IdAgente],D74,Banco[id_natureza_dado],1,Banco[id_detalhe_natureza],1,Banco[idDet1],15,Banco[idDet2],143,Banco[idDet3],999,Banco[id_grupo_tarifa],2,Banco[id_detalhe_grupo_tarifa],999,Banco[id_tipo_tarifa],9,Banco[id_subgrupo],B74,Banco[id_posto],9,Banco[id_unidade],4,Banco[id_UC],C74)</f>
        <v>0</v>
      </c>
      <c r="J74" s="309">
        <f>SUMIFS(Banco[valor],Banco[IdAgente],D74,Banco[id_natureza_dado],1,Banco[id_detalhe_natureza],1,Banco[idDet1],15,Banco[idDet2],144,Banco[idDet3],999,Banco[id_grupo_tarifa],2,Banco[id_detalhe_grupo_tarifa],999,Banco[id_tipo_tarifa],9,Banco[id_subgrupo],B74,Banco[id_posto],9,Banco[id_unidade],5,Banco[id_UC],C74)</f>
        <v>0</v>
      </c>
      <c r="K74" s="362" t="str">
        <f>VLOOKUP(C74,'BD2'!$BD$2:$BG$100,4,FALSE)</f>
        <v>REH 3244/2023</v>
      </c>
      <c r="L74" s="188">
        <f t="shared" si="10"/>
        <v>0</v>
      </c>
      <c r="M74" s="188"/>
      <c r="N74" s="278">
        <f>B74+1</f>
        <v>3</v>
      </c>
      <c r="O74" s="278" t="str">
        <f t="shared" si="14"/>
        <v>3NO SELECT</v>
      </c>
      <c r="P74" s="308" t="s">
        <v>229</v>
      </c>
      <c r="Q74" s="94" t="s">
        <v>146</v>
      </c>
      <c r="R74" s="94" t="s">
        <v>86</v>
      </c>
      <c r="S74" s="101">
        <v>0</v>
      </c>
      <c r="T74" s="101" t="e">
        <v>#N/A</v>
      </c>
      <c r="U74" s="309" t="e">
        <f>VLOOKUP($U$3&amp;O74&amp;C74,'BD2'!$BV$2:$CB$200,7,FALSE)</f>
        <v>#N/A</v>
      </c>
      <c r="V74" s="309" t="e">
        <f>VLOOKUP($V$3&amp;O74&amp;C74,'BD2'!$BV$2:$CB$200,7,FALSE)</f>
        <v>#N/A</v>
      </c>
      <c r="W74" s="309" t="e">
        <f>VLOOKUP($W$3&amp;O74&amp;C74,'BD2'!$BV$2:$CB$200,7,FALSE)</f>
        <v>#N/A</v>
      </c>
      <c r="X74" s="94" t="str">
        <f t="shared" si="12"/>
        <v>REH 3244/2023</v>
      </c>
    </row>
    <row r="75" spans="1:24" ht="15" hidden="1" thickBot="1">
      <c r="A75" s="89">
        <f>VLOOKUP(E75,Fatos!$L$16:$V$67,11,FALSE)</f>
        <v>45199</v>
      </c>
      <c r="B75" s="302">
        <f t="shared" si="11"/>
        <v>5</v>
      </c>
      <c r="C75" s="278">
        <v>5697</v>
      </c>
      <c r="D75" s="278" t="str">
        <f>VLOOKUP(E75,Efeito!$A$5:$B$56,2,FALSE)</f>
        <v>NO SELECT</v>
      </c>
      <c r="E75" s="364" t="s">
        <v>231</v>
      </c>
      <c r="F75" s="365" t="s">
        <v>146</v>
      </c>
      <c r="G75" s="365" t="s">
        <v>85</v>
      </c>
      <c r="H75" s="366">
        <v>0</v>
      </c>
      <c r="I75" s="366">
        <f>SUMIFS(Banco[valor],Banco[IdAgente],D75,Banco[id_natureza_dado],1,Banco[id_detalhe_natureza],1,Banco[idDet1],15,Banco[idDet2],143,Banco[idDet3],999,Banco[id_grupo_tarifa],2,Banco[id_detalhe_grupo_tarifa],999,Banco[id_tipo_tarifa],9,Banco[id_subgrupo],B75,Banco[id_posto],9,Banco[id_unidade],4,Banco[id_UC],C75)</f>
        <v>0</v>
      </c>
      <c r="J75" s="367">
        <f>SUMIFS(Banco[valor],Banco[IdAgente],D75,Banco[id_natureza_dado],1,Banco[id_detalhe_natureza],1,Banco[idDet1],15,Banco[idDet2],144,Banco[idDet3],999,Banco[id_grupo_tarifa],2,Banco[id_detalhe_grupo_tarifa],999,Banco[id_tipo_tarifa],9,Banco[id_subgrupo],B75,Banco[id_posto],9,Banco[id_unidade],5,Banco[id_UC],C75)</f>
        <v>0</v>
      </c>
      <c r="K75" s="376" t="str">
        <f>VLOOKUP(C75,'BD2'!$BD$2:$BG$100,4,FALSE)</f>
        <v>REH 3244/2023</v>
      </c>
      <c r="L75" s="188">
        <f t="shared" si="10"/>
        <v>0</v>
      </c>
      <c r="M75" s="188"/>
      <c r="N75" s="278">
        <f t="shared" si="13"/>
        <v>6</v>
      </c>
      <c r="O75" s="278" t="str">
        <f t="shared" si="14"/>
        <v>6NO SELECT</v>
      </c>
      <c r="P75" s="308" t="s">
        <v>231</v>
      </c>
      <c r="Q75" s="94" t="s">
        <v>146</v>
      </c>
      <c r="R75" s="94" t="s">
        <v>85</v>
      </c>
      <c r="S75" s="101">
        <v>0</v>
      </c>
      <c r="T75" s="101" t="e">
        <v>#N/A</v>
      </c>
      <c r="U75" s="309" t="e">
        <f>VLOOKUP($U$3&amp;O75&amp;C75,'BD2'!$BV$2:$CB$200,7,FALSE)</f>
        <v>#N/A</v>
      </c>
      <c r="V75" s="309" t="e">
        <f>VLOOKUP($V$3&amp;O75&amp;C75,'BD2'!$BV$2:$CB$200,7,FALSE)</f>
        <v>#N/A</v>
      </c>
      <c r="W75" s="309" t="e">
        <f>VLOOKUP($W$3&amp;O75&amp;C75,'BD2'!$BV$2:$CB$200,7,FALSE)</f>
        <v>#N/A</v>
      </c>
      <c r="X75" s="94" t="str">
        <f t="shared" si="12"/>
        <v>REH 3244/2023</v>
      </c>
    </row>
    <row r="76" spans="1:24">
      <c r="A76" s="89">
        <f>VLOOKUP(E76,Fatos!$L$16:$V$67,11,FALSE)</f>
        <v>45282</v>
      </c>
      <c r="B76" s="302">
        <f t="shared" si="11"/>
        <v>5</v>
      </c>
      <c r="C76">
        <v>5707</v>
      </c>
      <c r="D76" s="278">
        <f>VLOOKUP(E76,Efeito!$A$5:$B$56,2,FALSE)</f>
        <v>5346</v>
      </c>
      <c r="E76" s="361" t="s">
        <v>277</v>
      </c>
      <c r="F76" s="94" t="s">
        <v>284</v>
      </c>
      <c r="G76" s="94" t="s">
        <v>85</v>
      </c>
      <c r="H76" s="95">
        <v>9.0499999999999997E-2</v>
      </c>
      <c r="I76" s="95">
        <f>SUMIFS(Banco[valor],Banco[IdAgente],D76,Banco[id_natureza_dado],1,Banco[id_detalhe_natureza],1,Banco[idDet1],15,Banco[idDet2],143,Banco[idDet3],999,Banco[id_grupo_tarifa],2,Banco[id_detalhe_grupo_tarifa],999,Banco[id_tipo_tarifa],9,Banco[id_subgrupo],B76,Banco[id_posto],9,Banco[id_unidade],4,Banco[id_UC],C76)</f>
        <v>4.0599999999999997E-2</v>
      </c>
      <c r="J76" s="309">
        <f>SUMIFS(Banco[valor],Banco[IdAgente],D76,Banco[id_natureza_dado],1,Banco[id_detalhe_natureza],1,Banco[idDet1],15,Banco[idDet2],144,Banco[idDet3],999,Banco[id_grupo_tarifa],2,Banco[id_detalhe_grupo_tarifa],999,Banco[id_tipo_tarifa],9,Banco[id_subgrupo],B76,Banco[id_posto],9,Banco[id_unidade],5,Banco[id_UC],C76)</f>
        <v>0</v>
      </c>
      <c r="K76" s="362" t="str">
        <f>VLOOKUP(C76,'BD2'!$BD$2:$BG$100,4,FALSE)</f>
        <v>REH 3283/2023</v>
      </c>
      <c r="L76" s="188">
        <f t="shared" si="10"/>
        <v>0</v>
      </c>
      <c r="M76" s="188"/>
      <c r="N76" s="278">
        <f t="shared" si="13"/>
        <v>6</v>
      </c>
      <c r="O76" s="278" t="str">
        <f t="shared" si="14"/>
        <v>65346</v>
      </c>
      <c r="P76" s="308" t="s">
        <v>277</v>
      </c>
      <c r="Q76" s="94" t="s">
        <v>284</v>
      </c>
      <c r="R76" s="94" t="s">
        <v>85</v>
      </c>
      <c r="S76" s="101">
        <v>0</v>
      </c>
      <c r="T76" s="101" t="e">
        <v>#N/A</v>
      </c>
      <c r="U76" s="309">
        <f>VLOOKUP($U$3&amp;O76&amp;C76,'BD2'!$BV$2:$CB$200,7,FALSE)</f>
        <v>39.340000000000003</v>
      </c>
      <c r="V76" s="309">
        <f>VLOOKUP($V$3&amp;O76&amp;C76,'BD2'!$BV$2:$CB$200,7,FALSE)</f>
        <v>24.49</v>
      </c>
      <c r="W76" s="309">
        <f>VLOOKUP($W$3&amp;O76&amp;C76,'BD2'!$BV$2:$CB$200,7,FALSE)</f>
        <v>9.9600000000000009</v>
      </c>
      <c r="X76" s="94" t="str">
        <f t="shared" si="12"/>
        <v>REH 3283/2023</v>
      </c>
    </row>
    <row r="77" spans="1:24">
      <c r="A77" s="89">
        <f>VLOOKUP(E77,Fatos!$L$16:$V$67,11,FALSE)</f>
        <v>45282</v>
      </c>
      <c r="B77" s="302">
        <f t="shared" si="11"/>
        <v>5</v>
      </c>
      <c r="C77">
        <v>5707</v>
      </c>
      <c r="D77" s="278">
        <f>VLOOKUP(E77,Efeito!$A$5:$B$56,2,FALSE)</f>
        <v>5345</v>
      </c>
      <c r="E77" s="361" t="s">
        <v>234</v>
      </c>
      <c r="F77" s="94" t="s">
        <v>284</v>
      </c>
      <c r="G77" s="94" t="s">
        <v>85</v>
      </c>
      <c r="H77" s="95">
        <v>0.37609999999999999</v>
      </c>
      <c r="I77" s="95">
        <f>SUMIFS(Banco[valor],Banco[IdAgente],D77,Banco[id_natureza_dado],1,Banco[id_detalhe_natureza],1,Banco[idDet1],15,Banco[idDet2],143,Banco[idDet3],999,Banco[id_grupo_tarifa],2,Banco[id_detalhe_grupo_tarifa],999,Banco[id_tipo_tarifa],9,Banco[id_subgrupo],B77,Banco[id_posto],9,Banco[id_unidade],4,Banco[id_UC],C77)</f>
        <v>0.30649999999999999</v>
      </c>
      <c r="J77" s="309">
        <f>SUMIFS(Banco[valor],Banco[IdAgente],D77,Banco[id_natureza_dado],1,Banco[id_detalhe_natureza],1,Banco[idDet1],15,Banco[idDet2],144,Banco[idDet3],999,Banco[id_grupo_tarifa],2,Banco[id_detalhe_grupo_tarifa],999,Banco[id_tipo_tarifa],9,Banco[id_subgrupo],B77,Banco[id_posto],9,Banco[id_unidade],5,Banco[id_UC],C77)</f>
        <v>0</v>
      </c>
      <c r="K77" s="362" t="str">
        <f>VLOOKUP(C77,'BD2'!$BD$2:$BG$100,4,FALSE)</f>
        <v>REH 3283/2023</v>
      </c>
      <c r="L77" s="188">
        <f t="shared" si="10"/>
        <v>0</v>
      </c>
      <c r="M77" s="188"/>
      <c r="N77" s="278">
        <f t="shared" si="13"/>
        <v>6</v>
      </c>
      <c r="O77" s="278" t="str">
        <f t="shared" si="14"/>
        <v>65345</v>
      </c>
      <c r="P77" s="308" t="s">
        <v>234</v>
      </c>
      <c r="Q77" s="94" t="s">
        <v>284</v>
      </c>
      <c r="R77" s="94" t="s">
        <v>85</v>
      </c>
      <c r="S77" s="101">
        <v>0</v>
      </c>
      <c r="T77" s="101" t="e">
        <v>#N/A</v>
      </c>
      <c r="U77" s="309">
        <f>VLOOKUP($U$3&amp;O77&amp;C77,'BD2'!$BV$2:$CB$200,7,FALSE)</f>
        <v>39.340000000000003</v>
      </c>
      <c r="V77" s="309">
        <f>VLOOKUP($V$3&amp;O77&amp;C77,'BD2'!$BV$2:$CB$200,7,FALSE)</f>
        <v>24.49</v>
      </c>
      <c r="W77" s="309">
        <f>VLOOKUP($W$3&amp;O77&amp;C77,'BD2'!$BV$2:$CB$200,7,FALSE)</f>
        <v>9.9600000000000009</v>
      </c>
      <c r="X77" s="94" t="str">
        <f t="shared" si="12"/>
        <v>REH 3283/2023</v>
      </c>
    </row>
    <row r="78" spans="1:24" hidden="1">
      <c r="A78" s="89">
        <f>VLOOKUP(E78,Fatos!$L$16:$V$67,11,FALSE)</f>
        <v>45075</v>
      </c>
      <c r="B78" s="302">
        <f t="shared" si="11"/>
        <v>2</v>
      </c>
      <c r="C78" s="278">
        <f>VLOOKUP(F78,'BD2'!$BB$1:$BD$51,3,FALSE)</f>
        <v>63</v>
      </c>
      <c r="D78" s="278" t="str">
        <f>VLOOKUP(E78,Efeito!$A$5:$B$56,2,FALSE)</f>
        <v>NO SELECT</v>
      </c>
      <c r="E78" s="361" t="s">
        <v>286</v>
      </c>
      <c r="F78" s="94" t="s">
        <v>261</v>
      </c>
      <c r="G78" s="94" t="s">
        <v>86</v>
      </c>
      <c r="H78" s="95">
        <v>0</v>
      </c>
      <c r="I78" s="95">
        <f>SUMIFS(Banco[valor],Banco[IdAgente],D78,Banco[id_natureza_dado],1,Banco[id_detalhe_natureza],1,Banco[idDet1],15,Banco[idDet2],143,Banco[idDet3],999,Banco[id_grupo_tarifa],2,Banco[id_detalhe_grupo_tarifa],999,Banco[id_tipo_tarifa],9,Banco[id_subgrupo],B78,Banco[id_posto],9,Banco[id_unidade],4,Banco[id_UC],C78)</f>
        <v>0</v>
      </c>
      <c r="J78" s="309">
        <f>SUMIFS(Banco[valor],Banco[IdAgente],D78,Banco[id_natureza_dado],1,Banco[id_detalhe_natureza],1,Banco[idDet1],15,Banco[idDet2],144,Banco[idDet3],999,Banco[id_grupo_tarifa],2,Banco[id_detalhe_grupo_tarifa],999,Banco[id_tipo_tarifa],9,Banco[id_subgrupo],B78,Banco[id_posto],9,Banco[id_unidade],5,Banco[id_UC],C78)</f>
        <v>0</v>
      </c>
      <c r="K78" s="362" t="str">
        <f>VLOOKUP(C78,'BD2'!$BD$2:$BG$100,4,FALSE)</f>
        <v>REH 3183/2023</v>
      </c>
      <c r="L78" s="188">
        <f t="shared" si="10"/>
        <v>0</v>
      </c>
      <c r="M78" s="132"/>
      <c r="N78" s="278">
        <f t="shared" si="13"/>
        <v>3</v>
      </c>
      <c r="O78" s="278" t="str">
        <f t="shared" si="14"/>
        <v>3NO SELECT</v>
      </c>
      <c r="P78" s="308" t="s">
        <v>286</v>
      </c>
      <c r="Q78" s="94" t="s">
        <v>261</v>
      </c>
      <c r="R78" s="94" t="s">
        <v>86</v>
      </c>
      <c r="S78" s="101">
        <v>0</v>
      </c>
      <c r="T78" s="101">
        <v>0</v>
      </c>
      <c r="U78" s="309" t="e">
        <f>VLOOKUP($U$3&amp;O78&amp;C78,'BD2'!$BV$2:$CB$200,7,FALSE)</f>
        <v>#N/A</v>
      </c>
      <c r="V78" s="309" t="e">
        <f>VLOOKUP($V$3&amp;O78&amp;C78,'BD2'!$BV$2:$CB$200,7,FALSE)</f>
        <v>#N/A</v>
      </c>
      <c r="W78" s="309" t="e">
        <f>VLOOKUP($W$3&amp;O78&amp;C78,'BD2'!$BV$2:$CB$200,7,FALSE)</f>
        <v>#N/A</v>
      </c>
      <c r="X78" s="94" t="str">
        <f t="shared" si="12"/>
        <v>REH 3183/2023</v>
      </c>
    </row>
    <row r="79" spans="1:24" hidden="1">
      <c r="A79" s="89">
        <f>VLOOKUP(E79,Fatos!$L$16:$V$67,11,FALSE)</f>
        <v>45075</v>
      </c>
      <c r="B79" s="302">
        <f t="shared" si="11"/>
        <v>5</v>
      </c>
      <c r="C79" s="278">
        <v>385</v>
      </c>
      <c r="D79" s="278" t="str">
        <f>VLOOKUP(E79,Efeito!$A$5:$B$56,2,FALSE)</f>
        <v>NO SELECT</v>
      </c>
      <c r="E79" s="361" t="s">
        <v>286</v>
      </c>
      <c r="F79" s="94" t="s">
        <v>145</v>
      </c>
      <c r="G79" s="94" t="s">
        <v>85</v>
      </c>
      <c r="H79" s="95">
        <v>0</v>
      </c>
      <c r="I79" s="95">
        <f>SUMIFS(Banco[valor],Banco[IdAgente],D79,Banco[id_natureza_dado],1,Banco[id_detalhe_natureza],1,Banco[idDet1],15,Banco[idDet2],143,Banco[idDet3],999,Banco[id_grupo_tarifa],2,Banco[id_detalhe_grupo_tarifa],999,Banco[id_tipo_tarifa],9,Banco[id_subgrupo],B79,Banco[id_posto],9,Banco[id_unidade],4,Banco[id_UC],C79)</f>
        <v>0</v>
      </c>
      <c r="J79" s="309">
        <f>SUMIFS(Banco[valor],Banco[IdAgente],D79,Banco[id_natureza_dado],1,Banco[id_detalhe_natureza],1,Banco[idDet1],15,Banco[idDet2],144,Banco[idDet3],999,Banco[id_grupo_tarifa],2,Banco[id_detalhe_grupo_tarifa],999,Banco[id_tipo_tarifa],9,Banco[id_subgrupo],B79,Banco[id_posto],9,Banco[id_unidade],5,Banco[id_UC],C79)</f>
        <v>0</v>
      </c>
      <c r="K79" s="362" t="str">
        <f>VLOOKUP(C79,'BD2'!$BD$2:$BG$100,4,FALSE)</f>
        <v>REH 3253/2023</v>
      </c>
      <c r="L79" s="188">
        <f t="shared" si="10"/>
        <v>0</v>
      </c>
      <c r="M79" s="132"/>
      <c r="N79" s="278">
        <f t="shared" si="13"/>
        <v>6</v>
      </c>
      <c r="O79" s="278" t="str">
        <f t="shared" si="14"/>
        <v>6NO SELECT</v>
      </c>
      <c r="P79" s="308" t="s">
        <v>286</v>
      </c>
      <c r="Q79" s="94" t="s">
        <v>145</v>
      </c>
      <c r="R79" s="94" t="s">
        <v>85</v>
      </c>
      <c r="S79" s="101">
        <v>0</v>
      </c>
      <c r="T79" s="101">
        <v>0</v>
      </c>
      <c r="U79" s="309" t="e">
        <f>VLOOKUP($U$3&amp;O79&amp;C79,'BD2'!$BV$2:$CB$200,7,FALSE)</f>
        <v>#N/A</v>
      </c>
      <c r="V79" s="309" t="e">
        <f>VLOOKUP($V$3&amp;O79&amp;C79,'BD2'!$BV$2:$CB$200,7,FALSE)</f>
        <v>#N/A</v>
      </c>
      <c r="W79" s="309" t="e">
        <f>VLOOKUP($W$3&amp;O79&amp;C79,'BD2'!$BV$2:$CB$200,7,FALSE)</f>
        <v>#N/A</v>
      </c>
      <c r="X79" s="94" t="str">
        <f t="shared" si="12"/>
        <v>REH 3253/2023</v>
      </c>
    </row>
    <row r="80" spans="1:24" hidden="1">
      <c r="A80" s="89">
        <f>VLOOKUP(E80,Fatos!$L$16:$V$67,11,FALSE)</f>
        <v>45137</v>
      </c>
      <c r="B80" s="302">
        <f t="shared" si="11"/>
        <v>5</v>
      </c>
      <c r="C80" s="326">
        <v>396</v>
      </c>
      <c r="D80" s="278" t="str">
        <f>VLOOKUP(E80,Efeito!$A$5:$B$56,2,FALSE)</f>
        <v>NO SELECT</v>
      </c>
      <c r="E80" s="361" t="s">
        <v>302</v>
      </c>
      <c r="F80" s="94" t="s">
        <v>305</v>
      </c>
      <c r="G80" s="94" t="s">
        <v>85</v>
      </c>
      <c r="H80" s="95">
        <v>0.1426</v>
      </c>
      <c r="I80" s="95">
        <f>SUMIFS(Banco[valor],Banco[IdAgente],D80,Banco[id_natureza_dado],1,Banco[id_detalhe_natureza],1,Banco[idDet1],15,Banco[idDet2],143,Banco[idDet3],999,Banco[id_grupo_tarifa],2,Banco[id_detalhe_grupo_tarifa],999,Banco[id_tipo_tarifa],9,Banco[id_subgrupo],B80,Banco[id_posto],9,Banco[id_unidade],4,Banco[id_UC],C80)</f>
        <v>0</v>
      </c>
      <c r="J80" s="309">
        <f>SUMIFS(Banco[valor],Banco[IdAgente],D80,Banco[id_natureza_dado],1,Banco[id_detalhe_natureza],1,Banco[idDet1],15,Banco[idDet2],144,Banco[idDet3],999,Banco[id_grupo_tarifa],2,Banco[id_detalhe_grupo_tarifa],999,Banco[id_tipo_tarifa],9,Banco[id_subgrupo],B80,Banco[id_posto],9,Banco[id_unidade],5,Banco[id_UC],C80)</f>
        <v>0</v>
      </c>
      <c r="K80" s="362" t="e">
        <f>VLOOKUP(C80,'BD2'!$BD$2:$BG$100,4,FALSE)</f>
        <v>#N/A</v>
      </c>
      <c r="L80" s="188">
        <f t="shared" si="10"/>
        <v>0</v>
      </c>
      <c r="M80" s="132"/>
      <c r="N80" s="278">
        <f t="shared" si="13"/>
        <v>6</v>
      </c>
      <c r="O80" s="278" t="str">
        <f t="shared" si="14"/>
        <v>6NO SELECT</v>
      </c>
      <c r="P80" s="308" t="s">
        <v>302</v>
      </c>
      <c r="Q80" s="94" t="s">
        <v>305</v>
      </c>
      <c r="R80" s="94" t="s">
        <v>85</v>
      </c>
      <c r="S80" s="101">
        <v>0</v>
      </c>
      <c r="T80" s="101">
        <v>0</v>
      </c>
      <c r="U80" s="309" t="e">
        <f>VLOOKUP($U$3&amp;O80&amp;C80,'BD2'!$BV$2:$CB$200,7,FALSE)</f>
        <v>#N/A</v>
      </c>
      <c r="V80" s="309" t="e">
        <f>VLOOKUP($V$3&amp;O80&amp;C80,'BD2'!$BV$2:$CB$200,7,FALSE)</f>
        <v>#N/A</v>
      </c>
      <c r="W80" s="309" t="e">
        <f>VLOOKUP($W$3&amp;O80&amp;C80,'BD2'!$BV$2:$CB$200,7,FALSE)</f>
        <v>#N/A</v>
      </c>
      <c r="X80" s="94" t="e">
        <f t="shared" si="12"/>
        <v>#N/A</v>
      </c>
    </row>
    <row r="81" spans="1:37" ht="15" hidden="1" thickBot="1">
      <c r="A81" s="89">
        <f>VLOOKUP(E81,Fatos!$L$16:$V$67,11,FALSE)</f>
        <v>45137</v>
      </c>
      <c r="B81" s="302">
        <f t="shared" si="11"/>
        <v>5</v>
      </c>
      <c r="C81" s="278">
        <f>VLOOKUP(F81,'BD2'!$BB$1:$BD$51,3,FALSE)</f>
        <v>400</v>
      </c>
      <c r="D81" s="278" t="str">
        <f>VLOOKUP(E81,Efeito!$A$5:$B$56,2,FALSE)</f>
        <v>NO SELECT</v>
      </c>
      <c r="E81" s="364" t="s">
        <v>302</v>
      </c>
      <c r="F81" s="365" t="s">
        <v>306</v>
      </c>
      <c r="G81" s="365" t="s">
        <v>85</v>
      </c>
      <c r="H81" s="366">
        <v>0.1426</v>
      </c>
      <c r="I81" s="95">
        <f>SUMIFS(Banco[valor],Banco[IdAgente],D81,Banco[id_natureza_dado],1,Banco[id_detalhe_natureza],1,Banco[idDet1],15,Banco[idDet2],143,Banco[idDet3],999,Banco[id_grupo_tarifa],2,Banco[id_detalhe_grupo_tarifa],999,Banco[id_tipo_tarifa],9,Banco[id_subgrupo],B81,Banco[id_posto],9,Banco[id_unidade],4,Banco[id_UC],C81)</f>
        <v>0</v>
      </c>
      <c r="J81" s="367">
        <f>SUMIFS(Banco[valor],Banco[IdAgente],D81,Banco[id_natureza_dado],1,Banco[id_detalhe_natureza],1,Banco[idDet1],15,Banco[idDet2],144,Banco[idDet3],999,Banco[id_grupo_tarifa],2,Banco[id_detalhe_grupo_tarifa],999,Banco[id_tipo_tarifa],9,Banco[id_subgrupo],B81,Banco[id_posto],9,Banco[id_unidade],5,Banco[id_UC],C81)</f>
        <v>0</v>
      </c>
      <c r="K81" s="370" t="str">
        <f>VLOOKUP(C81,'BD2'!$BD$2:$BG$100,4,FALSE)</f>
        <v>REH 3222/2023</v>
      </c>
      <c r="L81" s="188">
        <f t="shared" si="10"/>
        <v>0</v>
      </c>
      <c r="M81" s="132" t="s">
        <v>531</v>
      </c>
      <c r="N81" s="278">
        <f t="shared" si="13"/>
        <v>6</v>
      </c>
      <c r="O81" s="278" t="str">
        <f t="shared" si="14"/>
        <v>6NO SELECT</v>
      </c>
      <c r="P81" s="308" t="s">
        <v>302</v>
      </c>
      <c r="Q81" s="94" t="s">
        <v>306</v>
      </c>
      <c r="R81" s="94" t="s">
        <v>85</v>
      </c>
      <c r="S81" s="101">
        <v>0</v>
      </c>
      <c r="T81" s="101">
        <v>0</v>
      </c>
      <c r="U81" s="309" t="e">
        <f>VLOOKUP($U$3&amp;O81&amp;C81,'BD2'!$BV$2:$CB$200,7,FALSE)</f>
        <v>#N/A</v>
      </c>
      <c r="V81" s="309" t="e">
        <f>VLOOKUP($V$3&amp;O81&amp;C81,'BD2'!$BV$2:$CB$200,7,FALSE)</f>
        <v>#N/A</v>
      </c>
      <c r="W81" s="309" t="e">
        <f>VLOOKUP($W$3&amp;O81&amp;C81,'BD2'!$BV$2:$CB$200,7,FALSE)</f>
        <v>#N/A</v>
      </c>
      <c r="X81" s="94" t="str">
        <f t="shared" si="12"/>
        <v>REH 3222/2023</v>
      </c>
    </row>
    <row r="82" spans="1:37">
      <c r="K82" s="281"/>
      <c r="T82" s="118"/>
      <c r="U82" s="118"/>
      <c r="V82" s="118"/>
    </row>
    <row r="83" spans="1:37">
      <c r="P83" s="199"/>
      <c r="T83" s="119"/>
      <c r="U83" s="119"/>
      <c r="V83" s="119"/>
    </row>
    <row r="84" spans="1:37" ht="15.5">
      <c r="B84" s="247" t="s">
        <v>559</v>
      </c>
      <c r="C84" s="247" t="s">
        <v>492</v>
      </c>
      <c r="D84" s="279"/>
      <c r="E84" s="305" t="s">
        <v>513</v>
      </c>
      <c r="F84" s="307"/>
      <c r="P84" s="199"/>
      <c r="T84" s="119"/>
      <c r="U84" s="119"/>
      <c r="V84" s="119"/>
    </row>
    <row r="85" spans="1:37" ht="15.5">
      <c r="B85" s="247" t="s">
        <v>493</v>
      </c>
      <c r="C85" s="247">
        <v>1</v>
      </c>
      <c r="D85" s="279"/>
      <c r="E85" s="247" t="s">
        <v>344</v>
      </c>
      <c r="F85" s="306">
        <v>1</v>
      </c>
      <c r="P85" s="199"/>
      <c r="T85" s="119"/>
      <c r="U85" s="119"/>
    </row>
    <row r="86" spans="1:37">
      <c r="B86" s="247" t="s">
        <v>86</v>
      </c>
      <c r="C86" s="247">
        <v>2</v>
      </c>
      <c r="E86" s="247" t="s">
        <v>345</v>
      </c>
      <c r="F86" s="247">
        <v>2</v>
      </c>
      <c r="AB86" s="102"/>
      <c r="AF86" s="4"/>
      <c r="AG86" s="4"/>
      <c r="AH86" s="4"/>
      <c r="AI86" s="4"/>
      <c r="AJ86" s="4"/>
      <c r="AK86" s="4"/>
    </row>
    <row r="87" spans="1:37">
      <c r="B87" s="247" t="s">
        <v>87</v>
      </c>
      <c r="C87" s="247">
        <v>3</v>
      </c>
      <c r="E87" s="247" t="s">
        <v>512</v>
      </c>
      <c r="F87" s="247">
        <v>3</v>
      </c>
      <c r="AB87" s="102"/>
      <c r="AF87" s="4"/>
      <c r="AG87" s="4"/>
      <c r="AH87" s="4"/>
      <c r="AI87" s="4"/>
      <c r="AJ87" s="4"/>
      <c r="AK87" s="4"/>
    </row>
    <row r="88" spans="1:37">
      <c r="B88" s="247" t="s">
        <v>88</v>
      </c>
      <c r="C88" s="247">
        <v>4</v>
      </c>
      <c r="E88" s="247" t="s">
        <v>346</v>
      </c>
      <c r="F88" s="247">
        <v>4</v>
      </c>
      <c r="AB88" s="102"/>
      <c r="AF88" s="4"/>
      <c r="AG88" s="4"/>
      <c r="AH88" s="4"/>
      <c r="AI88" s="4"/>
      <c r="AJ88" s="4"/>
      <c r="AK88" s="4"/>
    </row>
    <row r="89" spans="1:37">
      <c r="B89" s="247" t="s">
        <v>85</v>
      </c>
      <c r="C89" s="247">
        <v>5</v>
      </c>
      <c r="AB89" s="102"/>
      <c r="AF89" s="4"/>
      <c r="AG89" s="4"/>
      <c r="AH89" s="4"/>
      <c r="AI89" s="4"/>
      <c r="AJ89" s="4"/>
      <c r="AK89" s="4"/>
    </row>
    <row r="90" spans="1:37">
      <c r="B90" s="247" t="s">
        <v>494</v>
      </c>
      <c r="C90" s="247">
        <v>6</v>
      </c>
      <c r="AB90" s="102"/>
      <c r="AF90" s="4"/>
      <c r="AG90" s="4"/>
      <c r="AH90" s="4"/>
      <c r="AI90" s="4"/>
      <c r="AJ90" s="4"/>
      <c r="AK90" s="4"/>
    </row>
    <row r="91" spans="1:37">
      <c r="B91" s="247" t="s">
        <v>296</v>
      </c>
      <c r="C91" s="247">
        <v>7</v>
      </c>
      <c r="AB91" s="102"/>
      <c r="AF91" s="4"/>
      <c r="AG91" s="4"/>
      <c r="AH91" s="4"/>
      <c r="AI91" s="4"/>
      <c r="AJ91" s="4"/>
      <c r="AK91" s="4"/>
    </row>
    <row r="92" spans="1:37">
      <c r="B92" s="247" t="s">
        <v>495</v>
      </c>
      <c r="C92" s="247">
        <v>8</v>
      </c>
      <c r="AB92" s="102"/>
      <c r="AF92" s="4"/>
      <c r="AG92" s="4"/>
      <c r="AH92" s="4"/>
      <c r="AI92" s="4"/>
      <c r="AJ92" s="4"/>
      <c r="AK92" s="4"/>
    </row>
    <row r="93" spans="1:37">
      <c r="B93" s="247" t="s">
        <v>496</v>
      </c>
      <c r="C93" s="247">
        <v>9</v>
      </c>
      <c r="AB93" s="102"/>
      <c r="AF93" s="4"/>
      <c r="AG93" s="4"/>
      <c r="AH93" s="4"/>
      <c r="AI93" s="4"/>
      <c r="AJ93" s="4"/>
      <c r="AK93" s="4"/>
    </row>
    <row r="94" spans="1:37">
      <c r="B94" s="247" t="s">
        <v>497</v>
      </c>
      <c r="C94" s="247">
        <v>10</v>
      </c>
      <c r="AB94" s="102"/>
      <c r="AF94" s="4"/>
      <c r="AG94" s="4"/>
      <c r="AH94" s="4"/>
      <c r="AI94" s="4"/>
      <c r="AJ94" s="4"/>
      <c r="AK94" s="4"/>
    </row>
    <row r="95" spans="1:37">
      <c r="B95" s="247" t="s">
        <v>498</v>
      </c>
      <c r="C95" s="247">
        <v>20</v>
      </c>
      <c r="AB95" s="102"/>
      <c r="AF95" s="4"/>
      <c r="AG95" s="4"/>
      <c r="AH95" s="4"/>
      <c r="AI95" s="4"/>
      <c r="AJ95" s="4"/>
      <c r="AK95" s="4"/>
    </row>
    <row r="96" spans="1:37">
      <c r="B96" s="247" t="s">
        <v>499</v>
      </c>
      <c r="C96" s="247">
        <v>21</v>
      </c>
      <c r="AB96" s="102"/>
      <c r="AF96" s="4"/>
      <c r="AG96" s="4"/>
      <c r="AH96" s="4"/>
      <c r="AI96" s="4"/>
      <c r="AJ96" s="4"/>
      <c r="AK96" s="4"/>
    </row>
    <row r="97" spans="2:37">
      <c r="B97" s="247" t="s">
        <v>500</v>
      </c>
      <c r="C97" s="247">
        <v>22</v>
      </c>
      <c r="AB97" s="102"/>
      <c r="AF97" s="4"/>
      <c r="AG97" s="4"/>
      <c r="AH97" s="4"/>
      <c r="AI97" s="4"/>
      <c r="AJ97" s="4"/>
      <c r="AK97" s="4"/>
    </row>
    <row r="98" spans="2:37">
      <c r="B98" s="247" t="s">
        <v>344</v>
      </c>
      <c r="C98" s="247">
        <v>99</v>
      </c>
      <c r="AB98" s="102"/>
      <c r="AF98" s="4"/>
      <c r="AG98" s="4"/>
      <c r="AH98" s="4"/>
      <c r="AI98" s="4"/>
      <c r="AJ98" s="4"/>
      <c r="AK98" s="4"/>
    </row>
    <row r="99" spans="2:37">
      <c r="AB99" s="102"/>
      <c r="AF99" s="4"/>
      <c r="AG99" s="4"/>
      <c r="AH99" s="4"/>
      <c r="AI99" s="4"/>
      <c r="AJ99" s="4"/>
      <c r="AK99" s="4"/>
    </row>
    <row r="100" spans="2:37">
      <c r="B100" s="247" t="s">
        <v>558</v>
      </c>
      <c r="C100" s="247" t="s">
        <v>551</v>
      </c>
      <c r="E100" t="s">
        <v>556</v>
      </c>
      <c r="AB100" s="102"/>
      <c r="AF100" s="4"/>
      <c r="AG100" s="4"/>
      <c r="AH100" s="4"/>
      <c r="AI100" s="4"/>
      <c r="AJ100" s="4"/>
      <c r="AK100" s="4"/>
    </row>
    <row r="101" spans="2:37">
      <c r="B101" s="247">
        <v>1</v>
      </c>
      <c r="C101" s="247" t="s">
        <v>344</v>
      </c>
      <c r="E101" s="134" t="s">
        <v>557</v>
      </c>
      <c r="AB101" s="102"/>
      <c r="AF101" s="4"/>
      <c r="AG101" s="4"/>
      <c r="AH101" s="4"/>
      <c r="AI101" s="4"/>
      <c r="AJ101" s="4"/>
      <c r="AK101" s="4"/>
    </row>
    <row r="102" spans="2:37">
      <c r="B102" s="247">
        <v>2</v>
      </c>
      <c r="C102" s="247" t="s">
        <v>493</v>
      </c>
      <c r="AB102" s="102"/>
      <c r="AF102" s="4"/>
      <c r="AG102" s="4"/>
      <c r="AH102" s="4"/>
      <c r="AI102" s="4"/>
      <c r="AJ102" s="4"/>
      <c r="AK102" s="4"/>
    </row>
    <row r="103" spans="2:37">
      <c r="B103" s="247">
        <v>3</v>
      </c>
      <c r="C103" s="247" t="s">
        <v>86</v>
      </c>
      <c r="AB103" s="102"/>
      <c r="AF103" s="4"/>
      <c r="AG103" s="4"/>
      <c r="AH103" s="4"/>
      <c r="AI103" s="4"/>
      <c r="AJ103" s="4"/>
      <c r="AK103" s="4"/>
    </row>
    <row r="104" spans="2:37">
      <c r="B104" s="247">
        <v>4</v>
      </c>
      <c r="C104" s="247" t="s">
        <v>87</v>
      </c>
      <c r="AB104" s="102"/>
      <c r="AF104" s="4"/>
      <c r="AG104" s="4"/>
      <c r="AH104" s="4"/>
      <c r="AI104" s="4"/>
      <c r="AJ104" s="4"/>
      <c r="AK104" s="4"/>
    </row>
    <row r="105" spans="2:37">
      <c r="B105" s="247">
        <v>5</v>
      </c>
      <c r="C105" s="247" t="s">
        <v>88</v>
      </c>
      <c r="AB105" s="102"/>
      <c r="AF105" s="4"/>
      <c r="AG105" s="4"/>
      <c r="AH105" s="4"/>
      <c r="AI105" s="4"/>
      <c r="AJ105" s="4"/>
      <c r="AK105" s="4"/>
    </row>
    <row r="106" spans="2:37">
      <c r="B106" s="247">
        <v>6</v>
      </c>
      <c r="C106" s="247" t="s">
        <v>85</v>
      </c>
      <c r="AB106" s="102"/>
      <c r="AF106" s="4"/>
      <c r="AG106" s="4"/>
      <c r="AH106" s="4"/>
      <c r="AI106" s="4"/>
      <c r="AJ106" s="4"/>
      <c r="AK106" s="4"/>
    </row>
    <row r="107" spans="2:37">
      <c r="B107" s="247">
        <v>7</v>
      </c>
      <c r="C107" s="247" t="s">
        <v>494</v>
      </c>
      <c r="AB107" s="102"/>
      <c r="AF107" s="4"/>
      <c r="AG107" s="4"/>
      <c r="AH107" s="4"/>
      <c r="AI107" s="4"/>
      <c r="AJ107" s="4"/>
      <c r="AK107" s="4"/>
    </row>
    <row r="108" spans="2:37">
      <c r="B108" s="247">
        <v>8</v>
      </c>
      <c r="C108" s="247" t="s">
        <v>296</v>
      </c>
      <c r="AB108" s="102"/>
      <c r="AF108" s="4"/>
      <c r="AG108" s="4"/>
      <c r="AH108" s="4"/>
      <c r="AI108" s="4"/>
      <c r="AJ108" s="4"/>
      <c r="AK108" s="4"/>
    </row>
    <row r="109" spans="2:37">
      <c r="B109" s="247">
        <v>9</v>
      </c>
      <c r="C109" s="247" t="s">
        <v>495</v>
      </c>
      <c r="AB109" s="102"/>
      <c r="AF109" s="4"/>
      <c r="AG109" s="4"/>
      <c r="AH109" s="4"/>
      <c r="AI109" s="4"/>
      <c r="AJ109" s="4"/>
      <c r="AK109" s="4"/>
    </row>
    <row r="110" spans="2:37">
      <c r="B110" s="247">
        <v>10</v>
      </c>
      <c r="C110" s="247" t="s">
        <v>496</v>
      </c>
      <c r="AB110" s="102"/>
      <c r="AF110" s="4"/>
      <c r="AG110" s="4"/>
      <c r="AH110" s="4"/>
      <c r="AI110" s="4"/>
      <c r="AJ110" s="4"/>
      <c r="AK110" s="4"/>
    </row>
    <row r="111" spans="2:37">
      <c r="B111" s="247">
        <v>11</v>
      </c>
      <c r="C111" s="247" t="s">
        <v>497</v>
      </c>
      <c r="AB111" s="102"/>
      <c r="AF111" s="4"/>
      <c r="AG111" s="4"/>
      <c r="AH111" s="4"/>
      <c r="AI111" s="4"/>
      <c r="AJ111" s="4"/>
      <c r="AK111" s="4"/>
    </row>
    <row r="112" spans="2:37">
      <c r="B112" s="247">
        <v>12</v>
      </c>
      <c r="C112" s="247" t="s">
        <v>552</v>
      </c>
      <c r="AB112" s="102"/>
      <c r="AF112" s="4"/>
      <c r="AG112" s="4"/>
      <c r="AH112" s="4"/>
      <c r="AI112" s="4"/>
      <c r="AJ112" s="4"/>
      <c r="AK112" s="4"/>
    </row>
    <row r="113" spans="2:37">
      <c r="B113" s="247">
        <v>13</v>
      </c>
      <c r="C113" s="247" t="s">
        <v>343</v>
      </c>
      <c r="AB113" s="102"/>
      <c r="AF113" s="4"/>
      <c r="AG113" s="4"/>
      <c r="AH113" s="4"/>
      <c r="AI113" s="4"/>
      <c r="AJ113" s="4"/>
      <c r="AK113" s="4"/>
    </row>
    <row r="114" spans="2:37">
      <c r="B114" s="247">
        <v>14</v>
      </c>
      <c r="C114" s="247" t="s">
        <v>553</v>
      </c>
      <c r="AB114" s="102"/>
      <c r="AF114" s="4"/>
      <c r="AG114" s="4"/>
      <c r="AH114" s="4"/>
      <c r="AI114" s="4"/>
      <c r="AJ114" s="4"/>
      <c r="AK114" s="4"/>
    </row>
    <row r="115" spans="2:37">
      <c r="B115" s="247">
        <v>15</v>
      </c>
      <c r="C115" s="247" t="s">
        <v>554</v>
      </c>
      <c r="AB115" s="102"/>
      <c r="AF115" s="4"/>
      <c r="AG115" s="4"/>
      <c r="AH115" s="4"/>
      <c r="AI115" s="4"/>
      <c r="AJ115" s="4"/>
      <c r="AK115" s="4"/>
    </row>
    <row r="116" spans="2:37">
      <c r="B116" s="247">
        <v>16</v>
      </c>
      <c r="C116" s="247" t="s">
        <v>555</v>
      </c>
      <c r="AB116" s="102"/>
      <c r="AF116" s="4"/>
      <c r="AG116" s="4"/>
      <c r="AH116" s="4"/>
      <c r="AI116" s="4"/>
      <c r="AJ116" s="4"/>
      <c r="AK116" s="4"/>
    </row>
    <row r="117" spans="2:37">
      <c r="AB117" s="102"/>
      <c r="AF117" s="4"/>
      <c r="AG117" s="4"/>
      <c r="AH117" s="4"/>
      <c r="AI117" s="4"/>
      <c r="AJ117" s="4"/>
      <c r="AK117" s="4"/>
    </row>
    <row r="118" spans="2:37">
      <c r="AB118" s="102"/>
      <c r="AF118" s="4"/>
      <c r="AG118" s="4"/>
      <c r="AH118" s="4"/>
      <c r="AI118" s="4"/>
      <c r="AJ118" s="4"/>
      <c r="AK118" s="4"/>
    </row>
    <row r="119" spans="2:37">
      <c r="AB119" s="102"/>
      <c r="AF119" s="4"/>
      <c r="AG119" s="4"/>
      <c r="AH119" s="4"/>
      <c r="AI119" s="4"/>
      <c r="AJ119" s="4"/>
      <c r="AK119" s="4"/>
    </row>
    <row r="120" spans="2:37">
      <c r="AB120" s="102"/>
      <c r="AF120" s="4"/>
      <c r="AG120" s="4"/>
      <c r="AH120" s="4"/>
      <c r="AI120" s="4"/>
      <c r="AJ120" s="4"/>
      <c r="AK120" s="4"/>
    </row>
    <row r="121" spans="2:37">
      <c r="AB121" s="102"/>
      <c r="AF121" s="4"/>
      <c r="AG121" s="4"/>
      <c r="AH121" s="4"/>
      <c r="AI121" s="4"/>
      <c r="AJ121" s="4"/>
      <c r="AK121" s="4"/>
    </row>
    <row r="122" spans="2:37">
      <c r="AB122" s="102"/>
      <c r="AF122" s="4"/>
      <c r="AG122" s="4"/>
      <c r="AH122" s="4"/>
      <c r="AI122" s="4"/>
      <c r="AJ122" s="4"/>
      <c r="AK122" s="4"/>
    </row>
    <row r="123" spans="2:37">
      <c r="AB123" s="102"/>
      <c r="AF123" s="4"/>
      <c r="AG123" s="4"/>
      <c r="AH123" s="4"/>
      <c r="AI123" s="4"/>
      <c r="AJ123" s="4"/>
      <c r="AK123" s="4"/>
    </row>
    <row r="124" spans="2:37">
      <c r="AB124" s="102"/>
      <c r="AF124" s="4"/>
      <c r="AG124" s="4"/>
      <c r="AH124" s="4"/>
      <c r="AI124" s="4"/>
      <c r="AJ124" s="4"/>
      <c r="AK124" s="4"/>
    </row>
    <row r="125" spans="2:37">
      <c r="AB125" s="102"/>
      <c r="AF125" s="4"/>
      <c r="AG125" s="4"/>
      <c r="AH125" s="4"/>
      <c r="AI125" s="4"/>
      <c r="AJ125" s="4"/>
      <c r="AK125" s="4"/>
    </row>
    <row r="126" spans="2:37">
      <c r="AB126" s="102"/>
      <c r="AF126" s="4"/>
      <c r="AG126" s="4"/>
      <c r="AH126" s="4"/>
      <c r="AI126" s="4"/>
      <c r="AJ126" s="4"/>
      <c r="AK126" s="4"/>
    </row>
    <row r="127" spans="2:37">
      <c r="AB127" s="102"/>
      <c r="AF127" s="4"/>
      <c r="AG127" s="4"/>
      <c r="AH127" s="4"/>
      <c r="AI127" s="4"/>
      <c r="AJ127" s="4"/>
      <c r="AK127" s="4"/>
    </row>
    <row r="128" spans="2:37">
      <c r="AB128" s="102"/>
      <c r="AF128" s="4"/>
      <c r="AG128" s="4"/>
      <c r="AH128" s="4"/>
      <c r="AI128" s="4"/>
      <c r="AJ128" s="4"/>
      <c r="AK128" s="4"/>
    </row>
    <row r="129" spans="28:37">
      <c r="AB129" s="102"/>
      <c r="AF129" s="4"/>
      <c r="AG129" s="4"/>
      <c r="AH129" s="4"/>
      <c r="AI129" s="4"/>
      <c r="AJ129" s="4"/>
      <c r="AK129" s="4"/>
    </row>
    <row r="130" spans="28:37">
      <c r="AB130" s="102"/>
      <c r="AF130" s="4"/>
      <c r="AG130" s="4"/>
      <c r="AH130" s="4"/>
      <c r="AI130" s="4"/>
      <c r="AJ130" s="4"/>
      <c r="AK130" s="4"/>
    </row>
    <row r="131" spans="28:37">
      <c r="AB131" s="102"/>
      <c r="AF131" s="4"/>
      <c r="AG131" s="4"/>
      <c r="AH131" s="4"/>
      <c r="AI131" s="4"/>
      <c r="AJ131" s="4"/>
      <c r="AK131" s="4"/>
    </row>
    <row r="132" spans="28:37">
      <c r="AB132" s="102"/>
      <c r="AF132" s="4"/>
      <c r="AG132" s="4"/>
      <c r="AH132" s="4"/>
      <c r="AI132" s="4"/>
      <c r="AJ132" s="4"/>
      <c r="AK132" s="4"/>
    </row>
    <row r="133" spans="28:37">
      <c r="AB133" s="102"/>
      <c r="AF133" s="4"/>
      <c r="AG133" s="4"/>
      <c r="AH133" s="4"/>
      <c r="AI133" s="4"/>
      <c r="AJ133" s="4"/>
      <c r="AK133" s="4"/>
    </row>
    <row r="134" spans="28:37">
      <c r="AB134" s="102"/>
      <c r="AF134" s="4"/>
      <c r="AG134" s="4"/>
      <c r="AH134" s="4"/>
      <c r="AI134" s="4"/>
      <c r="AJ134" s="4"/>
      <c r="AK134" s="4"/>
    </row>
    <row r="135" spans="28:37">
      <c r="AB135" s="102"/>
      <c r="AF135" s="4"/>
      <c r="AG135" s="4"/>
      <c r="AH135" s="4"/>
      <c r="AI135" s="4"/>
      <c r="AJ135" s="4"/>
      <c r="AK135" s="4"/>
    </row>
    <row r="136" spans="28:37">
      <c r="AB136" s="102"/>
      <c r="AF136" s="4"/>
      <c r="AG136" s="4"/>
      <c r="AH136" s="4"/>
      <c r="AI136" s="4"/>
      <c r="AJ136" s="4"/>
      <c r="AK136" s="4"/>
    </row>
    <row r="137" spans="28:37">
      <c r="AB137" s="102"/>
      <c r="AF137" s="4"/>
      <c r="AG137" s="4"/>
      <c r="AH137" s="4"/>
      <c r="AI137" s="4"/>
      <c r="AJ137" s="4"/>
      <c r="AK137" s="4"/>
    </row>
    <row r="138" spans="28:37">
      <c r="AB138" s="102"/>
      <c r="AF138" s="4"/>
      <c r="AG138" s="4"/>
      <c r="AH138" s="4"/>
      <c r="AI138" s="4"/>
      <c r="AJ138" s="4"/>
      <c r="AK138" s="4"/>
    </row>
    <row r="139" spans="28:37">
      <c r="AB139" s="102"/>
      <c r="AF139" s="4"/>
      <c r="AG139" s="4"/>
      <c r="AH139" s="4"/>
      <c r="AI139" s="4"/>
      <c r="AJ139" s="4"/>
      <c r="AK139" s="4"/>
    </row>
    <row r="140" spans="28:37">
      <c r="AB140" s="102"/>
      <c r="AF140" s="4"/>
      <c r="AG140" s="4"/>
      <c r="AH140" s="4"/>
      <c r="AI140" s="4"/>
      <c r="AJ140" s="4"/>
      <c r="AK140" s="4"/>
    </row>
    <row r="141" spans="28:37">
      <c r="AB141" s="102"/>
      <c r="AF141" s="4"/>
      <c r="AG141" s="4"/>
      <c r="AH141" s="4"/>
      <c r="AI141" s="4"/>
      <c r="AJ141" s="4"/>
      <c r="AK141" s="4"/>
    </row>
    <row r="142" spans="28:37">
      <c r="AB142" s="102"/>
      <c r="AF142" s="4"/>
      <c r="AG142" s="4"/>
      <c r="AH142" s="4"/>
      <c r="AI142" s="4"/>
      <c r="AJ142" s="4"/>
      <c r="AK142" s="4"/>
    </row>
    <row r="143" spans="28:37">
      <c r="AB143" s="102"/>
      <c r="AF143" s="4"/>
      <c r="AG143" s="4"/>
      <c r="AH143" s="4"/>
      <c r="AI143" s="4"/>
      <c r="AJ143" s="4"/>
      <c r="AK143" s="4"/>
    </row>
    <row r="144" spans="28:37">
      <c r="AB144" s="102"/>
      <c r="AF144" s="4"/>
      <c r="AG144" s="4"/>
      <c r="AH144" s="4"/>
      <c r="AI144" s="4"/>
      <c r="AJ144" s="4"/>
      <c r="AK144" s="4"/>
    </row>
    <row r="145" spans="28:37">
      <c r="AB145" s="102"/>
      <c r="AF145" s="4"/>
      <c r="AG145" s="4"/>
      <c r="AH145" s="4"/>
      <c r="AI145" s="4"/>
      <c r="AJ145" s="4"/>
      <c r="AK145" s="4"/>
    </row>
    <row r="146" spans="28:37">
      <c r="AB146" s="102"/>
      <c r="AF146" s="4"/>
      <c r="AG146" s="4"/>
      <c r="AH146" s="4"/>
      <c r="AI146" s="4"/>
      <c r="AJ146" s="4"/>
      <c r="AK146" s="4"/>
    </row>
    <row r="147" spans="28:37">
      <c r="AB147" s="102"/>
      <c r="AF147" s="4"/>
      <c r="AG147" s="4"/>
      <c r="AH147" s="4"/>
      <c r="AI147" s="4"/>
      <c r="AJ147" s="4"/>
      <c r="AK147" s="4"/>
    </row>
    <row r="148" spans="28:37">
      <c r="AB148" s="102"/>
      <c r="AF148" s="4"/>
      <c r="AG148" s="4"/>
      <c r="AH148" s="4"/>
      <c r="AI148" s="4"/>
      <c r="AJ148" s="4"/>
      <c r="AK148" s="4"/>
    </row>
    <row r="149" spans="28:37">
      <c r="AB149" s="102"/>
      <c r="AF149" s="4"/>
      <c r="AG149" s="4"/>
      <c r="AH149" s="4"/>
      <c r="AI149" s="4"/>
      <c r="AJ149" s="4"/>
      <c r="AK149" s="4"/>
    </row>
    <row r="150" spans="28:37">
      <c r="AB150" s="102"/>
      <c r="AF150" s="4"/>
      <c r="AG150" s="4"/>
      <c r="AH150" s="4"/>
      <c r="AI150" s="4"/>
      <c r="AJ150" s="4"/>
      <c r="AK150" s="4"/>
    </row>
    <row r="151" spans="28:37">
      <c r="AB151" s="102"/>
      <c r="AF151" s="4"/>
      <c r="AG151" s="4"/>
      <c r="AH151" s="4"/>
      <c r="AI151" s="4"/>
      <c r="AJ151" s="4"/>
      <c r="AK151" s="4"/>
    </row>
    <row r="152" spans="28:37">
      <c r="AB152" s="102"/>
      <c r="AF152" s="4"/>
      <c r="AG152" s="4"/>
      <c r="AH152" s="4"/>
      <c r="AI152" s="4"/>
      <c r="AJ152" s="4"/>
      <c r="AK152" s="4"/>
    </row>
    <row r="153" spans="28:37">
      <c r="AB153" s="102"/>
      <c r="AF153" s="4"/>
      <c r="AG153" s="4"/>
      <c r="AH153" s="4"/>
      <c r="AI153" s="4"/>
      <c r="AJ153" s="4"/>
      <c r="AK153" s="4"/>
    </row>
    <row r="154" spans="28:37">
      <c r="AB154" s="102"/>
      <c r="AF154" s="4"/>
      <c r="AG154" s="4"/>
      <c r="AH154" s="4"/>
      <c r="AI154" s="4"/>
      <c r="AJ154" s="4"/>
      <c r="AK154" s="4"/>
    </row>
    <row r="155" spans="28:37">
      <c r="AB155" s="102"/>
      <c r="AF155" s="4"/>
      <c r="AG155" s="4"/>
      <c r="AH155" s="4"/>
      <c r="AI155" s="4"/>
      <c r="AJ155" s="4"/>
      <c r="AK155" s="4"/>
    </row>
    <row r="156" spans="28:37">
      <c r="AB156" s="102"/>
      <c r="AF156" s="4"/>
      <c r="AG156" s="4"/>
      <c r="AH156" s="4"/>
      <c r="AI156" s="4"/>
      <c r="AJ156" s="4"/>
      <c r="AK156" s="4"/>
    </row>
    <row r="157" spans="28:37">
      <c r="AB157" s="102"/>
      <c r="AF157" s="4"/>
      <c r="AG157" s="4"/>
      <c r="AH157" s="4"/>
      <c r="AI157" s="4"/>
      <c r="AJ157" s="4"/>
      <c r="AK157" s="4"/>
    </row>
    <row r="158" spans="28:37">
      <c r="AB158" s="102"/>
      <c r="AF158" s="4"/>
      <c r="AG158" s="4"/>
      <c r="AH158" s="4"/>
      <c r="AI158" s="4"/>
      <c r="AJ158" s="4"/>
      <c r="AK158" s="4"/>
    </row>
    <row r="159" spans="28:37">
      <c r="AB159" s="102"/>
      <c r="AF159" s="4"/>
      <c r="AG159" s="4"/>
      <c r="AH159" s="4"/>
      <c r="AI159" s="4"/>
      <c r="AJ159" s="4"/>
      <c r="AK159" s="4"/>
    </row>
    <row r="160" spans="28:37">
      <c r="AB160" s="102"/>
      <c r="AF160" s="4"/>
      <c r="AG160" s="4"/>
      <c r="AH160" s="4"/>
      <c r="AI160" s="4"/>
      <c r="AJ160" s="4"/>
      <c r="AK160" s="4"/>
    </row>
    <row r="161" spans="28:37">
      <c r="AB161" s="102"/>
      <c r="AF161" s="4"/>
      <c r="AG161" s="4"/>
      <c r="AH161" s="4"/>
      <c r="AI161" s="4"/>
      <c r="AJ161" s="4"/>
      <c r="AK161" s="4"/>
    </row>
    <row r="162" spans="28:37">
      <c r="AB162" s="102"/>
      <c r="AF162" s="4"/>
      <c r="AG162" s="4"/>
      <c r="AH162" s="4"/>
      <c r="AI162" s="4"/>
      <c r="AJ162" s="4"/>
      <c r="AK162" s="4"/>
    </row>
    <row r="163" spans="28:37">
      <c r="AB163" s="102"/>
      <c r="AF163" s="4"/>
      <c r="AG163" s="4"/>
      <c r="AH163" s="4"/>
      <c r="AI163" s="4"/>
      <c r="AJ163" s="4"/>
      <c r="AK163" s="4"/>
    </row>
    <row r="164" spans="28:37">
      <c r="AB164" s="102"/>
      <c r="AF164" s="4"/>
      <c r="AG164" s="4"/>
      <c r="AH164" s="4"/>
      <c r="AI164" s="4"/>
      <c r="AJ164" s="4"/>
      <c r="AK164" s="4"/>
    </row>
    <row r="165" spans="28:37">
      <c r="AB165" s="102"/>
      <c r="AF165" s="4"/>
      <c r="AG165" s="4"/>
      <c r="AH165" s="4"/>
      <c r="AI165" s="4"/>
      <c r="AJ165" s="4"/>
      <c r="AK165" s="4"/>
    </row>
    <row r="166" spans="28:37">
      <c r="AB166" s="102"/>
      <c r="AF166" s="4"/>
      <c r="AG166" s="4"/>
      <c r="AH166" s="4"/>
      <c r="AI166" s="4"/>
      <c r="AJ166" s="4"/>
      <c r="AK166" s="4"/>
    </row>
    <row r="167" spans="28:37">
      <c r="AB167" s="102"/>
      <c r="AF167" s="4"/>
      <c r="AG167" s="4"/>
      <c r="AH167" s="4"/>
      <c r="AI167" s="4"/>
      <c r="AJ167" s="4"/>
      <c r="AK167" s="4"/>
    </row>
    <row r="168" spans="28:37">
      <c r="AB168" s="102"/>
      <c r="AF168" s="4"/>
      <c r="AG168" s="4"/>
      <c r="AH168" s="4"/>
      <c r="AI168" s="4"/>
      <c r="AJ168" s="4"/>
      <c r="AK168" s="4"/>
    </row>
    <row r="169" spans="28:37">
      <c r="AB169" s="102"/>
      <c r="AF169" s="4"/>
      <c r="AG169" s="4"/>
      <c r="AH169" s="4"/>
      <c r="AI169" s="4"/>
      <c r="AJ169" s="4"/>
      <c r="AK169" s="4"/>
    </row>
    <row r="170" spans="28:37">
      <c r="AB170" s="102"/>
      <c r="AF170" s="4"/>
      <c r="AG170" s="4"/>
      <c r="AH170" s="4"/>
      <c r="AI170" s="4"/>
      <c r="AJ170" s="4"/>
      <c r="AK170" s="4"/>
    </row>
    <row r="171" spans="28:37">
      <c r="AB171" s="102"/>
      <c r="AF171" s="4"/>
      <c r="AG171" s="4"/>
      <c r="AH171" s="4"/>
      <c r="AI171" s="4"/>
      <c r="AJ171" s="4"/>
      <c r="AK171" s="4"/>
    </row>
    <row r="172" spans="28:37">
      <c r="AB172" s="102"/>
      <c r="AF172" s="4"/>
      <c r="AG172" s="4"/>
      <c r="AH172" s="4"/>
      <c r="AI172" s="4"/>
      <c r="AJ172" s="4"/>
      <c r="AK172" s="4"/>
    </row>
    <row r="173" spans="28:37">
      <c r="AB173" s="102"/>
      <c r="AF173" s="4"/>
      <c r="AG173" s="4"/>
      <c r="AH173" s="4"/>
      <c r="AI173" s="4"/>
      <c r="AJ173" s="4"/>
      <c r="AK173" s="4"/>
    </row>
    <row r="174" spans="28:37">
      <c r="AB174" s="102"/>
      <c r="AF174" s="4"/>
      <c r="AG174" s="4"/>
      <c r="AH174" s="4"/>
      <c r="AI174" s="4"/>
      <c r="AJ174" s="4"/>
      <c r="AK174" s="4"/>
    </row>
    <row r="175" spans="28:37">
      <c r="AB175" s="102"/>
      <c r="AF175" s="4"/>
      <c r="AG175" s="4"/>
      <c r="AH175" s="4"/>
      <c r="AI175" s="4"/>
      <c r="AJ175" s="4"/>
      <c r="AK175" s="4"/>
    </row>
    <row r="176" spans="28:37">
      <c r="AB176" s="102"/>
      <c r="AF176" s="4"/>
      <c r="AG176" s="4"/>
      <c r="AH176" s="4"/>
      <c r="AI176" s="4"/>
      <c r="AJ176" s="4"/>
      <c r="AK176" s="4"/>
    </row>
    <row r="177" spans="28:37">
      <c r="AB177" s="102"/>
      <c r="AF177" s="4"/>
      <c r="AG177" s="4"/>
      <c r="AH177" s="4"/>
      <c r="AI177" s="4"/>
      <c r="AJ177" s="4"/>
      <c r="AK177" s="4"/>
    </row>
    <row r="178" spans="28:37">
      <c r="AB178" s="102"/>
      <c r="AF178" s="4"/>
      <c r="AG178" s="4"/>
      <c r="AH178" s="4"/>
      <c r="AI178" s="4"/>
      <c r="AJ178" s="4"/>
      <c r="AK178" s="4"/>
    </row>
    <row r="179" spans="28:37">
      <c r="AB179" s="102"/>
      <c r="AF179" s="4"/>
      <c r="AG179" s="4"/>
      <c r="AH179" s="4"/>
      <c r="AI179" s="4"/>
      <c r="AJ179" s="4"/>
      <c r="AK179" s="4"/>
    </row>
    <row r="180" spans="28:37">
      <c r="AB180" s="102"/>
      <c r="AF180" s="4"/>
      <c r="AG180" s="4"/>
      <c r="AH180" s="4"/>
      <c r="AI180" s="4"/>
      <c r="AJ180" s="4"/>
      <c r="AK180" s="4"/>
    </row>
    <row r="181" spans="28:37">
      <c r="AB181" s="102"/>
      <c r="AF181" s="4"/>
      <c r="AG181" s="4"/>
      <c r="AH181" s="4"/>
      <c r="AI181" s="4"/>
      <c r="AJ181" s="4"/>
      <c r="AK181" s="4"/>
    </row>
    <row r="182" spans="28:37">
      <c r="AB182" s="102"/>
      <c r="AF182" s="4"/>
      <c r="AG182" s="4"/>
      <c r="AH182" s="4"/>
      <c r="AI182" s="4"/>
      <c r="AJ182" s="4"/>
      <c r="AK182" s="4"/>
    </row>
    <row r="183" spans="28:37">
      <c r="AB183" s="102"/>
      <c r="AF183" s="4"/>
      <c r="AG183" s="4"/>
      <c r="AH183" s="4"/>
      <c r="AI183" s="4"/>
      <c r="AJ183" s="4"/>
      <c r="AK183" s="4"/>
    </row>
    <row r="184" spans="28:37">
      <c r="AB184" s="102"/>
      <c r="AF184" s="4"/>
      <c r="AG184" s="4"/>
      <c r="AH184" s="4"/>
      <c r="AI184" s="4"/>
      <c r="AJ184" s="4"/>
      <c r="AK184" s="4"/>
    </row>
    <row r="185" spans="28:37">
      <c r="AB185" s="102"/>
      <c r="AF185" s="4"/>
      <c r="AG185" s="4"/>
      <c r="AH185" s="4"/>
      <c r="AI185" s="4"/>
      <c r="AJ185" s="4"/>
      <c r="AK185" s="4"/>
    </row>
    <row r="186" spans="28:37">
      <c r="AB186" s="102"/>
      <c r="AF186" s="4"/>
      <c r="AG186" s="4"/>
      <c r="AH186" s="4"/>
      <c r="AI186" s="4"/>
      <c r="AJ186" s="4"/>
      <c r="AK186" s="4"/>
    </row>
    <row r="187" spans="28:37">
      <c r="AB187" s="102"/>
      <c r="AF187" s="4"/>
      <c r="AG187" s="4"/>
      <c r="AH187" s="4"/>
      <c r="AI187" s="4"/>
      <c r="AJ187" s="4"/>
      <c r="AK187" s="4"/>
    </row>
    <row r="188" spans="28:37">
      <c r="AB188" s="102"/>
      <c r="AF188" s="4"/>
      <c r="AG188" s="4"/>
      <c r="AH188" s="4"/>
      <c r="AI188" s="4"/>
      <c r="AJ188" s="4"/>
      <c r="AK188" s="4"/>
    </row>
    <row r="189" spans="28:37">
      <c r="AB189" s="102"/>
      <c r="AF189" s="4"/>
      <c r="AG189" s="4"/>
      <c r="AH189" s="4"/>
      <c r="AI189" s="4"/>
      <c r="AJ189" s="4"/>
      <c r="AK189" s="4"/>
    </row>
    <row r="190" spans="28:37">
      <c r="AB190" s="102"/>
      <c r="AF190" s="4"/>
      <c r="AG190" s="4"/>
      <c r="AH190" s="4"/>
      <c r="AI190" s="4"/>
      <c r="AJ190" s="4"/>
      <c r="AK190" s="4"/>
    </row>
    <row r="191" spans="28:37">
      <c r="AB191" s="102"/>
      <c r="AF191" s="4"/>
      <c r="AG191" s="4"/>
      <c r="AH191" s="4"/>
      <c r="AI191" s="4"/>
      <c r="AJ191" s="4"/>
      <c r="AK191" s="4"/>
    </row>
    <row r="192" spans="28:37">
      <c r="AB192" s="102"/>
      <c r="AF192" s="4"/>
      <c r="AG192" s="4"/>
      <c r="AH192" s="4"/>
      <c r="AI192" s="4"/>
      <c r="AJ192" s="4"/>
      <c r="AK192" s="4"/>
    </row>
    <row r="193" spans="28:37">
      <c r="AB193" s="102"/>
      <c r="AF193" s="4"/>
      <c r="AG193" s="4"/>
      <c r="AH193" s="4"/>
      <c r="AI193" s="4"/>
      <c r="AJ193" s="4"/>
      <c r="AK193" s="4"/>
    </row>
    <row r="194" spans="28:37">
      <c r="AB194" s="102"/>
      <c r="AF194" s="4"/>
      <c r="AG194" s="4"/>
      <c r="AH194" s="4"/>
      <c r="AI194" s="4"/>
      <c r="AJ194" s="4"/>
      <c r="AK194" s="4"/>
    </row>
    <row r="195" spans="28:37">
      <c r="AB195" s="102"/>
      <c r="AF195" s="4"/>
      <c r="AG195" s="4"/>
      <c r="AH195" s="4"/>
      <c r="AI195" s="4"/>
      <c r="AJ195" s="4"/>
      <c r="AK195" s="4"/>
    </row>
    <row r="196" spans="28:37">
      <c r="AB196" s="102"/>
      <c r="AF196" s="4"/>
      <c r="AG196" s="4"/>
      <c r="AH196" s="4"/>
      <c r="AI196" s="4"/>
      <c r="AJ196" s="4"/>
      <c r="AK196" s="4"/>
    </row>
    <row r="197" spans="28:37">
      <c r="AB197" s="102"/>
      <c r="AF197" s="4"/>
      <c r="AG197" s="4"/>
      <c r="AH197" s="4"/>
      <c r="AI197" s="4"/>
      <c r="AJ197" s="4"/>
      <c r="AK197" s="4"/>
    </row>
    <row r="198" spans="28:37">
      <c r="AB198" s="102"/>
      <c r="AF198" s="4"/>
      <c r="AG198" s="4"/>
      <c r="AH198" s="4"/>
      <c r="AI198" s="4"/>
      <c r="AJ198" s="4"/>
      <c r="AK198" s="4"/>
    </row>
    <row r="199" spans="28:37">
      <c r="AB199" s="102"/>
      <c r="AF199" s="4"/>
      <c r="AG199" s="4"/>
      <c r="AH199" s="4"/>
      <c r="AI199" s="4"/>
      <c r="AJ199" s="4"/>
      <c r="AK199" s="4"/>
    </row>
    <row r="200" spans="28:37">
      <c r="AB200" s="102"/>
      <c r="AF200" s="4"/>
      <c r="AG200" s="4"/>
      <c r="AH200" s="4"/>
      <c r="AI200" s="4"/>
      <c r="AJ200" s="4"/>
      <c r="AK200" s="4"/>
    </row>
    <row r="201" spans="28:37">
      <c r="AB201" s="102"/>
      <c r="AF201" s="4"/>
      <c r="AG201" s="4"/>
      <c r="AH201" s="4"/>
      <c r="AI201" s="4"/>
      <c r="AJ201" s="4"/>
      <c r="AK201" s="4"/>
    </row>
    <row r="202" spans="28:37">
      <c r="AB202" s="102"/>
      <c r="AF202" s="4"/>
      <c r="AG202" s="4"/>
      <c r="AH202" s="4"/>
      <c r="AI202" s="4"/>
      <c r="AJ202" s="4"/>
      <c r="AK202" s="4"/>
    </row>
    <row r="203" spans="28:37">
      <c r="AB203" s="102"/>
      <c r="AF203" s="4"/>
      <c r="AG203" s="4"/>
      <c r="AH203" s="4"/>
      <c r="AI203" s="4"/>
      <c r="AJ203" s="4"/>
      <c r="AK203" s="4"/>
    </row>
    <row r="204" spans="28:37">
      <c r="AB204" s="102"/>
      <c r="AF204" s="4"/>
      <c r="AG204" s="4"/>
      <c r="AH204" s="4"/>
      <c r="AI204" s="4"/>
      <c r="AJ204" s="4"/>
      <c r="AK204" s="4"/>
    </row>
    <row r="205" spans="28:37">
      <c r="AB205" s="102"/>
      <c r="AF205" s="4"/>
      <c r="AG205" s="4"/>
      <c r="AH205" s="4"/>
      <c r="AI205" s="4"/>
      <c r="AJ205" s="4"/>
      <c r="AK205" s="4"/>
    </row>
    <row r="206" spans="28:37">
      <c r="AB206" s="102"/>
      <c r="AF206" s="4"/>
      <c r="AG206" s="4"/>
      <c r="AH206" s="4"/>
      <c r="AI206" s="4"/>
      <c r="AJ206" s="4"/>
      <c r="AK206" s="4"/>
    </row>
    <row r="207" spans="28:37">
      <c r="AB207" s="102"/>
      <c r="AF207" s="4"/>
      <c r="AG207" s="4"/>
      <c r="AH207" s="4"/>
      <c r="AI207" s="4"/>
      <c r="AJ207" s="4"/>
      <c r="AK207" s="4"/>
    </row>
    <row r="208" spans="28:37">
      <c r="AB208" s="102"/>
      <c r="AF208" s="4"/>
      <c r="AG208" s="4"/>
      <c r="AH208" s="4"/>
      <c r="AI208" s="4"/>
      <c r="AJ208" s="4"/>
      <c r="AK208" s="4"/>
    </row>
    <row r="209" spans="28:37">
      <c r="AB209" s="102"/>
      <c r="AF209" s="4"/>
      <c r="AG209" s="4"/>
      <c r="AH209" s="4"/>
      <c r="AI209" s="4"/>
      <c r="AJ209" s="4"/>
      <c r="AK209" s="4"/>
    </row>
    <row r="210" spans="28:37">
      <c r="AB210" s="102"/>
      <c r="AF210" s="4"/>
      <c r="AG210" s="4"/>
      <c r="AH210" s="4"/>
      <c r="AI210" s="4"/>
      <c r="AJ210" s="4"/>
      <c r="AK210" s="4"/>
    </row>
    <row r="211" spans="28:37">
      <c r="AB211" s="102"/>
      <c r="AF211" s="4"/>
      <c r="AG211" s="4"/>
      <c r="AH211" s="4"/>
      <c r="AI211" s="4"/>
      <c r="AJ211" s="4"/>
      <c r="AK211" s="4"/>
    </row>
    <row r="212" spans="28:37">
      <c r="AB212" s="102"/>
      <c r="AF212" s="4"/>
      <c r="AG212" s="4"/>
      <c r="AH212" s="4"/>
      <c r="AI212" s="4"/>
      <c r="AJ212" s="4"/>
      <c r="AK212" s="4"/>
    </row>
    <row r="213" spans="28:37">
      <c r="AB213" s="102"/>
      <c r="AF213" s="4"/>
      <c r="AG213" s="4"/>
      <c r="AH213" s="4"/>
      <c r="AI213" s="4"/>
      <c r="AJ213" s="4"/>
      <c r="AK213" s="4"/>
    </row>
    <row r="214" spans="28:37">
      <c r="AB214" s="102"/>
      <c r="AF214" s="4"/>
      <c r="AG214" s="4"/>
      <c r="AH214" s="4"/>
      <c r="AI214" s="4"/>
      <c r="AJ214" s="4"/>
      <c r="AK214" s="4"/>
    </row>
    <row r="215" spans="28:37">
      <c r="AB215" s="102"/>
      <c r="AF215" s="4"/>
      <c r="AG215" s="4"/>
      <c r="AH215" s="4"/>
      <c r="AI215" s="4"/>
      <c r="AJ215" s="4"/>
      <c r="AK215" s="4"/>
    </row>
    <row r="216" spans="28:37">
      <c r="AB216" s="102"/>
      <c r="AF216" s="4"/>
      <c r="AG216" s="4"/>
      <c r="AH216" s="4"/>
      <c r="AI216" s="4"/>
      <c r="AJ216" s="4"/>
      <c r="AK216" s="4"/>
    </row>
    <row r="217" spans="28:37">
      <c r="AB217" s="102"/>
      <c r="AF217" s="4"/>
      <c r="AG217" s="4"/>
      <c r="AH217" s="4"/>
      <c r="AI217" s="4"/>
      <c r="AJ217" s="4"/>
      <c r="AK217" s="4"/>
    </row>
    <row r="218" spans="28:37">
      <c r="AB218" s="102"/>
      <c r="AF218" s="4"/>
      <c r="AG218" s="4"/>
      <c r="AH218" s="4"/>
      <c r="AI218" s="4"/>
      <c r="AJ218" s="4"/>
      <c r="AK218" s="4"/>
    </row>
    <row r="219" spans="28:37">
      <c r="AB219" s="102"/>
      <c r="AF219" s="4"/>
      <c r="AG219" s="4"/>
      <c r="AH219" s="4"/>
      <c r="AI219" s="4"/>
      <c r="AJ219" s="4"/>
      <c r="AK219" s="4"/>
    </row>
    <row r="220" spans="28:37">
      <c r="AB220" s="102"/>
      <c r="AF220" s="4"/>
      <c r="AG220" s="4"/>
      <c r="AH220" s="4"/>
      <c r="AI220" s="4"/>
      <c r="AJ220" s="4"/>
      <c r="AK220" s="4"/>
    </row>
    <row r="221" spans="28:37">
      <c r="AB221" s="102"/>
      <c r="AF221" s="4"/>
      <c r="AG221" s="4"/>
      <c r="AH221" s="4"/>
      <c r="AI221" s="4"/>
      <c r="AJ221" s="4"/>
      <c r="AK221" s="4"/>
    </row>
    <row r="222" spans="28:37">
      <c r="AB222" s="102"/>
      <c r="AF222" s="4"/>
      <c r="AG222" s="4"/>
      <c r="AH222" s="4"/>
      <c r="AI222" s="4"/>
      <c r="AJ222" s="4"/>
      <c r="AK222" s="4"/>
    </row>
    <row r="223" spans="28:37">
      <c r="AB223" s="102"/>
      <c r="AF223" s="4"/>
      <c r="AG223" s="4"/>
      <c r="AH223" s="4"/>
      <c r="AI223" s="4"/>
      <c r="AJ223" s="4"/>
      <c r="AK223" s="4"/>
    </row>
    <row r="224" spans="28:37">
      <c r="AB224" s="102"/>
      <c r="AF224" s="4"/>
      <c r="AG224" s="4"/>
      <c r="AH224" s="4"/>
      <c r="AI224" s="4"/>
      <c r="AJ224" s="4"/>
      <c r="AK224" s="4"/>
    </row>
    <row r="225" spans="28:37">
      <c r="AB225" s="102"/>
      <c r="AF225" s="4"/>
      <c r="AG225" s="4"/>
      <c r="AH225" s="4"/>
      <c r="AI225" s="4"/>
      <c r="AJ225" s="4"/>
      <c r="AK225" s="4"/>
    </row>
    <row r="226" spans="28:37">
      <c r="AB226" s="102"/>
      <c r="AF226" s="4"/>
      <c r="AG226" s="4"/>
      <c r="AH226" s="4"/>
      <c r="AI226" s="4"/>
      <c r="AJ226" s="4"/>
      <c r="AK226" s="4"/>
    </row>
    <row r="227" spans="28:37">
      <c r="AB227" s="102"/>
      <c r="AF227" s="4"/>
      <c r="AG227" s="4"/>
      <c r="AH227" s="4"/>
      <c r="AI227" s="4"/>
      <c r="AJ227" s="4"/>
      <c r="AK227" s="4"/>
    </row>
    <row r="228" spans="28:37">
      <c r="AB228" s="102"/>
      <c r="AF228" s="4"/>
      <c r="AG228" s="4"/>
      <c r="AH228" s="4"/>
      <c r="AI228" s="4"/>
      <c r="AJ228" s="4"/>
      <c r="AK228" s="4"/>
    </row>
    <row r="229" spans="28:37">
      <c r="AB229" s="102"/>
      <c r="AF229" s="4"/>
      <c r="AG229" s="4"/>
      <c r="AH229" s="4"/>
      <c r="AI229" s="4"/>
      <c r="AJ229" s="4"/>
      <c r="AK229" s="4"/>
    </row>
    <row r="230" spans="28:37">
      <c r="AB230" s="102"/>
      <c r="AF230" s="4"/>
      <c r="AG230" s="4"/>
      <c r="AH230" s="4"/>
      <c r="AI230" s="4"/>
      <c r="AJ230" s="4"/>
      <c r="AK230" s="4"/>
    </row>
    <row r="231" spans="28:37">
      <c r="AB231" s="102"/>
      <c r="AF231" s="4"/>
      <c r="AG231" s="4"/>
      <c r="AH231" s="4"/>
      <c r="AI231" s="4"/>
      <c r="AJ231" s="4"/>
      <c r="AK231" s="4"/>
    </row>
    <row r="232" spans="28:37">
      <c r="AB232" s="102"/>
      <c r="AF232" s="4"/>
      <c r="AG232" s="4"/>
      <c r="AH232" s="4"/>
      <c r="AI232" s="4"/>
      <c r="AJ232" s="4"/>
      <c r="AK232" s="4"/>
    </row>
    <row r="233" spans="28:37">
      <c r="AB233" s="102"/>
      <c r="AF233" s="4"/>
      <c r="AG233" s="4"/>
      <c r="AH233" s="4"/>
      <c r="AI233" s="4"/>
      <c r="AJ233" s="4"/>
      <c r="AK233" s="4"/>
    </row>
    <row r="234" spans="28:37">
      <c r="AB234" s="102"/>
      <c r="AF234" s="4"/>
      <c r="AG234" s="4"/>
      <c r="AH234" s="4"/>
      <c r="AI234" s="4"/>
      <c r="AJ234" s="4"/>
      <c r="AK234" s="4"/>
    </row>
    <row r="235" spans="28:37">
      <c r="AB235" s="102"/>
      <c r="AF235" s="4"/>
      <c r="AG235" s="4"/>
      <c r="AH235" s="4"/>
      <c r="AI235" s="4"/>
      <c r="AJ235" s="4"/>
      <c r="AK235" s="4"/>
    </row>
    <row r="236" spans="28:37">
      <c r="AB236" s="102"/>
      <c r="AF236" s="4"/>
      <c r="AG236" s="4"/>
      <c r="AH236" s="4"/>
      <c r="AI236" s="4"/>
      <c r="AJ236" s="4"/>
      <c r="AK236" s="4"/>
    </row>
    <row r="237" spans="28:37">
      <c r="AB237" s="102"/>
      <c r="AF237" s="4"/>
      <c r="AG237" s="4"/>
      <c r="AH237" s="4"/>
      <c r="AI237" s="4"/>
      <c r="AJ237" s="4"/>
      <c r="AK237" s="4"/>
    </row>
    <row r="238" spans="28:37">
      <c r="AB238" s="102"/>
      <c r="AF238" s="4"/>
      <c r="AG238" s="4"/>
      <c r="AH238" s="4"/>
      <c r="AI238" s="4"/>
      <c r="AJ238" s="4"/>
      <c r="AK238" s="4"/>
    </row>
    <row r="239" spans="28:37">
      <c r="AB239" s="102"/>
      <c r="AF239" s="4"/>
      <c r="AG239" s="4"/>
      <c r="AH239" s="4"/>
      <c r="AI239" s="4"/>
      <c r="AJ239" s="4"/>
      <c r="AK239" s="4"/>
    </row>
    <row r="240" spans="28:37">
      <c r="AB240" s="102"/>
      <c r="AF240" s="4"/>
      <c r="AG240" s="4"/>
      <c r="AH240" s="4"/>
      <c r="AI240" s="4"/>
      <c r="AJ240" s="4"/>
      <c r="AK240" s="4"/>
    </row>
    <row r="241" spans="28:37">
      <c r="AB241" s="102"/>
      <c r="AF241" s="4"/>
      <c r="AG241" s="4"/>
      <c r="AH241" s="4"/>
      <c r="AI241" s="4"/>
      <c r="AJ241" s="4"/>
      <c r="AK241" s="4"/>
    </row>
    <row r="242" spans="28:37">
      <c r="AB242" s="102"/>
      <c r="AF242" s="4"/>
      <c r="AG242" s="4"/>
      <c r="AH242" s="4"/>
      <c r="AI242" s="4"/>
      <c r="AJ242" s="4"/>
      <c r="AK242" s="4"/>
    </row>
    <row r="243" spans="28:37">
      <c r="AB243" s="102"/>
      <c r="AF243" s="4"/>
      <c r="AG243" s="4"/>
      <c r="AH243" s="4"/>
      <c r="AI243" s="4"/>
      <c r="AJ243" s="4"/>
      <c r="AK243" s="4"/>
    </row>
    <row r="244" spans="28:37">
      <c r="AB244" s="102"/>
      <c r="AF244" s="4"/>
      <c r="AG244" s="4"/>
      <c r="AH244" s="4"/>
      <c r="AI244" s="4"/>
      <c r="AJ244" s="4"/>
      <c r="AK244" s="4"/>
    </row>
    <row r="245" spans="28:37">
      <c r="AB245" s="102"/>
      <c r="AF245" s="4"/>
      <c r="AG245" s="4"/>
      <c r="AH245" s="4"/>
      <c r="AI245" s="4"/>
      <c r="AJ245" s="4"/>
      <c r="AK245" s="4"/>
    </row>
    <row r="246" spans="28:37">
      <c r="AB246" s="102"/>
      <c r="AF246" s="4"/>
      <c r="AG246" s="4"/>
      <c r="AH246" s="4"/>
      <c r="AI246" s="4"/>
      <c r="AJ246" s="4"/>
      <c r="AK246" s="4"/>
    </row>
    <row r="247" spans="28:37">
      <c r="AB247" s="102"/>
      <c r="AF247" s="4"/>
      <c r="AG247" s="4"/>
      <c r="AH247" s="4"/>
      <c r="AI247" s="4"/>
      <c r="AJ247" s="4"/>
      <c r="AK247" s="4"/>
    </row>
    <row r="248" spans="28:37">
      <c r="AB248" s="102"/>
      <c r="AF248" s="4"/>
      <c r="AG248" s="4"/>
      <c r="AH248" s="4"/>
      <c r="AI248" s="4"/>
      <c r="AJ248" s="4"/>
      <c r="AK248" s="4"/>
    </row>
    <row r="249" spans="28:37">
      <c r="AB249" s="102"/>
      <c r="AF249" s="4"/>
      <c r="AG249" s="4"/>
      <c r="AH249" s="4"/>
      <c r="AI249" s="4"/>
      <c r="AJ249" s="4"/>
      <c r="AK249" s="4"/>
    </row>
    <row r="250" spans="28:37">
      <c r="AB250" s="102"/>
      <c r="AF250" s="4"/>
      <c r="AG250" s="4"/>
      <c r="AH250" s="4"/>
      <c r="AI250" s="4"/>
      <c r="AJ250" s="4"/>
      <c r="AK250" s="4"/>
    </row>
    <row r="251" spans="28:37">
      <c r="AB251" s="102"/>
      <c r="AF251" s="4"/>
      <c r="AG251" s="4"/>
      <c r="AH251" s="4"/>
      <c r="AI251" s="4"/>
      <c r="AJ251" s="4"/>
      <c r="AK251" s="4"/>
    </row>
    <row r="252" spans="28:37">
      <c r="AB252" s="102"/>
      <c r="AF252" s="4"/>
      <c r="AG252" s="4"/>
      <c r="AH252" s="4"/>
      <c r="AI252" s="4"/>
      <c r="AJ252" s="4"/>
      <c r="AK252" s="4"/>
    </row>
    <row r="253" spans="28:37">
      <c r="AB253" s="102"/>
      <c r="AF253" s="4"/>
      <c r="AG253" s="4"/>
      <c r="AH253" s="4"/>
      <c r="AI253" s="4"/>
      <c r="AJ253" s="4"/>
      <c r="AK253" s="4"/>
    </row>
    <row r="254" spans="28:37">
      <c r="AB254" s="102"/>
      <c r="AF254" s="4"/>
      <c r="AG254" s="4"/>
      <c r="AH254" s="4"/>
      <c r="AI254" s="4"/>
      <c r="AJ254" s="4"/>
      <c r="AK254" s="4"/>
    </row>
    <row r="255" spans="28:37">
      <c r="AB255" s="102"/>
      <c r="AF255" s="4"/>
      <c r="AG255" s="4"/>
      <c r="AH255" s="4"/>
      <c r="AI255" s="4"/>
      <c r="AJ255" s="4"/>
      <c r="AK255" s="4"/>
    </row>
    <row r="256" spans="28:37">
      <c r="AB256" s="102"/>
      <c r="AF256" s="4"/>
      <c r="AG256" s="4"/>
      <c r="AH256" s="4"/>
      <c r="AI256" s="4"/>
      <c r="AJ256" s="4"/>
      <c r="AK256" s="4"/>
    </row>
    <row r="257" spans="28:37">
      <c r="AB257" s="102"/>
      <c r="AF257" s="4"/>
      <c r="AG257" s="4"/>
      <c r="AH257" s="4"/>
      <c r="AI257" s="4"/>
      <c r="AJ257" s="4"/>
      <c r="AK257" s="4"/>
    </row>
    <row r="258" spans="28:37">
      <c r="AB258" s="102"/>
      <c r="AF258" s="4"/>
      <c r="AG258" s="4"/>
      <c r="AH258" s="4"/>
      <c r="AI258" s="4"/>
      <c r="AJ258" s="4"/>
      <c r="AK258" s="4"/>
    </row>
    <row r="259" spans="28:37">
      <c r="AB259" s="102"/>
      <c r="AF259" s="4"/>
      <c r="AG259" s="4"/>
      <c r="AH259" s="4"/>
      <c r="AI259" s="4"/>
      <c r="AJ259" s="4"/>
      <c r="AK259" s="4"/>
    </row>
    <row r="260" spans="28:37">
      <c r="AB260" s="102"/>
      <c r="AF260" s="4"/>
      <c r="AG260" s="4"/>
      <c r="AH260" s="4"/>
      <c r="AI260" s="4"/>
      <c r="AJ260" s="4"/>
      <c r="AK260" s="4"/>
    </row>
    <row r="261" spans="28:37">
      <c r="AB261" s="102"/>
      <c r="AF261" s="4"/>
      <c r="AG261" s="4"/>
      <c r="AH261" s="4"/>
      <c r="AI261" s="4"/>
      <c r="AJ261" s="4"/>
      <c r="AK261" s="4"/>
    </row>
    <row r="262" spans="28:37">
      <c r="AB262" s="102"/>
      <c r="AF262" s="4"/>
      <c r="AG262" s="4"/>
      <c r="AH262" s="4"/>
      <c r="AI262" s="4"/>
      <c r="AJ262" s="4"/>
      <c r="AK262" s="4"/>
    </row>
    <row r="263" spans="28:37">
      <c r="AB263" s="102"/>
      <c r="AF263" s="4"/>
      <c r="AG263" s="4"/>
      <c r="AH263" s="4"/>
      <c r="AI263" s="4"/>
      <c r="AJ263" s="4"/>
      <c r="AK263" s="4"/>
    </row>
    <row r="264" spans="28:37">
      <c r="AB264" s="102"/>
      <c r="AF264" s="4"/>
      <c r="AG264" s="4"/>
      <c r="AH264" s="4"/>
      <c r="AI264" s="4"/>
      <c r="AJ264" s="4"/>
      <c r="AK264" s="4"/>
    </row>
    <row r="265" spans="28:37">
      <c r="AB265" s="102"/>
      <c r="AF265" s="4"/>
      <c r="AG265" s="4"/>
      <c r="AH265" s="4"/>
      <c r="AI265" s="4"/>
      <c r="AJ265" s="4"/>
      <c r="AK265" s="4"/>
    </row>
    <row r="266" spans="28:37">
      <c r="AB266" s="102"/>
      <c r="AF266" s="4"/>
      <c r="AG266" s="4"/>
      <c r="AH266" s="4"/>
      <c r="AI266" s="4"/>
      <c r="AJ266" s="4"/>
      <c r="AK266" s="4"/>
    </row>
    <row r="267" spans="28:37">
      <c r="AB267" s="102"/>
      <c r="AF267" s="4"/>
      <c r="AG267" s="4"/>
      <c r="AH267" s="4"/>
      <c r="AI267" s="4"/>
      <c r="AJ267" s="4"/>
      <c r="AK267" s="4"/>
    </row>
    <row r="268" spans="28:37">
      <c r="AB268" s="102"/>
      <c r="AF268" s="4"/>
      <c r="AG268" s="4"/>
      <c r="AH268" s="4"/>
      <c r="AI268" s="4"/>
      <c r="AJ268" s="4"/>
      <c r="AK268" s="4"/>
    </row>
    <row r="269" spans="28:37">
      <c r="AB269" s="102"/>
      <c r="AF269" s="4"/>
      <c r="AG269" s="4"/>
      <c r="AH269" s="4"/>
      <c r="AI269" s="4"/>
      <c r="AJ269" s="4"/>
      <c r="AK269" s="4"/>
    </row>
    <row r="270" spans="28:37">
      <c r="AB270" s="102"/>
      <c r="AF270" s="4"/>
      <c r="AG270" s="4"/>
      <c r="AH270" s="4"/>
      <c r="AI270" s="4"/>
      <c r="AJ270" s="4"/>
      <c r="AK270" s="4"/>
    </row>
    <row r="271" spans="28:37">
      <c r="AB271" s="102"/>
      <c r="AF271" s="4"/>
      <c r="AG271" s="4"/>
      <c r="AH271" s="4"/>
      <c r="AI271" s="4"/>
      <c r="AJ271" s="4"/>
      <c r="AK271" s="4"/>
    </row>
    <row r="272" spans="28:37">
      <c r="AB272" s="102"/>
      <c r="AF272" s="4"/>
      <c r="AG272" s="4"/>
      <c r="AH272" s="4"/>
      <c r="AI272" s="4"/>
      <c r="AJ272" s="4"/>
      <c r="AK272" s="4"/>
    </row>
    <row r="273" spans="28:37">
      <c r="AB273" s="102"/>
      <c r="AF273" s="4"/>
      <c r="AG273" s="4"/>
      <c r="AH273" s="4"/>
      <c r="AI273" s="4"/>
      <c r="AJ273" s="4"/>
      <c r="AK273" s="4"/>
    </row>
    <row r="274" spans="28:37">
      <c r="AB274" s="102"/>
      <c r="AF274" s="4"/>
      <c r="AG274" s="4"/>
      <c r="AH274" s="4"/>
      <c r="AI274" s="4"/>
      <c r="AJ274" s="4"/>
      <c r="AK274" s="4"/>
    </row>
    <row r="275" spans="28:37">
      <c r="AB275" s="102"/>
      <c r="AF275" s="4"/>
      <c r="AG275" s="4"/>
      <c r="AH275" s="4"/>
      <c r="AI275" s="4"/>
      <c r="AJ275" s="4"/>
      <c r="AK275" s="4"/>
    </row>
    <row r="276" spans="28:37">
      <c r="AB276" s="102"/>
      <c r="AF276" s="4"/>
      <c r="AG276" s="4"/>
      <c r="AH276" s="4"/>
      <c r="AI276" s="4"/>
      <c r="AJ276" s="4"/>
      <c r="AK276" s="4"/>
    </row>
    <row r="277" spans="28:37">
      <c r="AB277" s="102"/>
      <c r="AF277" s="4"/>
      <c r="AG277" s="4"/>
      <c r="AH277" s="4"/>
      <c r="AI277" s="4"/>
      <c r="AJ277" s="4"/>
      <c r="AK277" s="4"/>
    </row>
    <row r="278" spans="28:37">
      <c r="AB278" s="102"/>
      <c r="AF278" s="4"/>
      <c r="AG278" s="4"/>
      <c r="AH278" s="4"/>
      <c r="AI278" s="4"/>
      <c r="AJ278" s="4"/>
      <c r="AK278" s="4"/>
    </row>
    <row r="279" spans="28:37">
      <c r="AB279" s="102"/>
      <c r="AF279" s="4"/>
      <c r="AG279" s="4"/>
      <c r="AH279" s="4"/>
      <c r="AI279" s="4"/>
      <c r="AJ279" s="4"/>
      <c r="AK279" s="4"/>
    </row>
    <row r="280" spans="28:37">
      <c r="AB280" s="102"/>
      <c r="AF280" s="4"/>
      <c r="AG280" s="4"/>
      <c r="AH280" s="4"/>
      <c r="AI280" s="4"/>
      <c r="AJ280" s="4"/>
      <c r="AK280" s="4"/>
    </row>
    <row r="281" spans="28:37">
      <c r="AB281" s="102"/>
      <c r="AF281" s="4"/>
      <c r="AG281" s="4"/>
      <c r="AH281" s="4"/>
      <c r="AI281" s="4"/>
      <c r="AJ281" s="4"/>
      <c r="AK281" s="4"/>
    </row>
    <row r="282" spans="28:37">
      <c r="AB282" s="102"/>
      <c r="AF282" s="4"/>
      <c r="AG282" s="4"/>
      <c r="AH282" s="4"/>
      <c r="AI282" s="4"/>
      <c r="AJ282" s="4"/>
      <c r="AK282" s="4"/>
    </row>
    <row r="283" spans="28:37">
      <c r="AB283" s="102"/>
      <c r="AF283" s="4"/>
      <c r="AG283" s="4"/>
      <c r="AH283" s="4"/>
      <c r="AI283" s="4"/>
      <c r="AJ283" s="4"/>
      <c r="AK283" s="4"/>
    </row>
    <row r="284" spans="28:37">
      <c r="AB284" s="102"/>
      <c r="AF284" s="4"/>
      <c r="AG284" s="4"/>
      <c r="AH284" s="4"/>
      <c r="AI284" s="4"/>
      <c r="AJ284" s="4"/>
      <c r="AK284" s="4"/>
    </row>
    <row r="285" spans="28:37">
      <c r="AB285" s="102"/>
      <c r="AF285" s="4"/>
      <c r="AG285" s="4"/>
      <c r="AH285" s="4"/>
      <c r="AI285" s="4"/>
      <c r="AJ285" s="4"/>
      <c r="AK285" s="4"/>
    </row>
    <row r="286" spans="28:37">
      <c r="AB286" s="102"/>
      <c r="AF286" s="4"/>
      <c r="AG286" s="4"/>
      <c r="AH286" s="4"/>
      <c r="AI286" s="4"/>
      <c r="AJ286" s="4"/>
      <c r="AK286" s="4"/>
    </row>
    <row r="287" spans="28:37">
      <c r="AB287" s="102"/>
      <c r="AF287" s="4"/>
      <c r="AG287" s="4"/>
      <c r="AH287" s="4"/>
      <c r="AI287" s="4"/>
      <c r="AJ287" s="4"/>
      <c r="AK287" s="4"/>
    </row>
    <row r="288" spans="28:37">
      <c r="AB288" s="102"/>
      <c r="AF288" s="4"/>
      <c r="AG288" s="4"/>
      <c r="AH288" s="4"/>
      <c r="AI288" s="4"/>
      <c r="AJ288" s="4"/>
      <c r="AK288" s="4"/>
    </row>
    <row r="289" spans="28:37">
      <c r="AB289" s="102"/>
      <c r="AF289" s="4"/>
      <c r="AG289" s="4"/>
      <c r="AH289" s="4"/>
      <c r="AI289" s="4"/>
      <c r="AJ289" s="4"/>
      <c r="AK289" s="4"/>
    </row>
    <row r="290" spans="28:37">
      <c r="AB290" s="102"/>
      <c r="AF290" s="4"/>
      <c r="AG290" s="4"/>
      <c r="AH290" s="4"/>
      <c r="AI290" s="4"/>
      <c r="AJ290" s="4"/>
      <c r="AK290" s="4"/>
    </row>
    <row r="291" spans="28:37">
      <c r="AB291" s="102"/>
      <c r="AF291" s="4"/>
      <c r="AG291" s="4"/>
      <c r="AH291" s="4"/>
      <c r="AI291" s="4"/>
      <c r="AJ291" s="4"/>
      <c r="AK291" s="4"/>
    </row>
    <row r="292" spans="28:37">
      <c r="AB292" s="102"/>
      <c r="AF292" s="4"/>
      <c r="AG292" s="4"/>
      <c r="AH292" s="4"/>
      <c r="AI292" s="4"/>
      <c r="AJ292" s="4"/>
      <c r="AK292" s="4"/>
    </row>
    <row r="293" spans="28:37">
      <c r="AB293" s="102"/>
      <c r="AF293" s="4"/>
      <c r="AG293" s="4"/>
      <c r="AH293" s="4"/>
      <c r="AI293" s="4"/>
      <c r="AJ293" s="4"/>
      <c r="AK293" s="4"/>
    </row>
    <row r="294" spans="28:37">
      <c r="AB294" s="102"/>
      <c r="AF294" s="4"/>
      <c r="AG294" s="4"/>
      <c r="AH294" s="4"/>
      <c r="AI294" s="4"/>
      <c r="AJ294" s="4"/>
      <c r="AK294" s="4"/>
    </row>
    <row r="295" spans="28:37">
      <c r="AB295" s="102"/>
      <c r="AF295" s="4"/>
      <c r="AG295" s="4"/>
      <c r="AH295" s="4"/>
      <c r="AI295" s="4"/>
      <c r="AJ295" s="4"/>
      <c r="AK295" s="4"/>
    </row>
    <row r="296" spans="28:37">
      <c r="AB296" s="102"/>
      <c r="AF296" s="4"/>
      <c r="AG296" s="4"/>
      <c r="AH296" s="4"/>
      <c r="AI296" s="4"/>
      <c r="AJ296" s="4"/>
      <c r="AK296" s="4"/>
    </row>
    <row r="297" spans="28:37">
      <c r="AB297" s="102"/>
      <c r="AF297" s="4"/>
      <c r="AG297" s="4"/>
      <c r="AH297" s="4"/>
      <c r="AI297" s="4"/>
      <c r="AJ297" s="4"/>
      <c r="AK297" s="4"/>
    </row>
    <row r="298" spans="28:37">
      <c r="AB298" s="102"/>
      <c r="AF298" s="4"/>
      <c r="AG298" s="4"/>
      <c r="AH298" s="4"/>
      <c r="AI298" s="4"/>
      <c r="AJ298" s="4"/>
      <c r="AK298" s="4"/>
    </row>
    <row r="299" spans="28:37">
      <c r="AB299" s="102"/>
      <c r="AF299" s="4"/>
      <c r="AG299" s="4"/>
      <c r="AH299" s="4"/>
      <c r="AI299" s="4"/>
      <c r="AJ299" s="4"/>
      <c r="AK299" s="4"/>
    </row>
    <row r="300" spans="28:37">
      <c r="AB300" s="102"/>
      <c r="AF300" s="4"/>
      <c r="AG300" s="4"/>
      <c r="AH300" s="4"/>
      <c r="AI300" s="4"/>
      <c r="AJ300" s="4"/>
      <c r="AK300" s="4"/>
    </row>
    <row r="301" spans="28:37">
      <c r="AB301" s="102"/>
      <c r="AF301" s="4"/>
      <c r="AG301" s="4"/>
      <c r="AH301" s="4"/>
      <c r="AI301" s="4"/>
      <c r="AJ301" s="4"/>
      <c r="AK301" s="4"/>
    </row>
    <row r="302" spans="28:37">
      <c r="AB302" s="102"/>
      <c r="AF302" s="4"/>
      <c r="AG302" s="4"/>
      <c r="AH302" s="4"/>
      <c r="AI302" s="4"/>
      <c r="AJ302" s="4"/>
      <c r="AK302" s="4"/>
    </row>
    <row r="303" spans="28:37">
      <c r="AB303" s="102"/>
      <c r="AF303" s="4"/>
      <c r="AG303" s="4"/>
      <c r="AH303" s="4"/>
      <c r="AI303" s="4"/>
      <c r="AJ303" s="4"/>
      <c r="AK303" s="4"/>
    </row>
    <row r="304" spans="28:37">
      <c r="AB304" s="102"/>
      <c r="AF304" s="4"/>
      <c r="AG304" s="4"/>
      <c r="AH304" s="4"/>
      <c r="AI304" s="4"/>
      <c r="AJ304" s="4"/>
      <c r="AK304" s="4"/>
    </row>
    <row r="305" spans="28:37">
      <c r="AB305" s="102"/>
      <c r="AF305" s="4"/>
      <c r="AG305" s="4"/>
      <c r="AH305" s="4"/>
      <c r="AI305" s="4"/>
      <c r="AJ305" s="4"/>
      <c r="AK305" s="4"/>
    </row>
    <row r="306" spans="28:37">
      <c r="AB306" s="102"/>
      <c r="AF306" s="4"/>
      <c r="AG306" s="4"/>
      <c r="AH306" s="4"/>
      <c r="AI306" s="4"/>
      <c r="AJ306" s="4"/>
      <c r="AK306" s="4"/>
    </row>
    <row r="307" spans="28:37">
      <c r="AB307" s="102"/>
      <c r="AF307" s="4"/>
      <c r="AG307" s="4"/>
      <c r="AH307" s="4"/>
      <c r="AI307" s="4"/>
      <c r="AJ307" s="4"/>
      <c r="AK307" s="4"/>
    </row>
    <row r="308" spans="28:37">
      <c r="AB308" s="102"/>
      <c r="AF308" s="4"/>
      <c r="AG308" s="4"/>
      <c r="AH308" s="4"/>
      <c r="AI308" s="4"/>
      <c r="AJ308" s="4"/>
      <c r="AK308" s="4"/>
    </row>
    <row r="309" spans="28:37">
      <c r="AB309" s="102"/>
      <c r="AF309" s="4"/>
      <c r="AG309" s="4"/>
      <c r="AH309" s="4"/>
      <c r="AI309" s="4"/>
      <c r="AJ309" s="4"/>
      <c r="AK309" s="4"/>
    </row>
    <row r="310" spans="28:37">
      <c r="AB310" s="102"/>
      <c r="AF310" s="4"/>
      <c r="AG310" s="4"/>
      <c r="AH310" s="4"/>
      <c r="AI310" s="4"/>
      <c r="AJ310" s="4"/>
      <c r="AK310" s="4"/>
    </row>
    <row r="311" spans="28:37">
      <c r="AB311" s="102"/>
      <c r="AF311" s="4"/>
      <c r="AG311" s="4"/>
      <c r="AH311" s="4"/>
      <c r="AI311" s="4"/>
      <c r="AJ311" s="4"/>
      <c r="AK311" s="4"/>
    </row>
    <row r="312" spans="28:37">
      <c r="AB312" s="102"/>
      <c r="AF312" s="4"/>
      <c r="AG312" s="4"/>
      <c r="AH312" s="4"/>
      <c r="AI312" s="4"/>
      <c r="AJ312" s="4"/>
      <c r="AK312" s="4"/>
    </row>
    <row r="313" spans="28:37">
      <c r="AB313" s="102"/>
      <c r="AF313" s="4"/>
      <c r="AG313" s="4"/>
      <c r="AH313" s="4"/>
      <c r="AI313" s="4"/>
      <c r="AJ313" s="4"/>
      <c r="AK313" s="4"/>
    </row>
    <row r="314" spans="28:37">
      <c r="AB314" s="102"/>
      <c r="AF314" s="4"/>
      <c r="AG314" s="4"/>
      <c r="AH314" s="4"/>
      <c r="AI314" s="4"/>
      <c r="AJ314" s="4"/>
      <c r="AK314" s="4"/>
    </row>
    <row r="315" spans="28:37">
      <c r="AB315" s="102"/>
      <c r="AF315" s="4"/>
      <c r="AG315" s="4"/>
      <c r="AH315" s="4"/>
      <c r="AI315" s="4"/>
      <c r="AJ315" s="4"/>
      <c r="AK315" s="4"/>
    </row>
    <row r="316" spans="28:37">
      <c r="AB316" s="102"/>
      <c r="AF316" s="4"/>
      <c r="AG316" s="4"/>
      <c r="AH316" s="4"/>
      <c r="AI316" s="4"/>
      <c r="AJ316" s="4"/>
      <c r="AK316" s="4"/>
    </row>
    <row r="317" spans="28:37">
      <c r="AB317" s="102"/>
      <c r="AF317" s="4"/>
      <c r="AG317" s="4"/>
      <c r="AH317" s="4"/>
      <c r="AI317" s="4"/>
      <c r="AJ317" s="4"/>
      <c r="AK317" s="4"/>
    </row>
    <row r="318" spans="28:37">
      <c r="AB318" s="102"/>
      <c r="AF318" s="4"/>
      <c r="AG318" s="4"/>
      <c r="AH318" s="4"/>
      <c r="AI318" s="4"/>
      <c r="AJ318" s="4"/>
      <c r="AK318" s="4"/>
    </row>
    <row r="319" spans="28:37">
      <c r="AB319" s="102"/>
      <c r="AF319" s="4"/>
      <c r="AG319" s="4"/>
      <c r="AH319" s="4"/>
      <c r="AI319" s="4"/>
      <c r="AJ319" s="4"/>
      <c r="AK319" s="4"/>
    </row>
    <row r="320" spans="28:37">
      <c r="AB320" s="102"/>
      <c r="AF320" s="4"/>
      <c r="AG320" s="4"/>
      <c r="AH320" s="4"/>
      <c r="AI320" s="4"/>
      <c r="AJ320" s="4"/>
      <c r="AK320" s="4"/>
    </row>
    <row r="321" spans="28:37">
      <c r="AB321" s="102"/>
      <c r="AF321" s="4"/>
      <c r="AG321" s="4"/>
      <c r="AH321" s="4"/>
      <c r="AI321" s="4"/>
      <c r="AJ321" s="4"/>
      <c r="AK321" s="4"/>
    </row>
    <row r="322" spans="28:37">
      <c r="AB322" s="102"/>
      <c r="AF322" s="4"/>
      <c r="AG322" s="4"/>
      <c r="AH322" s="4"/>
      <c r="AI322" s="4"/>
      <c r="AJ322" s="4"/>
      <c r="AK322" s="4"/>
    </row>
    <row r="323" spans="28:37">
      <c r="AB323" s="102"/>
      <c r="AF323" s="4"/>
      <c r="AG323" s="4"/>
      <c r="AH323" s="4"/>
      <c r="AI323" s="4"/>
      <c r="AJ323" s="4"/>
      <c r="AK323" s="4"/>
    </row>
    <row r="324" spans="28:37">
      <c r="AB324" s="102"/>
      <c r="AF324" s="4"/>
      <c r="AG324" s="4"/>
      <c r="AH324" s="4"/>
      <c r="AI324" s="4"/>
      <c r="AJ324" s="4"/>
      <c r="AK324" s="4"/>
    </row>
    <row r="325" spans="28:37">
      <c r="AB325" s="102"/>
      <c r="AF325" s="4"/>
      <c r="AG325" s="4"/>
      <c r="AH325" s="4"/>
      <c r="AI325" s="4"/>
      <c r="AJ325" s="4"/>
      <c r="AK325" s="4"/>
    </row>
    <row r="326" spans="28:37">
      <c r="AB326" s="102"/>
      <c r="AF326" s="4"/>
      <c r="AG326" s="4"/>
      <c r="AH326" s="4"/>
      <c r="AI326" s="4"/>
      <c r="AJ326" s="4"/>
      <c r="AK326" s="4"/>
    </row>
    <row r="327" spans="28:37">
      <c r="AB327" s="102"/>
      <c r="AF327" s="4"/>
      <c r="AG327" s="4"/>
      <c r="AH327" s="4"/>
      <c r="AI327" s="4"/>
      <c r="AJ327" s="4"/>
      <c r="AK327" s="4"/>
    </row>
    <row r="328" spans="28:37">
      <c r="AB328" s="102"/>
      <c r="AF328" s="4"/>
      <c r="AG328" s="4"/>
      <c r="AH328" s="4"/>
      <c r="AI328" s="4"/>
      <c r="AJ328" s="4"/>
      <c r="AK328" s="4"/>
    </row>
    <row r="329" spans="28:37">
      <c r="AB329" s="102"/>
      <c r="AF329" s="4"/>
      <c r="AG329" s="4"/>
      <c r="AH329" s="4"/>
      <c r="AI329" s="4"/>
      <c r="AJ329" s="4"/>
      <c r="AK329" s="4"/>
    </row>
    <row r="330" spans="28:37">
      <c r="AB330" s="102"/>
      <c r="AF330" s="4"/>
      <c r="AG330" s="4"/>
      <c r="AH330" s="4"/>
      <c r="AI330" s="4"/>
      <c r="AJ330" s="4"/>
      <c r="AK330" s="4"/>
    </row>
    <row r="331" spans="28:37">
      <c r="AB331" s="102"/>
      <c r="AF331" s="4"/>
      <c r="AG331" s="4"/>
      <c r="AH331" s="4"/>
      <c r="AI331" s="4"/>
      <c r="AJ331" s="4"/>
      <c r="AK331" s="4"/>
    </row>
    <row r="332" spans="28:37">
      <c r="AB332" s="102"/>
      <c r="AF332" s="4"/>
      <c r="AG332" s="4"/>
      <c r="AH332" s="4"/>
      <c r="AI332" s="4"/>
      <c r="AJ332" s="4"/>
      <c r="AK332" s="4"/>
    </row>
    <row r="333" spans="28:37">
      <c r="AB333" s="102"/>
      <c r="AF333" s="4"/>
      <c r="AG333" s="4"/>
      <c r="AH333" s="4"/>
      <c r="AI333" s="4"/>
      <c r="AJ333" s="4"/>
      <c r="AK333" s="4"/>
    </row>
    <row r="334" spans="28:37">
      <c r="AB334" s="102"/>
      <c r="AF334" s="4"/>
      <c r="AG334" s="4"/>
      <c r="AH334" s="4"/>
      <c r="AI334" s="4"/>
      <c r="AJ334" s="4"/>
      <c r="AK334" s="4"/>
    </row>
    <row r="335" spans="28:37">
      <c r="AB335" s="102"/>
      <c r="AF335" s="4"/>
      <c r="AG335" s="4"/>
      <c r="AH335" s="4"/>
      <c r="AI335" s="4"/>
      <c r="AJ335" s="4"/>
      <c r="AK335" s="4"/>
    </row>
    <row r="336" spans="28:37">
      <c r="AB336" s="102"/>
      <c r="AF336" s="4"/>
      <c r="AG336" s="4"/>
      <c r="AH336" s="4"/>
      <c r="AI336" s="4"/>
      <c r="AJ336" s="4"/>
      <c r="AK336" s="4"/>
    </row>
    <row r="337" spans="28:37">
      <c r="AB337" s="102"/>
      <c r="AF337" s="4"/>
      <c r="AG337" s="4"/>
      <c r="AH337" s="4"/>
      <c r="AI337" s="4"/>
      <c r="AJ337" s="4"/>
      <c r="AK337" s="4"/>
    </row>
    <row r="338" spans="28:37">
      <c r="AB338" s="102"/>
      <c r="AF338" s="4"/>
      <c r="AG338" s="4"/>
      <c r="AH338" s="4"/>
      <c r="AI338" s="4"/>
      <c r="AJ338" s="4"/>
      <c r="AK338" s="4"/>
    </row>
    <row r="339" spans="28:37">
      <c r="AB339" s="102"/>
      <c r="AF339" s="4"/>
      <c r="AG339" s="4"/>
      <c r="AH339" s="4"/>
      <c r="AI339" s="4"/>
      <c r="AJ339" s="4"/>
      <c r="AK339" s="4"/>
    </row>
    <row r="340" spans="28:37">
      <c r="AB340" s="102"/>
      <c r="AF340" s="4"/>
      <c r="AG340" s="4"/>
      <c r="AH340" s="4"/>
      <c r="AI340" s="4"/>
      <c r="AJ340" s="4"/>
      <c r="AK340" s="4"/>
    </row>
    <row r="341" spans="28:37">
      <c r="AB341" s="102"/>
      <c r="AF341" s="4"/>
      <c r="AG341" s="4"/>
      <c r="AH341" s="4"/>
      <c r="AI341" s="4"/>
      <c r="AJ341" s="4"/>
      <c r="AK341" s="4"/>
    </row>
    <row r="342" spans="28:37">
      <c r="AB342" s="102"/>
      <c r="AF342" s="4"/>
      <c r="AG342" s="4"/>
      <c r="AH342" s="4"/>
      <c r="AI342" s="4"/>
      <c r="AJ342" s="4"/>
      <c r="AK342" s="4"/>
    </row>
    <row r="343" spans="28:37">
      <c r="AB343" s="102"/>
      <c r="AF343" s="4"/>
      <c r="AG343" s="4"/>
      <c r="AH343" s="4"/>
      <c r="AI343" s="4"/>
      <c r="AJ343" s="4"/>
      <c r="AK343" s="4"/>
    </row>
    <row r="344" spans="28:37">
      <c r="AB344" s="102"/>
      <c r="AF344" s="4"/>
      <c r="AG344" s="4"/>
      <c r="AH344" s="4"/>
      <c r="AI344" s="4"/>
      <c r="AJ344" s="4"/>
      <c r="AK344" s="4"/>
    </row>
    <row r="345" spans="28:37">
      <c r="AB345" s="102"/>
      <c r="AF345" s="4"/>
      <c r="AG345" s="4"/>
      <c r="AH345" s="4"/>
      <c r="AI345" s="4"/>
      <c r="AJ345" s="4"/>
      <c r="AK345" s="4"/>
    </row>
    <row r="346" spans="28:37">
      <c r="AB346" s="102"/>
      <c r="AF346" s="4"/>
      <c r="AG346" s="4"/>
      <c r="AH346" s="4"/>
      <c r="AI346" s="4"/>
      <c r="AJ346" s="4"/>
      <c r="AK346" s="4"/>
    </row>
    <row r="347" spans="28:37">
      <c r="AB347" s="102"/>
      <c r="AF347" s="4"/>
      <c r="AG347" s="4"/>
      <c r="AH347" s="4"/>
      <c r="AI347" s="4"/>
      <c r="AJ347" s="4"/>
      <c r="AK347" s="4"/>
    </row>
    <row r="348" spans="28:37">
      <c r="AB348" s="102"/>
      <c r="AF348" s="4"/>
      <c r="AG348" s="4"/>
      <c r="AH348" s="4"/>
      <c r="AI348" s="4"/>
      <c r="AJ348" s="4"/>
      <c r="AK348" s="4"/>
    </row>
    <row r="349" spans="28:37">
      <c r="AB349" s="102"/>
      <c r="AF349" s="4"/>
      <c r="AG349" s="4"/>
      <c r="AH349" s="4"/>
      <c r="AI349" s="4"/>
      <c r="AJ349" s="4"/>
      <c r="AK349" s="4"/>
    </row>
    <row r="350" spans="28:37">
      <c r="AB350" s="102"/>
      <c r="AF350" s="4"/>
      <c r="AG350" s="4"/>
      <c r="AH350" s="4"/>
      <c r="AI350" s="4"/>
      <c r="AJ350" s="4"/>
      <c r="AK350" s="4"/>
    </row>
    <row r="351" spans="28:37">
      <c r="AB351" s="102"/>
      <c r="AF351" s="4"/>
      <c r="AG351" s="4"/>
      <c r="AH351" s="4"/>
      <c r="AI351" s="4"/>
      <c r="AJ351" s="4"/>
      <c r="AK351" s="4"/>
    </row>
    <row r="352" spans="28:37">
      <c r="AB352" s="102"/>
      <c r="AF352" s="4"/>
      <c r="AG352" s="4"/>
      <c r="AH352" s="4"/>
      <c r="AI352" s="4"/>
      <c r="AJ352" s="4"/>
      <c r="AK352" s="4"/>
    </row>
    <row r="353" spans="28:37">
      <c r="AB353" s="102"/>
      <c r="AF353" s="4"/>
      <c r="AG353" s="4"/>
      <c r="AH353" s="4"/>
      <c r="AI353" s="4"/>
      <c r="AJ353" s="4"/>
      <c r="AK353" s="4"/>
    </row>
    <row r="354" spans="28:37">
      <c r="AB354" s="102"/>
      <c r="AF354" s="4"/>
      <c r="AG354" s="4"/>
      <c r="AH354" s="4"/>
      <c r="AI354" s="4"/>
      <c r="AJ354" s="4"/>
      <c r="AK354" s="4"/>
    </row>
    <row r="355" spans="28:37">
      <c r="AB355" s="102"/>
      <c r="AF355" s="4"/>
      <c r="AG355" s="4"/>
      <c r="AH355" s="4"/>
      <c r="AI355" s="4"/>
      <c r="AJ355" s="4"/>
      <c r="AK355" s="4"/>
    </row>
    <row r="356" spans="28:37">
      <c r="AB356" s="102"/>
      <c r="AF356" s="4"/>
      <c r="AG356" s="4"/>
      <c r="AH356" s="4"/>
      <c r="AI356" s="4"/>
      <c r="AJ356" s="4"/>
      <c r="AK356" s="4"/>
    </row>
    <row r="357" spans="28:37">
      <c r="AB357" s="102"/>
      <c r="AF357" s="4"/>
      <c r="AG357" s="4"/>
      <c r="AH357" s="4"/>
      <c r="AI357" s="4"/>
      <c r="AJ357" s="4"/>
      <c r="AK357" s="4"/>
    </row>
    <row r="358" spans="28:37">
      <c r="AB358" s="102"/>
      <c r="AF358" s="4"/>
      <c r="AG358" s="4"/>
      <c r="AH358" s="4"/>
      <c r="AI358" s="4"/>
      <c r="AJ358" s="4"/>
      <c r="AK358" s="4"/>
    </row>
    <row r="359" spans="28:37">
      <c r="AB359" s="102"/>
      <c r="AF359" s="4"/>
      <c r="AG359" s="4"/>
      <c r="AH359" s="4"/>
      <c r="AI359" s="4"/>
      <c r="AJ359" s="4"/>
      <c r="AK359" s="4"/>
    </row>
    <row r="360" spans="28:37">
      <c r="AB360" s="102"/>
      <c r="AF360" s="4"/>
      <c r="AG360" s="4"/>
      <c r="AH360" s="4"/>
      <c r="AI360" s="4"/>
      <c r="AJ360" s="4"/>
      <c r="AK360" s="4"/>
    </row>
    <row r="361" spans="28:37">
      <c r="AB361" s="102"/>
      <c r="AF361" s="4"/>
      <c r="AG361" s="4"/>
      <c r="AH361" s="4"/>
      <c r="AI361" s="4"/>
      <c r="AJ361" s="4"/>
      <c r="AK361" s="4"/>
    </row>
    <row r="362" spans="28:37">
      <c r="AB362" s="102"/>
      <c r="AF362" s="4"/>
      <c r="AG362" s="4"/>
      <c r="AH362" s="4"/>
      <c r="AI362" s="4"/>
      <c r="AJ362" s="4"/>
      <c r="AK362" s="4"/>
    </row>
    <row r="363" spans="28:37">
      <c r="AB363" s="102"/>
      <c r="AF363" s="4"/>
      <c r="AG363" s="4"/>
      <c r="AH363" s="4"/>
      <c r="AI363" s="4"/>
      <c r="AJ363" s="4"/>
      <c r="AK363" s="4"/>
    </row>
    <row r="364" spans="28:37">
      <c r="AB364" s="102"/>
      <c r="AF364" s="4"/>
      <c r="AG364" s="4"/>
      <c r="AH364" s="4"/>
      <c r="AI364" s="4"/>
      <c r="AJ364" s="4"/>
      <c r="AK364" s="4"/>
    </row>
    <row r="365" spans="28:37">
      <c r="AB365" s="102"/>
      <c r="AF365" s="4"/>
      <c r="AG365" s="4"/>
      <c r="AH365" s="4"/>
      <c r="AI365" s="4"/>
      <c r="AJ365" s="4"/>
      <c r="AK365" s="4"/>
    </row>
    <row r="366" spans="28:37">
      <c r="AB366" s="102"/>
      <c r="AF366" s="4"/>
      <c r="AG366" s="4"/>
      <c r="AH366" s="4"/>
      <c r="AI366" s="4"/>
      <c r="AJ366" s="4"/>
      <c r="AK366" s="4"/>
    </row>
    <row r="367" spans="28:37">
      <c r="AB367" s="102"/>
      <c r="AF367" s="4"/>
      <c r="AG367" s="4"/>
      <c r="AH367" s="4"/>
      <c r="AI367" s="4"/>
      <c r="AJ367" s="4"/>
      <c r="AK367" s="4"/>
    </row>
    <row r="368" spans="28:37">
      <c r="AB368" s="102"/>
      <c r="AF368" s="4"/>
      <c r="AG368" s="4"/>
      <c r="AH368" s="4"/>
      <c r="AI368" s="4"/>
      <c r="AJ368" s="4"/>
      <c r="AK368" s="4"/>
    </row>
    <row r="369" spans="28:37">
      <c r="AB369" s="102"/>
      <c r="AF369" s="4"/>
      <c r="AG369" s="4"/>
      <c r="AH369" s="4"/>
      <c r="AI369" s="4"/>
      <c r="AJ369" s="4"/>
      <c r="AK369" s="4"/>
    </row>
    <row r="370" spans="28:37">
      <c r="AB370" s="102"/>
      <c r="AF370" s="4"/>
      <c r="AG370" s="4"/>
      <c r="AH370" s="4"/>
      <c r="AI370" s="4"/>
      <c r="AJ370" s="4"/>
      <c r="AK370" s="4"/>
    </row>
    <row r="371" spans="28:37">
      <c r="AB371" s="102"/>
      <c r="AF371" s="4"/>
      <c r="AG371" s="4"/>
      <c r="AH371" s="4"/>
      <c r="AI371" s="4"/>
      <c r="AJ371" s="4"/>
      <c r="AK371" s="4"/>
    </row>
    <row r="372" spans="28:37">
      <c r="AB372" s="102"/>
      <c r="AF372" s="4"/>
      <c r="AG372" s="4"/>
      <c r="AH372" s="4"/>
      <c r="AI372" s="4"/>
      <c r="AJ372" s="4"/>
      <c r="AK372" s="4"/>
    </row>
    <row r="373" spans="28:37">
      <c r="AB373" s="102"/>
      <c r="AF373" s="4"/>
      <c r="AG373" s="4"/>
      <c r="AH373" s="4"/>
      <c r="AI373" s="4"/>
      <c r="AJ373" s="4"/>
      <c r="AK373" s="4"/>
    </row>
    <row r="374" spans="28:37">
      <c r="AB374" s="102"/>
      <c r="AF374" s="4"/>
      <c r="AG374" s="4"/>
      <c r="AH374" s="4"/>
      <c r="AI374" s="4"/>
      <c r="AJ374" s="4"/>
      <c r="AK374" s="4"/>
    </row>
    <row r="375" spans="28:37">
      <c r="AB375" s="102"/>
      <c r="AF375" s="4"/>
      <c r="AG375" s="4"/>
      <c r="AH375" s="4"/>
      <c r="AI375" s="4"/>
      <c r="AJ375" s="4"/>
      <c r="AK375" s="4"/>
    </row>
    <row r="376" spans="28:37">
      <c r="AB376" s="102"/>
      <c r="AF376" s="4"/>
      <c r="AG376" s="4"/>
      <c r="AH376" s="4"/>
      <c r="AI376" s="4"/>
      <c r="AJ376" s="4"/>
      <c r="AK376" s="4"/>
    </row>
    <row r="377" spans="28:37">
      <c r="AB377" s="102"/>
      <c r="AF377" s="4"/>
      <c r="AG377" s="4"/>
      <c r="AH377" s="4"/>
      <c r="AI377" s="4"/>
      <c r="AJ377" s="4"/>
      <c r="AK377" s="4"/>
    </row>
    <row r="378" spans="28:37">
      <c r="AB378" s="102"/>
      <c r="AF378" s="4"/>
      <c r="AG378" s="4"/>
      <c r="AH378" s="4"/>
      <c r="AI378" s="4"/>
      <c r="AJ378" s="4"/>
      <c r="AK378" s="4"/>
    </row>
    <row r="379" spans="28:37">
      <c r="AB379" s="102"/>
      <c r="AF379" s="4"/>
      <c r="AG379" s="4"/>
      <c r="AH379" s="4"/>
      <c r="AI379" s="4"/>
      <c r="AJ379" s="4"/>
      <c r="AK379" s="4"/>
    </row>
    <row r="380" spans="28:37">
      <c r="AB380" s="102"/>
      <c r="AF380" s="4"/>
      <c r="AG380" s="4"/>
      <c r="AH380" s="4"/>
      <c r="AI380" s="4"/>
      <c r="AJ380" s="4"/>
      <c r="AK380" s="4"/>
    </row>
    <row r="381" spans="28:37">
      <c r="AB381" s="102"/>
      <c r="AF381" s="4"/>
      <c r="AG381" s="4"/>
      <c r="AH381" s="4"/>
      <c r="AI381" s="4"/>
      <c r="AJ381" s="4"/>
      <c r="AK381" s="4"/>
    </row>
    <row r="382" spans="28:37">
      <c r="AB382" s="102"/>
      <c r="AF382" s="4"/>
      <c r="AG382" s="4"/>
      <c r="AH382" s="4"/>
      <c r="AI382" s="4"/>
      <c r="AJ382" s="4"/>
      <c r="AK382" s="4"/>
    </row>
    <row r="383" spans="28:37">
      <c r="AB383" s="102"/>
      <c r="AF383" s="4"/>
      <c r="AG383" s="4"/>
      <c r="AH383" s="4"/>
      <c r="AI383" s="4"/>
      <c r="AJ383" s="4"/>
      <c r="AK383" s="4"/>
    </row>
    <row r="384" spans="28:37">
      <c r="AB384" s="102"/>
      <c r="AF384" s="4"/>
      <c r="AG384" s="4"/>
      <c r="AH384" s="4"/>
      <c r="AI384" s="4"/>
      <c r="AJ384" s="4"/>
      <c r="AK384" s="4"/>
    </row>
    <row r="385" spans="28:37">
      <c r="AB385" s="102"/>
      <c r="AF385" s="4"/>
      <c r="AG385" s="4"/>
      <c r="AH385" s="4"/>
      <c r="AI385" s="4"/>
      <c r="AJ385" s="4"/>
      <c r="AK385" s="4"/>
    </row>
    <row r="386" spans="28:37">
      <c r="AB386" s="102"/>
      <c r="AF386" s="4"/>
      <c r="AG386" s="4"/>
      <c r="AH386" s="4"/>
      <c r="AI386" s="4"/>
      <c r="AJ386" s="4"/>
      <c r="AK386" s="4"/>
    </row>
    <row r="387" spans="28:37">
      <c r="AB387" s="102"/>
      <c r="AF387" s="4"/>
      <c r="AG387" s="4"/>
      <c r="AH387" s="4"/>
      <c r="AI387" s="4"/>
      <c r="AJ387" s="4"/>
      <c r="AK387" s="4"/>
    </row>
    <row r="388" spans="28:37">
      <c r="AB388" s="102"/>
      <c r="AF388" s="4"/>
      <c r="AG388" s="4"/>
      <c r="AH388" s="4"/>
      <c r="AI388" s="4"/>
      <c r="AJ388" s="4"/>
      <c r="AK388" s="4"/>
    </row>
    <row r="389" spans="28:37">
      <c r="AB389" s="102"/>
      <c r="AF389" s="4"/>
      <c r="AG389" s="4"/>
      <c r="AH389" s="4"/>
      <c r="AI389" s="4"/>
      <c r="AJ389" s="4"/>
      <c r="AK389" s="4"/>
    </row>
    <row r="390" spans="28:37">
      <c r="AB390" s="102"/>
      <c r="AF390" s="4"/>
      <c r="AG390" s="4"/>
      <c r="AH390" s="4"/>
      <c r="AI390" s="4"/>
      <c r="AJ390" s="4"/>
      <c r="AK390" s="4"/>
    </row>
    <row r="391" spans="28:37">
      <c r="AB391" s="102"/>
      <c r="AF391" s="4"/>
      <c r="AG391" s="4"/>
      <c r="AH391" s="4"/>
      <c r="AI391" s="4"/>
      <c r="AJ391" s="4"/>
      <c r="AK391" s="4"/>
    </row>
    <row r="392" spans="28:37">
      <c r="AB392" s="102"/>
      <c r="AF392" s="4"/>
      <c r="AG392" s="4"/>
      <c r="AH392" s="4"/>
      <c r="AI392" s="4"/>
      <c r="AJ392" s="4"/>
      <c r="AK392" s="4"/>
    </row>
    <row r="393" spans="28:37">
      <c r="AB393" s="102"/>
      <c r="AF393" s="4"/>
      <c r="AG393" s="4"/>
      <c r="AH393" s="4"/>
      <c r="AI393" s="4"/>
      <c r="AJ393" s="4"/>
      <c r="AK393" s="4"/>
    </row>
    <row r="394" spans="28:37">
      <c r="AB394" s="102"/>
      <c r="AF394" s="4"/>
      <c r="AG394" s="4"/>
      <c r="AH394" s="4"/>
      <c r="AI394" s="4"/>
      <c r="AJ394" s="4"/>
      <c r="AK394" s="4"/>
    </row>
    <row r="395" spans="28:37">
      <c r="AB395" s="102"/>
      <c r="AF395" s="4"/>
      <c r="AG395" s="4"/>
      <c r="AH395" s="4"/>
      <c r="AI395" s="4"/>
      <c r="AJ395" s="4"/>
      <c r="AK395" s="4"/>
    </row>
    <row r="396" spans="28:37">
      <c r="AB396" s="102"/>
      <c r="AF396" s="4"/>
      <c r="AG396" s="4"/>
      <c r="AH396" s="4"/>
      <c r="AI396" s="4"/>
      <c r="AJ396" s="4"/>
      <c r="AK396" s="4"/>
    </row>
    <row r="397" spans="28:37">
      <c r="AB397" s="102"/>
      <c r="AF397" s="4"/>
      <c r="AG397" s="4"/>
      <c r="AH397" s="4"/>
      <c r="AI397" s="4"/>
      <c r="AJ397" s="4"/>
      <c r="AK397" s="4"/>
    </row>
    <row r="398" spans="28:37">
      <c r="AB398" s="102"/>
      <c r="AF398" s="4"/>
      <c r="AG398" s="4"/>
      <c r="AH398" s="4"/>
      <c r="AI398" s="4"/>
      <c r="AJ398" s="4"/>
      <c r="AK398" s="4"/>
    </row>
    <row r="399" spans="28:37">
      <c r="AB399" s="102"/>
      <c r="AF399" s="4"/>
      <c r="AG399" s="4"/>
      <c r="AH399" s="4"/>
      <c r="AI399" s="4"/>
      <c r="AJ399" s="4"/>
      <c r="AK399" s="4"/>
    </row>
    <row r="400" spans="28:37">
      <c r="AB400" s="102"/>
      <c r="AF400" s="4"/>
      <c r="AG400" s="4"/>
      <c r="AH400" s="4"/>
      <c r="AI400" s="4"/>
      <c r="AJ400" s="4"/>
      <c r="AK400" s="4"/>
    </row>
    <row r="401" spans="28:37">
      <c r="AB401" s="102"/>
      <c r="AF401" s="4"/>
      <c r="AG401" s="4"/>
      <c r="AH401" s="4"/>
      <c r="AI401" s="4"/>
      <c r="AJ401" s="4"/>
      <c r="AK401" s="4"/>
    </row>
    <row r="402" spans="28:37">
      <c r="AB402" s="102"/>
      <c r="AF402" s="4"/>
      <c r="AG402" s="4"/>
      <c r="AH402" s="4"/>
      <c r="AI402" s="4"/>
      <c r="AJ402" s="4"/>
      <c r="AK402" s="4"/>
    </row>
    <row r="403" spans="28:37">
      <c r="AB403" s="102"/>
      <c r="AF403" s="4"/>
      <c r="AG403" s="4"/>
      <c r="AH403" s="4"/>
      <c r="AI403" s="4"/>
      <c r="AJ403" s="4"/>
      <c r="AK403" s="4"/>
    </row>
    <row r="404" spans="28:37">
      <c r="AB404" s="102"/>
      <c r="AF404" s="4"/>
      <c r="AG404" s="4"/>
      <c r="AH404" s="4"/>
      <c r="AI404" s="4"/>
      <c r="AJ404" s="4"/>
      <c r="AK404" s="4"/>
    </row>
    <row r="405" spans="28:37">
      <c r="AB405" s="102"/>
      <c r="AF405" s="4"/>
      <c r="AG405" s="4"/>
      <c r="AH405" s="4"/>
      <c r="AI405" s="4"/>
      <c r="AJ405" s="4"/>
      <c r="AK405" s="4"/>
    </row>
    <row r="406" spans="28:37">
      <c r="AB406" s="102"/>
      <c r="AF406" s="4"/>
      <c r="AG406" s="4"/>
      <c r="AH406" s="4"/>
      <c r="AI406" s="4"/>
      <c r="AJ406" s="4"/>
      <c r="AK406" s="4"/>
    </row>
    <row r="407" spans="28:37">
      <c r="AB407" s="102"/>
      <c r="AF407" s="4"/>
      <c r="AG407" s="4"/>
      <c r="AH407" s="4"/>
      <c r="AI407" s="4"/>
      <c r="AJ407" s="4"/>
      <c r="AK407" s="4"/>
    </row>
    <row r="408" spans="28:37">
      <c r="AB408" s="102"/>
      <c r="AF408" s="4"/>
      <c r="AG408" s="4"/>
      <c r="AH408" s="4"/>
      <c r="AI408" s="4"/>
      <c r="AJ408" s="4"/>
      <c r="AK408" s="4"/>
    </row>
    <row r="409" spans="28:37">
      <c r="AB409" s="102"/>
      <c r="AF409" s="4"/>
      <c r="AG409" s="4"/>
      <c r="AH409" s="4"/>
      <c r="AI409" s="4"/>
      <c r="AJ409" s="4"/>
      <c r="AK409" s="4"/>
    </row>
    <row r="410" spans="28:37">
      <c r="AB410" s="102"/>
      <c r="AF410" s="4"/>
      <c r="AG410" s="4"/>
      <c r="AH410" s="4"/>
      <c r="AI410" s="4"/>
      <c r="AJ410" s="4"/>
      <c r="AK410" s="4"/>
    </row>
    <row r="411" spans="28:37">
      <c r="AB411" s="102"/>
      <c r="AF411" s="4"/>
      <c r="AG411" s="4"/>
      <c r="AH411" s="4"/>
      <c r="AI411" s="4"/>
      <c r="AJ411" s="4"/>
      <c r="AK411" s="4"/>
    </row>
    <row r="412" spans="28:37">
      <c r="AB412" s="102"/>
      <c r="AF412" s="4"/>
      <c r="AG412" s="4"/>
      <c r="AH412" s="4"/>
      <c r="AI412" s="4"/>
      <c r="AJ412" s="4"/>
      <c r="AK412" s="4"/>
    </row>
    <row r="413" spans="28:37">
      <c r="AB413" s="102"/>
      <c r="AF413" s="4"/>
      <c r="AG413" s="4"/>
      <c r="AH413" s="4"/>
      <c r="AI413" s="4"/>
      <c r="AJ413" s="4"/>
      <c r="AK413" s="4"/>
    </row>
    <row r="414" spans="28:37">
      <c r="AB414" s="102"/>
      <c r="AF414" s="4"/>
      <c r="AG414" s="4"/>
      <c r="AH414" s="4"/>
      <c r="AI414" s="4"/>
      <c r="AJ414" s="4"/>
      <c r="AK414" s="4"/>
    </row>
    <row r="415" spans="28:37">
      <c r="AB415" s="102"/>
      <c r="AF415" s="4"/>
      <c r="AG415" s="4"/>
      <c r="AH415" s="4"/>
      <c r="AI415" s="4"/>
      <c r="AJ415" s="4"/>
      <c r="AK415" s="4"/>
    </row>
    <row r="416" spans="28:37">
      <c r="AB416" s="102"/>
      <c r="AF416" s="4"/>
      <c r="AG416" s="4"/>
      <c r="AH416" s="4"/>
      <c r="AI416" s="4"/>
      <c r="AJ416" s="4"/>
      <c r="AK416" s="4"/>
    </row>
    <row r="417" spans="28:37">
      <c r="AB417" s="102"/>
      <c r="AF417" s="4"/>
      <c r="AG417" s="4"/>
      <c r="AH417" s="4"/>
      <c r="AI417" s="4"/>
      <c r="AJ417" s="4"/>
      <c r="AK417" s="4"/>
    </row>
    <row r="418" spans="28:37">
      <c r="AB418" s="102"/>
      <c r="AF418" s="4"/>
      <c r="AG418" s="4"/>
      <c r="AH418" s="4"/>
      <c r="AI418" s="4"/>
      <c r="AJ418" s="4"/>
      <c r="AK418" s="4"/>
    </row>
    <row r="419" spans="28:37">
      <c r="AB419" s="102"/>
      <c r="AF419" s="4"/>
      <c r="AG419" s="4"/>
      <c r="AH419" s="4"/>
      <c r="AI419" s="4"/>
      <c r="AJ419" s="4"/>
      <c r="AK419" s="4"/>
    </row>
    <row r="420" spans="28:37">
      <c r="AB420" s="102"/>
      <c r="AF420" s="4"/>
      <c r="AG420" s="4"/>
      <c r="AH420" s="4"/>
      <c r="AI420" s="4"/>
      <c r="AJ420" s="4"/>
      <c r="AK420" s="4"/>
    </row>
    <row r="421" spans="28:37">
      <c r="AB421" s="102"/>
      <c r="AF421" s="4"/>
      <c r="AG421" s="4"/>
      <c r="AH421" s="4"/>
      <c r="AI421" s="4"/>
      <c r="AJ421" s="4"/>
      <c r="AK421" s="4"/>
    </row>
    <row r="422" spans="28:37">
      <c r="AB422" s="102"/>
      <c r="AF422" s="4"/>
      <c r="AG422" s="4"/>
      <c r="AH422" s="4"/>
      <c r="AI422" s="4"/>
      <c r="AJ422" s="4"/>
      <c r="AK422" s="4"/>
    </row>
    <row r="423" spans="28:37">
      <c r="AB423" s="102"/>
      <c r="AF423" s="4"/>
      <c r="AG423" s="4"/>
      <c r="AH423" s="4"/>
      <c r="AI423" s="4"/>
      <c r="AJ423" s="4"/>
      <c r="AK423" s="4"/>
    </row>
    <row r="424" spans="28:37">
      <c r="AB424" s="102"/>
      <c r="AF424" s="4"/>
      <c r="AG424" s="4"/>
      <c r="AH424" s="4"/>
      <c r="AI424" s="4"/>
      <c r="AJ424" s="4"/>
      <c r="AK424" s="4"/>
    </row>
    <row r="425" spans="28:37">
      <c r="AB425" s="102"/>
      <c r="AF425" s="4"/>
      <c r="AG425" s="4"/>
      <c r="AH425" s="4"/>
      <c r="AI425" s="4"/>
      <c r="AJ425" s="4"/>
      <c r="AK425" s="4"/>
    </row>
    <row r="426" spans="28:37">
      <c r="AB426" s="102"/>
      <c r="AF426" s="4"/>
      <c r="AG426" s="4"/>
      <c r="AH426" s="4"/>
      <c r="AI426" s="4"/>
      <c r="AJ426" s="4"/>
      <c r="AK426" s="4"/>
    </row>
    <row r="427" spans="28:37">
      <c r="AB427" s="102"/>
      <c r="AF427" s="4"/>
      <c r="AG427" s="4"/>
      <c r="AH427" s="4"/>
      <c r="AI427" s="4"/>
      <c r="AJ427" s="4"/>
      <c r="AK427" s="4"/>
    </row>
    <row r="428" spans="28:37">
      <c r="AB428" s="102"/>
      <c r="AF428" s="4"/>
      <c r="AG428" s="4"/>
      <c r="AH428" s="4"/>
      <c r="AI428" s="4"/>
      <c r="AJ428" s="4"/>
      <c r="AK428" s="4"/>
    </row>
    <row r="429" spans="28:37">
      <c r="AB429" s="102"/>
      <c r="AF429" s="4"/>
      <c r="AG429" s="4"/>
      <c r="AH429" s="4"/>
      <c r="AI429" s="4"/>
      <c r="AJ429" s="4"/>
      <c r="AK429" s="4"/>
    </row>
    <row r="430" spans="28:37">
      <c r="AB430" s="102"/>
      <c r="AF430" s="4"/>
      <c r="AG430" s="4"/>
      <c r="AH430" s="4"/>
      <c r="AI430" s="4"/>
      <c r="AJ430" s="4"/>
      <c r="AK430" s="4"/>
    </row>
  </sheetData>
  <mergeCells count="1">
    <mergeCell ref="Q2:X2"/>
  </mergeCells>
  <phoneticPr fontId="23" type="noConversion"/>
  <hyperlinks>
    <hyperlink ref="E101" r:id="rId1" xr:uid="{67F91B27-0EE0-4E9E-9B1D-5C46EBA86899}"/>
  </hyperlinks>
  <pageMargins left="0.511811024" right="0.511811024" top="0.78740157499999996" bottom="0.78740157499999996" header="0.31496062000000002" footer="0.31496062000000002"/>
  <pageSetup paperSize="9" orientation="portrait"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9">
    <tabColor rgb="FFF8F192"/>
  </sheetPr>
  <dimension ref="A2:AA183"/>
  <sheetViews>
    <sheetView zoomScale="40" zoomScaleNormal="40" workbookViewId="0">
      <selection activeCell="S98" sqref="S98"/>
    </sheetView>
  </sheetViews>
  <sheetFormatPr defaultRowHeight="14.5"/>
  <cols>
    <col min="2" max="2" width="15.90625" bestFit="1" customWidth="1"/>
    <col min="3" max="3" width="18.453125" customWidth="1"/>
    <col min="4" max="4" width="14.54296875" customWidth="1"/>
    <col min="5" max="5" width="31" customWidth="1"/>
    <col min="6" max="6" width="12.453125" customWidth="1"/>
    <col min="7" max="7" width="12.54296875" customWidth="1"/>
    <col min="8" max="8" width="11.453125" customWidth="1"/>
    <col min="10" max="10" width="12.54296875" customWidth="1"/>
    <col min="11" max="11" width="15.453125" bestFit="1" customWidth="1"/>
    <col min="12" max="12" width="15.54296875" customWidth="1"/>
    <col min="13" max="13" width="22.90625" customWidth="1"/>
    <col min="14" max="14" width="14.453125" bestFit="1" customWidth="1"/>
    <col min="15" max="15" width="15.453125" bestFit="1" customWidth="1"/>
    <col min="16" max="16" width="14.90625" customWidth="1"/>
    <col min="17" max="17" width="14.453125" bestFit="1" customWidth="1"/>
    <col min="18" max="18" width="20.453125" bestFit="1" customWidth="1"/>
    <col min="19" max="19" width="11.453125" customWidth="1"/>
    <col min="22" max="22" width="12.54296875" bestFit="1" customWidth="1"/>
    <col min="23" max="23" width="15.08984375" customWidth="1"/>
    <col min="25" max="25" width="21.453125" bestFit="1" customWidth="1"/>
    <col min="26" max="26" width="19.90625" customWidth="1"/>
  </cols>
  <sheetData>
    <row r="2" spans="1:24" ht="28.5" customHeight="1"/>
    <row r="4" spans="1:24">
      <c r="X4" s="32"/>
    </row>
    <row r="5" spans="1:24" ht="26">
      <c r="A5" t="s">
        <v>46</v>
      </c>
      <c r="B5" t="s">
        <v>11</v>
      </c>
      <c r="C5" s="38" t="s">
        <v>11</v>
      </c>
      <c r="D5" s="11" t="s">
        <v>46</v>
      </c>
      <c r="E5" s="11" t="s">
        <v>96</v>
      </c>
      <c r="F5" s="29" t="s">
        <v>47</v>
      </c>
      <c r="G5" s="29" t="s">
        <v>48</v>
      </c>
      <c r="H5" s="29" t="s">
        <v>49</v>
      </c>
      <c r="I5" s="29" t="s">
        <v>50</v>
      </c>
      <c r="J5" s="29" t="s">
        <v>90</v>
      </c>
      <c r="K5" s="30" t="s">
        <v>94</v>
      </c>
      <c r="L5" s="30" t="s">
        <v>91</v>
      </c>
      <c r="M5" s="30" t="s">
        <v>92</v>
      </c>
      <c r="N5" s="30" t="s">
        <v>2</v>
      </c>
      <c r="O5" s="30" t="s">
        <v>93</v>
      </c>
      <c r="P5" s="30" t="s">
        <v>49</v>
      </c>
      <c r="Q5" s="30" t="s">
        <v>50</v>
      </c>
      <c r="R5" s="30" t="s">
        <v>95</v>
      </c>
      <c r="S5" s="9" t="s">
        <v>107</v>
      </c>
      <c r="X5" s="32"/>
    </row>
    <row r="6" spans="1:24" hidden="1">
      <c r="A6">
        <v>385</v>
      </c>
      <c r="B6" t="str">
        <f>VLOOKUP(C6,Efeito!$A$5:$B$56,2,FALSE)</f>
        <v>NO SELECT</v>
      </c>
      <c r="C6" s="39" t="s">
        <v>51</v>
      </c>
      <c r="D6" s="12" t="s">
        <v>476</v>
      </c>
      <c r="E6" s="12" t="str">
        <f t="shared" ref="E6:E41" si="0">CONCATENATE(C6," (",D6,")")</f>
        <v>Cedri (Neoenergia Elektro)</v>
      </c>
      <c r="F6" s="155">
        <f>SUMIFS(Banco[valor],Banco[IdAgente],B6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6" s="155">
        <f>VLOOKUP(A6,'BD2'!$BD$1:$BF$50,3,FALSE)</f>
        <v>750.87800204276402</v>
      </c>
      <c r="H6" s="24">
        <f>SUMIFS(Banco[valor],Banco[IdAgente],B6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6" s="24">
        <f>SUMIFS(Banco[valor],Banco[IdAgente],B6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6" s="24" t="e">
        <f t="shared" ref="J6:J41" si="1">(P6+Q6)/K6</f>
        <v>#DIV/0!</v>
      </c>
      <c r="K6" s="25">
        <f t="shared" ref="K6:K55" si="2">SUM(L6:O6)</f>
        <v>0</v>
      </c>
      <c r="L6" s="23">
        <f>'Parcela A'!AV6</f>
        <v>0</v>
      </c>
      <c r="M6" s="25">
        <f>'Parcela A'!AA6</f>
        <v>0</v>
      </c>
      <c r="N6" s="25">
        <f>'Parcela A'!T6</f>
        <v>0</v>
      </c>
      <c r="O6" s="25">
        <f>IF(S6="8.1",VLOOKUP(C6,TABParcelaB81,5,FALSE),VLOOKUP(C6,TABPArcelaB84,6,FALSE))</f>
        <v>0</v>
      </c>
      <c r="P6" s="25">
        <f t="shared" ref="P6:P55" si="3">R6*H6</f>
        <v>0</v>
      </c>
      <c r="Q6" s="25">
        <f t="shared" ref="Q6:Q55" si="4">R6*I6</f>
        <v>0</v>
      </c>
      <c r="R6" s="23">
        <f t="shared" ref="R6:R55" si="5">K6/(1-H6-I6)</f>
        <v>0</v>
      </c>
      <c r="S6" s="21" t="s">
        <v>109</v>
      </c>
      <c r="X6" s="32"/>
    </row>
    <row r="7" spans="1:24" hidden="1">
      <c r="A7">
        <v>385</v>
      </c>
      <c r="B7" t="str">
        <f>VLOOKUP(C7,Efeito!$A$5:$B$56,2,FALSE)</f>
        <v>NO SELECT</v>
      </c>
      <c r="C7" s="39" t="s">
        <v>223</v>
      </c>
      <c r="D7" s="12" t="s">
        <v>476</v>
      </c>
      <c r="E7" s="12" t="str">
        <f>CONCATENATE(C7," (",D7,")")</f>
        <v>Cervam (Neoenergia Elektro)</v>
      </c>
      <c r="F7" s="155">
        <f>SUMIFS(Banco[valor],Banco[IdAgente],B7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7" s="155">
        <f>VLOOKUP(A7,'BD2'!$BD$1:$BF$50,3,FALSE)</f>
        <v>750.87800204276402</v>
      </c>
      <c r="H7" s="24">
        <f>SUMIFS(Banco[valor],Banco[IdAgente],B7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7" s="24">
        <f>SUMIFS(Banco[valor],Banco[IdAgente],B7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7" s="24" t="e">
        <f>(P7+Q7)/K7</f>
        <v>#DIV/0!</v>
      </c>
      <c r="K7" s="25">
        <f>SUM(L7:O7)</f>
        <v>0</v>
      </c>
      <c r="L7" s="23">
        <f>'Parcela A'!AV48</f>
        <v>0</v>
      </c>
      <c r="M7" s="25">
        <f>'Parcela A'!AA48</f>
        <v>0</v>
      </c>
      <c r="N7" s="25">
        <f>'Parcela A'!T48</f>
        <v>0</v>
      </c>
      <c r="O7" s="25">
        <f>IF(S7="8.1",VLOOKUP(C7,TABParcelaB81,5,FALSE),VLOOKUP(C7,TABPArcelaB84,6,FALSE))</f>
        <v>0</v>
      </c>
      <c r="P7" s="25">
        <f>R7*H7</f>
        <v>0</v>
      </c>
      <c r="Q7" s="25">
        <f>R7*I7</f>
        <v>0</v>
      </c>
      <c r="R7" s="23">
        <f>K7/(1-H7-I7)</f>
        <v>0</v>
      </c>
      <c r="S7" s="21" t="s">
        <v>109</v>
      </c>
      <c r="V7" s="32"/>
      <c r="X7" s="32"/>
    </row>
    <row r="8" spans="1:24" hidden="1">
      <c r="A8">
        <v>391</v>
      </c>
      <c r="B8" t="str">
        <f>VLOOKUP(C8,Efeito!$A$5:$B$56,2,FALSE)</f>
        <v>NO SELECT</v>
      </c>
      <c r="C8" s="39" t="s">
        <v>147</v>
      </c>
      <c r="D8" s="12" t="s">
        <v>478</v>
      </c>
      <c r="E8" s="12" t="str">
        <f>CONCATENATE(C8," (",D8,")")</f>
        <v>Cedrap (EDP SP)</v>
      </c>
      <c r="F8" s="155">
        <f>SUMIFS(Banco[valor],Banco[IdAgente],B8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8" s="422">
        <f>VLOOKUP(A8,'BD2'!$BD$1:$BF$50,3,FALSE)</f>
        <v>697.94764656179598</v>
      </c>
      <c r="H8" s="24">
        <f>SUMIFS(Banco[valor],Banco[IdAgente],B8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8" s="24">
        <f>SUMIFS(Banco[valor],Banco[IdAgente],B8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8" s="24" t="e">
        <f>(P8+Q8)/K8</f>
        <v>#DIV/0!</v>
      </c>
      <c r="K8" s="25">
        <f>SUM(L8:O8)</f>
        <v>0</v>
      </c>
      <c r="L8" s="23">
        <f>'Parcela A'!AV5</f>
        <v>0</v>
      </c>
      <c r="M8" s="25">
        <f>'Parcela A'!AA5</f>
        <v>0</v>
      </c>
      <c r="N8" s="25">
        <f>'Parcela A'!T5</f>
        <v>0</v>
      </c>
      <c r="O8" s="25">
        <f>IF(S8="8.1",VLOOKUP(C8,TABParcelaB81,5,FALSE),VLOOKUP(C8,TABPArcelaB84,6,FALSE))</f>
        <v>0</v>
      </c>
      <c r="P8" s="25">
        <f>R8*H8</f>
        <v>0</v>
      </c>
      <c r="Q8" s="25">
        <f t="shared" ref="Q8" si="6">R8*I8</f>
        <v>0</v>
      </c>
      <c r="R8" s="23">
        <f t="shared" ref="R8" si="7">K8/(1-H8-I8)</f>
        <v>0</v>
      </c>
      <c r="S8" s="21" t="s">
        <v>109</v>
      </c>
      <c r="X8" s="32"/>
    </row>
    <row r="9" spans="1:24" hidden="1">
      <c r="A9">
        <v>5697</v>
      </c>
      <c r="B9" t="str">
        <f>VLOOKUP(C9,Efeito!$A$5:$B$56,2,FALSE)</f>
        <v>NO SELECT</v>
      </c>
      <c r="C9" s="39" t="s">
        <v>65</v>
      </c>
      <c r="D9" s="12" t="s">
        <v>479</v>
      </c>
      <c r="E9" s="12" t="str">
        <f t="shared" si="0"/>
        <v>Cejama (Celesc-Dis)</v>
      </c>
      <c r="F9" s="155">
        <f>SUMIFS(Banco[valor],Banco[IdAgente],B9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9" s="155">
        <f>VLOOKUP(A9,'BD2'!$BD$1:$BF$50,3,FALSE)</f>
        <v>592.96601584686096</v>
      </c>
      <c r="H9" s="24">
        <f>SUMIFS(Banco[valor],Banco[IdAgente],B9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9" s="24">
        <f>SUMIFS(Banco[valor],Banco[IdAgente],B9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9" s="24" t="e">
        <f t="shared" si="1"/>
        <v>#DIV/0!</v>
      </c>
      <c r="K9" s="25">
        <f t="shared" si="2"/>
        <v>0</v>
      </c>
      <c r="L9" s="23">
        <f>'Parcela A'!AV7</f>
        <v>0</v>
      </c>
      <c r="M9" s="25">
        <f>'Parcela A'!AA7</f>
        <v>0</v>
      </c>
      <c r="N9" s="25">
        <f>'Parcela A'!T7</f>
        <v>0</v>
      </c>
      <c r="O9" s="25">
        <f>IF(S9="8.1",VLOOKUP(C9,TABParcelaB81,5,FALSE),VLOOKUP(C9,TABPArcelaB84,6,FALSE))</f>
        <v>0</v>
      </c>
      <c r="P9" s="25">
        <f t="shared" si="3"/>
        <v>0</v>
      </c>
      <c r="Q9" s="25">
        <f t="shared" si="4"/>
        <v>0</v>
      </c>
      <c r="R9" s="23">
        <f t="shared" si="5"/>
        <v>0</v>
      </c>
      <c r="S9" s="21" t="s">
        <v>109</v>
      </c>
      <c r="X9" s="32"/>
    </row>
    <row r="10" spans="1:24">
      <c r="A10">
        <v>5697</v>
      </c>
      <c r="B10">
        <f>VLOOKUP(C10,Efeito!$A$5:$B$56,2,FALSE)</f>
        <v>5367</v>
      </c>
      <c r="C10" s="39" t="s">
        <v>150</v>
      </c>
      <c r="D10" s="12" t="s">
        <v>479</v>
      </c>
      <c r="E10" s="12" t="str">
        <f t="shared" si="0"/>
        <v>Ceprag (Celesc-Dis)</v>
      </c>
      <c r="F10" s="155">
        <f>SUMIFS(Banco[valor],Banco[IdAgente],B10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672.13</v>
      </c>
      <c r="G10" s="155">
        <f>VLOOKUP(A10,'BD2'!$BD$1:$BF$50,3,FALSE)</f>
        <v>592.96601584686096</v>
      </c>
      <c r="H10" s="24">
        <f>SUMIFS(Banco[valor],Banco[IdAgente],B10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1.93281109854064E-4</v>
      </c>
      <c r="I10" s="24">
        <f>SUMIFS(Banco[valor],Banco[IdAgente],B10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0.112960875564215</v>
      </c>
      <c r="J10" s="24">
        <f t="shared" si="1"/>
        <v>0.12759168634055715</v>
      </c>
      <c r="K10" s="25">
        <f t="shared" si="2"/>
        <v>56005172.761328928</v>
      </c>
      <c r="L10" s="23">
        <f>'Parcela A'!AV8</f>
        <v>12166607.177655431</v>
      </c>
      <c r="M10" s="25">
        <f>'Parcela A'!AA8</f>
        <v>7462030.3475799998</v>
      </c>
      <c r="N10" s="25">
        <f>'Parcela A'!T8</f>
        <v>8376535.2360934997</v>
      </c>
      <c r="O10" s="25">
        <f>IF(S10="8.1",VLOOKUP(C10,TABParcelaB81,5,FALSE),VLOOKUP(C10,TABPArcelaB84,6,FALSE))</f>
        <v>28000000</v>
      </c>
      <c r="P10" s="25">
        <f t="shared" si="3"/>
        <v>12205.889028336995</v>
      </c>
      <c r="Q10" s="25">
        <f t="shared" si="4"/>
        <v>7133588.5473838579</v>
      </c>
      <c r="R10" s="23">
        <f t="shared" si="5"/>
        <v>63150967.197741121</v>
      </c>
      <c r="S10" s="21" t="s">
        <v>109</v>
      </c>
      <c r="X10" s="32"/>
    </row>
    <row r="11" spans="1:24" hidden="1">
      <c r="A11">
        <v>5697</v>
      </c>
      <c r="B11" t="str">
        <f>VLOOKUP(C11,Efeito!$A$5:$B$56,2,FALSE)</f>
        <v>NO SELECT</v>
      </c>
      <c r="C11" s="39" t="s">
        <v>66</v>
      </c>
      <c r="D11" s="12" t="s">
        <v>479</v>
      </c>
      <c r="E11" s="12" t="str">
        <f t="shared" si="0"/>
        <v>Ceraçá (Celesc-Dis)</v>
      </c>
      <c r="F11" s="155">
        <f>SUMIFS(Banco[valor],Banco[IdAgente],B11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11" s="155">
        <f>VLOOKUP(A11,'BD2'!$BD$1:$BF$50,3,FALSE)</f>
        <v>592.96601584686096</v>
      </c>
      <c r="H11" s="24">
        <f>SUMIFS(Banco[valor],Banco[IdAgente],B11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11" s="24">
        <f>SUMIFS(Banco[valor],Banco[IdAgente],B11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11" s="24" t="e">
        <f t="shared" si="1"/>
        <v>#DIV/0!</v>
      </c>
      <c r="K11" s="25">
        <f t="shared" si="2"/>
        <v>0</v>
      </c>
      <c r="L11" s="23">
        <f>'Parcela A'!AV9</f>
        <v>0</v>
      </c>
      <c r="M11" s="25">
        <f>'Parcela A'!AA9</f>
        <v>0</v>
      </c>
      <c r="N11" s="25">
        <f>'Parcela A'!T9</f>
        <v>0</v>
      </c>
      <c r="O11" s="25">
        <f>IF(S11="8.1",VLOOKUP(C11,TABParcelaB81,5,FALSE),VLOOKUP(C11,TABPArcelaB84,6,FALSE))</f>
        <v>0</v>
      </c>
      <c r="P11" s="25">
        <f t="shared" si="3"/>
        <v>0</v>
      </c>
      <c r="Q11" s="25">
        <f t="shared" si="4"/>
        <v>0</v>
      </c>
      <c r="R11" s="23">
        <f t="shared" si="5"/>
        <v>0</v>
      </c>
      <c r="S11" s="21" t="s">
        <v>109</v>
      </c>
      <c r="X11" s="32"/>
    </row>
    <row r="12" spans="1:24" hidden="1">
      <c r="A12">
        <v>6898</v>
      </c>
      <c r="B12" t="str">
        <f>VLOOKUP(C12,Efeito!$A$5:$B$56,2,FALSE)</f>
        <v>NO SELECT</v>
      </c>
      <c r="C12" s="39" t="s">
        <v>153</v>
      </c>
      <c r="D12" s="12" t="s">
        <v>54</v>
      </c>
      <c r="E12" s="12" t="str">
        <f t="shared" si="0"/>
        <v>Ceral Anitápolis (Cerbranorte)</v>
      </c>
      <c r="F12" s="155">
        <f>SUMIFS(Banco[valor],Banco[IdAgente],B12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12" s="155">
        <f>VLOOKUP(A12,'BD2'!$BD$1:$BF$50,3,FALSE)</f>
        <v>592.9</v>
      </c>
      <c r="H12" s="24">
        <f>SUMIFS(Banco[valor],Banco[IdAgente],B12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12" s="24">
        <f>SUMIFS(Banco[valor],Banco[IdAgente],B12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12" s="24" t="e">
        <f t="shared" si="1"/>
        <v>#DIV/0!</v>
      </c>
      <c r="K12" s="25">
        <f t="shared" si="2"/>
        <v>0</v>
      </c>
      <c r="L12" s="23">
        <f>'Parcela A'!AV10</f>
        <v>0</v>
      </c>
      <c r="M12" s="25">
        <f>'Parcela A'!AA10</f>
        <v>0</v>
      </c>
      <c r="N12" s="25">
        <f>'Parcela A'!T10</f>
        <v>0</v>
      </c>
      <c r="O12" s="25">
        <f>IF(S12="8.1",VLOOKUP(C12,TABParcelaB81,5,FALSE),VLOOKUP(C12,TABPArcelaB84,6,FALSE))</f>
        <v>0</v>
      </c>
      <c r="P12" s="25">
        <f t="shared" si="3"/>
        <v>0</v>
      </c>
      <c r="Q12" s="25">
        <f t="shared" si="4"/>
        <v>0</v>
      </c>
      <c r="R12" s="23">
        <f t="shared" si="5"/>
        <v>0</v>
      </c>
      <c r="S12" s="21" t="s">
        <v>109</v>
      </c>
      <c r="X12" s="32"/>
    </row>
    <row r="13" spans="1:24" hidden="1">
      <c r="A13">
        <v>2866</v>
      </c>
      <c r="B13" t="str">
        <f>VLOOKUP(C13,Efeito!$A$5:$B$56,2,FALSE)</f>
        <v>NO SELECT</v>
      </c>
      <c r="C13" s="39" t="s">
        <v>156</v>
      </c>
      <c r="D13" s="12" t="s">
        <v>263</v>
      </c>
      <c r="E13" s="12" t="str">
        <f t="shared" si="0"/>
        <v>Ceral Dis (Copel-Dis)</v>
      </c>
      <c r="F13" s="155">
        <f>SUMIFS(Banco[valor],Banco[IdAgente],B13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13" s="155">
        <f>VLOOKUP(A13,'BD2'!$BD$1:$BF$50,3,FALSE)</f>
        <v>630.49</v>
      </c>
      <c r="H13" s="24">
        <f>SUMIFS(Banco[valor],Banco[IdAgente],B13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13" s="24">
        <f>SUMIFS(Banco[valor],Banco[IdAgente],B13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13" s="24" t="e">
        <f t="shared" si="1"/>
        <v>#DIV/0!</v>
      </c>
      <c r="K13" s="25">
        <f t="shared" si="2"/>
        <v>0</v>
      </c>
      <c r="L13" s="23">
        <f>'Parcela A'!AV11</f>
        <v>0</v>
      </c>
      <c r="M13" s="25">
        <f>'Parcela A'!AA11</f>
        <v>0</v>
      </c>
      <c r="N13" s="25">
        <f>'Parcela A'!T11</f>
        <v>0</v>
      </c>
      <c r="O13" s="25">
        <f>IF(S13="8.1",VLOOKUP(C13,TABParcelaB81,5,FALSE),VLOOKUP(C13,TABPArcelaB84,6,FALSE))</f>
        <v>0</v>
      </c>
      <c r="P13" s="25">
        <f t="shared" si="3"/>
        <v>0</v>
      </c>
      <c r="Q13" s="25">
        <f t="shared" si="4"/>
        <v>0</v>
      </c>
      <c r="R13" s="23">
        <f t="shared" si="5"/>
        <v>0</v>
      </c>
      <c r="S13" s="21" t="s">
        <v>109</v>
      </c>
      <c r="X13" s="32"/>
    </row>
    <row r="14" spans="1:24" hidden="1">
      <c r="A14">
        <v>5697</v>
      </c>
      <c r="B14" t="str">
        <f>VLOOKUP(C14,Efeito!$A$5:$B$56,2,FALSE)</f>
        <v>NO SELECT</v>
      </c>
      <c r="C14" s="39" t="s">
        <v>54</v>
      </c>
      <c r="D14" s="12" t="s">
        <v>479</v>
      </c>
      <c r="E14" s="12" t="str">
        <f t="shared" si="0"/>
        <v>Cerbranorte (Celesc-Dis)</v>
      </c>
      <c r="F14" s="155">
        <f>SUMIFS(Banco[valor],Banco[IdAgente],B14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14" s="155">
        <f>VLOOKUP(A14,'BD2'!$BD$1:$BF$50,3,FALSE)</f>
        <v>592.96601584686096</v>
      </c>
      <c r="H14" s="24">
        <f>SUMIFS(Banco[valor],Banco[IdAgente],B14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14" s="24">
        <f>SUMIFS(Banco[valor],Banco[IdAgente],B14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14" s="24" t="e">
        <f t="shared" si="1"/>
        <v>#DIV/0!</v>
      </c>
      <c r="K14" s="25">
        <f t="shared" si="2"/>
        <v>0</v>
      </c>
      <c r="L14" s="23">
        <f>'Parcela A'!AV12</f>
        <v>0</v>
      </c>
      <c r="M14" s="25">
        <f>'Parcela A'!AA12</f>
        <v>0</v>
      </c>
      <c r="N14" s="25">
        <f>'Parcela A'!T12</f>
        <v>0</v>
      </c>
      <c r="O14" s="25">
        <f>IF(S14="8.1",VLOOKUP(C14,TABParcelaB81,5,FALSE),VLOOKUP(C14,TABPArcelaB84,6,FALSE))</f>
        <v>0</v>
      </c>
      <c r="P14" s="25">
        <f t="shared" si="3"/>
        <v>0</v>
      </c>
      <c r="Q14" s="25">
        <f t="shared" si="4"/>
        <v>0</v>
      </c>
      <c r="R14" s="23">
        <f t="shared" si="5"/>
        <v>0</v>
      </c>
      <c r="S14" s="21" t="s">
        <v>109</v>
      </c>
      <c r="X14" s="32"/>
    </row>
    <row r="15" spans="1:24" hidden="1">
      <c r="A15" s="255">
        <v>6587</v>
      </c>
      <c r="B15" s="255" t="str">
        <f>VLOOKUP(C15,Efeito!$A$5:$B$56,2,FALSE)</f>
        <v>NO SELECT</v>
      </c>
      <c r="C15" s="39" t="s">
        <v>159</v>
      </c>
      <c r="D15" s="12" t="s">
        <v>264</v>
      </c>
      <c r="E15" s="12" t="str">
        <f t="shared" si="0"/>
        <v>Cercos (Energisa SE)</v>
      </c>
      <c r="F15" s="155">
        <f>SUMIFS(Banco[valor],Banco[IdAgente],B15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15" s="155">
        <f>VLOOKUP(A15,'BD2'!$BD$1:$BF$50,3,FALSE)</f>
        <v>657.61338322172503</v>
      </c>
      <c r="H15" s="24">
        <f>SUMIFS(Banco[valor],Banco[IdAgente],B15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15" s="24">
        <f>SUMIFS(Banco[valor],Banco[IdAgente],B15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15" s="24" t="e">
        <f t="shared" si="1"/>
        <v>#DIV/0!</v>
      </c>
      <c r="K15" s="25">
        <f t="shared" si="2"/>
        <v>0</v>
      </c>
      <c r="L15" s="23">
        <f>'Parcela A'!AV13</f>
        <v>0</v>
      </c>
      <c r="M15" s="25">
        <f>'Parcela A'!AA13</f>
        <v>0</v>
      </c>
      <c r="N15" s="25">
        <f>'Parcela A'!T13</f>
        <v>0</v>
      </c>
      <c r="O15" s="25">
        <f>IF(S15="8.1",VLOOKUP(C15,TABParcelaB81,5,FALSE),VLOOKUP(C15,TABPArcelaB84,6,FALSE))</f>
        <v>0</v>
      </c>
      <c r="P15" s="25">
        <f t="shared" si="3"/>
        <v>0</v>
      </c>
      <c r="Q15" s="25">
        <f t="shared" si="4"/>
        <v>0</v>
      </c>
      <c r="R15" s="23">
        <f t="shared" si="5"/>
        <v>0</v>
      </c>
      <c r="S15" s="21" t="s">
        <v>109</v>
      </c>
      <c r="X15" s="32"/>
    </row>
    <row r="16" spans="1:24" hidden="1">
      <c r="A16" s="255">
        <v>5697</v>
      </c>
      <c r="B16" s="255" t="str">
        <f>VLOOKUP(C16,Efeito!$A$5:$B$56,2,FALSE)</f>
        <v>NO SELECT</v>
      </c>
      <c r="C16" s="39" t="s">
        <v>56</v>
      </c>
      <c r="D16" s="12" t="s">
        <v>479</v>
      </c>
      <c r="E16" s="12" t="str">
        <f t="shared" si="0"/>
        <v>Cerej (Celesc-Dis)</v>
      </c>
      <c r="F16" s="155">
        <f>SUMIFS(Banco[valor],Banco[IdAgente],B16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16" s="155">
        <f>VLOOKUP(A16,'BD2'!$BD$1:$BF$50,3,FALSE)</f>
        <v>592.96601584686096</v>
      </c>
      <c r="H16" s="24">
        <f>SUMIFS(Banco[valor],Banco[IdAgente],B16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16" s="24">
        <f>SUMIFS(Banco[valor],Banco[IdAgente],B16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16" s="24" t="e">
        <f t="shared" si="1"/>
        <v>#DIV/0!</v>
      </c>
      <c r="K16" s="25">
        <f t="shared" si="2"/>
        <v>0</v>
      </c>
      <c r="L16" s="23">
        <f>'Parcela A'!AV14</f>
        <v>0</v>
      </c>
      <c r="M16" s="25">
        <f>'Parcela A'!AA14</f>
        <v>0</v>
      </c>
      <c r="N16" s="25">
        <f>'Parcela A'!T14</f>
        <v>0</v>
      </c>
      <c r="O16" s="25">
        <f>IF(S16="8.1",VLOOKUP(C16,TABParcelaB81,5,FALSE),VLOOKUP(C16,TABPArcelaB84,6,FALSE))</f>
        <v>0</v>
      </c>
      <c r="P16" s="25">
        <f t="shared" si="3"/>
        <v>0</v>
      </c>
      <c r="Q16" s="25">
        <f t="shared" si="4"/>
        <v>0</v>
      </c>
      <c r="R16" s="23">
        <f t="shared" si="5"/>
        <v>0</v>
      </c>
      <c r="S16" s="21" t="s">
        <v>109</v>
      </c>
      <c r="X16" s="32"/>
    </row>
    <row r="17" spans="1:24" hidden="1">
      <c r="A17" s="255">
        <v>383</v>
      </c>
      <c r="B17" s="255" t="str">
        <f>VLOOKUP(C17,Efeito!$A$5:$B$56,2,FALSE)</f>
        <v>NO SELECT</v>
      </c>
      <c r="C17" s="39" t="s">
        <v>162</v>
      </c>
      <c r="D17" s="12" t="s">
        <v>273</v>
      </c>
      <c r="E17" s="12" t="str">
        <f>CONCATENATE(C17," (",D17,")")</f>
        <v>Ceres (Enel RJ)</v>
      </c>
      <c r="F17" s="155">
        <f>SUMIFS(Banco[valor],Banco[IdAgente],B17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17" s="155">
        <f>VLOOKUP(A17,'BD2'!$BD$1:$BF$50,3,FALSE)</f>
        <v>888.33701302480404</v>
      </c>
      <c r="H17" s="24">
        <f>SUMIFS(Banco[valor],Banco[IdAgente],B17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17" s="24">
        <f>SUMIFS(Banco[valor],Banco[IdAgente],B17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17" s="24" t="e">
        <f t="shared" si="1"/>
        <v>#DIV/0!</v>
      </c>
      <c r="K17" s="25">
        <f t="shared" si="2"/>
        <v>0</v>
      </c>
      <c r="L17" s="23">
        <f>'Parcela A'!AV15</f>
        <v>0</v>
      </c>
      <c r="M17" s="25">
        <f>'Parcela A'!AA15</f>
        <v>0</v>
      </c>
      <c r="N17" s="25">
        <f>'Parcela A'!T15</f>
        <v>0</v>
      </c>
      <c r="O17" s="25">
        <f>IF(S17="8.1",VLOOKUP(C17,TABParcelaB81,5,FALSE),VLOOKUP(C17,TABPArcelaB84,6,FALSE))</f>
        <v>0</v>
      </c>
      <c r="P17" s="25">
        <f t="shared" si="3"/>
        <v>0</v>
      </c>
      <c r="Q17" s="25">
        <f t="shared" si="4"/>
        <v>0</v>
      </c>
      <c r="R17" s="23">
        <f>K17/(1-H17-I17)</f>
        <v>0</v>
      </c>
      <c r="S17" s="21" t="s">
        <v>109</v>
      </c>
      <c r="X17" s="32"/>
    </row>
    <row r="18" spans="1:24" hidden="1">
      <c r="A18" s="255">
        <v>5697</v>
      </c>
      <c r="B18" s="255" t="str">
        <f>VLOOKUP(C18,Efeito!$A$5:$B$56,2,FALSE)</f>
        <v>NO SELECT</v>
      </c>
      <c r="C18" s="39" t="s">
        <v>55</v>
      </c>
      <c r="D18" s="12" t="s">
        <v>479</v>
      </c>
      <c r="E18" s="12" t="str">
        <f t="shared" si="0"/>
        <v>Cergal (Celesc-Dis)</v>
      </c>
      <c r="F18" s="155">
        <f>SUMIFS(Banco[valor],Banco[IdAgente],B18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18" s="155">
        <f>VLOOKUP(A18,'BD2'!$BD$1:$BF$50,3,FALSE)</f>
        <v>592.96601584686096</v>
      </c>
      <c r="H18" s="24">
        <f>SUMIFS(Banco[valor],Banco[IdAgente],B18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18" s="24">
        <f>SUMIFS(Banco[valor],Banco[IdAgente],B18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18" s="24" t="e">
        <f t="shared" si="1"/>
        <v>#DIV/0!</v>
      </c>
      <c r="K18" s="25">
        <f t="shared" si="2"/>
        <v>0</v>
      </c>
      <c r="L18" s="23">
        <f>'Parcela A'!AV16</f>
        <v>0</v>
      </c>
      <c r="M18" s="25">
        <f>'Parcela A'!AA16</f>
        <v>0</v>
      </c>
      <c r="N18" s="25">
        <f>'Parcela A'!T16</f>
        <v>0</v>
      </c>
      <c r="O18" s="25">
        <f>IF(S18="8.1",VLOOKUP(C18,TABParcelaB81,5,FALSE),VLOOKUP(C18,TABPArcelaB84,6,FALSE))</f>
        <v>0</v>
      </c>
      <c r="P18" s="25">
        <f t="shared" si="3"/>
        <v>0</v>
      </c>
      <c r="Q18" s="25">
        <f t="shared" si="4"/>
        <v>0</v>
      </c>
      <c r="R18" s="23">
        <f t="shared" si="5"/>
        <v>0</v>
      </c>
      <c r="S18" s="21" t="s">
        <v>109</v>
      </c>
      <c r="X18" s="32"/>
    </row>
    <row r="19" spans="1:24" hidden="1">
      <c r="A19" s="255">
        <v>5697</v>
      </c>
      <c r="B19" s="255" t="str">
        <f>VLOOKUP(C19,Efeito!$A$5:$B$56,2,FALSE)</f>
        <v>NO SELECT</v>
      </c>
      <c r="C19" s="39" t="s">
        <v>57</v>
      </c>
      <c r="D19" s="12" t="s">
        <v>479</v>
      </c>
      <c r="E19" s="12" t="str">
        <f t="shared" si="0"/>
        <v>Cergapa (Celesc-Dis)</v>
      </c>
      <c r="F19" s="155">
        <f>SUMIFS(Banco[valor],Banco[IdAgente],B19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19" s="155">
        <f>VLOOKUP(A19,'BD2'!$BD$1:$BF$50,3,FALSE)</f>
        <v>592.96601584686096</v>
      </c>
      <c r="H19" s="24">
        <f>SUMIFS(Banco[valor],Banco[IdAgente],B19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19" s="24">
        <f>SUMIFS(Banco[valor],Banco[IdAgente],B19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19" s="24" t="e">
        <f t="shared" si="1"/>
        <v>#DIV/0!</v>
      </c>
      <c r="K19" s="25">
        <f t="shared" si="2"/>
        <v>0</v>
      </c>
      <c r="L19" s="23">
        <f>'Parcela A'!AV17</f>
        <v>0</v>
      </c>
      <c r="M19" s="25">
        <f>'Parcela A'!AA17</f>
        <v>0</v>
      </c>
      <c r="N19" s="25">
        <f>'Parcela A'!T17</f>
        <v>0</v>
      </c>
      <c r="O19" s="25">
        <f>IF(S19="8.1",VLOOKUP(C19,TABParcelaB81,5,FALSE),VLOOKUP(C19,TABPArcelaB84,6,FALSE))</f>
        <v>0</v>
      </c>
      <c r="P19" s="25">
        <f t="shared" si="3"/>
        <v>0</v>
      </c>
      <c r="Q19" s="25">
        <f t="shared" si="4"/>
        <v>0</v>
      </c>
      <c r="R19" s="23">
        <f t="shared" si="5"/>
        <v>0</v>
      </c>
      <c r="S19" s="21" t="s">
        <v>109</v>
      </c>
      <c r="X19" s="32"/>
    </row>
    <row r="20" spans="1:24" hidden="1">
      <c r="A20" s="255">
        <v>5697</v>
      </c>
      <c r="B20" s="255" t="str">
        <f>VLOOKUP(C20,Efeito!$A$5:$B$56,2,FALSE)</f>
        <v>NO SELECT</v>
      </c>
      <c r="C20" s="39" t="s">
        <v>58</v>
      </c>
      <c r="D20" s="12" t="s">
        <v>479</v>
      </c>
      <c r="E20" s="12" t="str">
        <f t="shared" si="0"/>
        <v>Cergral (Celesc-Dis)</v>
      </c>
      <c r="F20" s="155">
        <f>SUMIFS(Banco[valor],Banco[IdAgente],B20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20" s="155">
        <f>VLOOKUP(A20,'BD2'!$BD$1:$BF$50,3,FALSE)</f>
        <v>592.96601584686096</v>
      </c>
      <c r="H20" s="24">
        <f>SUMIFS(Banco[valor],Banco[IdAgente],B20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20" s="24">
        <f>SUMIFS(Banco[valor],Banco[IdAgente],B20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20" s="24" t="e">
        <f t="shared" si="1"/>
        <v>#DIV/0!</v>
      </c>
      <c r="K20" s="25">
        <f t="shared" si="2"/>
        <v>0</v>
      </c>
      <c r="L20" s="23">
        <f>'Parcela A'!AV18</f>
        <v>0</v>
      </c>
      <c r="M20" s="25">
        <f>'Parcela A'!AA18</f>
        <v>0</v>
      </c>
      <c r="N20" s="25">
        <f>'Parcela A'!T18</f>
        <v>0</v>
      </c>
      <c r="O20" s="25">
        <f>IF(S20="8.1",VLOOKUP(C20,TABParcelaB81,5,FALSE),VLOOKUP(C20,TABPArcelaB84,6,FALSE))</f>
        <v>0</v>
      </c>
      <c r="P20" s="25">
        <f t="shared" si="3"/>
        <v>0</v>
      </c>
      <c r="Q20" s="25">
        <f t="shared" si="4"/>
        <v>0</v>
      </c>
      <c r="R20" s="23">
        <f t="shared" si="5"/>
        <v>0</v>
      </c>
      <c r="S20" s="21" t="s">
        <v>109</v>
      </c>
      <c r="X20" s="32"/>
    </row>
    <row r="21" spans="1:24" hidden="1">
      <c r="A21" s="255">
        <v>1000042</v>
      </c>
      <c r="B21" s="255" t="str">
        <f>VLOOKUP(C21,Efeito!$A$5:$B$56,2,FALSE)</f>
        <v>NO SELECT</v>
      </c>
      <c r="C21" s="39" t="s">
        <v>165</v>
      </c>
      <c r="D21" s="12" t="s">
        <v>262</v>
      </c>
      <c r="E21" s="12" t="str">
        <f t="shared" si="0"/>
        <v>Ceriluz (RGE SUL)</v>
      </c>
      <c r="F21" s="155">
        <f>SUMIFS(Banco[valor],Banco[IdAgente],B21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21" s="155">
        <f>VLOOKUP(A21,'BD2'!$BD$1:$BF$50,3,FALSE)</f>
        <v>719.56101426266196</v>
      </c>
      <c r="H21" s="24">
        <f>SUMIFS(Banco[valor],Banco[IdAgente],B21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21" s="24">
        <f>SUMIFS(Banco[valor],Banco[IdAgente],B21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21" s="24" t="e">
        <f t="shared" si="1"/>
        <v>#DIV/0!</v>
      </c>
      <c r="K21" s="25">
        <f t="shared" si="2"/>
        <v>0</v>
      </c>
      <c r="L21" s="23">
        <f>'Parcela A'!AV19</f>
        <v>0</v>
      </c>
      <c r="M21" s="25">
        <f>'Parcela A'!AA19</f>
        <v>0</v>
      </c>
      <c r="N21" s="25">
        <f>'Parcela A'!T19</f>
        <v>0</v>
      </c>
      <c r="O21" s="25">
        <f>IF(S21="8.1",VLOOKUP(C21,TABParcelaB81,5,FALSE),VLOOKUP(C21,TABPArcelaB84,6,FALSE))</f>
        <v>0</v>
      </c>
      <c r="P21" s="25">
        <f t="shared" si="3"/>
        <v>0</v>
      </c>
      <c r="Q21" s="25">
        <f t="shared" si="4"/>
        <v>0</v>
      </c>
      <c r="R21" s="23">
        <f t="shared" si="5"/>
        <v>0</v>
      </c>
      <c r="S21" s="21" t="s">
        <v>109</v>
      </c>
      <c r="X21" s="32"/>
    </row>
    <row r="22" spans="1:24" hidden="1">
      <c r="A22" s="255">
        <v>2937</v>
      </c>
      <c r="B22" s="255" t="str">
        <f>VLOOKUP(C22,Efeito!$A$5:$B$56,2,FALSE)</f>
        <v>NO SELECT</v>
      </c>
      <c r="C22" s="39" t="s">
        <v>168</v>
      </c>
      <c r="D22" s="12" t="s">
        <v>259</v>
      </c>
      <c r="E22" s="12" t="str">
        <f t="shared" si="0"/>
        <v>Cerim (CPFL Piratininga)</v>
      </c>
      <c r="F22" s="155">
        <f>SUMIFS(Banco[valor],Banco[IdAgente],B22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22" s="422">
        <f>VLOOKUP(A22,'BD2'!$BD$1:$BF$50,3,FALSE)</f>
        <v>677.42749659565197</v>
      </c>
      <c r="H22" s="24">
        <f>SUMIFS(Banco[valor],Banco[IdAgente],B22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22" s="24">
        <f>SUMIFS(Banco[valor],Banco[IdAgente],B22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22" s="24" t="e">
        <f t="shared" si="1"/>
        <v>#DIV/0!</v>
      </c>
      <c r="K22" s="25">
        <f t="shared" si="2"/>
        <v>0</v>
      </c>
      <c r="L22" s="23">
        <f>'Parcela A'!AV20</f>
        <v>0</v>
      </c>
      <c r="M22" s="25">
        <f>'Parcela A'!AA20</f>
        <v>0</v>
      </c>
      <c r="N22" s="25">
        <f>'Parcela A'!T20</f>
        <v>0</v>
      </c>
      <c r="O22" s="25">
        <f>IF(S22="8.1",VLOOKUP(C22,TABParcelaB81,5,FALSE),VLOOKUP(C22,TABPArcelaB84,6,FALSE))</f>
        <v>0</v>
      </c>
      <c r="P22" s="25">
        <f t="shared" si="3"/>
        <v>0</v>
      </c>
      <c r="Q22" s="25">
        <f t="shared" si="4"/>
        <v>0</v>
      </c>
      <c r="R22" s="23">
        <f t="shared" si="5"/>
        <v>0</v>
      </c>
      <c r="S22" s="21" t="s">
        <v>109</v>
      </c>
      <c r="X22" s="32"/>
    </row>
    <row r="23" spans="1:24" hidden="1">
      <c r="A23" s="255">
        <v>1000041</v>
      </c>
      <c r="B23" s="255" t="str">
        <f>VLOOKUP(C23,Efeito!$A$5:$B$56,2,FALSE)</f>
        <v>NO SELECT</v>
      </c>
      <c r="C23" s="39" t="s">
        <v>171</v>
      </c>
      <c r="D23" s="12" t="s">
        <v>481</v>
      </c>
      <c r="E23" s="12" t="str">
        <f t="shared" si="0"/>
        <v>Ceripa (CPFL SantaCruz)</v>
      </c>
      <c r="F23" s="155">
        <f>SUMIFS(Banco[valor],Banco[IdAgente],B23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23" s="155">
        <f>VLOOKUP(A23,'BD2'!$BD$1:$BF$50,3,FALSE)</f>
        <v>628.35209852945195</v>
      </c>
      <c r="H23" s="24">
        <f>SUMIFS(Banco[valor],Banco[IdAgente],B23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23" s="24">
        <f>SUMIFS(Banco[valor],Banco[IdAgente],B23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23" s="24" t="e">
        <f t="shared" si="1"/>
        <v>#DIV/0!</v>
      </c>
      <c r="K23" s="25">
        <f t="shared" si="2"/>
        <v>0</v>
      </c>
      <c r="L23" s="23">
        <f>'Parcela A'!AV21</f>
        <v>0</v>
      </c>
      <c r="M23" s="25">
        <f>'Parcela A'!AA21</f>
        <v>0</v>
      </c>
      <c r="N23" s="25">
        <f>'Parcela A'!T21</f>
        <v>0</v>
      </c>
      <c r="O23" s="25">
        <f>IF(S23="8.1",VLOOKUP(C23,TABParcelaB81,5,FALSE),VLOOKUP(C23,TABPArcelaB84,6,FALSE))</f>
        <v>0</v>
      </c>
      <c r="P23" s="25">
        <f t="shared" si="3"/>
        <v>0</v>
      </c>
      <c r="Q23" s="25">
        <f t="shared" si="4"/>
        <v>0</v>
      </c>
      <c r="R23" s="23">
        <f t="shared" si="5"/>
        <v>0</v>
      </c>
      <c r="S23" s="21" t="s">
        <v>109</v>
      </c>
      <c r="X23" s="32"/>
    </row>
    <row r="24" spans="1:24" hidden="1">
      <c r="A24" s="255">
        <v>390</v>
      </c>
      <c r="B24" s="255" t="str">
        <f>VLOOKUP(C24,Efeito!$A$5:$B$56,2,FALSE)</f>
        <v>NO SELECT</v>
      </c>
      <c r="C24" s="39" t="s">
        <v>174</v>
      </c>
      <c r="D24" s="12" t="s">
        <v>309</v>
      </c>
      <c r="E24" s="12" t="str">
        <f t="shared" si="0"/>
        <v>Ceris (ENEL SP)</v>
      </c>
      <c r="F24" s="155">
        <f>SUMIFS(Banco[valor],Banco[IdAgente],B24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24" s="155">
        <f>VLOOKUP(A24,'BD2'!$BD$1:$BF$50,3,FALSE)</f>
        <v>649.10052028457301</v>
      </c>
      <c r="H24" s="24">
        <f>SUMIFS(Banco[valor],Banco[IdAgente],B24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24" s="24">
        <f>SUMIFS(Banco[valor],Banco[IdAgente],B24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24" s="24" t="e">
        <f t="shared" si="1"/>
        <v>#DIV/0!</v>
      </c>
      <c r="K24" s="25">
        <f t="shared" si="2"/>
        <v>0</v>
      </c>
      <c r="L24" s="23">
        <f>'Parcela A'!AV22</f>
        <v>0</v>
      </c>
      <c r="M24" s="25">
        <f>'Parcela A'!AA22</f>
        <v>0</v>
      </c>
      <c r="N24" s="25">
        <f>'Parcela A'!T22</f>
        <v>0</v>
      </c>
      <c r="O24" s="25">
        <f>IF(S24="8.1",VLOOKUP(C24,TABParcelaB81,5,FALSE),VLOOKUP(C24,TABPArcelaB84,6,FALSE))</f>
        <v>0</v>
      </c>
      <c r="P24" s="25">
        <f t="shared" si="3"/>
        <v>0</v>
      </c>
      <c r="Q24" s="25">
        <f t="shared" si="4"/>
        <v>0</v>
      </c>
      <c r="R24" s="23">
        <f t="shared" si="5"/>
        <v>0</v>
      </c>
      <c r="S24" s="21" t="s">
        <v>109</v>
      </c>
      <c r="X24" s="32"/>
    </row>
    <row r="25" spans="1:24" hidden="1">
      <c r="A25" s="255">
        <v>391</v>
      </c>
      <c r="B25" s="255" t="str">
        <f>VLOOKUP(C25,Efeito!$A$5:$B$56,2,FALSE)</f>
        <v>NO SELECT</v>
      </c>
      <c r="C25" s="39" t="s">
        <v>177</v>
      </c>
      <c r="D25" s="12" t="s">
        <v>478</v>
      </c>
      <c r="E25" s="12" t="str">
        <f t="shared" si="0"/>
        <v>CERMC (EDP SP)</v>
      </c>
      <c r="F25" s="155">
        <f>SUMIFS(Banco[valor],Banco[IdAgente],B25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25" s="422">
        <f>VLOOKUP(A25,'BD2'!$BD$1:$BF$50,3,FALSE)</f>
        <v>697.94764656179598</v>
      </c>
      <c r="H25" s="24">
        <f>SUMIFS(Banco[valor],Banco[IdAgente],B25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25" s="24">
        <f>SUMIFS(Banco[valor],Banco[IdAgente],B25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25" s="24" t="e">
        <f t="shared" si="1"/>
        <v>#DIV/0!</v>
      </c>
      <c r="K25" s="25">
        <f t="shared" si="2"/>
        <v>0</v>
      </c>
      <c r="L25" s="23">
        <f>'Parcela A'!AV23</f>
        <v>0</v>
      </c>
      <c r="M25" s="25">
        <f>'Parcela A'!AA23</f>
        <v>0</v>
      </c>
      <c r="N25" s="25">
        <f>'Parcela A'!T23</f>
        <v>0</v>
      </c>
      <c r="O25" s="25">
        <f>IF(S25="8.1",VLOOKUP(C25,TABParcelaB81,5,FALSE),VLOOKUP(C25,TABPArcelaB84,6,FALSE))</f>
        <v>0</v>
      </c>
      <c r="P25" s="25">
        <f t="shared" si="3"/>
        <v>0</v>
      </c>
      <c r="Q25" s="25">
        <f t="shared" si="4"/>
        <v>0</v>
      </c>
      <c r="R25" s="23">
        <f t="shared" si="5"/>
        <v>0</v>
      </c>
      <c r="S25" s="21" t="s">
        <v>109</v>
      </c>
      <c r="X25" s="32"/>
    </row>
    <row r="26" spans="1:24" ht="14.25" hidden="1" customHeight="1">
      <c r="A26" s="255">
        <v>1000042</v>
      </c>
      <c r="B26" s="255" t="str">
        <f>VLOOKUP(C26,Efeito!$A$5:$B$56,2,FALSE)</f>
        <v>NO SELECT</v>
      </c>
      <c r="C26" s="39" t="s">
        <v>180</v>
      </c>
      <c r="D26" s="12" t="s">
        <v>262</v>
      </c>
      <c r="E26" s="12" t="str">
        <f t="shared" si="0"/>
        <v>Cermissões (RGE SUL)</v>
      </c>
      <c r="F26" s="155">
        <f>SUMIFS(Banco[valor],Banco[IdAgente],B26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26" s="155">
        <f>VLOOKUP(A26,'BD2'!$BD$1:$BF$50,3,FALSE)</f>
        <v>719.56101426266196</v>
      </c>
      <c r="H26" s="24">
        <f>SUMIFS(Banco[valor],Banco[IdAgente],B26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26" s="24">
        <f>SUMIFS(Banco[valor],Banco[IdAgente],B26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26" s="24" t="e">
        <f t="shared" si="1"/>
        <v>#DIV/0!</v>
      </c>
      <c r="K26" s="25">
        <f t="shared" si="2"/>
        <v>0</v>
      </c>
      <c r="L26" s="23">
        <f>'Parcela A'!AV24</f>
        <v>0</v>
      </c>
      <c r="M26" s="25">
        <f>'Parcela A'!AA24</f>
        <v>0</v>
      </c>
      <c r="N26" s="25">
        <f>'Parcela A'!T24</f>
        <v>0</v>
      </c>
      <c r="O26" s="25">
        <f>IF(S26="8.1",VLOOKUP(C26,TABParcelaB81,5,FALSE),VLOOKUP(C26,TABPArcelaB84,6,FALSE))</f>
        <v>0</v>
      </c>
      <c r="P26" s="25">
        <f t="shared" si="3"/>
        <v>0</v>
      </c>
      <c r="Q26" s="25">
        <f t="shared" si="4"/>
        <v>0</v>
      </c>
      <c r="R26" s="23">
        <f t="shared" si="5"/>
        <v>0</v>
      </c>
      <c r="S26" s="21" t="s">
        <v>109</v>
      </c>
      <c r="X26" s="32"/>
    </row>
    <row r="27" spans="1:24" hidden="1">
      <c r="A27" s="255">
        <v>5697</v>
      </c>
      <c r="B27" s="255" t="str">
        <f>VLOOKUP(C27,Efeito!$A$5:$B$56,2,FALSE)</f>
        <v>NO SELECT</v>
      </c>
      <c r="C27" s="39" t="s">
        <v>52</v>
      </c>
      <c r="D27" s="12" t="s">
        <v>479</v>
      </c>
      <c r="E27" s="12" t="str">
        <f t="shared" si="0"/>
        <v>Cermoful (Celesc-Dis)</v>
      </c>
      <c r="F27" s="155">
        <f>SUMIFS(Banco[valor],Banco[IdAgente],B27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27" s="155">
        <f>VLOOKUP(A27,'BD2'!$BD$1:$BF$50,3,FALSE)</f>
        <v>592.96601584686096</v>
      </c>
      <c r="H27" s="24">
        <f>SUMIFS(Banco[valor],Banco[IdAgente],B27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27" s="24">
        <f>SUMIFS(Banco[valor],Banco[IdAgente],B27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27" s="24" t="e">
        <f t="shared" si="1"/>
        <v>#DIV/0!</v>
      </c>
      <c r="K27" s="25">
        <f t="shared" si="2"/>
        <v>0</v>
      </c>
      <c r="L27" s="23">
        <f>'Parcela A'!AV25</f>
        <v>0</v>
      </c>
      <c r="M27" s="25">
        <f>'Parcela A'!AA25</f>
        <v>0</v>
      </c>
      <c r="N27" s="25">
        <f>'Parcela A'!T25</f>
        <v>0</v>
      </c>
      <c r="O27" s="25">
        <f>IF(S27="8.1",VLOOKUP(C27,TABParcelaB81,5,FALSE),VLOOKUP(C27,TABPArcelaB84,6,FALSE))</f>
        <v>0</v>
      </c>
      <c r="P27" s="25">
        <f t="shared" si="3"/>
        <v>0</v>
      </c>
      <c r="Q27" s="25">
        <f t="shared" si="4"/>
        <v>0</v>
      </c>
      <c r="R27" s="23">
        <f t="shared" si="5"/>
        <v>0</v>
      </c>
      <c r="S27" s="21" t="s">
        <v>109</v>
      </c>
      <c r="X27" s="32"/>
    </row>
    <row r="28" spans="1:24" hidden="1">
      <c r="A28" s="255">
        <v>6587</v>
      </c>
      <c r="B28" s="255" t="str">
        <f>VLOOKUP(C28,Efeito!$A$5:$B$56,2,FALSE)</f>
        <v>NO SELECT</v>
      </c>
      <c r="C28" s="39" t="s">
        <v>183</v>
      </c>
      <c r="D28" s="328" t="s">
        <v>260</v>
      </c>
      <c r="E28" s="12" t="str">
        <f t="shared" si="0"/>
        <v>Cernhe (ESS)</v>
      </c>
      <c r="F28" s="155">
        <f>SUMIFS(Banco[valor],Banco[IdAgente],B28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28" s="155">
        <f>VLOOKUP(A28,'BD2'!$BD$1:$BF$50,3,FALSE)</f>
        <v>657.61338322172503</v>
      </c>
      <c r="H28" s="24">
        <f>SUMIFS(Banco[valor],Banco[IdAgente],B28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28" s="24">
        <f>SUMIFS(Banco[valor],Banco[IdAgente],B28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28" s="24" t="e">
        <f t="shared" si="1"/>
        <v>#DIV/0!</v>
      </c>
      <c r="K28" s="25">
        <f t="shared" si="2"/>
        <v>0</v>
      </c>
      <c r="L28" s="23">
        <f>'Parcela A'!AV26</f>
        <v>0</v>
      </c>
      <c r="M28" s="25">
        <f>'Parcela A'!AA26</f>
        <v>0</v>
      </c>
      <c r="N28" s="25">
        <f>'Parcela A'!T26</f>
        <v>0</v>
      </c>
      <c r="O28" s="25">
        <f>IF(S28="8.1",VLOOKUP(C28,TABParcelaB81,5,FALSE),VLOOKUP(C28,TABPArcelaB84,6,FALSE))</f>
        <v>0</v>
      </c>
      <c r="P28" s="25">
        <f t="shared" si="3"/>
        <v>0</v>
      </c>
      <c r="Q28" s="25">
        <f t="shared" si="4"/>
        <v>0</v>
      </c>
      <c r="R28" s="23">
        <f t="shared" si="5"/>
        <v>0</v>
      </c>
      <c r="S28" s="21" t="s">
        <v>109</v>
      </c>
      <c r="X28" s="32"/>
    </row>
    <row r="29" spans="1:24" hidden="1">
      <c r="A29" s="255">
        <v>5697</v>
      </c>
      <c r="B29" s="255" t="str">
        <f>VLOOKUP(C29,Efeito!$A$5:$B$56,2,FALSE)</f>
        <v>NO SELECT</v>
      </c>
      <c r="C29" s="39" t="s">
        <v>59</v>
      </c>
      <c r="D29" s="12" t="s">
        <v>479</v>
      </c>
      <c r="E29" s="12" t="str">
        <f t="shared" si="0"/>
        <v>Cerpalo (Celesc-Dis)</v>
      </c>
      <c r="F29" s="155">
        <f>SUMIFS(Banco[valor],Banco[IdAgente],B29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29" s="155">
        <f>VLOOKUP(A29,'BD2'!$BD$1:$BF$50,3,FALSE)</f>
        <v>592.96601584686096</v>
      </c>
      <c r="H29" s="24">
        <f>SUMIFS(Banco[valor],Banco[IdAgente],B29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29" s="24">
        <f>SUMIFS(Banco[valor],Banco[IdAgente],B29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29" s="24" t="e">
        <f t="shared" si="1"/>
        <v>#DIV/0!</v>
      </c>
      <c r="K29" s="25">
        <f t="shared" si="2"/>
        <v>0</v>
      </c>
      <c r="L29" s="23">
        <f>'Parcela A'!AV27</f>
        <v>0</v>
      </c>
      <c r="M29" s="25">
        <f>'Parcela A'!AA27</f>
        <v>0</v>
      </c>
      <c r="N29" s="25">
        <f>'Parcela A'!T27</f>
        <v>0</v>
      </c>
      <c r="O29" s="25">
        <f>IF(S29="8.1",VLOOKUP(C29,TABParcelaB81,5,FALSE),VLOOKUP(C29,TABPArcelaB84,6,FALSE))</f>
        <v>0</v>
      </c>
      <c r="P29" s="25">
        <f t="shared" si="3"/>
        <v>0</v>
      </c>
      <c r="Q29" s="25">
        <f t="shared" si="4"/>
        <v>0</v>
      </c>
      <c r="R29" s="23">
        <f t="shared" si="5"/>
        <v>0</v>
      </c>
      <c r="S29" s="21" t="s">
        <v>109</v>
      </c>
      <c r="X29" s="32"/>
    </row>
    <row r="30" spans="1:24" hidden="1">
      <c r="A30" s="255">
        <v>63</v>
      </c>
      <c r="B30" s="255" t="str">
        <f>VLOOKUP(C30,Efeito!$A$5:$B$56,2,FALSE)</f>
        <v>NO SELECT</v>
      </c>
      <c r="C30" s="39" t="s">
        <v>186</v>
      </c>
      <c r="D30" s="12" t="s">
        <v>261</v>
      </c>
      <c r="E30" s="12" t="str">
        <f t="shared" si="0"/>
        <v>Cerpro (CPFL Paulista)</v>
      </c>
      <c r="F30" s="155">
        <f>SUMIFS(Banco[valor],Banco[IdAgente],B30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30" s="155">
        <f>VLOOKUP(A30,'BD2'!$BD$1:$BF$50,3,FALSE)</f>
        <v>690.46337967296199</v>
      </c>
      <c r="H30" s="24">
        <f>SUMIFS(Banco[valor],Banco[IdAgente],B30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30" s="24">
        <f>SUMIFS(Banco[valor],Banco[IdAgente],B30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30" s="24" t="e">
        <f t="shared" si="1"/>
        <v>#DIV/0!</v>
      </c>
      <c r="K30" s="25">
        <f t="shared" si="2"/>
        <v>0</v>
      </c>
      <c r="L30" s="23">
        <f>'Parcela A'!AV28</f>
        <v>0</v>
      </c>
      <c r="M30" s="25">
        <f>'Parcela A'!AA28</f>
        <v>0</v>
      </c>
      <c r="N30" s="25">
        <f>'Parcela A'!T28</f>
        <v>0</v>
      </c>
      <c r="O30" s="25">
        <f>IF(S30="8.1",VLOOKUP(C30,TABParcelaB81,5,FALSE),VLOOKUP(C30,TABPArcelaB84,6,FALSE))</f>
        <v>0</v>
      </c>
      <c r="P30" s="25">
        <f t="shared" si="3"/>
        <v>0</v>
      </c>
      <c r="Q30" s="25">
        <f t="shared" si="4"/>
        <v>0</v>
      </c>
      <c r="R30" s="23">
        <f t="shared" si="5"/>
        <v>0</v>
      </c>
      <c r="S30" s="21" t="s">
        <v>109</v>
      </c>
      <c r="X30" s="32"/>
    </row>
    <row r="31" spans="1:24" hidden="1">
      <c r="A31" s="255">
        <v>63</v>
      </c>
      <c r="B31" s="255" t="str">
        <f>VLOOKUP(C31,Efeito!$A$5:$B$56,2,FALSE)</f>
        <v>NO SELECT</v>
      </c>
      <c r="C31" s="39" t="s">
        <v>189</v>
      </c>
      <c r="D31" s="12" t="s">
        <v>261</v>
      </c>
      <c r="E31" s="12" t="str">
        <f t="shared" si="0"/>
        <v>CERRP (CPFL Paulista)</v>
      </c>
      <c r="F31" s="155">
        <f>SUMIFS(Banco[valor],Banco[IdAgente],B31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31" s="155">
        <f>VLOOKUP(A31,'BD2'!$BD$1:$BF$50,3,FALSE)</f>
        <v>690.46337967296199</v>
      </c>
      <c r="H31" s="24">
        <f>SUMIFS(Banco[valor],Banco[IdAgente],B31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31" s="24">
        <f>SUMIFS(Banco[valor],Banco[IdAgente],B31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31" s="24" t="e">
        <f t="shared" si="1"/>
        <v>#DIV/0!</v>
      </c>
      <c r="K31" s="25">
        <f t="shared" si="2"/>
        <v>0</v>
      </c>
      <c r="L31" s="23">
        <f>'Parcela A'!AV29</f>
        <v>0</v>
      </c>
      <c r="M31" s="25">
        <f>'Parcela A'!AA29</f>
        <v>0</v>
      </c>
      <c r="N31" s="25">
        <f>'Parcela A'!T29</f>
        <v>0</v>
      </c>
      <c r="O31" s="25">
        <f>IF(S31="8.1",VLOOKUP(C31,TABParcelaB81,5,FALSE),VLOOKUP(C31,TABPArcelaB84,6,FALSE))</f>
        <v>0</v>
      </c>
      <c r="P31" s="25">
        <f t="shared" si="3"/>
        <v>0</v>
      </c>
      <c r="Q31" s="25">
        <f t="shared" si="4"/>
        <v>0</v>
      </c>
      <c r="R31" s="23">
        <f t="shared" si="5"/>
        <v>0</v>
      </c>
      <c r="S31" s="21" t="s">
        <v>109</v>
      </c>
      <c r="X31" s="32"/>
    </row>
    <row r="32" spans="1:24" hidden="1">
      <c r="A32" s="255">
        <v>5697</v>
      </c>
      <c r="B32" s="255" t="str">
        <f>VLOOKUP(C32,Efeito!$A$5:$B$56,2,FALSE)</f>
        <v>NO SELECT</v>
      </c>
      <c r="C32" s="39" t="s">
        <v>60</v>
      </c>
      <c r="D32" s="12" t="s">
        <v>479</v>
      </c>
      <c r="E32" s="12" t="str">
        <f t="shared" si="0"/>
        <v>Cersul (Celesc-Dis)</v>
      </c>
      <c r="F32" s="155">
        <f>SUMIFS(Banco[valor],Banco[IdAgente],B32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32" s="155">
        <f>VLOOKUP(A32,'BD2'!$BD$1:$BF$50,3,FALSE)</f>
        <v>592.96601584686096</v>
      </c>
      <c r="H32" s="24">
        <f>SUMIFS(Banco[valor],Banco[IdAgente],B32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32" s="24">
        <f>SUMIFS(Banco[valor],Banco[IdAgente],B32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32" s="24" t="e">
        <f t="shared" si="1"/>
        <v>#DIV/0!</v>
      </c>
      <c r="K32" s="25">
        <f t="shared" si="2"/>
        <v>0</v>
      </c>
      <c r="L32" s="23">
        <f>'Parcela A'!AV30</f>
        <v>0</v>
      </c>
      <c r="M32" s="25">
        <f>'Parcela A'!AA30</f>
        <v>0</v>
      </c>
      <c r="N32" s="25">
        <f>'Parcela A'!T30</f>
        <v>0</v>
      </c>
      <c r="O32" s="25">
        <f>IF(S32="8.1",VLOOKUP(C32,TABParcelaB81,5,FALSE),VLOOKUP(C32,TABPArcelaB84,6,FALSE))</f>
        <v>0</v>
      </c>
      <c r="P32" s="25">
        <f t="shared" si="3"/>
        <v>0</v>
      </c>
      <c r="Q32" s="25">
        <f t="shared" si="4"/>
        <v>0</v>
      </c>
      <c r="R32" s="23">
        <f t="shared" si="5"/>
        <v>0</v>
      </c>
      <c r="S32" s="21" t="s">
        <v>109</v>
      </c>
      <c r="X32" s="32"/>
    </row>
    <row r="33" spans="1:24" hidden="1">
      <c r="A33" s="255">
        <v>1000042</v>
      </c>
      <c r="B33" s="255" t="str">
        <f>VLOOKUP(C33,Efeito!$A$5:$B$56,2,FALSE)</f>
        <v>NO SELECT</v>
      </c>
      <c r="C33" s="39" t="s">
        <v>192</v>
      </c>
      <c r="D33" s="12" t="s">
        <v>262</v>
      </c>
      <c r="E33" s="12" t="str">
        <f t="shared" si="0"/>
        <v>Certaja (RGE SUL)</v>
      </c>
      <c r="F33" s="155">
        <f>SUMIFS(Banco[valor],Banco[IdAgente],B33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33" s="155">
        <f>VLOOKUP(A33,'BD2'!$BD$1:$BF$50,3,FALSE)</f>
        <v>719.56101426266196</v>
      </c>
      <c r="H33" s="24">
        <f>SUMIFS(Banco[valor],Banco[IdAgente],B33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33" s="24">
        <f>SUMIFS(Banco[valor],Banco[IdAgente],B33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33" s="24" t="e">
        <f t="shared" si="1"/>
        <v>#DIV/0!</v>
      </c>
      <c r="K33" s="25">
        <f t="shared" si="2"/>
        <v>0</v>
      </c>
      <c r="L33" s="23">
        <f>'Parcela A'!AV31</f>
        <v>0</v>
      </c>
      <c r="M33" s="25">
        <f>'Parcela A'!AA31</f>
        <v>0</v>
      </c>
      <c r="N33" s="25">
        <f>'Parcela A'!T31</f>
        <v>0</v>
      </c>
      <c r="O33" s="25">
        <f>IF(S33="8.1",VLOOKUP(C33,TABParcelaB81,5,FALSE),VLOOKUP(C33,TABPArcelaB84,6,FALSE))</f>
        <v>0</v>
      </c>
      <c r="P33" s="25">
        <f t="shared" si="3"/>
        <v>0</v>
      </c>
      <c r="Q33" s="25">
        <f t="shared" si="4"/>
        <v>0</v>
      </c>
      <c r="R33" s="23">
        <f t="shared" si="5"/>
        <v>0</v>
      </c>
      <c r="S33" s="21" t="s">
        <v>109</v>
      </c>
      <c r="X33" s="32"/>
    </row>
    <row r="34" spans="1:24" hidden="1">
      <c r="A34" s="255">
        <v>1000042</v>
      </c>
      <c r="B34" s="255" t="str">
        <f>VLOOKUP(C34,Efeito!$A$5:$B$56,2,FALSE)</f>
        <v>NO SELECT</v>
      </c>
      <c r="C34" s="39" t="s">
        <v>195</v>
      </c>
      <c r="D34" s="12" t="s">
        <v>262</v>
      </c>
      <c r="E34" s="12" t="str">
        <f t="shared" si="0"/>
        <v>Certel (RGE SUL)</v>
      </c>
      <c r="F34" s="155">
        <f>SUMIFS(Banco[valor],Banco[IdAgente],B34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34" s="155">
        <f>VLOOKUP(A34,'BD2'!$BD$1:$BF$50,3,FALSE)</f>
        <v>719.56101426266196</v>
      </c>
      <c r="H34" s="24">
        <f>SUMIFS(Banco[valor],Banco[IdAgente],B34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34" s="24">
        <f>SUMIFS(Banco[valor],Banco[IdAgente],B34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34" s="24" t="e">
        <f t="shared" si="1"/>
        <v>#DIV/0!</v>
      </c>
      <c r="K34" s="25">
        <f t="shared" si="2"/>
        <v>0</v>
      </c>
      <c r="L34" s="23">
        <f>'Parcela A'!AV32</f>
        <v>0</v>
      </c>
      <c r="M34" s="25">
        <f>'Parcela A'!AA32</f>
        <v>0</v>
      </c>
      <c r="N34" s="25">
        <f>'Parcela A'!T32</f>
        <v>0</v>
      </c>
      <c r="O34" s="25">
        <f>IF(S34="8.1",VLOOKUP(C34,TABParcelaB81,5,FALSE),VLOOKUP(C34,TABPArcelaB84,6,FALSE))</f>
        <v>0</v>
      </c>
      <c r="P34" s="25">
        <f t="shared" si="3"/>
        <v>0</v>
      </c>
      <c r="Q34" s="25">
        <f t="shared" si="4"/>
        <v>0</v>
      </c>
      <c r="R34" s="23">
        <f t="shared" si="5"/>
        <v>0</v>
      </c>
      <c r="S34" s="21" t="s">
        <v>109</v>
      </c>
      <c r="X34" s="32"/>
    </row>
    <row r="35" spans="1:24" hidden="1">
      <c r="A35" s="255">
        <v>5697</v>
      </c>
      <c r="B35" s="255" t="str">
        <f>VLOOKUP(C35,Efeito!$A$5:$B$56,2,FALSE)</f>
        <v>NO SELECT</v>
      </c>
      <c r="C35" s="39" t="s">
        <v>61</v>
      </c>
      <c r="D35" s="12" t="s">
        <v>479</v>
      </c>
      <c r="E35" s="12" t="str">
        <f t="shared" si="0"/>
        <v>Certrel (Celesc-Dis)</v>
      </c>
      <c r="F35" s="155">
        <f>SUMIFS(Banco[valor],Banco[IdAgente],B35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35" s="155">
        <f>VLOOKUP(A35,'BD2'!$BD$1:$BF$50,3,FALSE)</f>
        <v>592.96601584686096</v>
      </c>
      <c r="H35" s="24">
        <f>SUMIFS(Banco[valor],Banco[IdAgente],B35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35" s="24">
        <f>SUMIFS(Banco[valor],Banco[IdAgente],B35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35" s="24" t="e">
        <f t="shared" si="1"/>
        <v>#DIV/0!</v>
      </c>
      <c r="K35" s="25">
        <f t="shared" si="2"/>
        <v>0</v>
      </c>
      <c r="L35" s="23">
        <f>'Parcela A'!AV33</f>
        <v>0</v>
      </c>
      <c r="M35" s="25">
        <f>'Parcela A'!AA33</f>
        <v>0</v>
      </c>
      <c r="N35" s="25">
        <f>'Parcela A'!T33</f>
        <v>0</v>
      </c>
      <c r="O35" s="25">
        <f>IF(S35="8.1",VLOOKUP(C35,TABParcelaB81,5,FALSE),VLOOKUP(C35,TABPArcelaB84,6,FALSE))</f>
        <v>0</v>
      </c>
      <c r="P35" s="25">
        <f t="shared" si="3"/>
        <v>0</v>
      </c>
      <c r="Q35" s="25">
        <f t="shared" si="4"/>
        <v>0</v>
      </c>
      <c r="R35" s="23">
        <f t="shared" si="5"/>
        <v>0</v>
      </c>
      <c r="S35" s="21" t="s">
        <v>109</v>
      </c>
      <c r="X35" s="32"/>
    </row>
    <row r="36" spans="1:24" hidden="1">
      <c r="A36" s="255">
        <v>2937</v>
      </c>
      <c r="B36" s="255" t="str">
        <f>VLOOKUP(C36,Efeito!$A$5:$B$56,2,FALSE)</f>
        <v>NO SELECT</v>
      </c>
      <c r="C36" s="39" t="s">
        <v>198</v>
      </c>
      <c r="D36" s="12" t="s">
        <v>259</v>
      </c>
      <c r="E36" s="12" t="str">
        <f t="shared" si="0"/>
        <v>Cetril (CPFL Piratininga)</v>
      </c>
      <c r="F36" s="155">
        <f>SUMIFS(Banco[valor],Banco[IdAgente],B36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36" s="422">
        <f>VLOOKUP(A36,'BD2'!$BD$1:$BF$50,3,FALSE)</f>
        <v>677.42749659565197</v>
      </c>
      <c r="H36" s="24">
        <f>SUMIFS(Banco[valor],Banco[IdAgente],B36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36" s="24">
        <f>SUMIFS(Banco[valor],Banco[IdAgente],B36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36" s="24" t="e">
        <f t="shared" si="1"/>
        <v>#DIV/0!</v>
      </c>
      <c r="K36" s="25">
        <f t="shared" si="2"/>
        <v>0</v>
      </c>
      <c r="L36" s="23">
        <f>'Parcela A'!AV34</f>
        <v>0</v>
      </c>
      <c r="M36" s="25">
        <f>'Parcela A'!AA34</f>
        <v>0</v>
      </c>
      <c r="N36" s="25">
        <f>'Parcela A'!T34</f>
        <v>0</v>
      </c>
      <c r="O36" s="25">
        <f>IF(S36="8.1",VLOOKUP(C36,TABParcelaB81,5,FALSE),VLOOKUP(C36,TABPArcelaB84,6,FALSE))</f>
        <v>0</v>
      </c>
      <c r="P36" s="25">
        <f t="shared" si="3"/>
        <v>0</v>
      </c>
      <c r="Q36" s="25">
        <f t="shared" si="4"/>
        <v>0</v>
      </c>
      <c r="R36" s="23">
        <f t="shared" si="5"/>
        <v>0</v>
      </c>
      <c r="S36" s="21" t="s">
        <v>109</v>
      </c>
      <c r="X36" s="32"/>
    </row>
    <row r="37" spans="1:24" hidden="1">
      <c r="A37" s="255">
        <v>5697</v>
      </c>
      <c r="B37" s="255" t="str">
        <f>VLOOKUP(C37,Efeito!$A$5:$B$56,2,FALSE)</f>
        <v>NO SELECT</v>
      </c>
      <c r="C37" s="39" t="s">
        <v>62</v>
      </c>
      <c r="D37" s="12" t="s">
        <v>479</v>
      </c>
      <c r="E37" s="12" t="str">
        <f t="shared" si="0"/>
        <v>Coopera (Celesc-Dis)</v>
      </c>
      <c r="F37" s="155">
        <f>SUMIFS(Banco[valor],Banco[IdAgente],B37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37" s="155">
        <f>VLOOKUP(A37,'BD2'!$BD$1:$BF$50,3,FALSE)</f>
        <v>592.96601584686096</v>
      </c>
      <c r="H37" s="24">
        <f>SUMIFS(Banco[valor],Banco[IdAgente],B37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37" s="24">
        <f>SUMIFS(Banco[valor],Banco[IdAgente],B37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37" s="24" t="e">
        <f t="shared" si="1"/>
        <v>#DIV/0!</v>
      </c>
      <c r="K37" s="25">
        <f t="shared" si="2"/>
        <v>0</v>
      </c>
      <c r="L37" s="23">
        <f>'Parcela A'!AV35</f>
        <v>0</v>
      </c>
      <c r="M37" s="25">
        <f>'Parcela A'!AA35</f>
        <v>0</v>
      </c>
      <c r="N37" s="25">
        <f>'Parcela A'!T35</f>
        <v>0</v>
      </c>
      <c r="O37" s="25">
        <f>IF(S37="8.1",VLOOKUP(C37,TABParcelaB81,5,FALSE),VLOOKUP(C37,TABPArcelaB84,6,FALSE))</f>
        <v>0</v>
      </c>
      <c r="P37" s="25">
        <f t="shared" si="3"/>
        <v>0</v>
      </c>
      <c r="Q37" s="25">
        <f t="shared" si="4"/>
        <v>0</v>
      </c>
      <c r="R37" s="23">
        <f t="shared" si="5"/>
        <v>0</v>
      </c>
      <c r="S37" s="21" t="s">
        <v>109</v>
      </c>
      <c r="X37" s="32"/>
    </row>
    <row r="38" spans="1:24" hidden="1">
      <c r="A38" s="255">
        <v>5697</v>
      </c>
      <c r="B38" s="255" t="str">
        <f>VLOOKUP(C38,Efeito!$A$5:$B$56,2,FALSE)</f>
        <v>NO SELECT</v>
      </c>
      <c r="C38" s="39" t="s">
        <v>53</v>
      </c>
      <c r="D38" s="12" t="s">
        <v>479</v>
      </c>
      <c r="E38" s="12" t="str">
        <f t="shared" si="0"/>
        <v>Coopercocal (Celesc-Dis)</v>
      </c>
      <c r="F38" s="155">
        <f>SUMIFS(Banco[valor],Banco[IdAgente],B38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38" s="155">
        <f>VLOOKUP(A38,'BD2'!$BD$1:$BF$50,3,FALSE)</f>
        <v>592.96601584686096</v>
      </c>
      <c r="H38" s="24">
        <f>SUMIFS(Banco[valor],Banco[IdAgente],B38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38" s="24">
        <f>SUMIFS(Banco[valor],Banco[IdAgente],B38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38" s="24" t="e">
        <f t="shared" si="1"/>
        <v>#DIV/0!</v>
      </c>
      <c r="K38" s="25">
        <f t="shared" si="2"/>
        <v>0</v>
      </c>
      <c r="L38" s="23">
        <f>'Parcela A'!AV36</f>
        <v>0</v>
      </c>
      <c r="M38" s="25">
        <f>'Parcela A'!AA36</f>
        <v>0</v>
      </c>
      <c r="N38" s="25">
        <f>'Parcela A'!T36</f>
        <v>0</v>
      </c>
      <c r="O38" s="25">
        <f>IF(S38="8.1",VLOOKUP(C38,TABParcelaB81,5,FALSE),VLOOKUP(C38,TABPArcelaB84,6,FALSE))</f>
        <v>0</v>
      </c>
      <c r="P38" s="25">
        <f t="shared" si="3"/>
        <v>0</v>
      </c>
      <c r="Q38" s="25">
        <f t="shared" si="4"/>
        <v>0</v>
      </c>
      <c r="R38" s="23">
        <f t="shared" si="5"/>
        <v>0</v>
      </c>
      <c r="S38" s="21" t="s">
        <v>109</v>
      </c>
      <c r="X38" s="32"/>
    </row>
    <row r="39" spans="1:24" hidden="1">
      <c r="A39" s="255">
        <v>1000042</v>
      </c>
      <c r="B39" s="255" t="str">
        <f>VLOOKUP(C39,Efeito!$A$5:$B$56,2,FALSE)</f>
        <v>NO SELECT</v>
      </c>
      <c r="C39" s="39" t="s">
        <v>201</v>
      </c>
      <c r="D39" s="12" t="s">
        <v>262</v>
      </c>
      <c r="E39" s="12" t="str">
        <f t="shared" si="0"/>
        <v>Cooperluz (RGE SUL)</v>
      </c>
      <c r="F39" s="155">
        <f>SUMIFS(Banco[valor],Banco[IdAgente],B39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39" s="155">
        <f>VLOOKUP(A39,'BD2'!$BD$1:$BF$50,3,FALSE)</f>
        <v>719.56101426266196</v>
      </c>
      <c r="H39" s="24">
        <f>SUMIFS(Banco[valor],Banco[IdAgente],B39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39" s="24">
        <f>SUMIFS(Banco[valor],Banco[IdAgente],B39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39" s="24" t="e">
        <f t="shared" si="1"/>
        <v>#DIV/0!</v>
      </c>
      <c r="K39" s="25">
        <f t="shared" si="2"/>
        <v>0</v>
      </c>
      <c r="L39" s="23">
        <f>'Parcela A'!AV37</f>
        <v>0</v>
      </c>
      <c r="M39" s="25">
        <f>'Parcela A'!AA37</f>
        <v>0</v>
      </c>
      <c r="N39" s="25">
        <f>'Parcela A'!T37</f>
        <v>0</v>
      </c>
      <c r="O39" s="25">
        <f>IF(S39="8.1",VLOOKUP(C39,TABParcelaB81,5,FALSE),VLOOKUP(C39,TABPArcelaB84,6,FALSE))</f>
        <v>0</v>
      </c>
      <c r="P39" s="25">
        <f t="shared" si="3"/>
        <v>0</v>
      </c>
      <c r="Q39" s="25">
        <f t="shared" si="4"/>
        <v>0</v>
      </c>
      <c r="R39" s="23">
        <f t="shared" si="5"/>
        <v>0</v>
      </c>
      <c r="S39" s="21" t="s">
        <v>109</v>
      </c>
      <c r="X39" s="32"/>
    </row>
    <row r="40" spans="1:24" hidden="1">
      <c r="A40" s="255">
        <v>5697</v>
      </c>
      <c r="B40" s="255" t="str">
        <f>VLOOKUP(C40,Efeito!$A$5:$B$56,2,FALSE)</f>
        <v>NO SELECT</v>
      </c>
      <c r="C40" s="39" t="s">
        <v>63</v>
      </c>
      <c r="D40" s="12" t="s">
        <v>479</v>
      </c>
      <c r="E40" s="12" t="str">
        <f t="shared" si="0"/>
        <v>Coopermila (Celesc-Dis)</v>
      </c>
      <c r="F40" s="155">
        <f>SUMIFS(Banco[valor],Banco[IdAgente],B40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40" s="155">
        <f>VLOOKUP(A40,'BD2'!$BD$1:$BF$50,3,FALSE)</f>
        <v>592.96601584686096</v>
      </c>
      <c r="H40" s="24">
        <f>SUMIFS(Banco[valor],Banco[IdAgente],B40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40" s="24">
        <f>SUMIFS(Banco[valor],Banco[IdAgente],B40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40" s="24" t="e">
        <f t="shared" si="1"/>
        <v>#DIV/0!</v>
      </c>
      <c r="K40" s="25">
        <f t="shared" si="2"/>
        <v>0</v>
      </c>
      <c r="L40" s="23">
        <f>'Parcela A'!AV38</f>
        <v>0</v>
      </c>
      <c r="M40" s="25">
        <f>'Parcela A'!AA38</f>
        <v>0</v>
      </c>
      <c r="N40" s="25">
        <f>'Parcela A'!T38</f>
        <v>0</v>
      </c>
      <c r="O40" s="25">
        <f>IF(S40="8.1",VLOOKUP(C40,TABParcelaB81,5,FALSE),VLOOKUP(C40,TABPArcelaB84,6,FALSE))</f>
        <v>0</v>
      </c>
      <c r="P40" s="25">
        <f t="shared" si="3"/>
        <v>0</v>
      </c>
      <c r="Q40" s="25">
        <f t="shared" si="4"/>
        <v>0</v>
      </c>
      <c r="R40" s="23">
        <f t="shared" si="5"/>
        <v>0</v>
      </c>
      <c r="S40" s="21" t="s">
        <v>109</v>
      </c>
      <c r="X40" s="32"/>
    </row>
    <row r="41" spans="1:24" hidden="1">
      <c r="A41" s="255">
        <v>5697</v>
      </c>
      <c r="B41" s="255" t="str">
        <f>VLOOKUP(C41,Efeito!$A$5:$B$56,2,FALSE)</f>
        <v>NO SELECT</v>
      </c>
      <c r="C41" s="39" t="s">
        <v>64</v>
      </c>
      <c r="D41" s="12" t="s">
        <v>479</v>
      </c>
      <c r="E41" s="12" t="str">
        <f t="shared" si="0"/>
        <v>Coorsel (Celesc-Dis)</v>
      </c>
      <c r="F41" s="155">
        <f>SUMIFS(Banco[valor],Banco[IdAgente],B41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41" s="155">
        <f>VLOOKUP(A41,'BD2'!$BD$1:$BF$50,3,FALSE)</f>
        <v>592.96601584686096</v>
      </c>
      <c r="H41" s="24">
        <f>SUMIFS(Banco[valor],Banco[IdAgente],B41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41" s="24">
        <f>SUMIFS(Banco[valor],Banco[IdAgente],B41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41" s="24" t="e">
        <f t="shared" si="1"/>
        <v>#DIV/0!</v>
      </c>
      <c r="K41" s="25">
        <f t="shared" si="2"/>
        <v>0</v>
      </c>
      <c r="L41" s="23">
        <f>'Parcela A'!AV39</f>
        <v>0</v>
      </c>
      <c r="M41" s="25">
        <f>'Parcela A'!AA39</f>
        <v>0</v>
      </c>
      <c r="N41" s="25">
        <f>'Parcela A'!T39</f>
        <v>0</v>
      </c>
      <c r="O41" s="25">
        <f>IF(S41="8.1",VLOOKUP(C41,TABParcelaB81,5,FALSE),VLOOKUP(C41,TABPArcelaB84,6,FALSE))</f>
        <v>0</v>
      </c>
      <c r="P41" s="25">
        <f t="shared" si="3"/>
        <v>0</v>
      </c>
      <c r="Q41" s="25">
        <f t="shared" si="4"/>
        <v>0</v>
      </c>
      <c r="R41" s="23">
        <f t="shared" si="5"/>
        <v>0</v>
      </c>
      <c r="S41" s="21" t="s">
        <v>109</v>
      </c>
      <c r="X41" s="32"/>
    </row>
    <row r="42" spans="1:24" hidden="1">
      <c r="A42" s="255">
        <v>1000042</v>
      </c>
      <c r="B42" s="255" t="str">
        <f>VLOOKUP(C42,Efeito!$A$5:$B$56,2,FALSE)</f>
        <v>NO SELECT</v>
      </c>
      <c r="C42" s="39" t="s">
        <v>204</v>
      </c>
      <c r="D42" s="12" t="s">
        <v>262</v>
      </c>
      <c r="E42" s="12" t="str">
        <f>CONCATENATE(C42," (",D42,")")</f>
        <v>Coprel (RGE SUL)</v>
      </c>
      <c r="F42" s="155">
        <f>SUMIFS(Banco[valor],Banco[IdAgente],B42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42" s="155">
        <f>VLOOKUP(A42,'BD2'!$BD$1:$BF$50,3,FALSE)</f>
        <v>719.56101426266196</v>
      </c>
      <c r="H42" s="24">
        <f>SUMIFS(Banco[valor],Banco[IdAgente],B42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42" s="24">
        <f>SUMIFS(Banco[valor],Banco[IdAgente],B42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42" s="24" t="e">
        <f t="shared" ref="J42:J55" si="8">(P42+Q42)/K42</f>
        <v>#DIV/0!</v>
      </c>
      <c r="K42" s="25">
        <f t="shared" si="2"/>
        <v>0</v>
      </c>
      <c r="L42" s="23">
        <f>'Parcela A'!AV40</f>
        <v>0</v>
      </c>
      <c r="M42" s="25">
        <f>'Parcela A'!AA40</f>
        <v>0</v>
      </c>
      <c r="N42" s="25">
        <f>'Parcela A'!T40</f>
        <v>0</v>
      </c>
      <c r="O42" s="25">
        <f>IF(S42="8.1",VLOOKUP(C42,TABParcelaB81,5,FALSE),VLOOKUP(C42,TABPArcelaB84,6,FALSE))</f>
        <v>0</v>
      </c>
      <c r="P42" s="25">
        <f t="shared" si="3"/>
        <v>0</v>
      </c>
      <c r="Q42" s="25">
        <f t="shared" si="4"/>
        <v>0</v>
      </c>
      <c r="R42" s="23">
        <f t="shared" si="5"/>
        <v>0</v>
      </c>
      <c r="S42" s="21" t="s">
        <v>109</v>
      </c>
      <c r="V42" s="32"/>
      <c r="X42" s="32"/>
    </row>
    <row r="43" spans="1:24" hidden="1">
      <c r="A43" s="255">
        <v>1000042</v>
      </c>
      <c r="B43" s="255" t="str">
        <f>VLOOKUP(C43,Efeito!$A$5:$B$56,2,FALSE)</f>
        <v>NO SELECT</v>
      </c>
      <c r="C43" s="39" t="s">
        <v>276</v>
      </c>
      <c r="D43" s="12" t="s">
        <v>262</v>
      </c>
      <c r="E43" s="12" t="str">
        <f t="shared" ref="E43:E57" si="9">CONCATENATE(C43," (",D43,")")</f>
        <v>Creluz (RGE SUL)</v>
      </c>
      <c r="F43" s="155">
        <f>SUMIFS(Banco[valor],Banco[IdAgente],B43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43" s="155">
        <f>VLOOKUP(A43,'BD2'!$BD$1:$BF$50,3,FALSE)</f>
        <v>719.56101426266196</v>
      </c>
      <c r="H43" s="24">
        <f>SUMIFS(Banco[valor],Banco[IdAgente],B43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43" s="24">
        <f>SUMIFS(Banco[valor],Banco[IdAgente],B43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43" s="24" t="e">
        <f t="shared" si="8"/>
        <v>#DIV/0!</v>
      </c>
      <c r="K43" s="25">
        <f t="shared" si="2"/>
        <v>0</v>
      </c>
      <c r="L43" s="23">
        <f>'Parcela A'!AV41</f>
        <v>0</v>
      </c>
      <c r="M43" s="25">
        <f>'Parcela A'!AA41</f>
        <v>0</v>
      </c>
      <c r="N43" s="25">
        <f>'Parcela A'!T41</f>
        <v>0</v>
      </c>
      <c r="O43" s="25">
        <f>IF(S43="8.1",VLOOKUP(C43,TABParcelaB81,5,FALSE),VLOOKUP(C43,TABPArcelaB84,6,FALSE))</f>
        <v>0</v>
      </c>
      <c r="P43" s="25">
        <f t="shared" si="3"/>
        <v>0</v>
      </c>
      <c r="Q43" s="25">
        <f t="shared" si="4"/>
        <v>0</v>
      </c>
      <c r="R43" s="23">
        <f t="shared" si="5"/>
        <v>0</v>
      </c>
      <c r="S43" s="21" t="s">
        <v>109</v>
      </c>
      <c r="V43" s="32"/>
      <c r="X43" s="32"/>
    </row>
    <row r="44" spans="1:24" hidden="1">
      <c r="A44" s="255">
        <v>1000042</v>
      </c>
      <c r="B44" s="255" t="str">
        <f>VLOOKUP(C44,Efeito!$A$5:$B$56,2,FALSE)</f>
        <v>NO SELECT</v>
      </c>
      <c r="C44" s="39" t="s">
        <v>210</v>
      </c>
      <c r="D44" s="12" t="s">
        <v>262</v>
      </c>
      <c r="E44" s="12" t="str">
        <f t="shared" si="9"/>
        <v>Creral (RGE SUL)</v>
      </c>
      <c r="F44" s="155">
        <f>SUMIFS(Banco[valor],Banco[IdAgente],B44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44" s="155">
        <f>VLOOKUP(A44,'BD2'!$BD$1:$BF$50,3,FALSE)</f>
        <v>719.56101426266196</v>
      </c>
      <c r="H44" s="24">
        <f>SUMIFS(Banco[valor],Banco[IdAgente],B44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44" s="24">
        <f>SUMIFS(Banco[valor],Banco[IdAgente],B44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44" s="24" t="e">
        <f>(P44+Q44)/K44</f>
        <v>#DIV/0!</v>
      </c>
      <c r="K44" s="25">
        <f t="shared" si="2"/>
        <v>0</v>
      </c>
      <c r="L44" s="23">
        <f>'Parcela A'!AV42</f>
        <v>0</v>
      </c>
      <c r="M44" s="25">
        <f>'Parcela A'!AA42</f>
        <v>0</v>
      </c>
      <c r="N44" s="25">
        <f>'Parcela A'!T42</f>
        <v>0</v>
      </c>
      <c r="O44" s="25">
        <f>IF(S44="8.1",VLOOKUP(C44,TABParcelaB81,5,FALSE),VLOOKUP(C44,TABPArcelaB84,6,FALSE))</f>
        <v>0</v>
      </c>
      <c r="P44" s="25">
        <f t="shared" si="3"/>
        <v>0</v>
      </c>
      <c r="Q44" s="25">
        <f t="shared" si="4"/>
        <v>0</v>
      </c>
      <c r="R44" s="23">
        <f t="shared" si="5"/>
        <v>0</v>
      </c>
      <c r="S44" s="21" t="s">
        <v>109</v>
      </c>
      <c r="V44" s="32"/>
      <c r="X44" s="32"/>
    </row>
    <row r="45" spans="1:24" hidden="1">
      <c r="A45" s="255">
        <v>383</v>
      </c>
      <c r="B45" s="255" t="str">
        <f>VLOOKUP(C45,Efeito!$A$5:$B$56,2,FALSE)</f>
        <v>NO SELECT</v>
      </c>
      <c r="C45" s="39" t="s">
        <v>213</v>
      </c>
      <c r="D45" s="12" t="s">
        <v>273</v>
      </c>
      <c r="E45" s="12" t="str">
        <f t="shared" si="9"/>
        <v>Cerci (Enel RJ)</v>
      </c>
      <c r="F45" s="155">
        <f>SUMIFS(Banco[valor],Banco[IdAgente],B45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45" s="155">
        <f>VLOOKUP(A45,'BD2'!$BD$1:$BF$50,3,FALSE)</f>
        <v>888.33701302480404</v>
      </c>
      <c r="H45" s="24">
        <f>SUMIFS(Banco[valor],Banco[IdAgente],B45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45" s="24">
        <f>SUMIFS(Banco[valor],Banco[IdAgente],B45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45" s="24" t="e">
        <f t="shared" si="8"/>
        <v>#DIV/0!</v>
      </c>
      <c r="K45" s="25">
        <f t="shared" si="2"/>
        <v>0</v>
      </c>
      <c r="L45" s="23">
        <f>'Parcela A'!AV43</f>
        <v>0</v>
      </c>
      <c r="M45" s="25">
        <f>'Parcela A'!AA43</f>
        <v>0</v>
      </c>
      <c r="N45" s="25">
        <f>'Parcela A'!T43</f>
        <v>0</v>
      </c>
      <c r="O45" s="25">
        <f>IF(S45="8.1",VLOOKUP(C45,TABParcelaB81,5,FALSE),VLOOKUP(C45,TABPArcelaB84,6,FALSE))</f>
        <v>0</v>
      </c>
      <c r="P45" s="25">
        <f t="shared" si="3"/>
        <v>0</v>
      </c>
      <c r="Q45" s="25">
        <f t="shared" si="4"/>
        <v>0</v>
      </c>
      <c r="R45" s="23">
        <f t="shared" si="5"/>
        <v>0</v>
      </c>
      <c r="S45" s="21" t="s">
        <v>109</v>
      </c>
      <c r="V45" s="32"/>
      <c r="X45" s="32"/>
    </row>
    <row r="46" spans="1:24" hidden="1">
      <c r="A46" s="255">
        <v>383</v>
      </c>
      <c r="B46" s="255" t="str">
        <f>VLOOKUP(C46,Efeito!$A$5:$B$56,2,FALSE)</f>
        <v>NO SELECT</v>
      </c>
      <c r="C46" s="39" t="s">
        <v>215</v>
      </c>
      <c r="D46" s="12" t="s">
        <v>273</v>
      </c>
      <c r="E46" s="12" t="str">
        <f t="shared" si="9"/>
        <v>Ceral Araruama (Enel RJ)</v>
      </c>
      <c r="F46" s="155">
        <f>SUMIFS(Banco[valor],Banco[IdAgente],B46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46" s="155">
        <f>VLOOKUP(A46,'BD2'!$BD$1:$BF$50,3,FALSE)</f>
        <v>888.33701302480404</v>
      </c>
      <c r="H46" s="24">
        <f>SUMIFS(Banco[valor],Banco[IdAgente],B46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46" s="24">
        <f>SUMIFS(Banco[valor],Banco[IdAgente],B46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46" s="24" t="e">
        <f>(P46+Q46)/K46</f>
        <v>#DIV/0!</v>
      </c>
      <c r="K46" s="25">
        <f>SUM(L46:O46)</f>
        <v>0</v>
      </c>
      <c r="L46" s="23">
        <f>'Parcela A'!AV44</f>
        <v>0</v>
      </c>
      <c r="M46" s="25">
        <f>'Parcela A'!AA44</f>
        <v>0</v>
      </c>
      <c r="N46" s="25">
        <f>'Parcela A'!T44</f>
        <v>0</v>
      </c>
      <c r="O46" s="25">
        <f>IF(S46="8.1",VLOOKUP(C46,TABParcelaB81,5,FALSE),VLOOKUP(C46,TABPArcelaB84,6,FALSE))</f>
        <v>0</v>
      </c>
      <c r="P46" s="25">
        <f t="shared" si="3"/>
        <v>0</v>
      </c>
      <c r="Q46" s="25">
        <f t="shared" si="4"/>
        <v>0</v>
      </c>
      <c r="R46" s="23">
        <f t="shared" si="5"/>
        <v>0</v>
      </c>
      <c r="S46" s="21" t="s">
        <v>109</v>
      </c>
      <c r="V46" s="32"/>
      <c r="X46" s="32"/>
    </row>
    <row r="47" spans="1:24" hidden="1">
      <c r="A47" s="255">
        <v>1000042</v>
      </c>
      <c r="B47" s="255" t="str">
        <f>VLOOKUP(C47,Efeito!$A$5:$B$56,2,FALSE)</f>
        <v>NO SELECT</v>
      </c>
      <c r="C47" s="39" t="s">
        <v>217</v>
      </c>
      <c r="D47" s="12" t="s">
        <v>262</v>
      </c>
      <c r="E47" s="12" t="str">
        <f t="shared" si="9"/>
        <v>Cerfox (RGE SUL)</v>
      </c>
      <c r="F47" s="155">
        <f>SUMIFS(Banco[valor],Banco[IdAgente],B47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47" s="155">
        <f>VLOOKUP(A47,'BD2'!$BD$1:$BF$50,3,FALSE)</f>
        <v>719.56101426266196</v>
      </c>
      <c r="H47" s="24">
        <f>SUMIFS(Banco[valor],Banco[IdAgente],B47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47" s="24">
        <f>SUMIFS(Banco[valor],Banco[IdAgente],B47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47" s="24" t="e">
        <f t="shared" si="8"/>
        <v>#DIV/0!</v>
      </c>
      <c r="K47" s="25">
        <f t="shared" si="2"/>
        <v>0</v>
      </c>
      <c r="L47" s="23">
        <f>'Parcela A'!AV45</f>
        <v>0</v>
      </c>
      <c r="M47" s="25">
        <f>'Parcela A'!AA45</f>
        <v>0</v>
      </c>
      <c r="N47" s="25">
        <f>'Parcela A'!T45</f>
        <v>0</v>
      </c>
      <c r="O47" s="25">
        <f>IF(S47="8.1",VLOOKUP(C47,TABParcelaB81,5,FALSE),VLOOKUP(C47,TABPArcelaB84,6,FALSE))</f>
        <v>0</v>
      </c>
      <c r="P47" s="25">
        <f t="shared" si="3"/>
        <v>0</v>
      </c>
      <c r="Q47" s="25">
        <f t="shared" si="4"/>
        <v>0</v>
      </c>
      <c r="R47" s="23">
        <f t="shared" si="5"/>
        <v>0</v>
      </c>
      <c r="S47" s="21" t="s">
        <v>109</v>
      </c>
      <c r="V47" s="32"/>
      <c r="X47" s="32"/>
    </row>
    <row r="48" spans="1:24" hidden="1">
      <c r="A48" s="255">
        <v>1000042</v>
      </c>
      <c r="B48" s="255" t="str">
        <f>VLOOKUP(C48,Efeito!$A$5:$B$56,2,FALSE)</f>
        <v>NO SELECT</v>
      </c>
      <c r="C48" s="39" t="s">
        <v>219</v>
      </c>
      <c r="D48" s="12" t="s">
        <v>262</v>
      </c>
      <c r="E48" s="12" t="str">
        <f t="shared" si="9"/>
        <v>Certhil (RGE SUL)</v>
      </c>
      <c r="F48" s="155">
        <f>SUMIFS(Banco[valor],Banco[IdAgente],B48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48" s="155">
        <f>VLOOKUP(A48,'BD2'!$BD$1:$BF$50,3,FALSE)</f>
        <v>719.56101426266196</v>
      </c>
      <c r="H48" s="24">
        <f>SUMIFS(Banco[valor],Banco[IdAgente],B48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48" s="24">
        <f>SUMIFS(Banco[valor],Banco[IdAgente],B48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48" s="24" t="e">
        <f t="shared" si="8"/>
        <v>#DIV/0!</v>
      </c>
      <c r="K48" s="25">
        <f t="shared" si="2"/>
        <v>0</v>
      </c>
      <c r="L48" s="23">
        <f>'Parcela A'!AV46</f>
        <v>0</v>
      </c>
      <c r="M48" s="25">
        <f>'Parcela A'!AA46</f>
        <v>0</v>
      </c>
      <c r="N48" s="25">
        <f>'Parcela A'!T46</f>
        <v>0</v>
      </c>
      <c r="O48" s="25">
        <f>IF(S48="8.1",VLOOKUP(C48,TABParcelaB81,5,FALSE),VLOOKUP(C48,TABPArcelaB84,6,FALSE))</f>
        <v>0</v>
      </c>
      <c r="P48" s="25">
        <f t="shared" si="3"/>
        <v>0</v>
      </c>
      <c r="Q48" s="25">
        <f t="shared" si="4"/>
        <v>0</v>
      </c>
      <c r="R48" s="23">
        <f t="shared" si="5"/>
        <v>0</v>
      </c>
      <c r="S48" s="21" t="s">
        <v>109</v>
      </c>
      <c r="V48" s="32"/>
      <c r="X48" s="32"/>
    </row>
    <row r="49" spans="1:26" hidden="1">
      <c r="A49" s="255">
        <v>2866</v>
      </c>
      <c r="B49" s="255" t="str">
        <f>VLOOKUP(C49,Efeito!$A$5:$B$56,2,FALSE)</f>
        <v>NO SELECT</v>
      </c>
      <c r="C49" s="39" t="s">
        <v>221</v>
      </c>
      <c r="D49" s="12" t="s">
        <v>263</v>
      </c>
      <c r="E49" s="12" t="str">
        <f t="shared" si="9"/>
        <v>Castro Dis (Copel-Dis)</v>
      </c>
      <c r="F49" s="155">
        <f>SUMIFS(Banco[valor],Banco[IdAgente],B49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49" s="155">
        <f>VLOOKUP(A49,'BD2'!$BD$1:$BF$50,3,FALSE)</f>
        <v>630.49</v>
      </c>
      <c r="H49" s="24">
        <f>SUMIFS(Banco[valor],Banco[IdAgente],B49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49" s="24">
        <f>SUMIFS(Banco[valor],Banco[IdAgente],B49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49" s="24" t="e">
        <f t="shared" si="8"/>
        <v>#DIV/0!</v>
      </c>
      <c r="K49" s="25">
        <f t="shared" si="2"/>
        <v>0</v>
      </c>
      <c r="L49" s="23">
        <f>'Parcela A'!AV47</f>
        <v>0</v>
      </c>
      <c r="M49" s="25">
        <f>'Parcela A'!AA47</f>
        <v>0</v>
      </c>
      <c r="N49" s="25">
        <f>'Parcela A'!T47</f>
        <v>0</v>
      </c>
      <c r="O49" s="25">
        <f>IF(S49="8.1",VLOOKUP(C49,TABParcelaB81,5,FALSE),VLOOKUP(C49,TABPArcelaB84,6,FALSE))</f>
        <v>0</v>
      </c>
      <c r="P49" s="25">
        <f t="shared" si="3"/>
        <v>0</v>
      </c>
      <c r="Q49" s="25">
        <f t="shared" si="4"/>
        <v>0</v>
      </c>
      <c r="R49" s="23">
        <f t="shared" si="5"/>
        <v>0</v>
      </c>
      <c r="S49" s="21" t="s">
        <v>109</v>
      </c>
      <c r="V49" s="32"/>
      <c r="X49" s="32"/>
    </row>
    <row r="50" spans="1:26" hidden="1">
      <c r="A50" s="255">
        <v>5697</v>
      </c>
      <c r="B50" s="255" t="str">
        <f>VLOOKUP(C50,Efeito!$A$5:$B$56,2,FALSE)</f>
        <v>NO SELECT</v>
      </c>
      <c r="C50" s="39" t="s">
        <v>225</v>
      </c>
      <c r="D50" s="12" t="s">
        <v>479</v>
      </c>
      <c r="E50" s="12" t="str">
        <f t="shared" si="9"/>
        <v>Cegero (Celesc-Dis)</v>
      </c>
      <c r="F50" s="155">
        <f>SUMIFS(Banco[valor],Banco[IdAgente],B50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50" s="155">
        <f>VLOOKUP(A50,'BD2'!$BD$1:$BF$50,3,FALSE)</f>
        <v>592.96601584686096</v>
      </c>
      <c r="H50" s="24">
        <f>SUMIFS(Banco[valor],Banco[IdAgente],B50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50" s="24">
        <f>SUMIFS(Banco[valor],Banco[IdAgente],B50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50" s="24" t="e">
        <f t="shared" si="8"/>
        <v>#DIV/0!</v>
      </c>
      <c r="K50" s="25">
        <f t="shared" si="2"/>
        <v>0</v>
      </c>
      <c r="L50" s="23">
        <f>'Parcela A'!AV49</f>
        <v>0</v>
      </c>
      <c r="M50" s="25">
        <f>'Parcela A'!AA49</f>
        <v>0</v>
      </c>
      <c r="N50" s="25">
        <f>'Parcela A'!T49</f>
        <v>0</v>
      </c>
      <c r="O50" s="25">
        <f>IF(S50="8.1",VLOOKUP(C50,TABParcelaB81,5,FALSE),VLOOKUP(C50,TABPArcelaB84,6,FALSE))</f>
        <v>0</v>
      </c>
      <c r="P50" s="25">
        <f t="shared" si="3"/>
        <v>0</v>
      </c>
      <c r="Q50" s="25">
        <f t="shared" si="4"/>
        <v>0</v>
      </c>
      <c r="R50" s="23">
        <f t="shared" si="5"/>
        <v>0</v>
      </c>
      <c r="S50" s="21" t="s">
        <v>109</v>
      </c>
      <c r="V50" s="32"/>
      <c r="X50" s="32"/>
    </row>
    <row r="51" spans="1:26" hidden="1">
      <c r="A51" s="255">
        <v>5697</v>
      </c>
      <c r="B51" s="255" t="str">
        <f>VLOOKUP(C51,Efeito!$A$5:$B$56,2,FALSE)</f>
        <v>NO SELECT</v>
      </c>
      <c r="C51" s="39" t="s">
        <v>227</v>
      </c>
      <c r="D51" s="12" t="s">
        <v>479</v>
      </c>
      <c r="E51" s="12" t="str">
        <f t="shared" si="9"/>
        <v>Cersad (Celesc-Dis)</v>
      </c>
      <c r="F51" s="155">
        <f>SUMIFS(Banco[valor],Banco[IdAgente],B51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51" s="155">
        <f>VLOOKUP(A51,'BD2'!$BD$1:$BF$50,3,FALSE)</f>
        <v>592.96601584686096</v>
      </c>
      <c r="H51" s="24">
        <f>SUMIFS(Banco[valor],Banco[IdAgente],B51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51" s="24">
        <f>SUMIFS(Banco[valor],Banco[IdAgente],B51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51" s="24" t="e">
        <f t="shared" si="8"/>
        <v>#DIV/0!</v>
      </c>
      <c r="K51" s="25">
        <f t="shared" si="2"/>
        <v>0</v>
      </c>
      <c r="L51" s="23">
        <f>'Parcela A'!AV50</f>
        <v>0</v>
      </c>
      <c r="M51" s="25">
        <f>'Parcela A'!AA50</f>
        <v>0</v>
      </c>
      <c r="N51" s="25">
        <f>'Parcela A'!T50</f>
        <v>0</v>
      </c>
      <c r="O51" s="25">
        <f>IF(S51="8.1",VLOOKUP(C51,TABParcelaB81,5,FALSE),VLOOKUP(C51,TABPArcelaB84,6,FALSE))</f>
        <v>0</v>
      </c>
      <c r="P51" s="25">
        <f t="shared" si="3"/>
        <v>0</v>
      </c>
      <c r="Q51" s="25">
        <f t="shared" si="4"/>
        <v>0</v>
      </c>
      <c r="R51" s="23">
        <f t="shared" si="5"/>
        <v>0</v>
      </c>
      <c r="S51" s="21" t="s">
        <v>109</v>
      </c>
      <c r="V51" s="32"/>
      <c r="X51" s="32"/>
    </row>
    <row r="52" spans="1:26" hidden="1">
      <c r="A52" s="255">
        <v>5697</v>
      </c>
      <c r="B52" s="255" t="str">
        <f>VLOOKUP(C52,Efeito!$A$5:$B$56,2,FALSE)</f>
        <v>NO SELECT</v>
      </c>
      <c r="C52" s="39" t="s">
        <v>229</v>
      </c>
      <c r="D52" s="12" t="s">
        <v>479</v>
      </c>
      <c r="E52" s="12" t="str">
        <f t="shared" si="9"/>
        <v>Codesam (Celesc-Dis)</v>
      </c>
      <c r="F52" s="155">
        <f>SUMIFS(Banco[valor],Banco[IdAgente],B52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52" s="155">
        <f>VLOOKUP(A52,'BD2'!$BD$1:$BF$50,3,FALSE)</f>
        <v>592.96601584686096</v>
      </c>
      <c r="H52" s="24">
        <f>SUMIFS(Banco[valor],Banco[IdAgente],B52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52" s="24">
        <f>SUMIFS(Banco[valor],Banco[IdAgente],B52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52" s="24" t="e">
        <f t="shared" si="8"/>
        <v>#DIV/0!</v>
      </c>
      <c r="K52" s="25">
        <f t="shared" si="2"/>
        <v>0</v>
      </c>
      <c r="L52" s="23">
        <f>'Parcela A'!AV51</f>
        <v>0</v>
      </c>
      <c r="M52" s="25">
        <f>'Parcela A'!AA51</f>
        <v>0</v>
      </c>
      <c r="N52" s="25">
        <f>'Parcela A'!T51</f>
        <v>0</v>
      </c>
      <c r="O52" s="25">
        <f>IF(S52="8.1",VLOOKUP(C52,TABParcelaB81,5,FALSE),VLOOKUP(C52,TABPArcelaB84,6,FALSE))</f>
        <v>0</v>
      </c>
      <c r="P52" s="25">
        <f t="shared" si="3"/>
        <v>0</v>
      </c>
      <c r="Q52" s="25">
        <f t="shared" si="4"/>
        <v>0</v>
      </c>
      <c r="R52" s="23">
        <f t="shared" si="5"/>
        <v>0</v>
      </c>
      <c r="S52" s="21" t="s">
        <v>109</v>
      </c>
      <c r="V52" s="32"/>
      <c r="X52" s="32"/>
    </row>
    <row r="53" spans="1:26" hidden="1">
      <c r="A53" s="255">
        <v>5697</v>
      </c>
      <c r="B53" s="255" t="str">
        <f>VLOOKUP(C53,Efeito!$A$5:$B$56,2,FALSE)</f>
        <v>NO SELECT</v>
      </c>
      <c r="C53" s="39" t="s">
        <v>231</v>
      </c>
      <c r="D53" s="12" t="s">
        <v>479</v>
      </c>
      <c r="E53" s="12" t="str">
        <f t="shared" si="9"/>
        <v>Cooperzem (Celesc-Dis)</v>
      </c>
      <c r="F53" s="155">
        <f>SUMIFS(Banco[valor],Banco[IdAgente],B53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53" s="155">
        <f>VLOOKUP(A53,'BD2'!$BD$1:$BF$50,3,FALSE)</f>
        <v>592.96601584686096</v>
      </c>
      <c r="H53" s="24">
        <f>SUMIFS(Banco[valor],Banco[IdAgente],B53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53" s="24">
        <f>SUMIFS(Banco[valor],Banco[IdAgente],B53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53" s="24" t="e">
        <f t="shared" si="8"/>
        <v>#DIV/0!</v>
      </c>
      <c r="K53" s="25">
        <f t="shared" si="2"/>
        <v>0</v>
      </c>
      <c r="L53" s="23">
        <f>'Parcela A'!AV52</f>
        <v>0</v>
      </c>
      <c r="M53" s="25">
        <f>'Parcela A'!AA52</f>
        <v>0</v>
      </c>
      <c r="N53" s="25">
        <f>'Parcela A'!T52</f>
        <v>0</v>
      </c>
      <c r="O53" s="25">
        <f>IF(S53="8.1",VLOOKUP(C53,TABParcelaB81,5,FALSE),VLOOKUP(C53,TABPArcelaB84,6,FALSE))</f>
        <v>0</v>
      </c>
      <c r="P53" s="25">
        <f t="shared" si="3"/>
        <v>0</v>
      </c>
      <c r="Q53" s="25">
        <f t="shared" si="4"/>
        <v>0</v>
      </c>
      <c r="R53" s="23">
        <f t="shared" si="5"/>
        <v>0</v>
      </c>
      <c r="S53" s="21" t="s">
        <v>109</v>
      </c>
      <c r="V53" s="32"/>
      <c r="X53" s="32"/>
    </row>
    <row r="54" spans="1:26">
      <c r="A54" s="255">
        <v>5707</v>
      </c>
      <c r="B54" s="255">
        <f>VLOOKUP(C54,Efeito!$A$5:$B$56,2,FALSE)</f>
        <v>5346</v>
      </c>
      <c r="C54" s="39" t="s">
        <v>277</v>
      </c>
      <c r="D54" s="12" t="s">
        <v>477</v>
      </c>
      <c r="E54" s="12" t="str">
        <f t="shared" si="9"/>
        <v>Coopersul (CEEE Equatorial)</v>
      </c>
      <c r="F54" s="155">
        <f>SUMIFS(Banco[valor],Banco[IdAgente],B54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741.18</v>
      </c>
      <c r="G54" s="155">
        <f>VLOOKUP(A54,'BD2'!$BD$1:$BF$50,3,FALSE)</f>
        <v>643.05226155716105</v>
      </c>
      <c r="H54" s="24">
        <f>SUMIFS(Banco[valor],Banco[IdAgente],B54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3.9279186772239502E-2</v>
      </c>
      <c r="I54" s="24">
        <f>SUMIFS(Banco[valor],Banco[IdAgente],B54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0.108646260196582</v>
      </c>
      <c r="J54" s="24">
        <f t="shared" si="8"/>
        <v>0.17360622546770119</v>
      </c>
      <c r="K54" s="25">
        <f t="shared" si="2"/>
        <v>27551350.547702685</v>
      </c>
      <c r="L54" s="23">
        <f>'Parcela A'!AV53</f>
        <v>7094514.3762294166</v>
      </c>
      <c r="M54" s="25">
        <f>'Parcela A'!AA53</f>
        <v>4700553.5570248002</v>
      </c>
      <c r="N54" s="25">
        <f>'Parcela A'!T53</f>
        <v>2323782.2118419702</v>
      </c>
      <c r="O54" s="25">
        <f>IF(S54="8.1",VLOOKUP(C54,TABParcelaB81,5,FALSE),VLOOKUP(C54,TABPArcelaB84,6,FALSE))</f>
        <v>13432500.4026065</v>
      </c>
      <c r="P54" s="25">
        <f>R54*H54</f>
        <v>1270070.3713552374</v>
      </c>
      <c r="Q54" s="25">
        <f t="shared" si="4"/>
        <v>3513015.6037689075</v>
      </c>
      <c r="R54" s="23">
        <f t="shared" si="5"/>
        <v>32334436.522826828</v>
      </c>
      <c r="S54" s="21" t="s">
        <v>109</v>
      </c>
      <c r="V54" s="32"/>
    </row>
    <row r="55" spans="1:26">
      <c r="A55" s="255">
        <v>5707</v>
      </c>
      <c r="B55" s="255">
        <f>VLOOKUP(C55,Efeito!$A$5:$B$56,2,FALSE)</f>
        <v>5345</v>
      </c>
      <c r="C55" s="285" t="s">
        <v>234</v>
      </c>
      <c r="D55" s="285" t="s">
        <v>477</v>
      </c>
      <c r="E55" s="285" t="str">
        <f t="shared" si="9"/>
        <v>Coopernorte (CEEE Equatorial)</v>
      </c>
      <c r="F55" s="286">
        <f>SUMIFS(Banco[valor],Banco[IdAgente],B55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966</v>
      </c>
      <c r="G55" s="155">
        <f>VLOOKUP(A55,'BD2'!$BD$1:$BF$50,3,FALSE)</f>
        <v>643.05226155716105</v>
      </c>
      <c r="H55" s="24">
        <f>SUMIFS(Banco[valor],Banco[IdAgente],B55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55" s="24">
        <f>SUMIFS(Banco[valor],Banco[IdAgente],B55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0.13116077248633201</v>
      </c>
      <c r="J55" s="24">
        <f t="shared" si="8"/>
        <v>0.15096092387733342</v>
      </c>
      <c r="K55" s="25">
        <f t="shared" si="2"/>
        <v>22392130.648130782</v>
      </c>
      <c r="L55" s="23">
        <f>'Parcela A'!AV54</f>
        <v>3790255.2673967541</v>
      </c>
      <c r="M55" s="25">
        <f>'Parcela A'!AA54</f>
        <v>3346245.14322</v>
      </c>
      <c r="N55" s="25">
        <f>'Parcela A'!T54</f>
        <v>1849462.93964063</v>
      </c>
      <c r="O55" s="25">
        <f>IF(S55="8.1",VLOOKUP(C55,TABParcelaB81,5,FALSE),VLOOKUP(C55,TABPArcelaB84,6,FALSE))</f>
        <v>13406167.2978734</v>
      </c>
      <c r="P55" s="25">
        <f t="shared" si="3"/>
        <v>0</v>
      </c>
      <c r="Q55" s="25">
        <f t="shared" si="4"/>
        <v>3380336.7302237758</v>
      </c>
      <c r="R55" s="23">
        <f t="shared" si="5"/>
        <v>25772467.378354557</v>
      </c>
      <c r="S55" s="21" t="s">
        <v>109</v>
      </c>
      <c r="V55" s="32"/>
    </row>
    <row r="56" spans="1:26" hidden="1">
      <c r="A56" s="255">
        <v>63</v>
      </c>
      <c r="B56" s="255" t="str">
        <f>VLOOKUP(C56,Efeito!$A$5:$B$56,2,FALSE)</f>
        <v>NO SELECT</v>
      </c>
      <c r="C56" s="285" t="s">
        <v>286</v>
      </c>
      <c r="D56" s="12" t="s">
        <v>261</v>
      </c>
      <c r="E56" s="285" t="str">
        <f t="shared" si="9"/>
        <v>Cemirim (CPFL Paulista)</v>
      </c>
      <c r="F56" s="286">
        <f>SUMIFS(Banco[valor],Banco[IdAgente],B56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56" s="155">
        <f>VLOOKUP(A56,'BD2'!$BD$1:$BF$50,3,FALSE)</f>
        <v>690.46337967296199</v>
      </c>
      <c r="H56" s="24">
        <f>SUMIFS(Banco[valor],Banco[IdAgente],B56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56" s="24">
        <f>SUMIFS(Banco[valor],Banco[IdAgente],B56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56" s="24" t="e">
        <f t="shared" ref="J56" si="10">(P56+Q56)/K56</f>
        <v>#DIV/0!</v>
      </c>
      <c r="K56" s="25">
        <f t="shared" ref="K56" si="11">SUM(L56:O56)</f>
        <v>0</v>
      </c>
      <c r="L56" s="23">
        <f>'Parcela A'!AV55</f>
        <v>0</v>
      </c>
      <c r="M56" s="25">
        <f>'Parcela A'!AA55</f>
        <v>0</v>
      </c>
      <c r="N56" s="25">
        <f>'Parcela A'!T55</f>
        <v>0</v>
      </c>
      <c r="O56" s="25">
        <f>IF(S56="8.1",VLOOKUP(C56,TABParcelaB81,5,FALSE),VLOOKUP(C56,TABPArcelaB84,6,FALSE))</f>
        <v>0</v>
      </c>
      <c r="P56" s="25">
        <f t="shared" ref="P56" si="12">R56*H56</f>
        <v>0</v>
      </c>
      <c r="Q56" s="25">
        <f t="shared" ref="Q56" si="13">R56*I56</f>
        <v>0</v>
      </c>
      <c r="R56" s="23">
        <f t="shared" ref="R56" si="14">K56/(1-H56-I56)</f>
        <v>0</v>
      </c>
      <c r="S56" s="21">
        <v>8.4</v>
      </c>
      <c r="V56" s="32"/>
    </row>
    <row r="57" spans="1:26" hidden="1">
      <c r="A57" s="255">
        <v>1000042</v>
      </c>
      <c r="B57" s="255" t="str">
        <f>VLOOKUP(C57,Efeito!$A$5:$B$56,2,FALSE)</f>
        <v>NO SELECT</v>
      </c>
      <c r="C57" s="285" t="s">
        <v>302</v>
      </c>
      <c r="D57" s="285" t="s">
        <v>305</v>
      </c>
      <c r="E57" s="285" t="str">
        <f t="shared" si="9"/>
        <v>Celetro (RGE Sul)</v>
      </c>
      <c r="F57" s="286">
        <f>SUMIFS(Banco[valor],Banco[IdAgente],B57,Banco[id_natureza_dado],7,Banco[id_detalhe_natureza],99,Banco[idDet1],130,Banco[idDet2],999999,Banco[idDet3],999,Banco[id_grupo_tarifa],99,Banco[id_detalhe_grupo_tarifa],999,Banco[id_tipo_tarifa],9,Banco[id_subgrupo],99,Banco[id_posto],9,Banco[id_unidade],5,Banco[id_UC],99999)</f>
        <v>0</v>
      </c>
      <c r="G57" s="155">
        <f>VLOOKUP(A57,'BD2'!$BD$1:$BF$50,3,FALSE)</f>
        <v>719.56101426266196</v>
      </c>
      <c r="H57" s="24">
        <f>SUMIFS(Banco[valor],Banco[IdAgente],B57,Banco[id_natureza_dado],1,Banco[id_detalhe_natureza],4,Banco[idDet1],14,Banco[idDet2],30,Banco[idDet3],999,Banco[id_grupo_tarifa],99,Banco[id_detalhe_grupo_tarifa],999,Banco[id_tipo_tarifa],9,Banco[id_subgrupo],99,Banco[id_posto],9,Banco[id_unidade],4,Banco[id_UC],99999)</f>
        <v>0</v>
      </c>
      <c r="I57" s="24">
        <f>SUMIFS(Banco[valor],Banco[IdAgente],B57,Banco[id_natureza_dado],1,Banco[id_detalhe_natureza],4,Banco[idDet1],14,Banco[idDet2],29,Banco[idDet3],999,Banco[id_grupo_tarifa],99,Banco[id_detalhe_grupo_tarifa],999,Banco[id_tipo_tarifa],9,Banco[id_subgrupo],99,Banco[id_posto],9,Banco[id_unidade],4,Banco[id_UC],99999)</f>
        <v>0</v>
      </c>
      <c r="J57" s="24" t="e">
        <f t="shared" ref="J57" si="15">(P57+Q57)/K57</f>
        <v>#DIV/0!</v>
      </c>
      <c r="K57" s="25">
        <f t="shared" ref="K57" si="16">SUM(L57:O57)</f>
        <v>0</v>
      </c>
      <c r="L57" s="23">
        <f>'Parcela A'!AV56</f>
        <v>0</v>
      </c>
      <c r="M57" s="25">
        <f>'Parcela A'!AA56</f>
        <v>0</v>
      </c>
      <c r="N57" s="25">
        <f>'Parcela A'!T56</f>
        <v>0</v>
      </c>
      <c r="O57" s="25">
        <f>IF(S57="8.1",VLOOKUP(C57,TABParcelaB81,5,FALSE),VLOOKUP(C57,TABPArcelaB84,6,FALSE))</f>
        <v>0</v>
      </c>
      <c r="P57" s="25">
        <f t="shared" ref="P57" si="17">R57*H57</f>
        <v>0</v>
      </c>
      <c r="Q57" s="25">
        <f t="shared" ref="Q57" si="18">R57*I57</f>
        <v>0</v>
      </c>
      <c r="R57" s="23">
        <f t="shared" ref="R57" si="19">K57/(1-H57-I57)</f>
        <v>0</v>
      </c>
      <c r="S57" s="21">
        <v>9.4</v>
      </c>
      <c r="V57" s="32"/>
    </row>
    <row r="58" spans="1:26">
      <c r="A58" s="255"/>
      <c r="B58" s="255"/>
      <c r="C58" s="285"/>
      <c r="D58" s="285"/>
      <c r="E58" s="285"/>
      <c r="F58" s="286"/>
      <c r="G58" s="286"/>
      <c r="H58" s="287"/>
      <c r="I58" s="287"/>
      <c r="J58" s="287"/>
      <c r="K58" s="288"/>
      <c r="L58" s="289"/>
      <c r="M58" s="288"/>
      <c r="N58" s="288"/>
      <c r="O58" s="288"/>
      <c r="P58" s="288"/>
      <c r="Q58" s="288"/>
      <c r="R58" s="289"/>
      <c r="S58" s="290"/>
      <c r="V58" s="32"/>
    </row>
    <row r="59" spans="1:26">
      <c r="C59" s="13"/>
      <c r="D59" s="13"/>
      <c r="E59" s="13"/>
      <c r="F59" s="14"/>
      <c r="G59" s="14"/>
      <c r="H59" s="15"/>
      <c r="I59" s="15"/>
      <c r="J59" s="16"/>
      <c r="K59" s="16"/>
      <c r="L59" s="14"/>
      <c r="M59" s="16"/>
      <c r="N59" s="16"/>
      <c r="O59" s="16"/>
      <c r="P59" s="16"/>
      <c r="Q59" s="16"/>
      <c r="R59" s="17"/>
    </row>
    <row r="60" spans="1:26" ht="15" thickBot="1">
      <c r="C60" s="13"/>
      <c r="D60" s="13"/>
      <c r="E60" s="13"/>
      <c r="F60" s="14"/>
      <c r="G60" s="14"/>
      <c r="H60" s="15"/>
      <c r="I60" s="15"/>
      <c r="J60" s="16"/>
      <c r="K60" s="16"/>
      <c r="L60" s="14"/>
      <c r="M60" s="16"/>
      <c r="N60" s="16"/>
      <c r="O60" s="16"/>
      <c r="P60" s="16"/>
      <c r="Q60" s="16"/>
      <c r="R60" s="17"/>
    </row>
    <row r="61" spans="1:26" ht="15" thickBot="1">
      <c r="C61" s="153"/>
      <c r="D61" s="154"/>
      <c r="E61" s="13"/>
      <c r="F61" s="14"/>
      <c r="G61" s="14"/>
      <c r="H61" s="15"/>
      <c r="I61" s="15"/>
      <c r="J61" s="16"/>
      <c r="K61" s="16"/>
      <c r="L61" s="14"/>
      <c r="M61" s="16"/>
      <c r="N61" s="16"/>
      <c r="O61" s="16"/>
      <c r="P61" s="16"/>
      <c r="Q61" s="16"/>
      <c r="R61" s="17"/>
    </row>
    <row r="62" spans="1:26">
      <c r="C62" s="13"/>
      <c r="D62" s="13"/>
      <c r="E62" s="13"/>
      <c r="F62" s="14"/>
      <c r="G62" s="14"/>
      <c r="H62" s="15"/>
      <c r="I62" s="15"/>
      <c r="J62" s="16"/>
      <c r="K62" s="16"/>
      <c r="L62" s="14"/>
      <c r="M62" s="16"/>
      <c r="N62" s="16"/>
      <c r="O62" s="16"/>
      <c r="P62" s="16"/>
      <c r="Q62" s="16"/>
      <c r="R62" s="17"/>
    </row>
    <row r="63" spans="1:26">
      <c r="C63" s="13"/>
      <c r="D63" s="13"/>
      <c r="E63" s="13"/>
      <c r="F63" s="14"/>
      <c r="G63" s="14"/>
      <c r="H63" s="15"/>
      <c r="I63" s="15"/>
      <c r="J63" s="16"/>
      <c r="K63" s="16"/>
      <c r="L63" s="14"/>
      <c r="M63" s="16"/>
      <c r="N63" s="16"/>
      <c r="O63" s="16"/>
      <c r="P63" s="16"/>
      <c r="R63" s="423"/>
    </row>
    <row r="64" spans="1:26">
      <c r="B64" s="13" t="s">
        <v>156</v>
      </c>
      <c r="C64" s="13" t="s">
        <v>263</v>
      </c>
      <c r="D64" s="200">
        <v>630.49</v>
      </c>
      <c r="F64" s="14"/>
      <c r="G64" s="14"/>
      <c r="H64" s="15"/>
      <c r="I64" s="15"/>
      <c r="J64" s="16"/>
      <c r="K64" s="16"/>
      <c r="L64" s="14"/>
      <c r="M64" s="16"/>
      <c r="N64" s="16"/>
      <c r="O64" s="16"/>
      <c r="P64" s="16"/>
      <c r="S64" s="32"/>
      <c r="Z64" s="32"/>
    </row>
    <row r="65" spans="2:27">
      <c r="B65" s="13" t="s">
        <v>165</v>
      </c>
      <c r="C65" s="13" t="s">
        <v>262</v>
      </c>
      <c r="D65" s="200">
        <v>719.56101426266241</v>
      </c>
      <c r="F65" s="14"/>
      <c r="G65" s="14"/>
      <c r="H65" s="15"/>
      <c r="I65" s="15"/>
      <c r="J65" s="16"/>
      <c r="K65" s="16"/>
      <c r="L65" s="14"/>
      <c r="M65" s="16"/>
      <c r="N65" s="16"/>
      <c r="O65" s="16"/>
      <c r="P65" s="16"/>
      <c r="S65" s="32"/>
      <c r="Z65" s="32"/>
    </row>
    <row r="66" spans="2:27">
      <c r="B66" s="13" t="s">
        <v>174</v>
      </c>
      <c r="C66" s="13" t="s">
        <v>309</v>
      </c>
      <c r="D66" s="200">
        <v>649.10052028457255</v>
      </c>
      <c r="F66" s="14"/>
      <c r="G66" s="14"/>
      <c r="H66" s="15"/>
      <c r="I66" s="15"/>
      <c r="J66" s="16"/>
      <c r="K66" s="16"/>
      <c r="L66" s="14"/>
      <c r="M66" s="16"/>
      <c r="N66" s="16"/>
      <c r="O66" s="16"/>
      <c r="P66" s="16"/>
      <c r="S66" s="32"/>
      <c r="Z66" s="32"/>
    </row>
    <row r="67" spans="2:27">
      <c r="B67" s="13" t="s">
        <v>180</v>
      </c>
      <c r="C67" s="13" t="s">
        <v>262</v>
      </c>
      <c r="D67" s="200">
        <v>719.56101426266241</v>
      </c>
      <c r="F67" s="14"/>
      <c r="G67" s="14"/>
      <c r="H67" s="15"/>
      <c r="I67" s="15"/>
      <c r="J67" s="16"/>
      <c r="K67" s="16"/>
      <c r="L67" s="14"/>
      <c r="M67" s="16"/>
      <c r="N67" s="16"/>
      <c r="O67" s="16"/>
      <c r="P67" s="16"/>
      <c r="S67" s="32"/>
      <c r="Z67" s="32"/>
    </row>
    <row r="68" spans="2:27">
      <c r="B68" s="13" t="s">
        <v>183</v>
      </c>
      <c r="C68" s="13" t="s">
        <v>260</v>
      </c>
      <c r="D68" s="200">
        <v>688.10535307084456</v>
      </c>
      <c r="F68" s="14"/>
      <c r="G68" s="14"/>
      <c r="H68" s="15"/>
      <c r="I68" s="15"/>
      <c r="J68" s="16"/>
      <c r="K68" s="16"/>
      <c r="L68" s="14"/>
      <c r="M68" s="16"/>
      <c r="N68" s="16"/>
      <c r="O68" s="16"/>
      <c r="P68" s="16"/>
      <c r="S68" s="32"/>
      <c r="Z68" s="32"/>
      <c r="AA68" s="16"/>
    </row>
    <row r="69" spans="2:27">
      <c r="B69" s="13" t="s">
        <v>192</v>
      </c>
      <c r="C69" s="13" t="s">
        <v>262</v>
      </c>
      <c r="D69" s="200">
        <v>719.56101426266241</v>
      </c>
      <c r="F69" s="14"/>
      <c r="G69" s="14"/>
      <c r="H69" s="15"/>
      <c r="I69" s="15"/>
      <c r="J69" s="16"/>
      <c r="K69" s="16"/>
      <c r="L69" s="14"/>
      <c r="M69" s="16"/>
      <c r="N69" s="16"/>
      <c r="O69" s="16"/>
      <c r="P69" s="16"/>
      <c r="S69" s="32"/>
      <c r="Z69" s="32"/>
      <c r="AA69" s="16"/>
    </row>
    <row r="70" spans="2:27">
      <c r="B70" s="13" t="s">
        <v>201</v>
      </c>
      <c r="C70" s="13" t="s">
        <v>262</v>
      </c>
      <c r="D70" s="200">
        <v>719.56101426266241</v>
      </c>
      <c r="F70" s="14"/>
      <c r="G70" s="14"/>
      <c r="H70" s="15"/>
      <c r="I70" s="15"/>
      <c r="J70" s="16"/>
      <c r="K70" s="16"/>
      <c r="L70" s="14"/>
      <c r="M70" s="16"/>
      <c r="N70" s="16"/>
      <c r="O70" s="16"/>
      <c r="P70" s="16"/>
      <c r="S70" s="32"/>
      <c r="Z70" s="32"/>
      <c r="AA70" s="16"/>
    </row>
    <row r="71" spans="2:27">
      <c r="B71" s="13" t="s">
        <v>204</v>
      </c>
      <c r="C71" s="13" t="s">
        <v>262</v>
      </c>
      <c r="D71" s="200">
        <v>719.56101426266241</v>
      </c>
      <c r="F71" s="14"/>
      <c r="G71" s="14"/>
      <c r="H71" s="15"/>
      <c r="I71" s="15"/>
      <c r="J71" s="16"/>
      <c r="K71" s="16"/>
      <c r="L71" s="14"/>
      <c r="M71" s="16"/>
      <c r="N71" s="16"/>
      <c r="O71" s="16"/>
      <c r="P71" s="16"/>
      <c r="S71" s="32"/>
      <c r="Z71" s="32"/>
    </row>
    <row r="72" spans="2:27">
      <c r="B72" s="13" t="s">
        <v>276</v>
      </c>
      <c r="C72" s="13" t="s">
        <v>262</v>
      </c>
      <c r="D72" s="200">
        <v>719.56101426266241</v>
      </c>
      <c r="F72" s="14"/>
      <c r="G72" s="14"/>
      <c r="H72" s="15"/>
      <c r="I72" s="15"/>
      <c r="J72" s="16"/>
      <c r="K72" s="16"/>
      <c r="L72" s="14"/>
      <c r="M72" s="16"/>
      <c r="N72" s="16"/>
      <c r="O72" s="16"/>
      <c r="P72" s="16"/>
      <c r="S72" s="32"/>
      <c r="Z72" s="32"/>
    </row>
    <row r="73" spans="2:27">
      <c r="B73" s="13" t="s">
        <v>210</v>
      </c>
      <c r="C73" s="13" t="s">
        <v>262</v>
      </c>
      <c r="D73" s="200">
        <v>719.56101426266241</v>
      </c>
      <c r="F73" s="14"/>
      <c r="G73" s="14"/>
      <c r="H73" s="15"/>
      <c r="I73" s="15"/>
      <c r="J73" s="16"/>
      <c r="K73" s="16"/>
      <c r="L73" s="14"/>
      <c r="M73" s="16"/>
      <c r="N73" s="16"/>
      <c r="O73" s="16"/>
      <c r="P73" s="16"/>
      <c r="S73" s="32"/>
      <c r="Z73" s="32"/>
    </row>
    <row r="74" spans="2:27">
      <c r="B74" s="13" t="s">
        <v>217</v>
      </c>
      <c r="C74" s="13" t="s">
        <v>262</v>
      </c>
      <c r="D74" s="200">
        <v>719.56101426266241</v>
      </c>
      <c r="F74" s="14"/>
      <c r="G74" s="14"/>
      <c r="H74" s="15"/>
      <c r="I74" s="15"/>
      <c r="J74" s="16"/>
      <c r="K74" s="16"/>
      <c r="L74" s="14"/>
      <c r="M74" s="16"/>
      <c r="N74" s="16"/>
      <c r="O74" s="16"/>
      <c r="P74" s="16"/>
      <c r="S74" s="32"/>
      <c r="Z74" s="32"/>
    </row>
    <row r="75" spans="2:27">
      <c r="B75" s="13" t="s">
        <v>219</v>
      </c>
      <c r="C75" s="13" t="s">
        <v>262</v>
      </c>
      <c r="D75" s="200">
        <v>719.56101426266241</v>
      </c>
      <c r="F75" s="14"/>
      <c r="G75" s="14"/>
      <c r="H75" s="15"/>
      <c r="I75" s="15"/>
      <c r="J75" s="16"/>
      <c r="K75" s="16"/>
      <c r="L75" s="14"/>
      <c r="M75" s="16"/>
      <c r="N75" s="16"/>
      <c r="O75" s="16"/>
      <c r="P75" s="16"/>
      <c r="S75" s="32"/>
      <c r="Z75" s="32"/>
    </row>
    <row r="76" spans="2:27">
      <c r="B76" s="13" t="s">
        <v>221</v>
      </c>
      <c r="C76" s="13" t="s">
        <v>263</v>
      </c>
      <c r="D76" s="200">
        <v>630.49</v>
      </c>
      <c r="F76" s="14"/>
      <c r="G76" s="14"/>
      <c r="H76" s="15"/>
      <c r="I76" s="15"/>
      <c r="J76" s="16"/>
      <c r="K76" s="16"/>
      <c r="L76" s="14"/>
      <c r="M76" s="16"/>
      <c r="N76" s="16"/>
      <c r="O76" s="16"/>
      <c r="P76" s="16"/>
      <c r="S76" s="32"/>
      <c r="Z76" s="32"/>
    </row>
    <row r="77" spans="2:27">
      <c r="B77" s="13" t="s">
        <v>302</v>
      </c>
      <c r="C77" s="13" t="s">
        <v>305</v>
      </c>
      <c r="D77" s="200">
        <v>719.56101426266241</v>
      </c>
      <c r="F77" s="14"/>
      <c r="G77" s="14"/>
      <c r="H77" s="15"/>
      <c r="I77" s="15"/>
      <c r="J77" s="16"/>
      <c r="K77" s="16"/>
      <c r="L77" s="14"/>
      <c r="M77" s="16"/>
      <c r="N77" s="16"/>
      <c r="O77" s="16"/>
      <c r="P77" s="16"/>
      <c r="Q77" s="16"/>
      <c r="S77" s="32"/>
      <c r="Z77" s="32"/>
    </row>
    <row r="78" spans="2:27">
      <c r="C78" s="13"/>
      <c r="D78" s="13"/>
      <c r="E78" s="13"/>
      <c r="F78" s="14"/>
      <c r="G78" s="14"/>
      <c r="H78" s="15"/>
      <c r="I78" s="15"/>
      <c r="J78" s="16"/>
      <c r="K78" s="16"/>
      <c r="L78" s="14"/>
      <c r="M78" s="16"/>
      <c r="N78" s="16"/>
      <c r="O78" s="16"/>
      <c r="P78" s="16"/>
      <c r="Q78" s="16"/>
      <c r="S78" s="32"/>
      <c r="Z78" s="32"/>
    </row>
    <row r="79" spans="2:27">
      <c r="C79" s="13"/>
      <c r="D79" s="13"/>
      <c r="E79" s="13"/>
      <c r="F79" s="14"/>
      <c r="G79" s="14"/>
      <c r="H79" s="15"/>
      <c r="I79" s="15"/>
      <c r="J79" s="16"/>
      <c r="K79" s="16"/>
      <c r="L79" s="14"/>
      <c r="M79" s="16"/>
      <c r="N79" s="16"/>
      <c r="O79" s="16"/>
      <c r="P79" s="16"/>
      <c r="Q79" s="16"/>
      <c r="S79" s="32"/>
      <c r="Z79" s="32"/>
    </row>
    <row r="80" spans="2:27">
      <c r="C80" s="13"/>
      <c r="D80" s="13"/>
      <c r="E80" s="13"/>
      <c r="F80" s="14"/>
      <c r="G80" s="14"/>
      <c r="H80" s="15"/>
      <c r="I80" s="15"/>
      <c r="J80" s="16"/>
      <c r="K80" s="16"/>
      <c r="L80" s="14"/>
      <c r="M80" s="16"/>
      <c r="N80" s="16"/>
      <c r="O80" s="16"/>
      <c r="P80" s="16"/>
      <c r="Q80" s="16"/>
      <c r="S80" s="32"/>
      <c r="Z80" s="32"/>
    </row>
    <row r="81" spans="3:26">
      <c r="C81" s="13"/>
      <c r="D81" s="13"/>
      <c r="E81" s="13"/>
      <c r="F81" s="14"/>
      <c r="G81" s="14"/>
      <c r="H81" s="15"/>
      <c r="I81" s="15"/>
      <c r="J81" s="16"/>
      <c r="K81" s="16"/>
      <c r="L81" s="14"/>
      <c r="M81" s="16"/>
      <c r="N81" s="16"/>
      <c r="O81" s="16"/>
      <c r="P81" s="16"/>
      <c r="Q81" s="16"/>
      <c r="S81" s="32"/>
      <c r="Z81" s="32"/>
    </row>
    <row r="82" spans="3:26">
      <c r="C82" s="13"/>
      <c r="D82" s="13"/>
      <c r="E82" s="13"/>
      <c r="F82" s="14"/>
      <c r="G82" s="14"/>
      <c r="H82" s="15"/>
      <c r="I82" s="15"/>
      <c r="J82" s="16"/>
      <c r="K82" s="16"/>
      <c r="L82" s="14"/>
      <c r="M82" s="16"/>
      <c r="N82" s="16"/>
      <c r="O82" s="16"/>
      <c r="P82" s="16"/>
      <c r="Q82" s="16"/>
      <c r="S82" s="32"/>
    </row>
    <row r="83" spans="3:26">
      <c r="C83" s="13"/>
      <c r="D83" s="13"/>
      <c r="E83" s="13"/>
      <c r="F83" s="14"/>
      <c r="G83" s="14"/>
      <c r="H83" s="15"/>
      <c r="I83" s="15"/>
      <c r="J83" s="16"/>
      <c r="K83" s="16"/>
      <c r="L83" s="14"/>
      <c r="M83" s="16"/>
      <c r="N83" s="16"/>
      <c r="O83" s="16"/>
      <c r="P83" s="16"/>
      <c r="Q83" s="16"/>
      <c r="S83" s="32"/>
    </row>
    <row r="84" spans="3:26" hidden="1">
      <c r="C84" s="13"/>
      <c r="D84" s="13"/>
      <c r="E84" s="13"/>
      <c r="F84" s="14"/>
      <c r="G84" s="14"/>
      <c r="H84" s="15"/>
      <c r="I84" s="15"/>
      <c r="J84" s="16"/>
      <c r="K84" s="16"/>
      <c r="L84" s="14"/>
      <c r="M84" s="16"/>
      <c r="N84" s="16"/>
      <c r="O84" s="16"/>
      <c r="P84" s="16"/>
      <c r="Q84" s="16"/>
      <c r="R84" s="17"/>
      <c r="S84" s="32"/>
    </row>
    <row r="85" spans="3:26" hidden="1">
      <c r="C85" s="13"/>
      <c r="D85" s="13"/>
      <c r="E85" s="13"/>
      <c r="F85" s="14"/>
      <c r="G85" s="14"/>
      <c r="H85" s="15"/>
      <c r="I85" s="15"/>
      <c r="J85" s="16"/>
      <c r="K85" s="16"/>
      <c r="L85" s="14"/>
      <c r="M85" s="16"/>
      <c r="N85" s="16"/>
      <c r="O85" s="16"/>
      <c r="P85" s="16"/>
      <c r="Q85" s="16"/>
      <c r="R85" s="17"/>
      <c r="S85" s="32"/>
    </row>
    <row r="86" spans="3:26" hidden="1">
      <c r="C86" s="13"/>
      <c r="D86" s="13"/>
      <c r="E86" s="13"/>
      <c r="F86" s="14"/>
      <c r="G86" s="14"/>
      <c r="H86" s="15"/>
      <c r="I86" s="15"/>
      <c r="J86" s="16"/>
      <c r="K86" s="16"/>
      <c r="L86" s="14"/>
      <c r="M86" s="16"/>
      <c r="N86" s="16"/>
      <c r="O86" s="16"/>
      <c r="P86" s="16"/>
      <c r="Q86" s="16"/>
      <c r="R86" s="17"/>
      <c r="S86" s="32"/>
    </row>
    <row r="87" spans="3:26" hidden="1">
      <c r="C87" s="13"/>
      <c r="D87" s="13"/>
      <c r="E87" s="13"/>
      <c r="F87" s="14"/>
      <c r="G87" s="14"/>
      <c r="H87" s="15"/>
      <c r="I87" s="15"/>
      <c r="J87" s="16"/>
      <c r="K87" s="16"/>
      <c r="L87" s="14"/>
      <c r="M87" s="16"/>
      <c r="N87" s="16"/>
      <c r="O87" s="16"/>
      <c r="P87" s="16"/>
      <c r="Q87" s="16"/>
      <c r="R87" s="17"/>
      <c r="S87" s="32"/>
    </row>
    <row r="88" spans="3:26" hidden="1">
      <c r="C88" s="13"/>
      <c r="D88" s="13"/>
      <c r="E88" s="13"/>
      <c r="F88" s="14"/>
      <c r="G88" s="14"/>
      <c r="H88" s="15"/>
      <c r="I88" s="15"/>
      <c r="J88" s="16"/>
      <c r="K88" s="16"/>
      <c r="L88" s="14"/>
      <c r="M88" s="16"/>
      <c r="N88" s="16"/>
      <c r="O88" s="16"/>
      <c r="P88" s="16"/>
      <c r="Q88" s="16"/>
      <c r="R88" s="17"/>
      <c r="S88" s="32"/>
    </row>
    <row r="89" spans="3:26" hidden="1">
      <c r="C89" s="13"/>
      <c r="D89" s="13"/>
      <c r="E89" s="13"/>
      <c r="F89" s="14"/>
      <c r="G89" s="14"/>
      <c r="H89" s="15"/>
      <c r="I89" s="15"/>
      <c r="J89" s="16"/>
      <c r="K89" s="16"/>
      <c r="L89" s="14"/>
      <c r="M89" s="16"/>
      <c r="N89" s="16"/>
      <c r="O89" s="16"/>
      <c r="P89" s="16"/>
      <c r="Q89" s="16"/>
      <c r="R89" s="17"/>
      <c r="S89" s="32"/>
    </row>
    <row r="90" spans="3:26" hidden="1">
      <c r="C90" s="13"/>
      <c r="D90" s="13"/>
      <c r="E90" s="13"/>
      <c r="F90" s="14"/>
      <c r="G90" s="14"/>
      <c r="H90" s="15"/>
      <c r="I90" s="15"/>
      <c r="J90" s="18"/>
      <c r="K90" s="16"/>
      <c r="L90" s="14"/>
      <c r="M90" s="16"/>
      <c r="N90" s="16"/>
      <c r="O90" s="16"/>
      <c r="P90" s="16"/>
      <c r="Q90" s="16"/>
      <c r="R90" s="17"/>
      <c r="S90" s="32"/>
    </row>
    <row r="91" spans="3:26" hidden="1">
      <c r="C91" s="13"/>
      <c r="D91" s="13"/>
      <c r="E91" s="13"/>
      <c r="F91" s="14"/>
      <c r="G91" s="14"/>
      <c r="H91" s="15"/>
      <c r="I91" s="15"/>
      <c r="J91" s="18"/>
      <c r="K91" s="16"/>
      <c r="L91" s="14"/>
      <c r="M91" s="16"/>
      <c r="N91" s="16"/>
      <c r="O91" s="16"/>
      <c r="P91" s="16"/>
      <c r="Q91" s="16"/>
      <c r="R91" s="17"/>
      <c r="S91" s="32"/>
    </row>
    <row r="92" spans="3:26" hidden="1">
      <c r="C92" s="13"/>
      <c r="D92" s="13"/>
      <c r="E92" s="13"/>
      <c r="F92" s="14"/>
      <c r="G92" s="14"/>
      <c r="H92" s="15"/>
      <c r="I92" s="15"/>
      <c r="J92" s="18"/>
      <c r="K92" s="16"/>
      <c r="L92" s="14"/>
      <c r="M92" s="16"/>
      <c r="N92" s="16"/>
      <c r="O92" s="16"/>
      <c r="P92" s="16"/>
      <c r="Q92" s="16"/>
      <c r="R92" s="17"/>
      <c r="S92" s="32"/>
    </row>
    <row r="93" spans="3:26" hidden="1">
      <c r="C93" s="13"/>
      <c r="D93" s="13"/>
      <c r="E93" s="13"/>
      <c r="F93" s="14"/>
      <c r="G93" s="14"/>
      <c r="H93" s="15"/>
      <c r="I93" s="15"/>
      <c r="J93" s="18"/>
      <c r="K93" s="16"/>
      <c r="L93" s="14"/>
      <c r="M93" s="16"/>
      <c r="N93" s="16"/>
      <c r="O93" s="16"/>
      <c r="P93" s="16"/>
      <c r="Q93" s="16"/>
      <c r="R93" s="17"/>
      <c r="S93" s="32"/>
    </row>
    <row r="94" spans="3:26" hidden="1">
      <c r="C94" s="13"/>
      <c r="D94" s="13"/>
      <c r="E94" s="13"/>
      <c r="F94" s="14"/>
      <c r="G94" s="14"/>
      <c r="H94" s="15"/>
      <c r="I94" s="15"/>
      <c r="J94" s="18"/>
      <c r="K94" s="16"/>
      <c r="L94" s="14"/>
      <c r="M94" s="16"/>
      <c r="N94" s="16"/>
      <c r="O94" s="16"/>
      <c r="P94" s="16"/>
      <c r="Q94" s="16"/>
      <c r="R94" s="17"/>
      <c r="S94" s="32"/>
    </row>
    <row r="95" spans="3:26" hidden="1">
      <c r="C95" s="13"/>
      <c r="D95" s="13"/>
      <c r="E95" s="13"/>
      <c r="F95" s="14"/>
      <c r="G95" s="14"/>
      <c r="H95" s="15"/>
      <c r="I95" s="15"/>
      <c r="J95" s="18"/>
      <c r="K95" s="16"/>
      <c r="L95" s="14"/>
      <c r="M95" s="16"/>
      <c r="N95" s="16"/>
      <c r="O95" s="16"/>
      <c r="P95" s="16"/>
      <c r="Q95" s="16"/>
      <c r="R95" s="17"/>
      <c r="S95" s="32"/>
    </row>
    <row r="96" spans="3:26" hidden="1">
      <c r="C96" s="13"/>
      <c r="D96" s="13"/>
      <c r="E96" s="13"/>
      <c r="F96" s="14"/>
      <c r="G96" s="14"/>
      <c r="H96" s="15"/>
      <c r="I96" s="15"/>
      <c r="J96" s="18"/>
      <c r="K96" s="16"/>
      <c r="L96" s="14"/>
      <c r="M96" s="16"/>
      <c r="N96" s="16"/>
      <c r="O96" s="16"/>
      <c r="P96" s="16"/>
      <c r="Q96" s="16"/>
      <c r="R96" s="17"/>
      <c r="S96" s="32"/>
    </row>
    <row r="97" spans="2:24">
      <c r="J97" s="18"/>
      <c r="S97" s="32"/>
    </row>
    <row r="98" spans="2:24">
      <c r="E98" t="s">
        <v>97</v>
      </c>
      <c r="M98" t="s">
        <v>98</v>
      </c>
      <c r="S98" s="32"/>
    </row>
    <row r="100" spans="2:24" ht="26">
      <c r="B100" t="s">
        <v>248</v>
      </c>
      <c r="C100" s="42" t="s">
        <v>11</v>
      </c>
      <c r="D100" s="19" t="s">
        <v>91</v>
      </c>
      <c r="E100" s="19" t="s">
        <v>92</v>
      </c>
      <c r="F100" s="19" t="s">
        <v>2</v>
      </c>
      <c r="G100" s="19" t="s">
        <v>93</v>
      </c>
      <c r="H100" s="26"/>
      <c r="I100" s="26"/>
      <c r="J100" s="20" t="s">
        <v>11</v>
      </c>
      <c r="K100" s="19" t="s">
        <v>91</v>
      </c>
      <c r="L100" s="19" t="s">
        <v>92</v>
      </c>
      <c r="M100" s="19" t="s">
        <v>2</v>
      </c>
      <c r="N100" s="19" t="s">
        <v>93</v>
      </c>
      <c r="O100" s="19" t="s">
        <v>49</v>
      </c>
      <c r="P100" s="19" t="s">
        <v>50</v>
      </c>
    </row>
    <row r="101" spans="2:24" hidden="1">
      <c r="B101" t="str">
        <f>Efeito!B5</f>
        <v>NO SELECT</v>
      </c>
      <c r="C101" s="39" t="s">
        <v>147</v>
      </c>
      <c r="D101" s="27" t="e">
        <f>L8/$K8</f>
        <v>#DIV/0!</v>
      </c>
      <c r="E101" s="27" t="e">
        <f>M8/$K8</f>
        <v>#DIV/0!</v>
      </c>
      <c r="F101" s="27" t="e">
        <f>N8/$K8</f>
        <v>#DIV/0!</v>
      </c>
      <c r="G101" s="27" t="e">
        <f>O8/$K8</f>
        <v>#DIV/0!</v>
      </c>
      <c r="H101" s="26"/>
      <c r="I101" s="26"/>
      <c r="J101" s="12" t="s">
        <v>147</v>
      </c>
      <c r="K101" s="28" t="e">
        <f t="shared" ref="K101:P101" si="20">L8/$R8</f>
        <v>#DIV/0!</v>
      </c>
      <c r="L101" s="28" t="e">
        <f t="shared" si="20"/>
        <v>#DIV/0!</v>
      </c>
      <c r="M101" s="28" t="e">
        <f t="shared" si="20"/>
        <v>#DIV/0!</v>
      </c>
      <c r="N101" s="28" t="e">
        <f t="shared" si="20"/>
        <v>#DIV/0!</v>
      </c>
      <c r="O101" s="28" t="e">
        <f t="shared" si="20"/>
        <v>#DIV/0!</v>
      </c>
      <c r="P101" s="28" t="e">
        <f t="shared" si="20"/>
        <v>#DIV/0!</v>
      </c>
    </row>
    <row r="102" spans="2:24" hidden="1">
      <c r="B102" t="str">
        <f>Efeito!B6</f>
        <v>NO SELECT</v>
      </c>
      <c r="C102" s="39" t="s">
        <v>51</v>
      </c>
      <c r="D102" s="27" t="e">
        <f>L6/$K6</f>
        <v>#DIV/0!</v>
      </c>
      <c r="E102" s="27" t="e">
        <f>M6/$K6</f>
        <v>#DIV/0!</v>
      </c>
      <c r="F102" s="27" t="e">
        <f>N6/$K6</f>
        <v>#DIV/0!</v>
      </c>
      <c r="G102" s="27" t="e">
        <f>O6/$K6</f>
        <v>#DIV/0!</v>
      </c>
      <c r="H102" s="26"/>
      <c r="I102" s="26"/>
      <c r="J102" s="12" t="s">
        <v>51</v>
      </c>
      <c r="K102" s="28" t="e">
        <f t="shared" ref="K102:P102" si="21">L6/$R6</f>
        <v>#DIV/0!</v>
      </c>
      <c r="L102" s="28" t="e">
        <f t="shared" si="21"/>
        <v>#DIV/0!</v>
      </c>
      <c r="M102" s="28" t="e">
        <f t="shared" si="21"/>
        <v>#DIV/0!</v>
      </c>
      <c r="N102" s="28" t="e">
        <f t="shared" si="21"/>
        <v>#DIV/0!</v>
      </c>
      <c r="O102" s="28" t="e">
        <f t="shared" si="21"/>
        <v>#DIV/0!</v>
      </c>
      <c r="P102" s="28" t="e">
        <f t="shared" si="21"/>
        <v>#DIV/0!</v>
      </c>
    </row>
    <row r="103" spans="2:24" hidden="1">
      <c r="B103" t="str">
        <f>Efeito!B7</f>
        <v>NO SELECT</v>
      </c>
      <c r="C103" s="39" t="s">
        <v>65</v>
      </c>
      <c r="D103" s="27" t="e">
        <f t="shared" ref="D103:D143" si="22">L9/$K9</f>
        <v>#DIV/0!</v>
      </c>
      <c r="E103" s="27" t="e">
        <f t="shared" ref="E103:E143" si="23">M9/$K9</f>
        <v>#DIV/0!</v>
      </c>
      <c r="F103" s="27" t="e">
        <f t="shared" ref="F103:F143" si="24">N9/$K9</f>
        <v>#DIV/0!</v>
      </c>
      <c r="G103" s="27" t="e">
        <f t="shared" ref="G103:G143" si="25">O9/$K9</f>
        <v>#DIV/0!</v>
      </c>
      <c r="H103" s="26"/>
      <c r="I103" s="26"/>
      <c r="J103" s="12" t="s">
        <v>65</v>
      </c>
      <c r="K103" s="28" t="e">
        <f t="shared" ref="K103:P112" si="26">L9/$R9</f>
        <v>#DIV/0!</v>
      </c>
      <c r="L103" s="28" t="e">
        <f t="shared" si="26"/>
        <v>#DIV/0!</v>
      </c>
      <c r="M103" s="28" t="e">
        <f t="shared" si="26"/>
        <v>#DIV/0!</v>
      </c>
      <c r="N103" s="28" t="e">
        <f t="shared" si="26"/>
        <v>#DIV/0!</v>
      </c>
      <c r="O103" s="28" t="e">
        <f t="shared" si="26"/>
        <v>#DIV/0!</v>
      </c>
      <c r="P103" s="28" t="e">
        <f t="shared" si="26"/>
        <v>#DIV/0!</v>
      </c>
    </row>
    <row r="104" spans="2:24">
      <c r="B104">
        <f>Efeito!B8</f>
        <v>5367</v>
      </c>
      <c r="C104" s="39" t="s">
        <v>150</v>
      </c>
      <c r="D104" s="27">
        <f t="shared" si="22"/>
        <v>0.21724077576734777</v>
      </c>
      <c r="E104" s="27">
        <f t="shared" si="23"/>
        <v>0.13323823460700876</v>
      </c>
      <c r="F104" s="27">
        <f t="shared" si="24"/>
        <v>0.14956717072886921</v>
      </c>
      <c r="G104" s="27">
        <f t="shared" si="25"/>
        <v>0.49995381889677432</v>
      </c>
      <c r="H104" s="26"/>
      <c r="I104" s="26"/>
      <c r="J104" s="12" t="s">
        <v>150</v>
      </c>
      <c r="K104" s="28">
        <f t="shared" si="26"/>
        <v>0.19265907899017301</v>
      </c>
      <c r="L104" s="28">
        <f t="shared" si="26"/>
        <v>0.11816177453331092</v>
      </c>
      <c r="M104" s="28">
        <f t="shared" si="26"/>
        <v>0.13264302365891753</v>
      </c>
      <c r="N104" s="28">
        <f t="shared" si="26"/>
        <v>0.44338196614352959</v>
      </c>
      <c r="O104" s="28">
        <f t="shared" si="26"/>
        <v>1.93281109854064E-4</v>
      </c>
      <c r="P104" s="28">
        <f t="shared" si="26"/>
        <v>0.112960875564215</v>
      </c>
    </row>
    <row r="105" spans="2:24" hidden="1">
      <c r="B105" t="str">
        <f>Efeito!B9</f>
        <v>NO SELECT</v>
      </c>
      <c r="C105" s="39" t="s">
        <v>66</v>
      </c>
      <c r="D105" s="27" t="e">
        <f t="shared" si="22"/>
        <v>#DIV/0!</v>
      </c>
      <c r="E105" s="27" t="e">
        <f t="shared" si="23"/>
        <v>#DIV/0!</v>
      </c>
      <c r="F105" s="27" t="e">
        <f t="shared" si="24"/>
        <v>#DIV/0!</v>
      </c>
      <c r="G105" s="27" t="e">
        <f t="shared" si="25"/>
        <v>#DIV/0!</v>
      </c>
      <c r="H105" s="26"/>
      <c r="I105" s="26"/>
      <c r="J105" s="12" t="s">
        <v>66</v>
      </c>
      <c r="K105" s="28" t="e">
        <f t="shared" si="26"/>
        <v>#DIV/0!</v>
      </c>
      <c r="L105" s="28" t="e">
        <f t="shared" si="26"/>
        <v>#DIV/0!</v>
      </c>
      <c r="M105" s="28" t="e">
        <f t="shared" si="26"/>
        <v>#DIV/0!</v>
      </c>
      <c r="N105" s="28" t="e">
        <f t="shared" si="26"/>
        <v>#DIV/0!</v>
      </c>
      <c r="O105" s="28" t="e">
        <f t="shared" si="26"/>
        <v>#DIV/0!</v>
      </c>
      <c r="P105" s="28" t="e">
        <f t="shared" si="26"/>
        <v>#DIV/0!</v>
      </c>
    </row>
    <row r="106" spans="2:24" hidden="1">
      <c r="B106" t="str">
        <f>Efeito!B10</f>
        <v>NO SELECT</v>
      </c>
      <c r="C106" s="39" t="s">
        <v>153</v>
      </c>
      <c r="D106" s="27" t="e">
        <f t="shared" si="22"/>
        <v>#DIV/0!</v>
      </c>
      <c r="E106" s="27" t="e">
        <f t="shared" si="23"/>
        <v>#DIV/0!</v>
      </c>
      <c r="F106" s="27" t="e">
        <f t="shared" si="24"/>
        <v>#DIV/0!</v>
      </c>
      <c r="G106" s="27" t="e">
        <f t="shared" si="25"/>
        <v>#DIV/0!</v>
      </c>
      <c r="H106" s="26"/>
      <c r="I106" s="26"/>
      <c r="J106" s="12" t="s">
        <v>153</v>
      </c>
      <c r="K106" s="28" t="e">
        <f t="shared" si="26"/>
        <v>#DIV/0!</v>
      </c>
      <c r="L106" s="28" t="e">
        <f t="shared" si="26"/>
        <v>#DIV/0!</v>
      </c>
      <c r="M106" s="28" t="e">
        <f t="shared" si="26"/>
        <v>#DIV/0!</v>
      </c>
      <c r="N106" s="28" t="e">
        <f t="shared" si="26"/>
        <v>#DIV/0!</v>
      </c>
      <c r="O106" s="28" t="e">
        <f t="shared" si="26"/>
        <v>#DIV/0!</v>
      </c>
      <c r="P106" s="28" t="e">
        <f t="shared" si="26"/>
        <v>#DIV/0!</v>
      </c>
    </row>
    <row r="107" spans="2:24" hidden="1">
      <c r="B107" t="str">
        <f>Efeito!B11</f>
        <v>NO SELECT</v>
      </c>
      <c r="C107" s="39" t="s">
        <v>156</v>
      </c>
      <c r="D107" s="27" t="e">
        <f t="shared" si="22"/>
        <v>#DIV/0!</v>
      </c>
      <c r="E107" s="27" t="e">
        <f t="shared" si="23"/>
        <v>#DIV/0!</v>
      </c>
      <c r="F107" s="27" t="e">
        <f t="shared" si="24"/>
        <v>#DIV/0!</v>
      </c>
      <c r="G107" s="27" t="e">
        <f t="shared" si="25"/>
        <v>#DIV/0!</v>
      </c>
      <c r="H107" s="26"/>
      <c r="I107" s="26"/>
      <c r="J107" s="12" t="s">
        <v>156</v>
      </c>
      <c r="K107" s="28" t="e">
        <f t="shared" si="26"/>
        <v>#DIV/0!</v>
      </c>
      <c r="L107" s="28" t="e">
        <f t="shared" si="26"/>
        <v>#DIV/0!</v>
      </c>
      <c r="M107" s="28" t="e">
        <f t="shared" si="26"/>
        <v>#DIV/0!</v>
      </c>
      <c r="N107" s="28" t="e">
        <f t="shared" si="26"/>
        <v>#DIV/0!</v>
      </c>
      <c r="O107" s="28" t="e">
        <f t="shared" si="26"/>
        <v>#DIV/0!</v>
      </c>
      <c r="P107" s="28" t="e">
        <f t="shared" si="26"/>
        <v>#DIV/0!</v>
      </c>
    </row>
    <row r="108" spans="2:24" hidden="1">
      <c r="B108" t="str">
        <f>Efeito!B12</f>
        <v>NO SELECT</v>
      </c>
      <c r="C108" s="39" t="s">
        <v>54</v>
      </c>
      <c r="D108" s="27" t="e">
        <f t="shared" si="22"/>
        <v>#DIV/0!</v>
      </c>
      <c r="E108" s="27" t="e">
        <f t="shared" si="23"/>
        <v>#DIV/0!</v>
      </c>
      <c r="F108" s="27" t="e">
        <f t="shared" si="24"/>
        <v>#DIV/0!</v>
      </c>
      <c r="G108" s="27" t="e">
        <f t="shared" si="25"/>
        <v>#DIV/0!</v>
      </c>
      <c r="H108" s="26"/>
      <c r="I108" s="26"/>
      <c r="J108" s="12" t="s">
        <v>54</v>
      </c>
      <c r="K108" s="28" t="e">
        <f t="shared" si="26"/>
        <v>#DIV/0!</v>
      </c>
      <c r="L108" s="28" t="e">
        <f t="shared" si="26"/>
        <v>#DIV/0!</v>
      </c>
      <c r="M108" s="28" t="e">
        <f t="shared" si="26"/>
        <v>#DIV/0!</v>
      </c>
      <c r="N108" s="28" t="e">
        <f t="shared" si="26"/>
        <v>#DIV/0!</v>
      </c>
      <c r="O108" s="28" t="e">
        <f t="shared" si="26"/>
        <v>#DIV/0!</v>
      </c>
      <c r="P108" s="28" t="e">
        <f t="shared" si="26"/>
        <v>#DIV/0!</v>
      </c>
    </row>
    <row r="109" spans="2:24" hidden="1">
      <c r="B109" t="str">
        <f>Efeito!B13</f>
        <v>NO SELECT</v>
      </c>
      <c r="C109" s="39" t="s">
        <v>159</v>
      </c>
      <c r="D109" s="27" t="e">
        <f t="shared" si="22"/>
        <v>#DIV/0!</v>
      </c>
      <c r="E109" s="27" t="e">
        <f t="shared" si="23"/>
        <v>#DIV/0!</v>
      </c>
      <c r="F109" s="27" t="e">
        <f t="shared" si="24"/>
        <v>#DIV/0!</v>
      </c>
      <c r="G109" s="27" t="e">
        <f t="shared" si="25"/>
        <v>#DIV/0!</v>
      </c>
      <c r="H109" s="26"/>
      <c r="I109" s="26"/>
      <c r="J109" s="12" t="s">
        <v>159</v>
      </c>
      <c r="K109" s="28" t="e">
        <f t="shared" si="26"/>
        <v>#DIV/0!</v>
      </c>
      <c r="L109" s="28" t="e">
        <f t="shared" si="26"/>
        <v>#DIV/0!</v>
      </c>
      <c r="M109" s="28" t="e">
        <f t="shared" si="26"/>
        <v>#DIV/0!</v>
      </c>
      <c r="N109" s="28" t="e">
        <f t="shared" si="26"/>
        <v>#DIV/0!</v>
      </c>
      <c r="O109" s="28" t="e">
        <f t="shared" si="26"/>
        <v>#DIV/0!</v>
      </c>
      <c r="P109" s="28" t="e">
        <f t="shared" si="26"/>
        <v>#DIV/0!</v>
      </c>
      <c r="W109" t="s">
        <v>231</v>
      </c>
      <c r="X109">
        <v>642.98</v>
      </c>
    </row>
    <row r="110" spans="2:24" hidden="1">
      <c r="B110" t="str">
        <f>Efeito!B14</f>
        <v>NO SELECT</v>
      </c>
      <c r="C110" s="39" t="s">
        <v>56</v>
      </c>
      <c r="D110" s="27" t="e">
        <f t="shared" si="22"/>
        <v>#DIV/0!</v>
      </c>
      <c r="E110" s="27" t="e">
        <f t="shared" si="23"/>
        <v>#DIV/0!</v>
      </c>
      <c r="F110" s="27" t="e">
        <f t="shared" si="24"/>
        <v>#DIV/0!</v>
      </c>
      <c r="G110" s="27" t="e">
        <f t="shared" si="25"/>
        <v>#DIV/0!</v>
      </c>
      <c r="H110" s="26"/>
      <c r="I110" s="26"/>
      <c r="J110" s="12" t="s">
        <v>56</v>
      </c>
      <c r="K110" s="28" t="e">
        <f t="shared" si="26"/>
        <v>#DIV/0!</v>
      </c>
      <c r="L110" s="28" t="e">
        <f t="shared" si="26"/>
        <v>#DIV/0!</v>
      </c>
      <c r="M110" s="28" t="e">
        <f t="shared" si="26"/>
        <v>#DIV/0!</v>
      </c>
      <c r="N110" s="28" t="e">
        <f t="shared" si="26"/>
        <v>#DIV/0!</v>
      </c>
      <c r="O110" s="28" t="e">
        <f t="shared" si="26"/>
        <v>#DIV/0!</v>
      </c>
      <c r="P110" s="28" t="e">
        <f t="shared" si="26"/>
        <v>#DIV/0!</v>
      </c>
    </row>
    <row r="111" spans="2:24" hidden="1">
      <c r="B111" t="str">
        <f>Efeito!B15</f>
        <v>NO SELECT</v>
      </c>
      <c r="C111" s="39" t="s">
        <v>162</v>
      </c>
      <c r="D111" s="27" t="e">
        <f t="shared" si="22"/>
        <v>#DIV/0!</v>
      </c>
      <c r="E111" s="27" t="e">
        <f t="shared" si="23"/>
        <v>#DIV/0!</v>
      </c>
      <c r="F111" s="27" t="e">
        <f t="shared" si="24"/>
        <v>#DIV/0!</v>
      </c>
      <c r="G111" s="27" t="e">
        <f t="shared" si="25"/>
        <v>#DIV/0!</v>
      </c>
      <c r="H111" s="26"/>
      <c r="I111" s="26"/>
      <c r="J111" s="12" t="s">
        <v>162</v>
      </c>
      <c r="K111" s="28" t="e">
        <f t="shared" si="26"/>
        <v>#DIV/0!</v>
      </c>
      <c r="L111" s="28" t="e">
        <f t="shared" si="26"/>
        <v>#DIV/0!</v>
      </c>
      <c r="M111" s="28" t="e">
        <f t="shared" si="26"/>
        <v>#DIV/0!</v>
      </c>
      <c r="N111" s="28" t="e">
        <f t="shared" si="26"/>
        <v>#DIV/0!</v>
      </c>
      <c r="O111" s="28" t="e">
        <f t="shared" si="26"/>
        <v>#DIV/0!</v>
      </c>
      <c r="P111" s="28" t="e">
        <f t="shared" si="26"/>
        <v>#DIV/0!</v>
      </c>
    </row>
    <row r="112" spans="2:24" hidden="1">
      <c r="B112" t="str">
        <f>Efeito!B16</f>
        <v>NO SELECT</v>
      </c>
      <c r="C112" s="39" t="s">
        <v>55</v>
      </c>
      <c r="D112" s="27" t="e">
        <f t="shared" si="22"/>
        <v>#DIV/0!</v>
      </c>
      <c r="E112" s="27" t="e">
        <f t="shared" si="23"/>
        <v>#DIV/0!</v>
      </c>
      <c r="F112" s="27" t="e">
        <f t="shared" si="24"/>
        <v>#DIV/0!</v>
      </c>
      <c r="G112" s="27" t="e">
        <f t="shared" si="25"/>
        <v>#DIV/0!</v>
      </c>
      <c r="H112" s="26"/>
      <c r="I112" s="26"/>
      <c r="J112" s="12" t="s">
        <v>55</v>
      </c>
      <c r="K112" s="28" t="e">
        <f t="shared" si="26"/>
        <v>#DIV/0!</v>
      </c>
      <c r="L112" s="28" t="e">
        <f t="shared" si="26"/>
        <v>#DIV/0!</v>
      </c>
      <c r="M112" s="28" t="e">
        <f t="shared" si="26"/>
        <v>#DIV/0!</v>
      </c>
      <c r="N112" s="28" t="e">
        <f t="shared" si="26"/>
        <v>#DIV/0!</v>
      </c>
      <c r="O112" s="28" t="e">
        <f t="shared" si="26"/>
        <v>#DIV/0!</v>
      </c>
      <c r="P112" s="28" t="e">
        <f t="shared" si="26"/>
        <v>#DIV/0!</v>
      </c>
    </row>
    <row r="113" spans="2:16" hidden="1">
      <c r="B113" t="str">
        <f>Efeito!B17</f>
        <v>NO SELECT</v>
      </c>
      <c r="C113" s="39" t="s">
        <v>57</v>
      </c>
      <c r="D113" s="27" t="e">
        <f t="shared" si="22"/>
        <v>#DIV/0!</v>
      </c>
      <c r="E113" s="27" t="e">
        <f t="shared" si="23"/>
        <v>#DIV/0!</v>
      </c>
      <c r="F113" s="27" t="e">
        <f t="shared" si="24"/>
        <v>#DIV/0!</v>
      </c>
      <c r="G113" s="27" t="e">
        <f t="shared" si="25"/>
        <v>#DIV/0!</v>
      </c>
      <c r="H113" s="26"/>
      <c r="I113" s="26"/>
      <c r="J113" s="12" t="s">
        <v>57</v>
      </c>
      <c r="K113" s="28" t="e">
        <f t="shared" ref="K113:P122" si="27">L19/$R19</f>
        <v>#DIV/0!</v>
      </c>
      <c r="L113" s="28" t="e">
        <f t="shared" si="27"/>
        <v>#DIV/0!</v>
      </c>
      <c r="M113" s="28" t="e">
        <f t="shared" si="27"/>
        <v>#DIV/0!</v>
      </c>
      <c r="N113" s="28" t="e">
        <f t="shared" si="27"/>
        <v>#DIV/0!</v>
      </c>
      <c r="O113" s="28" t="e">
        <f t="shared" si="27"/>
        <v>#DIV/0!</v>
      </c>
      <c r="P113" s="28" t="e">
        <f t="shared" si="27"/>
        <v>#DIV/0!</v>
      </c>
    </row>
    <row r="114" spans="2:16" hidden="1">
      <c r="B114" t="str">
        <f>Efeito!B18</f>
        <v>NO SELECT</v>
      </c>
      <c r="C114" s="39" t="s">
        <v>58</v>
      </c>
      <c r="D114" s="27" t="e">
        <f t="shared" si="22"/>
        <v>#DIV/0!</v>
      </c>
      <c r="E114" s="27" t="e">
        <f t="shared" si="23"/>
        <v>#DIV/0!</v>
      </c>
      <c r="F114" s="27" t="e">
        <f t="shared" si="24"/>
        <v>#DIV/0!</v>
      </c>
      <c r="G114" s="27" t="e">
        <f t="shared" si="25"/>
        <v>#DIV/0!</v>
      </c>
      <c r="H114" s="26"/>
      <c r="I114" s="26"/>
      <c r="J114" s="12" t="s">
        <v>58</v>
      </c>
      <c r="K114" s="28" t="e">
        <f t="shared" si="27"/>
        <v>#DIV/0!</v>
      </c>
      <c r="L114" s="28" t="e">
        <f t="shared" si="27"/>
        <v>#DIV/0!</v>
      </c>
      <c r="M114" s="28" t="e">
        <f t="shared" si="27"/>
        <v>#DIV/0!</v>
      </c>
      <c r="N114" s="28" t="e">
        <f t="shared" si="27"/>
        <v>#DIV/0!</v>
      </c>
      <c r="O114" s="28" t="e">
        <f t="shared" si="27"/>
        <v>#DIV/0!</v>
      </c>
      <c r="P114" s="28" t="e">
        <f t="shared" si="27"/>
        <v>#DIV/0!</v>
      </c>
    </row>
    <row r="115" spans="2:16" hidden="1">
      <c r="B115" t="str">
        <f>Efeito!B19</f>
        <v>NO SELECT</v>
      </c>
      <c r="C115" s="39" t="s">
        <v>165</v>
      </c>
      <c r="D115" s="27" t="e">
        <f t="shared" si="22"/>
        <v>#DIV/0!</v>
      </c>
      <c r="E115" s="27" t="e">
        <f t="shared" si="23"/>
        <v>#DIV/0!</v>
      </c>
      <c r="F115" s="27" t="e">
        <f t="shared" si="24"/>
        <v>#DIV/0!</v>
      </c>
      <c r="G115" s="27" t="e">
        <f t="shared" si="25"/>
        <v>#DIV/0!</v>
      </c>
      <c r="H115" s="26"/>
      <c r="I115" s="26"/>
      <c r="J115" s="12" t="s">
        <v>165</v>
      </c>
      <c r="K115" s="28" t="e">
        <f t="shared" si="27"/>
        <v>#DIV/0!</v>
      </c>
      <c r="L115" s="28" t="e">
        <f t="shared" si="27"/>
        <v>#DIV/0!</v>
      </c>
      <c r="M115" s="28" t="e">
        <f t="shared" si="27"/>
        <v>#DIV/0!</v>
      </c>
      <c r="N115" s="28" t="e">
        <f t="shared" si="27"/>
        <v>#DIV/0!</v>
      </c>
      <c r="O115" s="28" t="e">
        <f t="shared" si="27"/>
        <v>#DIV/0!</v>
      </c>
      <c r="P115" s="28" t="e">
        <f t="shared" si="27"/>
        <v>#DIV/0!</v>
      </c>
    </row>
    <row r="116" spans="2:16" hidden="1">
      <c r="B116" t="str">
        <f>Efeito!B20</f>
        <v>NO SELECT</v>
      </c>
      <c r="C116" s="39" t="s">
        <v>168</v>
      </c>
      <c r="D116" s="27" t="e">
        <f t="shared" si="22"/>
        <v>#DIV/0!</v>
      </c>
      <c r="E116" s="27" t="e">
        <f t="shared" si="23"/>
        <v>#DIV/0!</v>
      </c>
      <c r="F116" s="27" t="e">
        <f t="shared" si="24"/>
        <v>#DIV/0!</v>
      </c>
      <c r="G116" s="27" t="e">
        <f t="shared" si="25"/>
        <v>#DIV/0!</v>
      </c>
      <c r="H116" s="26"/>
      <c r="I116" s="26"/>
      <c r="J116" s="12" t="s">
        <v>168</v>
      </c>
      <c r="K116" s="28" t="e">
        <f t="shared" si="27"/>
        <v>#DIV/0!</v>
      </c>
      <c r="L116" s="28" t="e">
        <f t="shared" si="27"/>
        <v>#DIV/0!</v>
      </c>
      <c r="M116" s="28" t="e">
        <f t="shared" si="27"/>
        <v>#DIV/0!</v>
      </c>
      <c r="N116" s="28" t="e">
        <f t="shared" si="27"/>
        <v>#DIV/0!</v>
      </c>
      <c r="O116" s="28" t="e">
        <f t="shared" si="27"/>
        <v>#DIV/0!</v>
      </c>
      <c r="P116" s="28" t="e">
        <f t="shared" si="27"/>
        <v>#DIV/0!</v>
      </c>
    </row>
    <row r="117" spans="2:16" hidden="1">
      <c r="B117" t="str">
        <f>Efeito!B21</f>
        <v>NO SELECT</v>
      </c>
      <c r="C117" s="39" t="s">
        <v>171</v>
      </c>
      <c r="D117" s="27" t="e">
        <f t="shared" si="22"/>
        <v>#DIV/0!</v>
      </c>
      <c r="E117" s="27" t="e">
        <f t="shared" si="23"/>
        <v>#DIV/0!</v>
      </c>
      <c r="F117" s="27" t="e">
        <f t="shared" si="24"/>
        <v>#DIV/0!</v>
      </c>
      <c r="G117" s="27" t="e">
        <f t="shared" si="25"/>
        <v>#DIV/0!</v>
      </c>
      <c r="H117" s="26"/>
      <c r="I117" s="26"/>
      <c r="J117" s="12" t="s">
        <v>171</v>
      </c>
      <c r="K117" s="28" t="e">
        <f t="shared" si="27"/>
        <v>#DIV/0!</v>
      </c>
      <c r="L117" s="28" t="e">
        <f t="shared" si="27"/>
        <v>#DIV/0!</v>
      </c>
      <c r="M117" s="28" t="e">
        <f t="shared" si="27"/>
        <v>#DIV/0!</v>
      </c>
      <c r="N117" s="28" t="e">
        <f t="shared" si="27"/>
        <v>#DIV/0!</v>
      </c>
      <c r="O117" s="28" t="e">
        <f t="shared" si="27"/>
        <v>#DIV/0!</v>
      </c>
      <c r="P117" s="28" t="e">
        <f t="shared" si="27"/>
        <v>#DIV/0!</v>
      </c>
    </row>
    <row r="118" spans="2:16" hidden="1">
      <c r="B118" t="str">
        <f>Efeito!B22</f>
        <v>NO SELECT</v>
      </c>
      <c r="C118" s="39" t="s">
        <v>174</v>
      </c>
      <c r="D118" s="27" t="e">
        <f t="shared" si="22"/>
        <v>#DIV/0!</v>
      </c>
      <c r="E118" s="27" t="e">
        <f t="shared" si="23"/>
        <v>#DIV/0!</v>
      </c>
      <c r="F118" s="27" t="e">
        <f t="shared" si="24"/>
        <v>#DIV/0!</v>
      </c>
      <c r="G118" s="27" t="e">
        <f t="shared" si="25"/>
        <v>#DIV/0!</v>
      </c>
      <c r="H118" s="26"/>
      <c r="I118" s="26"/>
      <c r="J118" s="12" t="s">
        <v>174</v>
      </c>
      <c r="K118" s="28" t="e">
        <f t="shared" si="27"/>
        <v>#DIV/0!</v>
      </c>
      <c r="L118" s="28" t="e">
        <f t="shared" si="27"/>
        <v>#DIV/0!</v>
      </c>
      <c r="M118" s="28" t="e">
        <f t="shared" si="27"/>
        <v>#DIV/0!</v>
      </c>
      <c r="N118" s="28" t="e">
        <f t="shared" si="27"/>
        <v>#DIV/0!</v>
      </c>
      <c r="O118" s="28" t="e">
        <f t="shared" si="27"/>
        <v>#DIV/0!</v>
      </c>
      <c r="P118" s="28" t="e">
        <f t="shared" si="27"/>
        <v>#DIV/0!</v>
      </c>
    </row>
    <row r="119" spans="2:16" hidden="1">
      <c r="B119" t="str">
        <f>Efeito!B23</f>
        <v>NO SELECT</v>
      </c>
      <c r="C119" s="39" t="s">
        <v>177</v>
      </c>
      <c r="D119" s="27" t="e">
        <f t="shared" si="22"/>
        <v>#DIV/0!</v>
      </c>
      <c r="E119" s="27" t="e">
        <f t="shared" si="23"/>
        <v>#DIV/0!</v>
      </c>
      <c r="F119" s="27" t="e">
        <f t="shared" si="24"/>
        <v>#DIV/0!</v>
      </c>
      <c r="G119" s="27" t="e">
        <f t="shared" si="25"/>
        <v>#DIV/0!</v>
      </c>
      <c r="H119" s="26"/>
      <c r="I119" s="26"/>
      <c r="J119" s="12" t="s">
        <v>177</v>
      </c>
      <c r="K119" s="28" t="e">
        <f t="shared" si="27"/>
        <v>#DIV/0!</v>
      </c>
      <c r="L119" s="28" t="e">
        <f t="shared" si="27"/>
        <v>#DIV/0!</v>
      </c>
      <c r="M119" s="28" t="e">
        <f t="shared" si="27"/>
        <v>#DIV/0!</v>
      </c>
      <c r="N119" s="28" t="e">
        <f t="shared" si="27"/>
        <v>#DIV/0!</v>
      </c>
      <c r="O119" s="28" t="e">
        <f t="shared" si="27"/>
        <v>#DIV/0!</v>
      </c>
      <c r="P119" s="28" t="e">
        <f t="shared" si="27"/>
        <v>#DIV/0!</v>
      </c>
    </row>
    <row r="120" spans="2:16" hidden="1">
      <c r="B120" t="str">
        <f>Efeito!B24</f>
        <v>NO SELECT</v>
      </c>
      <c r="C120" s="39" t="s">
        <v>180</v>
      </c>
      <c r="D120" s="27" t="e">
        <f t="shared" si="22"/>
        <v>#DIV/0!</v>
      </c>
      <c r="E120" s="27" t="e">
        <f t="shared" si="23"/>
        <v>#DIV/0!</v>
      </c>
      <c r="F120" s="27" t="e">
        <f t="shared" si="24"/>
        <v>#DIV/0!</v>
      </c>
      <c r="G120" s="27" t="e">
        <f t="shared" si="25"/>
        <v>#DIV/0!</v>
      </c>
      <c r="H120" s="26"/>
      <c r="I120" s="26"/>
      <c r="J120" s="12" t="s">
        <v>180</v>
      </c>
      <c r="K120" s="28" t="e">
        <f t="shared" si="27"/>
        <v>#DIV/0!</v>
      </c>
      <c r="L120" s="28" t="e">
        <f t="shared" si="27"/>
        <v>#DIV/0!</v>
      </c>
      <c r="M120" s="28" t="e">
        <f t="shared" si="27"/>
        <v>#DIV/0!</v>
      </c>
      <c r="N120" s="28" t="e">
        <f t="shared" si="27"/>
        <v>#DIV/0!</v>
      </c>
      <c r="O120" s="28" t="e">
        <f t="shared" si="27"/>
        <v>#DIV/0!</v>
      </c>
      <c r="P120" s="28" t="e">
        <f t="shared" si="27"/>
        <v>#DIV/0!</v>
      </c>
    </row>
    <row r="121" spans="2:16" hidden="1">
      <c r="B121" t="str">
        <f>Efeito!B25</f>
        <v>NO SELECT</v>
      </c>
      <c r="C121" s="39" t="s">
        <v>52</v>
      </c>
      <c r="D121" s="27" t="e">
        <f t="shared" si="22"/>
        <v>#DIV/0!</v>
      </c>
      <c r="E121" s="27" t="e">
        <f t="shared" si="23"/>
        <v>#DIV/0!</v>
      </c>
      <c r="F121" s="27" t="e">
        <f t="shared" si="24"/>
        <v>#DIV/0!</v>
      </c>
      <c r="G121" s="27" t="e">
        <f t="shared" si="25"/>
        <v>#DIV/0!</v>
      </c>
      <c r="H121" s="26"/>
      <c r="I121" s="26"/>
      <c r="J121" s="12" t="s">
        <v>52</v>
      </c>
      <c r="K121" s="28" t="e">
        <f t="shared" si="27"/>
        <v>#DIV/0!</v>
      </c>
      <c r="L121" s="28" t="e">
        <f t="shared" si="27"/>
        <v>#DIV/0!</v>
      </c>
      <c r="M121" s="28" t="e">
        <f t="shared" si="27"/>
        <v>#DIV/0!</v>
      </c>
      <c r="N121" s="28" t="e">
        <f t="shared" si="27"/>
        <v>#DIV/0!</v>
      </c>
      <c r="O121" s="28" t="e">
        <f t="shared" si="27"/>
        <v>#DIV/0!</v>
      </c>
      <c r="P121" s="28" t="e">
        <f t="shared" si="27"/>
        <v>#DIV/0!</v>
      </c>
    </row>
    <row r="122" spans="2:16" hidden="1">
      <c r="B122" t="str">
        <f>Efeito!B26</f>
        <v>NO SELECT</v>
      </c>
      <c r="C122" s="39" t="s">
        <v>183</v>
      </c>
      <c r="D122" s="27" t="e">
        <f t="shared" si="22"/>
        <v>#DIV/0!</v>
      </c>
      <c r="E122" s="27" t="e">
        <f t="shared" si="23"/>
        <v>#DIV/0!</v>
      </c>
      <c r="F122" s="27" t="e">
        <f t="shared" si="24"/>
        <v>#DIV/0!</v>
      </c>
      <c r="G122" s="27" t="e">
        <f t="shared" si="25"/>
        <v>#DIV/0!</v>
      </c>
      <c r="H122" s="26"/>
      <c r="I122" s="26"/>
      <c r="J122" s="12" t="s">
        <v>183</v>
      </c>
      <c r="K122" s="28" t="e">
        <f t="shared" si="27"/>
        <v>#DIV/0!</v>
      </c>
      <c r="L122" s="28" t="e">
        <f t="shared" si="27"/>
        <v>#DIV/0!</v>
      </c>
      <c r="M122" s="28" t="e">
        <f t="shared" si="27"/>
        <v>#DIV/0!</v>
      </c>
      <c r="N122" s="28" t="e">
        <f t="shared" si="27"/>
        <v>#DIV/0!</v>
      </c>
      <c r="O122" s="28" t="e">
        <f t="shared" si="27"/>
        <v>#DIV/0!</v>
      </c>
      <c r="P122" s="28" t="e">
        <f t="shared" si="27"/>
        <v>#DIV/0!</v>
      </c>
    </row>
    <row r="123" spans="2:16" hidden="1">
      <c r="B123" t="str">
        <f>Efeito!B27</f>
        <v>NO SELECT</v>
      </c>
      <c r="C123" s="39" t="s">
        <v>59</v>
      </c>
      <c r="D123" s="27" t="e">
        <f t="shared" si="22"/>
        <v>#DIV/0!</v>
      </c>
      <c r="E123" s="27" t="e">
        <f t="shared" si="23"/>
        <v>#DIV/0!</v>
      </c>
      <c r="F123" s="27" t="e">
        <f t="shared" si="24"/>
        <v>#DIV/0!</v>
      </c>
      <c r="G123" s="27" t="e">
        <f t="shared" si="25"/>
        <v>#DIV/0!</v>
      </c>
      <c r="H123" s="26"/>
      <c r="I123" s="26"/>
      <c r="J123" s="12" t="s">
        <v>59</v>
      </c>
      <c r="K123" s="28" t="e">
        <f t="shared" ref="K123:P132" si="28">L29/$R29</f>
        <v>#DIV/0!</v>
      </c>
      <c r="L123" s="28" t="e">
        <f t="shared" si="28"/>
        <v>#DIV/0!</v>
      </c>
      <c r="M123" s="28" t="e">
        <f t="shared" si="28"/>
        <v>#DIV/0!</v>
      </c>
      <c r="N123" s="28" t="e">
        <f t="shared" si="28"/>
        <v>#DIV/0!</v>
      </c>
      <c r="O123" s="28" t="e">
        <f t="shared" si="28"/>
        <v>#DIV/0!</v>
      </c>
      <c r="P123" s="28" t="e">
        <f t="shared" si="28"/>
        <v>#DIV/0!</v>
      </c>
    </row>
    <row r="124" spans="2:16" hidden="1">
      <c r="B124" t="str">
        <f>Efeito!B28</f>
        <v>NO SELECT</v>
      </c>
      <c r="C124" s="39" t="s">
        <v>186</v>
      </c>
      <c r="D124" s="27" t="e">
        <f t="shared" si="22"/>
        <v>#DIV/0!</v>
      </c>
      <c r="E124" s="27" t="e">
        <f t="shared" si="23"/>
        <v>#DIV/0!</v>
      </c>
      <c r="F124" s="27" t="e">
        <f t="shared" si="24"/>
        <v>#DIV/0!</v>
      </c>
      <c r="G124" s="27" t="e">
        <f t="shared" si="25"/>
        <v>#DIV/0!</v>
      </c>
      <c r="H124" s="26"/>
      <c r="I124" s="26"/>
      <c r="J124" s="12" t="s">
        <v>186</v>
      </c>
      <c r="K124" s="28" t="e">
        <f t="shared" si="28"/>
        <v>#DIV/0!</v>
      </c>
      <c r="L124" s="28" t="e">
        <f t="shared" si="28"/>
        <v>#DIV/0!</v>
      </c>
      <c r="M124" s="28" t="e">
        <f t="shared" si="28"/>
        <v>#DIV/0!</v>
      </c>
      <c r="N124" s="28" t="e">
        <f t="shared" si="28"/>
        <v>#DIV/0!</v>
      </c>
      <c r="O124" s="28" t="e">
        <f t="shared" si="28"/>
        <v>#DIV/0!</v>
      </c>
      <c r="P124" s="28" t="e">
        <f t="shared" si="28"/>
        <v>#DIV/0!</v>
      </c>
    </row>
    <row r="125" spans="2:16" hidden="1">
      <c r="B125" t="str">
        <f>Efeito!B29</f>
        <v>NO SELECT</v>
      </c>
      <c r="C125" s="39" t="s">
        <v>189</v>
      </c>
      <c r="D125" s="27" t="e">
        <f t="shared" si="22"/>
        <v>#DIV/0!</v>
      </c>
      <c r="E125" s="27" t="e">
        <f t="shared" si="23"/>
        <v>#DIV/0!</v>
      </c>
      <c r="F125" s="27" t="e">
        <f t="shared" si="24"/>
        <v>#DIV/0!</v>
      </c>
      <c r="G125" s="27" t="e">
        <f t="shared" si="25"/>
        <v>#DIV/0!</v>
      </c>
      <c r="H125" s="26"/>
      <c r="I125" s="26"/>
      <c r="J125" s="12" t="s">
        <v>189</v>
      </c>
      <c r="K125" s="28" t="e">
        <f t="shared" si="28"/>
        <v>#DIV/0!</v>
      </c>
      <c r="L125" s="28" t="e">
        <f t="shared" si="28"/>
        <v>#DIV/0!</v>
      </c>
      <c r="M125" s="28" t="e">
        <f t="shared" si="28"/>
        <v>#DIV/0!</v>
      </c>
      <c r="N125" s="28" t="e">
        <f t="shared" si="28"/>
        <v>#DIV/0!</v>
      </c>
      <c r="O125" s="28" t="e">
        <f t="shared" si="28"/>
        <v>#DIV/0!</v>
      </c>
      <c r="P125" s="28" t="e">
        <f t="shared" si="28"/>
        <v>#DIV/0!</v>
      </c>
    </row>
    <row r="126" spans="2:16" hidden="1">
      <c r="B126" t="str">
        <f>Efeito!B30</f>
        <v>NO SELECT</v>
      </c>
      <c r="C126" s="39" t="s">
        <v>60</v>
      </c>
      <c r="D126" s="27" t="e">
        <f t="shared" si="22"/>
        <v>#DIV/0!</v>
      </c>
      <c r="E126" s="27" t="e">
        <f t="shared" si="23"/>
        <v>#DIV/0!</v>
      </c>
      <c r="F126" s="27" t="e">
        <f t="shared" si="24"/>
        <v>#DIV/0!</v>
      </c>
      <c r="G126" s="27" t="e">
        <f t="shared" si="25"/>
        <v>#DIV/0!</v>
      </c>
      <c r="H126" s="26"/>
      <c r="I126" s="26"/>
      <c r="J126" s="12" t="s">
        <v>60</v>
      </c>
      <c r="K126" s="28" t="e">
        <f t="shared" si="28"/>
        <v>#DIV/0!</v>
      </c>
      <c r="L126" s="28" t="e">
        <f t="shared" si="28"/>
        <v>#DIV/0!</v>
      </c>
      <c r="M126" s="28" t="e">
        <f t="shared" si="28"/>
        <v>#DIV/0!</v>
      </c>
      <c r="N126" s="28" t="e">
        <f t="shared" si="28"/>
        <v>#DIV/0!</v>
      </c>
      <c r="O126" s="28" t="e">
        <f t="shared" si="28"/>
        <v>#DIV/0!</v>
      </c>
      <c r="P126" s="28" t="e">
        <f t="shared" si="28"/>
        <v>#DIV/0!</v>
      </c>
    </row>
    <row r="127" spans="2:16" hidden="1">
      <c r="B127" t="str">
        <f>Efeito!B31</f>
        <v>NO SELECT</v>
      </c>
      <c r="C127" s="39" t="s">
        <v>192</v>
      </c>
      <c r="D127" s="27" t="e">
        <f t="shared" si="22"/>
        <v>#DIV/0!</v>
      </c>
      <c r="E127" s="27" t="e">
        <f t="shared" si="23"/>
        <v>#DIV/0!</v>
      </c>
      <c r="F127" s="27" t="e">
        <f t="shared" si="24"/>
        <v>#DIV/0!</v>
      </c>
      <c r="G127" s="27" t="e">
        <f t="shared" si="25"/>
        <v>#DIV/0!</v>
      </c>
      <c r="H127" s="26"/>
      <c r="I127" s="26"/>
      <c r="J127" s="12" t="s">
        <v>192</v>
      </c>
      <c r="K127" s="28" t="e">
        <f t="shared" si="28"/>
        <v>#DIV/0!</v>
      </c>
      <c r="L127" s="28" t="e">
        <f t="shared" si="28"/>
        <v>#DIV/0!</v>
      </c>
      <c r="M127" s="28" t="e">
        <f t="shared" si="28"/>
        <v>#DIV/0!</v>
      </c>
      <c r="N127" s="28" t="e">
        <f t="shared" si="28"/>
        <v>#DIV/0!</v>
      </c>
      <c r="O127" s="28" t="e">
        <f t="shared" si="28"/>
        <v>#DIV/0!</v>
      </c>
      <c r="P127" s="28" t="e">
        <f t="shared" si="28"/>
        <v>#DIV/0!</v>
      </c>
    </row>
    <row r="128" spans="2:16" hidden="1">
      <c r="B128" t="str">
        <f>Efeito!B32</f>
        <v>NO SELECT</v>
      </c>
      <c r="C128" s="39" t="s">
        <v>195</v>
      </c>
      <c r="D128" s="27" t="e">
        <f t="shared" si="22"/>
        <v>#DIV/0!</v>
      </c>
      <c r="E128" s="27" t="e">
        <f t="shared" si="23"/>
        <v>#DIV/0!</v>
      </c>
      <c r="F128" s="27" t="e">
        <f t="shared" si="24"/>
        <v>#DIV/0!</v>
      </c>
      <c r="G128" s="27" t="e">
        <f t="shared" si="25"/>
        <v>#DIV/0!</v>
      </c>
      <c r="H128" s="26"/>
      <c r="I128" s="26"/>
      <c r="J128" s="12" t="s">
        <v>195</v>
      </c>
      <c r="K128" s="28" t="e">
        <f t="shared" si="28"/>
        <v>#DIV/0!</v>
      </c>
      <c r="L128" s="28" t="e">
        <f t="shared" si="28"/>
        <v>#DIV/0!</v>
      </c>
      <c r="M128" s="28" t="e">
        <f t="shared" si="28"/>
        <v>#DIV/0!</v>
      </c>
      <c r="N128" s="28" t="e">
        <f t="shared" si="28"/>
        <v>#DIV/0!</v>
      </c>
      <c r="O128" s="28" t="e">
        <f t="shared" si="28"/>
        <v>#DIV/0!</v>
      </c>
      <c r="P128" s="28" t="e">
        <f t="shared" si="28"/>
        <v>#DIV/0!</v>
      </c>
    </row>
    <row r="129" spans="2:16" hidden="1">
      <c r="B129" t="str">
        <f>Efeito!B33</f>
        <v>NO SELECT</v>
      </c>
      <c r="C129" s="39" t="s">
        <v>61</v>
      </c>
      <c r="D129" s="27" t="e">
        <f t="shared" si="22"/>
        <v>#DIV/0!</v>
      </c>
      <c r="E129" s="27" t="e">
        <f t="shared" si="23"/>
        <v>#DIV/0!</v>
      </c>
      <c r="F129" s="27" t="e">
        <f t="shared" si="24"/>
        <v>#DIV/0!</v>
      </c>
      <c r="G129" s="27" t="e">
        <f t="shared" si="25"/>
        <v>#DIV/0!</v>
      </c>
      <c r="H129" s="26"/>
      <c r="I129" s="26"/>
      <c r="J129" s="12" t="s">
        <v>61</v>
      </c>
      <c r="K129" s="28" t="e">
        <f t="shared" si="28"/>
        <v>#DIV/0!</v>
      </c>
      <c r="L129" s="28" t="e">
        <f t="shared" si="28"/>
        <v>#DIV/0!</v>
      </c>
      <c r="M129" s="28" t="e">
        <f t="shared" si="28"/>
        <v>#DIV/0!</v>
      </c>
      <c r="N129" s="28" t="e">
        <f t="shared" si="28"/>
        <v>#DIV/0!</v>
      </c>
      <c r="O129" s="28" t="e">
        <f t="shared" si="28"/>
        <v>#DIV/0!</v>
      </c>
      <c r="P129" s="28" t="e">
        <f t="shared" si="28"/>
        <v>#DIV/0!</v>
      </c>
    </row>
    <row r="130" spans="2:16" hidden="1">
      <c r="B130" t="str">
        <f>Efeito!B34</f>
        <v>NO SELECT</v>
      </c>
      <c r="C130" s="39" t="s">
        <v>198</v>
      </c>
      <c r="D130" s="27" t="e">
        <f t="shared" si="22"/>
        <v>#DIV/0!</v>
      </c>
      <c r="E130" s="27" t="e">
        <f t="shared" si="23"/>
        <v>#DIV/0!</v>
      </c>
      <c r="F130" s="27" t="e">
        <f t="shared" si="24"/>
        <v>#DIV/0!</v>
      </c>
      <c r="G130" s="27" t="e">
        <f t="shared" si="25"/>
        <v>#DIV/0!</v>
      </c>
      <c r="H130" s="26"/>
      <c r="I130" s="26"/>
      <c r="J130" s="12" t="s">
        <v>198</v>
      </c>
      <c r="K130" s="28" t="e">
        <f t="shared" si="28"/>
        <v>#DIV/0!</v>
      </c>
      <c r="L130" s="28" t="e">
        <f t="shared" si="28"/>
        <v>#DIV/0!</v>
      </c>
      <c r="M130" s="28" t="e">
        <f t="shared" si="28"/>
        <v>#DIV/0!</v>
      </c>
      <c r="N130" s="28" t="e">
        <f t="shared" si="28"/>
        <v>#DIV/0!</v>
      </c>
      <c r="O130" s="28" t="e">
        <f t="shared" si="28"/>
        <v>#DIV/0!</v>
      </c>
      <c r="P130" s="28" t="e">
        <f t="shared" si="28"/>
        <v>#DIV/0!</v>
      </c>
    </row>
    <row r="131" spans="2:16" hidden="1">
      <c r="B131" t="str">
        <f>Efeito!B35</f>
        <v>NO SELECT</v>
      </c>
      <c r="C131" s="39" t="s">
        <v>62</v>
      </c>
      <c r="D131" s="27" t="e">
        <f t="shared" si="22"/>
        <v>#DIV/0!</v>
      </c>
      <c r="E131" s="27" t="e">
        <f t="shared" si="23"/>
        <v>#DIV/0!</v>
      </c>
      <c r="F131" s="27" t="e">
        <f t="shared" si="24"/>
        <v>#DIV/0!</v>
      </c>
      <c r="G131" s="27" t="e">
        <f t="shared" si="25"/>
        <v>#DIV/0!</v>
      </c>
      <c r="H131" s="26"/>
      <c r="I131" s="26"/>
      <c r="J131" s="12" t="s">
        <v>62</v>
      </c>
      <c r="K131" s="28" t="e">
        <f t="shared" si="28"/>
        <v>#DIV/0!</v>
      </c>
      <c r="L131" s="28" t="e">
        <f t="shared" si="28"/>
        <v>#DIV/0!</v>
      </c>
      <c r="M131" s="28" t="e">
        <f t="shared" si="28"/>
        <v>#DIV/0!</v>
      </c>
      <c r="N131" s="28" t="e">
        <f t="shared" si="28"/>
        <v>#DIV/0!</v>
      </c>
      <c r="O131" s="28" t="e">
        <f t="shared" si="28"/>
        <v>#DIV/0!</v>
      </c>
      <c r="P131" s="28" t="e">
        <f t="shared" si="28"/>
        <v>#DIV/0!</v>
      </c>
    </row>
    <row r="132" spans="2:16" hidden="1">
      <c r="B132" t="str">
        <f>Efeito!B36</f>
        <v>NO SELECT</v>
      </c>
      <c r="C132" s="39" t="s">
        <v>53</v>
      </c>
      <c r="D132" s="27" t="e">
        <f t="shared" si="22"/>
        <v>#DIV/0!</v>
      </c>
      <c r="E132" s="27" t="e">
        <f t="shared" si="23"/>
        <v>#DIV/0!</v>
      </c>
      <c r="F132" s="27" t="e">
        <f t="shared" si="24"/>
        <v>#DIV/0!</v>
      </c>
      <c r="G132" s="27" t="e">
        <f t="shared" si="25"/>
        <v>#DIV/0!</v>
      </c>
      <c r="H132" s="26"/>
      <c r="I132" s="26"/>
      <c r="J132" s="12" t="s">
        <v>53</v>
      </c>
      <c r="K132" s="28" t="e">
        <f t="shared" si="28"/>
        <v>#DIV/0!</v>
      </c>
      <c r="L132" s="28" t="e">
        <f t="shared" si="28"/>
        <v>#DIV/0!</v>
      </c>
      <c r="M132" s="28" t="e">
        <f t="shared" si="28"/>
        <v>#DIV/0!</v>
      </c>
      <c r="N132" s="28" t="e">
        <f t="shared" si="28"/>
        <v>#DIV/0!</v>
      </c>
      <c r="O132" s="28" t="e">
        <f t="shared" si="28"/>
        <v>#DIV/0!</v>
      </c>
      <c r="P132" s="28" t="e">
        <f t="shared" si="28"/>
        <v>#DIV/0!</v>
      </c>
    </row>
    <row r="133" spans="2:16" hidden="1">
      <c r="B133" t="str">
        <f>Efeito!B37</f>
        <v>NO SELECT</v>
      </c>
      <c r="C133" s="39" t="s">
        <v>201</v>
      </c>
      <c r="D133" s="27" t="e">
        <f t="shared" si="22"/>
        <v>#DIV/0!</v>
      </c>
      <c r="E133" s="27" t="e">
        <f t="shared" si="23"/>
        <v>#DIV/0!</v>
      </c>
      <c r="F133" s="27" t="e">
        <f t="shared" si="24"/>
        <v>#DIV/0!</v>
      </c>
      <c r="G133" s="27" t="e">
        <f t="shared" si="25"/>
        <v>#DIV/0!</v>
      </c>
      <c r="H133" s="26"/>
      <c r="I133" s="26"/>
      <c r="J133" s="12" t="s">
        <v>201</v>
      </c>
      <c r="K133" s="28" t="e">
        <f t="shared" ref="K133:P142" si="29">L39/$R39</f>
        <v>#DIV/0!</v>
      </c>
      <c r="L133" s="28" t="e">
        <f t="shared" si="29"/>
        <v>#DIV/0!</v>
      </c>
      <c r="M133" s="28" t="e">
        <f t="shared" si="29"/>
        <v>#DIV/0!</v>
      </c>
      <c r="N133" s="28" t="e">
        <f t="shared" si="29"/>
        <v>#DIV/0!</v>
      </c>
      <c r="O133" s="28" t="e">
        <f t="shared" si="29"/>
        <v>#DIV/0!</v>
      </c>
      <c r="P133" s="28" t="e">
        <f t="shared" si="29"/>
        <v>#DIV/0!</v>
      </c>
    </row>
    <row r="134" spans="2:16" hidden="1">
      <c r="B134" t="str">
        <f>Efeito!B38</f>
        <v>NO SELECT</v>
      </c>
      <c r="C134" s="39" t="s">
        <v>63</v>
      </c>
      <c r="D134" s="27" t="e">
        <f t="shared" si="22"/>
        <v>#DIV/0!</v>
      </c>
      <c r="E134" s="27" t="e">
        <f t="shared" si="23"/>
        <v>#DIV/0!</v>
      </c>
      <c r="F134" s="27" t="e">
        <f t="shared" si="24"/>
        <v>#DIV/0!</v>
      </c>
      <c r="G134" s="27" t="e">
        <f t="shared" si="25"/>
        <v>#DIV/0!</v>
      </c>
      <c r="H134" s="26"/>
      <c r="I134" s="26"/>
      <c r="J134" s="12" t="s">
        <v>63</v>
      </c>
      <c r="K134" s="28" t="e">
        <f t="shared" si="29"/>
        <v>#DIV/0!</v>
      </c>
      <c r="L134" s="28" t="e">
        <f t="shared" si="29"/>
        <v>#DIV/0!</v>
      </c>
      <c r="M134" s="28" t="e">
        <f t="shared" si="29"/>
        <v>#DIV/0!</v>
      </c>
      <c r="N134" s="28" t="e">
        <f t="shared" si="29"/>
        <v>#DIV/0!</v>
      </c>
      <c r="O134" s="28" t="e">
        <f t="shared" si="29"/>
        <v>#DIV/0!</v>
      </c>
      <c r="P134" s="28" t="e">
        <f t="shared" si="29"/>
        <v>#DIV/0!</v>
      </c>
    </row>
    <row r="135" spans="2:16" hidden="1">
      <c r="B135" t="str">
        <f>Efeito!B39</f>
        <v>NO SELECT</v>
      </c>
      <c r="C135" s="39" t="s">
        <v>64</v>
      </c>
      <c r="D135" s="27" t="e">
        <f t="shared" si="22"/>
        <v>#DIV/0!</v>
      </c>
      <c r="E135" s="27" t="e">
        <f t="shared" si="23"/>
        <v>#DIV/0!</v>
      </c>
      <c r="F135" s="27" t="e">
        <f t="shared" si="24"/>
        <v>#DIV/0!</v>
      </c>
      <c r="G135" s="27" t="e">
        <f t="shared" si="25"/>
        <v>#DIV/0!</v>
      </c>
      <c r="H135" s="26"/>
      <c r="I135" s="26"/>
      <c r="J135" s="12" t="s">
        <v>64</v>
      </c>
      <c r="K135" s="28" t="e">
        <f t="shared" si="29"/>
        <v>#DIV/0!</v>
      </c>
      <c r="L135" s="28" t="e">
        <f t="shared" si="29"/>
        <v>#DIV/0!</v>
      </c>
      <c r="M135" s="28" t="e">
        <f t="shared" si="29"/>
        <v>#DIV/0!</v>
      </c>
      <c r="N135" s="28" t="e">
        <f t="shared" si="29"/>
        <v>#DIV/0!</v>
      </c>
      <c r="O135" s="28" t="e">
        <f t="shared" si="29"/>
        <v>#DIV/0!</v>
      </c>
      <c r="P135" s="28" t="e">
        <f t="shared" si="29"/>
        <v>#DIV/0!</v>
      </c>
    </row>
    <row r="136" spans="2:16" hidden="1">
      <c r="B136" t="str">
        <f>Efeito!B40</f>
        <v>NO SELECT</v>
      </c>
      <c r="C136" s="39" t="s">
        <v>204</v>
      </c>
      <c r="D136" s="27" t="e">
        <f t="shared" si="22"/>
        <v>#DIV/0!</v>
      </c>
      <c r="E136" s="27" t="e">
        <f t="shared" si="23"/>
        <v>#DIV/0!</v>
      </c>
      <c r="F136" s="27" t="e">
        <f t="shared" si="24"/>
        <v>#DIV/0!</v>
      </c>
      <c r="G136" s="27" t="e">
        <f t="shared" si="25"/>
        <v>#DIV/0!</v>
      </c>
      <c r="H136" s="26"/>
      <c r="I136" s="26"/>
      <c r="J136" s="12" t="s">
        <v>204</v>
      </c>
      <c r="K136" s="28" t="e">
        <f t="shared" si="29"/>
        <v>#DIV/0!</v>
      </c>
      <c r="L136" s="28" t="e">
        <f t="shared" si="29"/>
        <v>#DIV/0!</v>
      </c>
      <c r="M136" s="28" t="e">
        <f t="shared" si="29"/>
        <v>#DIV/0!</v>
      </c>
      <c r="N136" s="28" t="e">
        <f t="shared" si="29"/>
        <v>#DIV/0!</v>
      </c>
      <c r="O136" s="28" t="e">
        <f t="shared" si="29"/>
        <v>#DIV/0!</v>
      </c>
      <c r="P136" s="28" t="e">
        <f t="shared" si="29"/>
        <v>#DIV/0!</v>
      </c>
    </row>
    <row r="137" spans="2:16" hidden="1">
      <c r="B137" t="str">
        <f>Efeito!B41</f>
        <v>NO SELECT</v>
      </c>
      <c r="C137" s="39" t="s">
        <v>207</v>
      </c>
      <c r="D137" s="27" t="e">
        <f t="shared" si="22"/>
        <v>#DIV/0!</v>
      </c>
      <c r="E137" s="27" t="e">
        <f t="shared" si="23"/>
        <v>#DIV/0!</v>
      </c>
      <c r="F137" s="27" t="e">
        <f t="shared" si="24"/>
        <v>#DIV/0!</v>
      </c>
      <c r="G137" s="27" t="e">
        <f t="shared" si="25"/>
        <v>#DIV/0!</v>
      </c>
      <c r="H137" s="26"/>
      <c r="I137" s="26"/>
      <c r="J137" s="12" t="s">
        <v>207</v>
      </c>
      <c r="K137" s="28" t="e">
        <f t="shared" si="29"/>
        <v>#DIV/0!</v>
      </c>
      <c r="L137" s="28" t="e">
        <f t="shared" si="29"/>
        <v>#DIV/0!</v>
      </c>
      <c r="M137" s="28" t="e">
        <f t="shared" si="29"/>
        <v>#DIV/0!</v>
      </c>
      <c r="N137" s="28" t="e">
        <f t="shared" si="29"/>
        <v>#DIV/0!</v>
      </c>
      <c r="O137" s="28" t="e">
        <f t="shared" si="29"/>
        <v>#DIV/0!</v>
      </c>
      <c r="P137" s="28" t="e">
        <f t="shared" si="29"/>
        <v>#DIV/0!</v>
      </c>
    </row>
    <row r="138" spans="2:16" hidden="1">
      <c r="B138" t="str">
        <f>Efeito!B42</f>
        <v>NO SELECT</v>
      </c>
      <c r="C138" s="39" t="s">
        <v>210</v>
      </c>
      <c r="D138" s="27" t="e">
        <f t="shared" si="22"/>
        <v>#DIV/0!</v>
      </c>
      <c r="E138" s="27" t="e">
        <f t="shared" si="23"/>
        <v>#DIV/0!</v>
      </c>
      <c r="F138" s="27" t="e">
        <f t="shared" si="24"/>
        <v>#DIV/0!</v>
      </c>
      <c r="G138" s="27" t="e">
        <f t="shared" si="25"/>
        <v>#DIV/0!</v>
      </c>
      <c r="H138" s="26"/>
      <c r="I138" s="26"/>
      <c r="J138" s="12" t="s">
        <v>210</v>
      </c>
      <c r="K138" s="28" t="e">
        <f t="shared" si="29"/>
        <v>#DIV/0!</v>
      </c>
      <c r="L138" s="28" t="e">
        <f t="shared" si="29"/>
        <v>#DIV/0!</v>
      </c>
      <c r="M138" s="28" t="e">
        <f t="shared" si="29"/>
        <v>#DIV/0!</v>
      </c>
      <c r="N138" s="28" t="e">
        <f t="shared" si="29"/>
        <v>#DIV/0!</v>
      </c>
      <c r="O138" s="28" t="e">
        <f t="shared" si="29"/>
        <v>#DIV/0!</v>
      </c>
      <c r="P138" s="28" t="e">
        <f t="shared" si="29"/>
        <v>#DIV/0!</v>
      </c>
    </row>
    <row r="139" spans="2:16" hidden="1">
      <c r="B139" t="str">
        <f>Efeito!B43</f>
        <v>NO SELECT</v>
      </c>
      <c r="C139" s="39" t="s">
        <v>213</v>
      </c>
      <c r="D139" s="27" t="e">
        <f t="shared" si="22"/>
        <v>#DIV/0!</v>
      </c>
      <c r="E139" s="27" t="e">
        <f t="shared" si="23"/>
        <v>#DIV/0!</v>
      </c>
      <c r="F139" s="27" t="e">
        <f t="shared" si="24"/>
        <v>#DIV/0!</v>
      </c>
      <c r="G139" s="27" t="e">
        <f t="shared" si="25"/>
        <v>#DIV/0!</v>
      </c>
      <c r="H139" s="26"/>
      <c r="I139" s="26"/>
      <c r="J139" s="12" t="s">
        <v>213</v>
      </c>
      <c r="K139" s="28" t="e">
        <f t="shared" si="29"/>
        <v>#DIV/0!</v>
      </c>
      <c r="L139" s="28" t="e">
        <f t="shared" si="29"/>
        <v>#DIV/0!</v>
      </c>
      <c r="M139" s="28" t="e">
        <f t="shared" si="29"/>
        <v>#DIV/0!</v>
      </c>
      <c r="N139" s="28" t="e">
        <f t="shared" si="29"/>
        <v>#DIV/0!</v>
      </c>
      <c r="O139" s="28" t="e">
        <f t="shared" si="29"/>
        <v>#DIV/0!</v>
      </c>
      <c r="P139" s="28" t="e">
        <f t="shared" si="29"/>
        <v>#DIV/0!</v>
      </c>
    </row>
    <row r="140" spans="2:16" hidden="1">
      <c r="B140" t="str">
        <f>Efeito!B44</f>
        <v>NO SELECT</v>
      </c>
      <c r="C140" s="39" t="s">
        <v>215</v>
      </c>
      <c r="D140" s="27" t="e">
        <f t="shared" si="22"/>
        <v>#DIV/0!</v>
      </c>
      <c r="E140" s="27" t="e">
        <f t="shared" si="23"/>
        <v>#DIV/0!</v>
      </c>
      <c r="F140" s="27" t="e">
        <f t="shared" si="24"/>
        <v>#DIV/0!</v>
      </c>
      <c r="G140" s="27" t="e">
        <f t="shared" si="25"/>
        <v>#DIV/0!</v>
      </c>
      <c r="H140" s="26"/>
      <c r="I140" s="26"/>
      <c r="J140" s="12" t="s">
        <v>215</v>
      </c>
      <c r="K140" s="28" t="e">
        <f t="shared" si="29"/>
        <v>#DIV/0!</v>
      </c>
      <c r="L140" s="28" t="e">
        <f t="shared" si="29"/>
        <v>#DIV/0!</v>
      </c>
      <c r="M140" s="28" t="e">
        <f t="shared" si="29"/>
        <v>#DIV/0!</v>
      </c>
      <c r="N140" s="28" t="e">
        <f t="shared" si="29"/>
        <v>#DIV/0!</v>
      </c>
      <c r="O140" s="28" t="e">
        <f t="shared" si="29"/>
        <v>#DIV/0!</v>
      </c>
      <c r="P140" s="28" t="e">
        <f t="shared" si="29"/>
        <v>#DIV/0!</v>
      </c>
    </row>
    <row r="141" spans="2:16" hidden="1">
      <c r="B141" t="str">
        <f>Efeito!B45</f>
        <v>NO SELECT</v>
      </c>
      <c r="C141" s="39" t="s">
        <v>217</v>
      </c>
      <c r="D141" s="27" t="e">
        <f t="shared" si="22"/>
        <v>#DIV/0!</v>
      </c>
      <c r="E141" s="27" t="e">
        <f t="shared" si="23"/>
        <v>#DIV/0!</v>
      </c>
      <c r="F141" s="27" t="e">
        <f t="shared" si="24"/>
        <v>#DIV/0!</v>
      </c>
      <c r="G141" s="27" t="e">
        <f t="shared" si="25"/>
        <v>#DIV/0!</v>
      </c>
      <c r="H141" s="26"/>
      <c r="I141" s="26"/>
      <c r="J141" s="12" t="s">
        <v>217</v>
      </c>
      <c r="K141" s="28" t="e">
        <f t="shared" si="29"/>
        <v>#DIV/0!</v>
      </c>
      <c r="L141" s="28" t="e">
        <f t="shared" si="29"/>
        <v>#DIV/0!</v>
      </c>
      <c r="M141" s="28" t="e">
        <f t="shared" si="29"/>
        <v>#DIV/0!</v>
      </c>
      <c r="N141" s="28" t="e">
        <f t="shared" si="29"/>
        <v>#DIV/0!</v>
      </c>
      <c r="O141" s="28" t="e">
        <f t="shared" si="29"/>
        <v>#DIV/0!</v>
      </c>
      <c r="P141" s="28" t="e">
        <f t="shared" si="29"/>
        <v>#DIV/0!</v>
      </c>
    </row>
    <row r="142" spans="2:16" hidden="1">
      <c r="B142" t="str">
        <f>Efeito!B46</f>
        <v>NO SELECT</v>
      </c>
      <c r="C142" s="39" t="s">
        <v>219</v>
      </c>
      <c r="D142" s="27" t="e">
        <f t="shared" si="22"/>
        <v>#DIV/0!</v>
      </c>
      <c r="E142" s="27" t="e">
        <f t="shared" si="23"/>
        <v>#DIV/0!</v>
      </c>
      <c r="F142" s="27" t="e">
        <f t="shared" si="24"/>
        <v>#DIV/0!</v>
      </c>
      <c r="G142" s="27" t="e">
        <f t="shared" si="25"/>
        <v>#DIV/0!</v>
      </c>
      <c r="H142" s="26"/>
      <c r="I142" s="26"/>
      <c r="J142" s="12" t="s">
        <v>219</v>
      </c>
      <c r="K142" s="28" t="e">
        <f t="shared" si="29"/>
        <v>#DIV/0!</v>
      </c>
      <c r="L142" s="28" t="e">
        <f t="shared" si="29"/>
        <v>#DIV/0!</v>
      </c>
      <c r="M142" s="28" t="e">
        <f t="shared" si="29"/>
        <v>#DIV/0!</v>
      </c>
      <c r="N142" s="28" t="e">
        <f t="shared" si="29"/>
        <v>#DIV/0!</v>
      </c>
      <c r="O142" s="28" t="e">
        <f t="shared" si="29"/>
        <v>#DIV/0!</v>
      </c>
      <c r="P142" s="28" t="e">
        <f t="shared" si="29"/>
        <v>#DIV/0!</v>
      </c>
    </row>
    <row r="143" spans="2:16" hidden="1">
      <c r="B143" t="str">
        <f>Efeito!B47</f>
        <v>NO SELECT</v>
      </c>
      <c r="C143" s="39" t="s">
        <v>221</v>
      </c>
      <c r="D143" s="27" t="e">
        <f t="shared" si="22"/>
        <v>#DIV/0!</v>
      </c>
      <c r="E143" s="27" t="e">
        <f t="shared" si="23"/>
        <v>#DIV/0!</v>
      </c>
      <c r="F143" s="27" t="e">
        <f t="shared" si="24"/>
        <v>#DIV/0!</v>
      </c>
      <c r="G143" s="27" t="e">
        <f t="shared" si="25"/>
        <v>#DIV/0!</v>
      </c>
      <c r="H143" s="26"/>
      <c r="I143" s="26"/>
      <c r="J143" s="12" t="s">
        <v>221</v>
      </c>
      <c r="K143" s="28" t="e">
        <f t="shared" ref="K143:P143" si="30">L49/$R49</f>
        <v>#DIV/0!</v>
      </c>
      <c r="L143" s="28" t="e">
        <f t="shared" si="30"/>
        <v>#DIV/0!</v>
      </c>
      <c r="M143" s="28" t="e">
        <f t="shared" si="30"/>
        <v>#DIV/0!</v>
      </c>
      <c r="N143" s="28" t="e">
        <f t="shared" si="30"/>
        <v>#DIV/0!</v>
      </c>
      <c r="O143" s="28" t="e">
        <f t="shared" si="30"/>
        <v>#DIV/0!</v>
      </c>
      <c r="P143" s="28" t="e">
        <f t="shared" si="30"/>
        <v>#DIV/0!</v>
      </c>
    </row>
    <row r="144" spans="2:16" hidden="1">
      <c r="B144" t="str">
        <f>Efeito!B48</f>
        <v>NO SELECT</v>
      </c>
      <c r="C144" s="39" t="s">
        <v>223</v>
      </c>
      <c r="D144" s="27" t="e">
        <f>L7/$K7</f>
        <v>#DIV/0!</v>
      </c>
      <c r="E144" s="27" t="e">
        <f>M7/$K7</f>
        <v>#DIV/0!</v>
      </c>
      <c r="F144" s="27" t="e">
        <f>N7/$K7</f>
        <v>#DIV/0!</v>
      </c>
      <c r="G144" s="27" t="e">
        <f>O7/$K7</f>
        <v>#DIV/0!</v>
      </c>
      <c r="H144" s="26"/>
      <c r="I144" s="26"/>
      <c r="J144" s="12" t="s">
        <v>223</v>
      </c>
      <c r="K144" s="28" t="e">
        <f t="shared" ref="K144:P144" si="31">L7/$R7</f>
        <v>#DIV/0!</v>
      </c>
      <c r="L144" s="28" t="e">
        <f t="shared" si="31"/>
        <v>#DIV/0!</v>
      </c>
      <c r="M144" s="28" t="e">
        <f t="shared" si="31"/>
        <v>#DIV/0!</v>
      </c>
      <c r="N144" s="28" t="e">
        <f t="shared" si="31"/>
        <v>#DIV/0!</v>
      </c>
      <c r="O144" s="28" t="e">
        <f t="shared" si="31"/>
        <v>#DIV/0!</v>
      </c>
      <c r="P144" s="28" t="e">
        <f t="shared" si="31"/>
        <v>#DIV/0!</v>
      </c>
    </row>
    <row r="145" spans="2:16" hidden="1">
      <c r="B145" t="str">
        <f>Efeito!B49</f>
        <v>NO SELECT</v>
      </c>
      <c r="C145" s="39" t="s">
        <v>225</v>
      </c>
      <c r="D145" s="27" t="e">
        <f t="shared" ref="D145:G150" si="32">L50/$K50</f>
        <v>#DIV/0!</v>
      </c>
      <c r="E145" s="27" t="e">
        <f t="shared" si="32"/>
        <v>#DIV/0!</v>
      </c>
      <c r="F145" s="27" t="e">
        <f t="shared" si="32"/>
        <v>#DIV/0!</v>
      </c>
      <c r="G145" s="27" t="e">
        <f t="shared" si="32"/>
        <v>#DIV/0!</v>
      </c>
      <c r="H145" s="26"/>
      <c r="I145" s="26"/>
      <c r="J145" s="12" t="s">
        <v>225</v>
      </c>
      <c r="K145" s="28" t="e">
        <f t="shared" ref="K145:P150" si="33">L50/$R50</f>
        <v>#DIV/0!</v>
      </c>
      <c r="L145" s="28" t="e">
        <f t="shared" si="33"/>
        <v>#DIV/0!</v>
      </c>
      <c r="M145" s="28" t="e">
        <f t="shared" si="33"/>
        <v>#DIV/0!</v>
      </c>
      <c r="N145" s="28" t="e">
        <f t="shared" si="33"/>
        <v>#DIV/0!</v>
      </c>
      <c r="O145" s="28" t="e">
        <f t="shared" si="33"/>
        <v>#DIV/0!</v>
      </c>
      <c r="P145" s="28" t="e">
        <f t="shared" si="33"/>
        <v>#DIV/0!</v>
      </c>
    </row>
    <row r="146" spans="2:16" hidden="1">
      <c r="B146" t="str">
        <f>Efeito!B50</f>
        <v>NO SELECT</v>
      </c>
      <c r="C146" s="39" t="s">
        <v>227</v>
      </c>
      <c r="D146" s="27" t="e">
        <f t="shared" si="32"/>
        <v>#DIV/0!</v>
      </c>
      <c r="E146" s="27" t="e">
        <f t="shared" si="32"/>
        <v>#DIV/0!</v>
      </c>
      <c r="F146" s="27" t="e">
        <f t="shared" si="32"/>
        <v>#DIV/0!</v>
      </c>
      <c r="G146" s="27" t="e">
        <f t="shared" si="32"/>
        <v>#DIV/0!</v>
      </c>
      <c r="H146" s="26"/>
      <c r="I146" s="26"/>
      <c r="J146" s="12" t="s">
        <v>227</v>
      </c>
      <c r="K146" s="28" t="e">
        <f t="shared" si="33"/>
        <v>#DIV/0!</v>
      </c>
      <c r="L146" s="28" t="e">
        <f t="shared" si="33"/>
        <v>#DIV/0!</v>
      </c>
      <c r="M146" s="28" t="e">
        <f t="shared" si="33"/>
        <v>#DIV/0!</v>
      </c>
      <c r="N146" s="28" t="e">
        <f t="shared" si="33"/>
        <v>#DIV/0!</v>
      </c>
      <c r="O146" s="28" t="e">
        <f t="shared" si="33"/>
        <v>#DIV/0!</v>
      </c>
      <c r="P146" s="28" t="e">
        <f t="shared" si="33"/>
        <v>#DIV/0!</v>
      </c>
    </row>
    <row r="147" spans="2:16" hidden="1">
      <c r="B147" t="str">
        <f>Efeito!B51</f>
        <v>NO SELECT</v>
      </c>
      <c r="C147" s="39" t="s">
        <v>229</v>
      </c>
      <c r="D147" s="27" t="e">
        <f t="shared" si="32"/>
        <v>#DIV/0!</v>
      </c>
      <c r="E147" s="27" t="e">
        <f t="shared" si="32"/>
        <v>#DIV/0!</v>
      </c>
      <c r="F147" s="27" t="e">
        <f t="shared" si="32"/>
        <v>#DIV/0!</v>
      </c>
      <c r="G147" s="27" t="e">
        <f t="shared" si="32"/>
        <v>#DIV/0!</v>
      </c>
      <c r="H147" s="26"/>
      <c r="I147" s="26"/>
      <c r="J147" s="12" t="s">
        <v>229</v>
      </c>
      <c r="K147" s="28" t="e">
        <f t="shared" si="33"/>
        <v>#DIV/0!</v>
      </c>
      <c r="L147" s="28" t="e">
        <f t="shared" si="33"/>
        <v>#DIV/0!</v>
      </c>
      <c r="M147" s="28" t="e">
        <f t="shared" si="33"/>
        <v>#DIV/0!</v>
      </c>
      <c r="N147" s="28" t="e">
        <f t="shared" si="33"/>
        <v>#DIV/0!</v>
      </c>
      <c r="O147" s="28" t="e">
        <f t="shared" si="33"/>
        <v>#DIV/0!</v>
      </c>
      <c r="P147" s="28" t="e">
        <f t="shared" si="33"/>
        <v>#DIV/0!</v>
      </c>
    </row>
    <row r="148" spans="2:16" hidden="1">
      <c r="B148" t="str">
        <f>Efeito!B52</f>
        <v>NO SELECT</v>
      </c>
      <c r="C148" s="39" t="s">
        <v>231</v>
      </c>
      <c r="D148" s="27" t="e">
        <f t="shared" si="32"/>
        <v>#DIV/0!</v>
      </c>
      <c r="E148" s="27" t="e">
        <f t="shared" si="32"/>
        <v>#DIV/0!</v>
      </c>
      <c r="F148" s="27" t="e">
        <f t="shared" si="32"/>
        <v>#DIV/0!</v>
      </c>
      <c r="G148" s="27" t="e">
        <f t="shared" si="32"/>
        <v>#DIV/0!</v>
      </c>
      <c r="H148" s="26"/>
      <c r="I148" s="26"/>
      <c r="J148" s="12" t="s">
        <v>231</v>
      </c>
      <c r="K148" s="28" t="e">
        <f t="shared" si="33"/>
        <v>#DIV/0!</v>
      </c>
      <c r="L148" s="28" t="e">
        <f t="shared" si="33"/>
        <v>#DIV/0!</v>
      </c>
      <c r="M148" s="28" t="e">
        <f t="shared" si="33"/>
        <v>#DIV/0!</v>
      </c>
      <c r="N148" s="28" t="e">
        <f t="shared" si="33"/>
        <v>#DIV/0!</v>
      </c>
      <c r="O148" s="28" t="e">
        <f t="shared" si="33"/>
        <v>#DIV/0!</v>
      </c>
      <c r="P148" s="28" t="e">
        <f t="shared" si="33"/>
        <v>#DIV/0!</v>
      </c>
    </row>
    <row r="149" spans="2:16">
      <c r="B149">
        <f>Efeito!B53</f>
        <v>5346</v>
      </c>
      <c r="C149" s="39" t="s">
        <v>277</v>
      </c>
      <c r="D149" s="27">
        <f t="shared" si="32"/>
        <v>0.25750151027790463</v>
      </c>
      <c r="E149" s="27">
        <f t="shared" si="32"/>
        <v>0.17061064026194342</v>
      </c>
      <c r="F149" s="27">
        <f t="shared" si="32"/>
        <v>8.4343677012077872E-2</v>
      </c>
      <c r="G149" s="27">
        <f t="shared" si="32"/>
        <v>0.48754417244807419</v>
      </c>
      <c r="H149" s="26"/>
      <c r="I149" s="26"/>
      <c r="J149" s="12" t="s">
        <v>277</v>
      </c>
      <c r="K149" s="28">
        <f t="shared" si="33"/>
        <v>0.21941048427489904</v>
      </c>
      <c r="L149" s="28">
        <f t="shared" si="33"/>
        <v>0.14537298504355861</v>
      </c>
      <c r="M149" s="28">
        <f t="shared" si="33"/>
        <v>7.1867100891072344E-2</v>
      </c>
      <c r="N149" s="28">
        <f t="shared" si="33"/>
        <v>0.41542398282164861</v>
      </c>
      <c r="O149" s="28">
        <f t="shared" si="33"/>
        <v>3.9279186772239502E-2</v>
      </c>
      <c r="P149" s="28">
        <f t="shared" si="33"/>
        <v>0.108646260196582</v>
      </c>
    </row>
    <row r="150" spans="2:16">
      <c r="B150">
        <f>Efeito!B54</f>
        <v>5345</v>
      </c>
      <c r="C150" s="39" t="s">
        <v>234</v>
      </c>
      <c r="D150" s="27">
        <f t="shared" si="32"/>
        <v>0.169267289788395</v>
      </c>
      <c r="E150" s="27">
        <f t="shared" si="32"/>
        <v>0.14943844316571692</v>
      </c>
      <c r="F150" s="27">
        <f t="shared" si="32"/>
        <v>8.2594326047084624E-2</v>
      </c>
      <c r="G150" s="27">
        <f t="shared" si="32"/>
        <v>0.59869994099880353</v>
      </c>
      <c r="H150" s="26"/>
      <c r="I150" s="26"/>
      <c r="J150" s="12" t="s">
        <v>234</v>
      </c>
      <c r="K150" s="28">
        <f t="shared" si="33"/>
        <v>0.14706606130308131</v>
      </c>
      <c r="L150" s="28">
        <f t="shared" si="33"/>
        <v>0.12983798152094667</v>
      </c>
      <c r="M150" s="28">
        <f t="shared" si="33"/>
        <v>7.1761190439761036E-2</v>
      </c>
      <c r="N150" s="28">
        <f t="shared" si="33"/>
        <v>0.52017399424987909</v>
      </c>
      <c r="O150" s="28">
        <f t="shared" si="33"/>
        <v>0</v>
      </c>
      <c r="P150" s="28">
        <f t="shared" si="33"/>
        <v>0.13116077248633201</v>
      </c>
    </row>
    <row r="151" spans="2:16" hidden="1">
      <c r="B151" t="str">
        <f>Efeito!B55</f>
        <v>NO SELECT</v>
      </c>
      <c r="C151" s="13" t="s">
        <v>286</v>
      </c>
      <c r="D151" s="27" t="e">
        <f t="shared" ref="D151:G151" si="34">L56/$K56</f>
        <v>#DIV/0!</v>
      </c>
      <c r="E151" s="27" t="e">
        <f t="shared" si="34"/>
        <v>#DIV/0!</v>
      </c>
      <c r="F151" s="27" t="e">
        <f t="shared" si="34"/>
        <v>#DIV/0!</v>
      </c>
      <c r="G151" s="27" t="e">
        <f t="shared" si="34"/>
        <v>#DIV/0!</v>
      </c>
      <c r="H151" s="26"/>
      <c r="I151" s="26"/>
      <c r="J151" s="13" t="s">
        <v>286</v>
      </c>
      <c r="K151" s="28" t="e">
        <f>L56/$R56</f>
        <v>#DIV/0!</v>
      </c>
      <c r="L151" s="28" t="e">
        <f t="shared" ref="L151" si="35">M56/$R56</f>
        <v>#DIV/0!</v>
      </c>
      <c r="M151" s="28" t="e">
        <f t="shared" ref="M151" si="36">N56/$R56</f>
        <v>#DIV/0!</v>
      </c>
      <c r="N151" s="28" t="e">
        <f t="shared" ref="N151" si="37">O56/$R56</f>
        <v>#DIV/0!</v>
      </c>
      <c r="O151" s="28" t="e">
        <f t="shared" ref="O151" si="38">P56/$R56</f>
        <v>#DIV/0!</v>
      </c>
      <c r="P151" s="28" t="e">
        <f t="shared" ref="P151" si="39">Q56/$R56</f>
        <v>#DIV/0!</v>
      </c>
    </row>
    <row r="152" spans="2:16" hidden="1">
      <c r="B152" t="str">
        <f>Efeito!B56</f>
        <v>NO SELECT</v>
      </c>
      <c r="C152" s="13" t="s">
        <v>302</v>
      </c>
      <c r="D152" s="27" t="e">
        <f t="shared" ref="D152" si="40">L57/$K57</f>
        <v>#DIV/0!</v>
      </c>
      <c r="E152" s="27" t="e">
        <f t="shared" ref="E152" si="41">M57/$K57</f>
        <v>#DIV/0!</v>
      </c>
      <c r="F152" s="27" t="e">
        <f t="shared" ref="F152" si="42">N57/$K57</f>
        <v>#DIV/0!</v>
      </c>
      <c r="G152" s="27" t="e">
        <f t="shared" ref="G152" si="43">O57/$K57</f>
        <v>#DIV/0!</v>
      </c>
      <c r="H152" s="26"/>
      <c r="I152" s="26"/>
      <c r="J152" s="13" t="s">
        <v>302</v>
      </c>
      <c r="K152" s="28" t="e">
        <f>L57/$R57</f>
        <v>#DIV/0!</v>
      </c>
      <c r="L152" s="28" t="e">
        <f t="shared" ref="L152" si="44">M57/$R57</f>
        <v>#DIV/0!</v>
      </c>
      <c r="M152" s="28" t="e">
        <f t="shared" ref="M152" si="45">N57/$R57</f>
        <v>#DIV/0!</v>
      </c>
      <c r="N152" s="28" t="e">
        <f t="shared" ref="N152" si="46">O57/$R57</f>
        <v>#DIV/0!</v>
      </c>
      <c r="O152" s="28" t="e">
        <f t="shared" ref="O152" si="47">P57/$R57</f>
        <v>#DIV/0!</v>
      </c>
      <c r="P152" s="28" t="e">
        <f t="shared" ref="P152" si="48">Q57/$R57</f>
        <v>#DIV/0!</v>
      </c>
    </row>
    <row r="175" hidden="1"/>
    <row r="176" hidden="1"/>
    <row r="177" hidden="1"/>
    <row r="178" hidden="1"/>
    <row r="179" hidden="1"/>
    <row r="180" hidden="1"/>
    <row r="181" hidden="1"/>
    <row r="182" hidden="1"/>
    <row r="183" hidden="1"/>
  </sheetData>
  <sortState xmlns:xlrd2="http://schemas.microsoft.com/office/spreadsheetml/2017/richdata2" ref="W4:X53">
    <sortCondition descending="1" ref="X53"/>
  </sortState>
  <phoneticPr fontId="23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3ea87d3-9cc0-4516-851b-774f8a709c2f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B9B6248A87EE74297A9CE35D415BCF0" ma:contentTypeVersion="15" ma:contentTypeDescription="Crie um novo documento." ma:contentTypeScope="" ma:versionID="4dd6bc865b595e6ba4f017b1a8c755c5">
  <xsd:schema xmlns:xsd="http://www.w3.org/2001/XMLSchema" xmlns:xs="http://www.w3.org/2001/XMLSchema" xmlns:p="http://schemas.microsoft.com/office/2006/metadata/properties" xmlns:ns3="a897e449-4875-4f69-a09f-b924615ac914" xmlns:ns4="23ea87d3-9cc0-4516-851b-774f8a709c2f" targetNamespace="http://schemas.microsoft.com/office/2006/metadata/properties" ma:root="true" ma:fieldsID="2324c2e15b79c11f1106cbc22381fc59" ns3:_="" ns4:_="">
    <xsd:import namespace="a897e449-4875-4f69-a09f-b924615ac914"/>
    <xsd:import namespace="23ea87d3-9cc0-4516-851b-774f8a709c2f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_activity" minOccurs="0"/>
                <xsd:element ref="ns4:MediaServiceSearchProperties" minOccurs="0"/>
                <xsd:element ref="ns4:MediaServiceObjectDetectorVersions" minOccurs="0"/>
                <xsd:element ref="ns4:MediaServiceSystemTags" minOccurs="0"/>
                <xsd:element ref="ns4:MediaLengthInSeconds" minOccurs="0"/>
                <xsd:element ref="ns4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97e449-4875-4f69-a09f-b924615ac91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ea87d3-9cc0-4516-851b-774f8a709c2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7" nillable="true" ma:displayName="_activity" ma:hidden="true" ma:internalName="_activity">
      <xsd:simpleType>
        <xsd:restriction base="dms:Note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B8E307A-100B-45CE-B1CF-C8B50A055DA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DE2EBEA-BABC-4DBC-94A4-4EE318058E42}">
  <ds:schemaRefs>
    <ds:schemaRef ds:uri="a897e449-4875-4f69-a09f-b924615ac91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23ea87d3-9cc0-4516-851b-774f8a709c2f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B4E5F48-CCB3-4329-9BD2-18881DA86C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97e449-4875-4f69-a09f-b924615ac914"/>
    <ds:schemaRef ds:uri="23ea87d3-9cc0-4516-851b-774f8a709c2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67</vt:i4>
      </vt:variant>
    </vt:vector>
  </HeadingPairs>
  <TitlesOfParts>
    <vt:vector size="79" baseType="lpstr">
      <vt:lpstr>Bastidores</vt:lpstr>
      <vt:lpstr>BD2</vt:lpstr>
      <vt:lpstr>CAPA</vt:lpstr>
      <vt:lpstr>Efeito</vt:lpstr>
      <vt:lpstr>Fatos</vt:lpstr>
      <vt:lpstr>Apoio_Efeito</vt:lpstr>
      <vt:lpstr>Parcela B</vt:lpstr>
      <vt:lpstr>Parcela A</vt:lpstr>
      <vt:lpstr>Componentes Financeiros</vt:lpstr>
      <vt:lpstr>Subsídio e subvenção</vt:lpstr>
      <vt:lpstr>Descontos</vt:lpstr>
      <vt:lpstr>GRÁFICOS</vt:lpstr>
      <vt:lpstr>filtrocapa1</vt:lpstr>
      <vt:lpstr>lnktxtCDEcovidceres</vt:lpstr>
      <vt:lpstr>lnktxtCDEElecerfox</vt:lpstr>
      <vt:lpstr>lnktxtCDEelecerthil</vt:lpstr>
      <vt:lpstr>lnktxtcdeeletceripa</vt:lpstr>
      <vt:lpstr>lnktxtCDEEletmedia</vt:lpstr>
      <vt:lpstr>lnktxtCDEGDCastro</vt:lpstr>
      <vt:lpstr>lnktxtCDEGDCeral</vt:lpstr>
      <vt:lpstr>lnktxtcdegdcerci</vt:lpstr>
      <vt:lpstr>lnktxtCDEGDmed</vt:lpstr>
      <vt:lpstr>lnktxtCDEUso</vt:lpstr>
      <vt:lpstr>lnktxtCDEusocastro</vt:lpstr>
      <vt:lpstr>lnktxtCompraCeraldis</vt:lpstr>
      <vt:lpstr>Lnktxtdataani</vt:lpstr>
      <vt:lpstr>lnktxtefCDEcovid</vt:lpstr>
      <vt:lpstr>lnktxtefeitoenergceripa</vt:lpstr>
      <vt:lpstr>lnktxtenergiamed</vt:lpstr>
      <vt:lpstr>lnktxtessararuama</vt:lpstr>
      <vt:lpstr>lnktxtESSEERCeraldis</vt:lpstr>
      <vt:lpstr>lnktxticmsceral</vt:lpstr>
      <vt:lpstr>lnktxticmscerci</vt:lpstr>
      <vt:lpstr>lnktxticmsceres</vt:lpstr>
      <vt:lpstr>lnktxtimpmedsubvençao</vt:lpstr>
      <vt:lpstr>lnktxtmedICMS</vt:lpstr>
      <vt:lpstr>lnktxtNRprocesso</vt:lpstr>
      <vt:lpstr>lnktxtNTNT</vt:lpstr>
      <vt:lpstr>LnktxtPerdereferencia</vt:lpstr>
      <vt:lpstr>Lnktxtperiodosub</vt:lpstr>
      <vt:lpstr>lnktxtpiscifcastro</vt:lpstr>
      <vt:lpstr>lnktxtpiscofceral</vt:lpstr>
      <vt:lpstr>lnktxtpiscofceris</vt:lpstr>
      <vt:lpstr>lnktxtSubcerthil</vt:lpstr>
      <vt:lpstr>lnktxtsubmedcerci</vt:lpstr>
      <vt:lpstr>lnktxttransceral</vt:lpstr>
      <vt:lpstr>lnktxttranscernhe</vt:lpstr>
      <vt:lpstr>lnktxttransmmedia</vt:lpstr>
      <vt:lpstr>lnktxttranspCeres</vt:lpstr>
      <vt:lpstr>lnktxttranspceripa</vt:lpstr>
      <vt:lpstr>TABACL</vt:lpstr>
      <vt:lpstr>TabBilaterais</vt:lpstr>
      <vt:lpstr>tabCompraenergia</vt:lpstr>
      <vt:lpstr>TabcontraACL2</vt:lpstr>
      <vt:lpstr>TabContratosACL</vt:lpstr>
      <vt:lpstr>TabContratosACL1</vt:lpstr>
      <vt:lpstr>tabctoACL</vt:lpstr>
      <vt:lpstr>tabCTOSACL</vt:lpstr>
      <vt:lpstr>TABCustodeenergia</vt:lpstr>
      <vt:lpstr>tabCustoenergia</vt:lpstr>
      <vt:lpstr>TabDEscCusd1</vt:lpstr>
      <vt:lpstr>TabdescontoTE</vt:lpstr>
      <vt:lpstr>TABdescontoTUSD</vt:lpstr>
      <vt:lpstr>TABEACL</vt:lpstr>
      <vt:lpstr>TABefeito</vt:lpstr>
      <vt:lpstr>TabEfeitoSubvenção</vt:lpstr>
      <vt:lpstr>Tabela_fatos</vt:lpstr>
      <vt:lpstr>TABEncargos</vt:lpstr>
      <vt:lpstr>TABenereq</vt:lpstr>
      <vt:lpstr>tabenerrec</vt:lpstr>
      <vt:lpstr>TABFatos</vt:lpstr>
      <vt:lpstr>TABFatosvoto</vt:lpstr>
      <vt:lpstr>TABFinanceiros</vt:lpstr>
      <vt:lpstr>TABPArcelaB84</vt:lpstr>
      <vt:lpstr>TABRA0</vt:lpstr>
      <vt:lpstr>TABresumo</vt:lpstr>
      <vt:lpstr>TABsub2</vt:lpstr>
      <vt:lpstr>TABSubvencao2</vt:lpstr>
      <vt:lpstr>TABTransporte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Costa</dc:creator>
  <cp:lastModifiedBy>Jayson de Carvalho Marques da Silva (STR)</cp:lastModifiedBy>
  <dcterms:created xsi:type="dcterms:W3CDTF">2015-04-27T16:51:16Z</dcterms:created>
  <dcterms:modified xsi:type="dcterms:W3CDTF">2024-11-24T21:25:19Z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0x010100FB9B6248A87EE74297A9CE35D415BCF0</vt:lpwstr>
  </property>
</Properties>
</file>