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/>
  <xr:revisionPtr revIDLastSave="0" documentId="13_ncr:1_{07F7F2A5-5BAD-4EFD-9B7D-EFA4E32DA4E2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524" i="1" l="1"/>
  <c r="K1524" i="1"/>
  <c r="H1524" i="1"/>
  <c r="L1523" i="1"/>
  <c r="K1523" i="1"/>
  <c r="H1523" i="1"/>
  <c r="L1522" i="1"/>
  <c r="K1522" i="1"/>
  <c r="H1522" i="1"/>
  <c r="L1521" i="1"/>
  <c r="K1521" i="1"/>
  <c r="H1521" i="1"/>
  <c r="L1520" i="1"/>
  <c r="K1520" i="1"/>
  <c r="H1520" i="1"/>
  <c r="L1519" i="1"/>
  <c r="K1519" i="1"/>
  <c r="H1519" i="1"/>
  <c r="L1518" i="1"/>
  <c r="K1518" i="1"/>
  <c r="H1518" i="1"/>
  <c r="L1517" i="1"/>
  <c r="K1517" i="1"/>
  <c r="H1517" i="1"/>
  <c r="L1516" i="1"/>
  <c r="K1516" i="1"/>
  <c r="H1516" i="1"/>
  <c r="L1510" i="1"/>
  <c r="K1510" i="1"/>
  <c r="H1510" i="1"/>
  <c r="L1509" i="1"/>
  <c r="K1509" i="1"/>
  <c r="H1509" i="1"/>
  <c r="L1508" i="1"/>
  <c r="K1508" i="1"/>
  <c r="H1508" i="1"/>
  <c r="L1507" i="1"/>
  <c r="K1507" i="1"/>
  <c r="H1507" i="1"/>
  <c r="L1506" i="1"/>
  <c r="K1506" i="1"/>
  <c r="H1506" i="1"/>
  <c r="L1505" i="1"/>
  <c r="K1505" i="1"/>
  <c r="H1505" i="1"/>
  <c r="L1504" i="1"/>
  <c r="K1504" i="1"/>
  <c r="H1504" i="1"/>
  <c r="L1503" i="1"/>
  <c r="K1503" i="1"/>
  <c r="H1503" i="1"/>
  <c r="L1502" i="1"/>
  <c r="K1502" i="1"/>
  <c r="H1502" i="1"/>
  <c r="L1501" i="1"/>
  <c r="K1501" i="1"/>
  <c r="H1501" i="1"/>
  <c r="L1495" i="1"/>
  <c r="K1495" i="1"/>
  <c r="H1495" i="1"/>
  <c r="L1494" i="1"/>
  <c r="K1494" i="1"/>
  <c r="H1494" i="1"/>
  <c r="L1493" i="1"/>
  <c r="K1493" i="1"/>
  <c r="H1493" i="1"/>
  <c r="L1492" i="1"/>
  <c r="K1492" i="1"/>
  <c r="H1492" i="1"/>
  <c r="L1491" i="1"/>
  <c r="K1491" i="1"/>
  <c r="H1491" i="1"/>
  <c r="L1490" i="1"/>
  <c r="K1490" i="1"/>
  <c r="H1490" i="1"/>
  <c r="L1489" i="1"/>
  <c r="K1489" i="1"/>
  <c r="H1489" i="1"/>
  <c r="L1488" i="1"/>
  <c r="K1488" i="1"/>
  <c r="H1488" i="1"/>
  <c r="L1487" i="1"/>
  <c r="K1487" i="1"/>
  <c r="H1487" i="1"/>
  <c r="L1486" i="1"/>
  <c r="K1486" i="1"/>
  <c r="H1486" i="1"/>
  <c r="L1485" i="1"/>
  <c r="K1485" i="1"/>
  <c r="H1485" i="1"/>
  <c r="L1484" i="1"/>
  <c r="K1484" i="1"/>
  <c r="H1484" i="1"/>
  <c r="L1483" i="1"/>
  <c r="K1483" i="1"/>
  <c r="H1483" i="1"/>
  <c r="L1482" i="1"/>
  <c r="K1482" i="1"/>
  <c r="H1482" i="1"/>
  <c r="L1481" i="1"/>
  <c r="K1481" i="1"/>
  <c r="H1481" i="1"/>
  <c r="L1480" i="1"/>
  <c r="K1480" i="1"/>
  <c r="H1480" i="1"/>
  <c r="L1479" i="1"/>
  <c r="K1479" i="1"/>
  <c r="H1479" i="1"/>
  <c r="L1478" i="1"/>
  <c r="K1478" i="1"/>
  <c r="H1478" i="1"/>
  <c r="L1477" i="1"/>
  <c r="K1477" i="1"/>
  <c r="H1477" i="1"/>
  <c r="L1476" i="1"/>
  <c r="K1476" i="1"/>
  <c r="H1476" i="1"/>
  <c r="L1475" i="1"/>
  <c r="K1475" i="1"/>
  <c r="H1475" i="1"/>
  <c r="L1474" i="1"/>
  <c r="K1474" i="1"/>
  <c r="H1474" i="1"/>
  <c r="L1473" i="1"/>
  <c r="K1473" i="1"/>
  <c r="H1473" i="1"/>
  <c r="L1472" i="1"/>
  <c r="K1472" i="1"/>
  <c r="H1472" i="1"/>
  <c r="L1471" i="1"/>
  <c r="K1471" i="1"/>
  <c r="H1471" i="1"/>
  <c r="L1470" i="1"/>
  <c r="K1470" i="1"/>
  <c r="H1470" i="1"/>
  <c r="L1469" i="1"/>
  <c r="K1469" i="1"/>
  <c r="H1469" i="1"/>
  <c r="L1463" i="1"/>
  <c r="K1463" i="1"/>
  <c r="H1463" i="1"/>
  <c r="L1462" i="1"/>
  <c r="K1462" i="1"/>
  <c r="H1462" i="1"/>
  <c r="L1461" i="1"/>
  <c r="K1461" i="1"/>
  <c r="H1461" i="1"/>
  <c r="L1460" i="1"/>
  <c r="K1460" i="1"/>
  <c r="H1460" i="1"/>
  <c r="L1459" i="1"/>
  <c r="K1459" i="1"/>
  <c r="H1459" i="1"/>
  <c r="L1458" i="1"/>
  <c r="K1458" i="1"/>
  <c r="H1458" i="1"/>
  <c r="L1457" i="1"/>
  <c r="K1457" i="1"/>
  <c r="H1457" i="1"/>
  <c r="L1456" i="1"/>
  <c r="K1456" i="1"/>
  <c r="H1456" i="1"/>
  <c r="L1455" i="1"/>
  <c r="K1455" i="1"/>
  <c r="H1455" i="1"/>
  <c r="L1454" i="1"/>
  <c r="K1454" i="1"/>
  <c r="H1454" i="1"/>
  <c r="L1453" i="1"/>
  <c r="K1453" i="1"/>
  <c r="H1453" i="1"/>
  <c r="L1452" i="1"/>
  <c r="K1452" i="1"/>
  <c r="H1452" i="1"/>
  <c r="L1451" i="1"/>
  <c r="K1451" i="1"/>
  <c r="H1451" i="1"/>
  <c r="L1450" i="1"/>
  <c r="K1450" i="1"/>
  <c r="H1450" i="1"/>
  <c r="L1444" i="1"/>
  <c r="K1444" i="1"/>
  <c r="H1444" i="1"/>
  <c r="L1443" i="1"/>
  <c r="K1443" i="1"/>
  <c r="H1443" i="1"/>
  <c r="L1442" i="1"/>
  <c r="K1442" i="1"/>
  <c r="H1442" i="1"/>
  <c r="L1441" i="1"/>
  <c r="K1441" i="1"/>
  <c r="H1441" i="1"/>
  <c r="L1440" i="1"/>
  <c r="K1440" i="1"/>
  <c r="H1440" i="1"/>
  <c r="L1439" i="1"/>
  <c r="K1439" i="1"/>
  <c r="H1439" i="1"/>
  <c r="L1438" i="1"/>
  <c r="K1438" i="1"/>
  <c r="H1438" i="1"/>
  <c r="L1437" i="1"/>
  <c r="K1437" i="1"/>
  <c r="H1437" i="1"/>
  <c r="L1431" i="1"/>
  <c r="K1431" i="1"/>
  <c r="H1431" i="1"/>
  <c r="L1430" i="1"/>
  <c r="K1430" i="1"/>
  <c r="H1430" i="1"/>
  <c r="L1429" i="1"/>
  <c r="K1429" i="1"/>
  <c r="H1429" i="1"/>
  <c r="L1428" i="1"/>
  <c r="K1428" i="1"/>
  <c r="H1428" i="1"/>
  <c r="L1427" i="1"/>
  <c r="K1427" i="1"/>
  <c r="H1427" i="1"/>
  <c r="L1426" i="1"/>
  <c r="K1426" i="1"/>
  <c r="H1426" i="1"/>
  <c r="L1425" i="1"/>
  <c r="K1425" i="1"/>
  <c r="H1425" i="1"/>
  <c r="L1424" i="1"/>
  <c r="K1424" i="1"/>
  <c r="H1424" i="1"/>
  <c r="L1423" i="1"/>
  <c r="K1423" i="1"/>
  <c r="H1423" i="1"/>
  <c r="L1422" i="1"/>
  <c r="K1422" i="1"/>
  <c r="H1422" i="1"/>
  <c r="L1421" i="1"/>
  <c r="K1421" i="1"/>
  <c r="H1421" i="1"/>
  <c r="L1420" i="1"/>
  <c r="K1420" i="1"/>
  <c r="H1420" i="1"/>
  <c r="L1419" i="1"/>
  <c r="K1419" i="1"/>
  <c r="H1419" i="1"/>
  <c r="L1418" i="1"/>
  <c r="K1418" i="1"/>
  <c r="H1418" i="1"/>
  <c r="L1417" i="1"/>
  <c r="K1417" i="1"/>
  <c r="H1417" i="1"/>
  <c r="L1416" i="1"/>
  <c r="K1416" i="1"/>
  <c r="H1416" i="1"/>
  <c r="L1410" i="1"/>
  <c r="K1410" i="1"/>
  <c r="H1410" i="1"/>
  <c r="L1409" i="1"/>
  <c r="K1409" i="1"/>
  <c r="H1409" i="1"/>
  <c r="L1408" i="1"/>
  <c r="K1408" i="1"/>
  <c r="H1408" i="1"/>
  <c r="L1407" i="1"/>
  <c r="K1407" i="1"/>
  <c r="H1407" i="1"/>
  <c r="L1406" i="1"/>
  <c r="K1406" i="1"/>
  <c r="H1406" i="1"/>
  <c r="L1405" i="1"/>
  <c r="K1405" i="1"/>
  <c r="H1405" i="1"/>
  <c r="L1404" i="1"/>
  <c r="K1404" i="1"/>
  <c r="H1404" i="1"/>
  <c r="L1403" i="1"/>
  <c r="K1403" i="1"/>
  <c r="H1403" i="1"/>
  <c r="L1402" i="1"/>
  <c r="K1402" i="1"/>
  <c r="H1402" i="1"/>
  <c r="L1401" i="1"/>
  <c r="K1401" i="1"/>
  <c r="H1401" i="1"/>
  <c r="L1400" i="1"/>
  <c r="K1400" i="1"/>
  <c r="H1400" i="1"/>
  <c r="L1399" i="1"/>
  <c r="K1399" i="1"/>
  <c r="H1399" i="1"/>
  <c r="L1393" i="1"/>
  <c r="K1393" i="1"/>
  <c r="H1393" i="1"/>
  <c r="L1392" i="1"/>
  <c r="K1392" i="1"/>
  <c r="H1392" i="1"/>
  <c r="L1391" i="1"/>
  <c r="K1391" i="1"/>
  <c r="H1391" i="1"/>
  <c r="L1390" i="1"/>
  <c r="K1390" i="1"/>
  <c r="H1390" i="1"/>
  <c r="L1389" i="1"/>
  <c r="K1389" i="1"/>
  <c r="H1389" i="1"/>
  <c r="L1388" i="1"/>
  <c r="K1388" i="1"/>
  <c r="H1388" i="1"/>
  <c r="L1387" i="1"/>
  <c r="K1387" i="1"/>
  <c r="H1387" i="1"/>
  <c r="L1386" i="1"/>
  <c r="K1386" i="1"/>
  <c r="H1386" i="1"/>
  <c r="L1385" i="1"/>
  <c r="K1385" i="1"/>
  <c r="H1385" i="1"/>
  <c r="L1379" i="1"/>
  <c r="K1379" i="1"/>
  <c r="H1379" i="1"/>
  <c r="L1378" i="1"/>
  <c r="K1378" i="1"/>
  <c r="H1378" i="1"/>
  <c r="L1377" i="1"/>
  <c r="K1377" i="1"/>
  <c r="H1377" i="1"/>
  <c r="L1376" i="1"/>
  <c r="K1376" i="1"/>
  <c r="H1376" i="1"/>
  <c r="L1375" i="1"/>
  <c r="K1375" i="1"/>
  <c r="H1375" i="1"/>
  <c r="L1374" i="1"/>
  <c r="K1374" i="1"/>
  <c r="H1374" i="1"/>
  <c r="L1373" i="1"/>
  <c r="K1373" i="1"/>
  <c r="H1373" i="1"/>
  <c r="L1372" i="1"/>
  <c r="K1372" i="1"/>
  <c r="H1372" i="1"/>
  <c r="L1371" i="1"/>
  <c r="K1371" i="1"/>
  <c r="H1371" i="1"/>
  <c r="L1370" i="1"/>
  <c r="K1370" i="1"/>
  <c r="H1370" i="1"/>
  <c r="L1369" i="1"/>
  <c r="K1369" i="1"/>
  <c r="H1369" i="1"/>
  <c r="L1363" i="1"/>
  <c r="K1363" i="1"/>
  <c r="H1363" i="1"/>
  <c r="L1362" i="1"/>
  <c r="K1362" i="1"/>
  <c r="H1362" i="1"/>
  <c r="L1361" i="1"/>
  <c r="K1361" i="1"/>
  <c r="H1361" i="1"/>
  <c r="L1355" i="1"/>
  <c r="K1355" i="1"/>
  <c r="H1355" i="1"/>
  <c r="L1354" i="1"/>
  <c r="K1354" i="1"/>
  <c r="H1354" i="1"/>
  <c r="L1353" i="1"/>
  <c r="K1353" i="1"/>
  <c r="H1353" i="1"/>
  <c r="L1352" i="1"/>
  <c r="K1352" i="1"/>
  <c r="H1352" i="1"/>
  <c r="L1351" i="1"/>
  <c r="K1351" i="1"/>
  <c r="H1351" i="1"/>
  <c r="L1350" i="1"/>
  <c r="K1350" i="1"/>
  <c r="H1350" i="1"/>
  <c r="L1349" i="1"/>
  <c r="K1349" i="1"/>
  <c r="H1349" i="1"/>
  <c r="L1348" i="1"/>
  <c r="K1348" i="1"/>
  <c r="H1348" i="1"/>
  <c r="L1342" i="1"/>
  <c r="K1342" i="1"/>
  <c r="H1342" i="1"/>
  <c r="L1341" i="1"/>
  <c r="K1341" i="1"/>
  <c r="H1341" i="1"/>
  <c r="L1340" i="1"/>
  <c r="K1340" i="1"/>
  <c r="H1340" i="1"/>
  <c r="L1339" i="1"/>
  <c r="K1339" i="1"/>
  <c r="H1339" i="1"/>
  <c r="L1338" i="1"/>
  <c r="K1338" i="1"/>
  <c r="H1338" i="1"/>
  <c r="L1337" i="1"/>
  <c r="K1337" i="1"/>
  <c r="H1337" i="1"/>
  <c r="L1331" i="1"/>
  <c r="K1331" i="1"/>
  <c r="H1331" i="1"/>
  <c r="L1330" i="1"/>
  <c r="K1330" i="1"/>
  <c r="H1330" i="1"/>
  <c r="L1329" i="1"/>
  <c r="K1329" i="1"/>
  <c r="H1329" i="1"/>
  <c r="L1328" i="1"/>
  <c r="K1328" i="1"/>
  <c r="H1328" i="1"/>
  <c r="L1327" i="1"/>
  <c r="K1327" i="1"/>
  <c r="H1327" i="1"/>
  <c r="L1326" i="1"/>
  <c r="K1326" i="1"/>
  <c r="H1326" i="1"/>
  <c r="L1320" i="1"/>
  <c r="K1320" i="1"/>
  <c r="H1320" i="1"/>
  <c r="L1319" i="1"/>
  <c r="K1319" i="1"/>
  <c r="H1319" i="1"/>
  <c r="L1318" i="1"/>
  <c r="K1318" i="1"/>
  <c r="H1318" i="1"/>
  <c r="L1317" i="1"/>
  <c r="K1317" i="1"/>
  <c r="H1317" i="1"/>
  <c r="L1316" i="1"/>
  <c r="K1316" i="1"/>
  <c r="H1316" i="1"/>
  <c r="L1315" i="1"/>
  <c r="K1315" i="1"/>
  <c r="H1315" i="1"/>
  <c r="L1314" i="1"/>
  <c r="K1314" i="1"/>
  <c r="H1314" i="1"/>
  <c r="L1313" i="1"/>
  <c r="K1313" i="1"/>
  <c r="H1313" i="1"/>
  <c r="L1312" i="1"/>
  <c r="K1312" i="1"/>
  <c r="H1312" i="1"/>
  <c r="L1306" i="1"/>
  <c r="K1306" i="1"/>
  <c r="H1306" i="1"/>
  <c r="L1305" i="1"/>
  <c r="K1305" i="1"/>
  <c r="H1305" i="1"/>
  <c r="L1304" i="1"/>
  <c r="K1304" i="1"/>
  <c r="H1304" i="1"/>
  <c r="L1303" i="1"/>
  <c r="K1303" i="1"/>
  <c r="H1303" i="1"/>
  <c r="L1302" i="1"/>
  <c r="K1302" i="1"/>
  <c r="H1302" i="1"/>
  <c r="L1301" i="1"/>
  <c r="K1301" i="1"/>
  <c r="H1301" i="1"/>
  <c r="L1300" i="1"/>
  <c r="K1300" i="1"/>
  <c r="H1300" i="1"/>
  <c r="L1299" i="1"/>
  <c r="K1299" i="1"/>
  <c r="H1299" i="1"/>
  <c r="L1298" i="1"/>
  <c r="K1298" i="1"/>
  <c r="H1298" i="1"/>
  <c r="L1297" i="1"/>
  <c r="K1297" i="1"/>
  <c r="H1297" i="1"/>
  <c r="L1296" i="1"/>
  <c r="K1296" i="1"/>
  <c r="H1296" i="1"/>
  <c r="L1295" i="1"/>
  <c r="K1295" i="1"/>
  <c r="H1295" i="1"/>
  <c r="L1294" i="1"/>
  <c r="K1294" i="1"/>
  <c r="H1294" i="1"/>
  <c r="L1293" i="1"/>
  <c r="K1293" i="1"/>
  <c r="H1293" i="1"/>
  <c r="L1292" i="1"/>
  <c r="K1292" i="1"/>
  <c r="H1292" i="1"/>
  <c r="L1291" i="1"/>
  <c r="K1291" i="1"/>
  <c r="H1291" i="1"/>
  <c r="L1290" i="1"/>
  <c r="K1290" i="1"/>
  <c r="H1290" i="1"/>
  <c r="L1289" i="1"/>
  <c r="K1289" i="1"/>
  <c r="H1289" i="1"/>
  <c r="L1288" i="1"/>
  <c r="K1288" i="1"/>
  <c r="H1288" i="1"/>
  <c r="L1287" i="1"/>
  <c r="K1287" i="1"/>
  <c r="H1287" i="1"/>
  <c r="L1281" i="1"/>
  <c r="K1281" i="1"/>
  <c r="H1281" i="1"/>
  <c r="L1280" i="1"/>
  <c r="K1280" i="1"/>
  <c r="H1280" i="1"/>
  <c r="L1279" i="1"/>
  <c r="K1279" i="1"/>
  <c r="H1279" i="1"/>
  <c r="L1278" i="1"/>
  <c r="K1278" i="1"/>
  <c r="H1278" i="1"/>
  <c r="L1277" i="1"/>
  <c r="K1277" i="1"/>
  <c r="H1277" i="1"/>
  <c r="L1276" i="1"/>
  <c r="K1276" i="1"/>
  <c r="H1276" i="1"/>
  <c r="L1275" i="1"/>
  <c r="K1275" i="1"/>
  <c r="H1275" i="1"/>
  <c r="L1274" i="1"/>
  <c r="K1274" i="1"/>
  <c r="H1274" i="1"/>
  <c r="L1273" i="1"/>
  <c r="K1273" i="1"/>
  <c r="H1273" i="1"/>
  <c r="L1272" i="1"/>
  <c r="K1272" i="1"/>
  <c r="H1272" i="1"/>
  <c r="L1271" i="1"/>
  <c r="K1271" i="1"/>
  <c r="H1271" i="1"/>
  <c r="L1270" i="1"/>
  <c r="K1270" i="1"/>
  <c r="H1270" i="1"/>
  <c r="L1269" i="1"/>
  <c r="K1269" i="1"/>
  <c r="H1269" i="1"/>
  <c r="L1268" i="1"/>
  <c r="K1268" i="1"/>
  <c r="H1268" i="1"/>
  <c r="L1267" i="1"/>
  <c r="K1267" i="1"/>
  <c r="H1267" i="1"/>
  <c r="L1266" i="1"/>
  <c r="K1266" i="1"/>
  <c r="H1266" i="1"/>
  <c r="L1260" i="1"/>
  <c r="K1260" i="1"/>
  <c r="H1260" i="1"/>
  <c r="L1259" i="1"/>
  <c r="K1259" i="1"/>
  <c r="H1259" i="1"/>
  <c r="L1258" i="1"/>
  <c r="K1258" i="1"/>
  <c r="H1258" i="1"/>
  <c r="L1257" i="1"/>
  <c r="K1257" i="1"/>
  <c r="H1257" i="1"/>
  <c r="L1256" i="1"/>
  <c r="K1256" i="1"/>
  <c r="H1256" i="1"/>
  <c r="L1255" i="1"/>
  <c r="K1255" i="1"/>
  <c r="H1255" i="1"/>
  <c r="L1254" i="1"/>
  <c r="K1254" i="1"/>
  <c r="H1254" i="1"/>
  <c r="L1253" i="1"/>
  <c r="K1253" i="1"/>
  <c r="H1253" i="1"/>
  <c r="L1247" i="1"/>
  <c r="K1247" i="1"/>
  <c r="H1247" i="1"/>
  <c r="L1246" i="1"/>
  <c r="K1246" i="1"/>
  <c r="H1246" i="1"/>
  <c r="L1245" i="1"/>
  <c r="K1245" i="1"/>
  <c r="H1245" i="1"/>
  <c r="L1244" i="1"/>
  <c r="K1244" i="1"/>
  <c r="H1244" i="1"/>
  <c r="L1243" i="1"/>
  <c r="K1243" i="1"/>
  <c r="H1243" i="1"/>
  <c r="L1242" i="1"/>
  <c r="K1242" i="1"/>
  <c r="H1242" i="1"/>
  <c r="L1241" i="1"/>
  <c r="K1241" i="1"/>
  <c r="H1241" i="1"/>
  <c r="L1240" i="1"/>
  <c r="K1240" i="1"/>
  <c r="H1240" i="1"/>
  <c r="L1239" i="1"/>
  <c r="K1239" i="1"/>
  <c r="H1239" i="1"/>
  <c r="L1233" i="1"/>
  <c r="K1233" i="1"/>
  <c r="H1233" i="1"/>
  <c r="L1232" i="1"/>
  <c r="K1232" i="1"/>
  <c r="H1232" i="1"/>
  <c r="L1231" i="1"/>
  <c r="K1231" i="1"/>
  <c r="H1231" i="1"/>
  <c r="L1230" i="1"/>
  <c r="K1230" i="1"/>
  <c r="H1230" i="1"/>
  <c r="L1229" i="1"/>
  <c r="K1229" i="1"/>
  <c r="H1229" i="1"/>
  <c r="L1228" i="1"/>
  <c r="K1228" i="1"/>
  <c r="H1228" i="1"/>
  <c r="L1222" i="1"/>
  <c r="K1222" i="1"/>
  <c r="H1222" i="1"/>
  <c r="L1221" i="1"/>
  <c r="K1221" i="1"/>
  <c r="H1221" i="1"/>
  <c r="L1220" i="1"/>
  <c r="K1220" i="1"/>
  <c r="H1220" i="1"/>
  <c r="L1219" i="1"/>
  <c r="K1219" i="1"/>
  <c r="H1219" i="1"/>
  <c r="L1213" i="1"/>
  <c r="K1213" i="1"/>
  <c r="H1213" i="1"/>
  <c r="L1212" i="1"/>
  <c r="K1212" i="1"/>
  <c r="H1212" i="1"/>
  <c r="L1211" i="1"/>
  <c r="K1211" i="1"/>
  <c r="H1211" i="1"/>
  <c r="L1210" i="1"/>
  <c r="K1210" i="1"/>
  <c r="H1210" i="1"/>
  <c r="L1209" i="1"/>
  <c r="K1209" i="1"/>
  <c r="H1209" i="1"/>
  <c r="L1208" i="1"/>
  <c r="K1208" i="1"/>
  <c r="H1208" i="1"/>
  <c r="L1202" i="1"/>
  <c r="K1202" i="1"/>
  <c r="H1202" i="1"/>
  <c r="L1201" i="1"/>
  <c r="K1201" i="1"/>
  <c r="H1201" i="1"/>
  <c r="L1200" i="1"/>
  <c r="K1200" i="1"/>
  <c r="H1200" i="1"/>
  <c r="L1199" i="1"/>
  <c r="K1199" i="1"/>
  <c r="H1199" i="1"/>
  <c r="L1198" i="1"/>
  <c r="K1198" i="1"/>
  <c r="H1198" i="1"/>
  <c r="L1197" i="1"/>
  <c r="K1197" i="1"/>
  <c r="H1197" i="1"/>
  <c r="L1196" i="1"/>
  <c r="K1196" i="1"/>
  <c r="H1196" i="1"/>
  <c r="L1195" i="1"/>
  <c r="K1195" i="1"/>
  <c r="H1195" i="1"/>
  <c r="L1194" i="1"/>
  <c r="K1194" i="1"/>
  <c r="H1194" i="1"/>
  <c r="L1193" i="1"/>
  <c r="K1193" i="1"/>
  <c r="H1193" i="1"/>
  <c r="L1192" i="1"/>
  <c r="K1192" i="1"/>
  <c r="H1192" i="1"/>
  <c r="L1191" i="1"/>
  <c r="K1191" i="1"/>
  <c r="H1191" i="1"/>
  <c r="L1190" i="1"/>
  <c r="K1190" i="1"/>
  <c r="H1190" i="1"/>
  <c r="L1189" i="1"/>
  <c r="K1189" i="1"/>
  <c r="H1189" i="1"/>
  <c r="L1188" i="1"/>
  <c r="K1188" i="1"/>
  <c r="H1188" i="1"/>
  <c r="L1187" i="1"/>
  <c r="K1187" i="1"/>
  <c r="H1187" i="1"/>
  <c r="L1186" i="1"/>
  <c r="K1186" i="1"/>
  <c r="H1186" i="1"/>
  <c r="L1185" i="1"/>
  <c r="K1185" i="1"/>
  <c r="H1185" i="1"/>
  <c r="L1184" i="1"/>
  <c r="K1184" i="1"/>
  <c r="H1184" i="1"/>
  <c r="L1178" i="1"/>
  <c r="K1178" i="1"/>
  <c r="H1178" i="1"/>
  <c r="L1177" i="1"/>
  <c r="K1177" i="1"/>
  <c r="H1177" i="1"/>
  <c r="L1176" i="1"/>
  <c r="K1176" i="1"/>
  <c r="H1176" i="1"/>
  <c r="L1175" i="1"/>
  <c r="K1175" i="1"/>
  <c r="H1175" i="1"/>
  <c r="L1174" i="1"/>
  <c r="K1174" i="1"/>
  <c r="H1174" i="1"/>
  <c r="L1173" i="1"/>
  <c r="K1173" i="1"/>
  <c r="H1173" i="1"/>
  <c r="L1172" i="1"/>
  <c r="K1172" i="1"/>
  <c r="H1172" i="1"/>
  <c r="L1171" i="1"/>
  <c r="K1171" i="1"/>
  <c r="H1171" i="1"/>
  <c r="L1170" i="1"/>
  <c r="K1170" i="1"/>
  <c r="H1170" i="1"/>
  <c r="L1164" i="1"/>
  <c r="K1164" i="1"/>
  <c r="H1164" i="1"/>
  <c r="L1163" i="1"/>
  <c r="K1163" i="1"/>
  <c r="H1163" i="1"/>
  <c r="L1162" i="1"/>
  <c r="K1162" i="1"/>
  <c r="H1162" i="1"/>
  <c r="L1161" i="1"/>
  <c r="K1161" i="1"/>
  <c r="H1161" i="1"/>
  <c r="L1160" i="1"/>
  <c r="K1160" i="1"/>
  <c r="H1160" i="1"/>
  <c r="L1154" i="1"/>
  <c r="K1154" i="1"/>
  <c r="H1154" i="1"/>
  <c r="L1153" i="1"/>
  <c r="K1153" i="1"/>
  <c r="H1153" i="1"/>
  <c r="L1152" i="1"/>
  <c r="K1152" i="1"/>
  <c r="H1152" i="1"/>
  <c r="L1151" i="1"/>
  <c r="K1151" i="1"/>
  <c r="H1151" i="1"/>
  <c r="L1150" i="1"/>
  <c r="K1150" i="1"/>
  <c r="H1150" i="1"/>
  <c r="L1149" i="1"/>
  <c r="K1149" i="1"/>
  <c r="H1149" i="1"/>
  <c r="L1148" i="1"/>
  <c r="K1148" i="1"/>
  <c r="H1148" i="1"/>
  <c r="L1142" i="1"/>
  <c r="K1142" i="1"/>
  <c r="H1142" i="1"/>
  <c r="L1141" i="1"/>
  <c r="K1141" i="1"/>
  <c r="H1141" i="1"/>
  <c r="L1140" i="1"/>
  <c r="K1140" i="1"/>
  <c r="H1140" i="1"/>
  <c r="L1139" i="1"/>
  <c r="K1139" i="1"/>
  <c r="H1139" i="1"/>
  <c r="L1138" i="1"/>
  <c r="K1138" i="1"/>
  <c r="H1138" i="1"/>
  <c r="L1137" i="1"/>
  <c r="K1137" i="1"/>
  <c r="H1137" i="1"/>
  <c r="L1136" i="1"/>
  <c r="K1136" i="1"/>
  <c r="H1136" i="1"/>
  <c r="L1135" i="1"/>
  <c r="K1135" i="1"/>
  <c r="H1135" i="1"/>
  <c r="L1134" i="1"/>
  <c r="K1134" i="1"/>
  <c r="H1134" i="1"/>
  <c r="L1133" i="1"/>
  <c r="K1133" i="1"/>
  <c r="H1133" i="1"/>
  <c r="L1127" i="1"/>
  <c r="K1127" i="1"/>
  <c r="H1127" i="1"/>
  <c r="L1126" i="1"/>
  <c r="K1126" i="1"/>
  <c r="H1126" i="1"/>
  <c r="L1125" i="1"/>
  <c r="K1125" i="1"/>
  <c r="H1125" i="1"/>
  <c r="L1124" i="1"/>
  <c r="K1124" i="1"/>
  <c r="H1124" i="1"/>
  <c r="L1123" i="1"/>
  <c r="K1123" i="1"/>
  <c r="H1123" i="1"/>
  <c r="L1122" i="1"/>
  <c r="K1122" i="1"/>
  <c r="H1122" i="1"/>
  <c r="L1121" i="1"/>
  <c r="K1121" i="1"/>
  <c r="H1121" i="1"/>
  <c r="L1120" i="1"/>
  <c r="K1120" i="1"/>
  <c r="H1120" i="1"/>
  <c r="L1119" i="1"/>
  <c r="K1119" i="1"/>
  <c r="H1119" i="1"/>
  <c r="L1118" i="1"/>
  <c r="K1118" i="1"/>
  <c r="H1118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8" i="1"/>
  <c r="K1108" i="1"/>
  <c r="H1108" i="1"/>
  <c r="L1107" i="1"/>
  <c r="K1107" i="1"/>
  <c r="H1107" i="1"/>
  <c r="L1101" i="1"/>
  <c r="K1101" i="1"/>
  <c r="H1101" i="1"/>
  <c r="L1100" i="1"/>
  <c r="K1100" i="1"/>
  <c r="H1100" i="1"/>
  <c r="L1099" i="1"/>
  <c r="K1099" i="1"/>
  <c r="H1099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79" i="1"/>
  <c r="K1079" i="1"/>
  <c r="H1079" i="1"/>
  <c r="L1078" i="1"/>
  <c r="K1078" i="1"/>
  <c r="H1078" i="1"/>
  <c r="L1077" i="1"/>
  <c r="K1077" i="1"/>
  <c r="H1077" i="1"/>
  <c r="L1076" i="1"/>
  <c r="K1076" i="1"/>
  <c r="H1076" i="1"/>
  <c r="L1075" i="1"/>
  <c r="K1075" i="1"/>
  <c r="H1075" i="1"/>
  <c r="L1074" i="1"/>
  <c r="K1074" i="1"/>
  <c r="H1074" i="1"/>
  <c r="L1068" i="1"/>
  <c r="K1068" i="1"/>
  <c r="H1068" i="1"/>
  <c r="L1067" i="1"/>
  <c r="K1067" i="1"/>
  <c r="H1067" i="1"/>
  <c r="L1066" i="1"/>
  <c r="K1066" i="1"/>
  <c r="H1066" i="1"/>
  <c r="L1065" i="1"/>
  <c r="K1065" i="1"/>
  <c r="H1065" i="1"/>
  <c r="L1064" i="1"/>
  <c r="K1064" i="1"/>
  <c r="H1064" i="1"/>
  <c r="L1063" i="1"/>
  <c r="K1063" i="1"/>
  <c r="H1063" i="1"/>
  <c r="L1062" i="1"/>
  <c r="K1062" i="1"/>
  <c r="H1062" i="1"/>
  <c r="L1061" i="1"/>
  <c r="K1061" i="1"/>
  <c r="H1061" i="1"/>
  <c r="L1060" i="1"/>
  <c r="K1060" i="1"/>
  <c r="H1060" i="1"/>
  <c r="L1059" i="1"/>
  <c r="K1059" i="1"/>
  <c r="H1059" i="1"/>
  <c r="L1053" i="1"/>
  <c r="K1053" i="1"/>
  <c r="H1053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43" i="1"/>
  <c r="K1043" i="1"/>
  <c r="H1043" i="1"/>
  <c r="L1042" i="1"/>
  <c r="K1042" i="1"/>
  <c r="H1042" i="1"/>
  <c r="L1041" i="1"/>
  <c r="K1041" i="1"/>
  <c r="H1041" i="1"/>
  <c r="L1040" i="1"/>
  <c r="K1040" i="1"/>
  <c r="H1040" i="1"/>
  <c r="L1039" i="1"/>
  <c r="K1039" i="1"/>
  <c r="H1039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6" i="1"/>
  <c r="K1016" i="1"/>
  <c r="H1016" i="1"/>
  <c r="L1015" i="1"/>
  <c r="K1015" i="1"/>
  <c r="H1015" i="1"/>
  <c r="L1014" i="1"/>
  <c r="K1014" i="1"/>
  <c r="H1014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1001" i="1"/>
  <c r="K1001" i="1"/>
  <c r="H1001" i="1"/>
  <c r="L995" i="1"/>
  <c r="K995" i="1"/>
  <c r="H995" i="1"/>
  <c r="L994" i="1"/>
  <c r="K994" i="1"/>
  <c r="H994" i="1"/>
  <c r="L993" i="1"/>
  <c r="K993" i="1"/>
  <c r="H993" i="1"/>
  <c r="L992" i="1"/>
  <c r="K992" i="1"/>
  <c r="H992" i="1"/>
  <c r="L991" i="1"/>
  <c r="K991" i="1"/>
  <c r="H991" i="1"/>
  <c r="L990" i="1"/>
  <c r="K990" i="1"/>
  <c r="H990" i="1"/>
  <c r="L989" i="1"/>
  <c r="K989" i="1"/>
  <c r="H989" i="1"/>
  <c r="L983" i="1"/>
  <c r="K983" i="1"/>
  <c r="H983" i="1"/>
  <c r="L982" i="1"/>
  <c r="K982" i="1"/>
  <c r="H982" i="1"/>
  <c r="L981" i="1"/>
  <c r="K981" i="1"/>
  <c r="H981" i="1"/>
  <c r="L980" i="1"/>
  <c r="K980" i="1"/>
  <c r="H980" i="1"/>
  <c r="L979" i="1"/>
  <c r="K979" i="1"/>
  <c r="H979" i="1"/>
  <c r="L978" i="1"/>
  <c r="K978" i="1"/>
  <c r="H978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49" i="1"/>
  <c r="K949" i="1"/>
  <c r="H949" i="1"/>
  <c r="L948" i="1"/>
  <c r="K948" i="1"/>
  <c r="H948" i="1"/>
  <c r="L947" i="1"/>
  <c r="K947" i="1"/>
  <c r="H947" i="1"/>
  <c r="L946" i="1"/>
  <c r="K946" i="1"/>
  <c r="H946" i="1"/>
  <c r="L945" i="1"/>
  <c r="K945" i="1"/>
  <c r="H945" i="1"/>
  <c r="L939" i="1"/>
  <c r="K939" i="1"/>
  <c r="H939" i="1"/>
  <c r="L938" i="1"/>
  <c r="K938" i="1"/>
  <c r="H938" i="1"/>
  <c r="L937" i="1"/>
  <c r="K937" i="1"/>
  <c r="H937" i="1"/>
  <c r="L936" i="1"/>
  <c r="K936" i="1"/>
  <c r="H936" i="1"/>
  <c r="L935" i="1"/>
  <c r="K935" i="1"/>
  <c r="H935" i="1"/>
  <c r="L934" i="1"/>
  <c r="K934" i="1"/>
  <c r="H934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18" i="1"/>
  <c r="K918" i="1"/>
  <c r="H918" i="1"/>
  <c r="L917" i="1"/>
  <c r="K917" i="1"/>
  <c r="H917" i="1"/>
  <c r="L916" i="1"/>
  <c r="K916" i="1"/>
  <c r="H916" i="1"/>
  <c r="L915" i="1"/>
  <c r="K915" i="1"/>
  <c r="H915" i="1"/>
  <c r="L914" i="1"/>
  <c r="K914" i="1"/>
  <c r="H914" i="1"/>
  <c r="L913" i="1"/>
  <c r="K913" i="1"/>
  <c r="H913" i="1"/>
  <c r="L912" i="1"/>
  <c r="K912" i="1"/>
  <c r="H912" i="1"/>
  <c r="L911" i="1"/>
  <c r="K911" i="1"/>
  <c r="H911" i="1"/>
  <c r="L910" i="1"/>
  <c r="K910" i="1"/>
  <c r="H910" i="1"/>
  <c r="L909" i="1"/>
  <c r="K909" i="1"/>
  <c r="H909" i="1"/>
  <c r="L908" i="1"/>
  <c r="K908" i="1"/>
  <c r="H908" i="1"/>
  <c r="L902" i="1"/>
  <c r="K902" i="1"/>
  <c r="H902" i="1"/>
  <c r="L901" i="1"/>
  <c r="K901" i="1"/>
  <c r="H901" i="1"/>
  <c r="L900" i="1"/>
  <c r="K900" i="1"/>
  <c r="H900" i="1"/>
  <c r="L899" i="1"/>
  <c r="K899" i="1"/>
  <c r="H899" i="1"/>
  <c r="L898" i="1"/>
  <c r="K898" i="1"/>
  <c r="H898" i="1"/>
  <c r="L897" i="1"/>
  <c r="K897" i="1"/>
  <c r="H897" i="1"/>
  <c r="L896" i="1"/>
  <c r="K896" i="1"/>
  <c r="H896" i="1"/>
  <c r="L895" i="1"/>
  <c r="K895" i="1"/>
  <c r="H895" i="1"/>
  <c r="L894" i="1"/>
  <c r="K894" i="1"/>
  <c r="H894" i="1"/>
  <c r="L893" i="1"/>
  <c r="K893" i="1"/>
  <c r="H893" i="1"/>
  <c r="L892" i="1"/>
  <c r="K892" i="1"/>
  <c r="H892" i="1"/>
  <c r="L891" i="1"/>
  <c r="K891" i="1"/>
  <c r="H891" i="1"/>
  <c r="L890" i="1"/>
  <c r="K890" i="1"/>
  <c r="H890" i="1"/>
  <c r="L884" i="1"/>
  <c r="K884" i="1"/>
  <c r="H884" i="1"/>
  <c r="L883" i="1"/>
  <c r="K883" i="1"/>
  <c r="H883" i="1"/>
  <c r="L882" i="1"/>
  <c r="K882" i="1"/>
  <c r="H882" i="1"/>
  <c r="L881" i="1"/>
  <c r="K881" i="1"/>
  <c r="H881" i="1"/>
  <c r="L880" i="1"/>
  <c r="K880" i="1"/>
  <c r="H880" i="1"/>
  <c r="L879" i="1"/>
  <c r="K879" i="1"/>
  <c r="H879" i="1"/>
  <c r="L878" i="1"/>
  <c r="K878" i="1"/>
  <c r="H878" i="1"/>
  <c r="L877" i="1"/>
  <c r="K877" i="1"/>
  <c r="H877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5" i="1"/>
  <c r="K865" i="1"/>
  <c r="H865" i="1"/>
  <c r="L864" i="1"/>
  <c r="K864" i="1"/>
  <c r="H864" i="1"/>
  <c r="L863" i="1"/>
  <c r="K863" i="1"/>
  <c r="H863" i="1"/>
  <c r="L862" i="1"/>
  <c r="K862" i="1"/>
  <c r="H862" i="1"/>
  <c r="L861" i="1"/>
  <c r="K861" i="1"/>
  <c r="H861" i="1"/>
  <c r="L860" i="1"/>
  <c r="K860" i="1"/>
  <c r="H860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35" i="1"/>
  <c r="K835" i="1"/>
  <c r="H835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7" i="1"/>
  <c r="K817" i="1"/>
  <c r="H817" i="1"/>
  <c r="L816" i="1"/>
  <c r="K816" i="1"/>
  <c r="H816" i="1"/>
  <c r="L815" i="1"/>
  <c r="K815" i="1"/>
  <c r="H815" i="1"/>
  <c r="L814" i="1"/>
  <c r="K814" i="1"/>
  <c r="H814" i="1"/>
  <c r="L813" i="1"/>
  <c r="K813" i="1"/>
  <c r="H813" i="1"/>
  <c r="L812" i="1"/>
  <c r="K812" i="1"/>
  <c r="H812" i="1"/>
  <c r="L811" i="1"/>
  <c r="K811" i="1"/>
  <c r="H811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800" i="1"/>
  <c r="K800" i="1"/>
  <c r="H800" i="1"/>
  <c r="L799" i="1"/>
  <c r="K799" i="1"/>
  <c r="H799" i="1"/>
  <c r="L798" i="1"/>
  <c r="K798" i="1"/>
  <c r="H798" i="1"/>
  <c r="L797" i="1"/>
  <c r="K797" i="1"/>
  <c r="H797" i="1"/>
  <c r="L796" i="1"/>
  <c r="K796" i="1"/>
  <c r="H796" i="1"/>
  <c r="L795" i="1"/>
  <c r="K795" i="1"/>
  <c r="H795" i="1"/>
  <c r="L794" i="1"/>
  <c r="K794" i="1"/>
  <c r="H794" i="1"/>
  <c r="L793" i="1"/>
  <c r="K793" i="1"/>
  <c r="H793" i="1"/>
  <c r="L792" i="1"/>
  <c r="K792" i="1"/>
  <c r="H792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9" i="1"/>
  <c r="K779" i="1"/>
  <c r="H779" i="1"/>
  <c r="L778" i="1"/>
  <c r="K778" i="1"/>
  <c r="H778" i="1"/>
  <c r="L777" i="1"/>
  <c r="K777" i="1"/>
  <c r="H777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6" i="1"/>
  <c r="K766" i="1"/>
  <c r="H766" i="1"/>
  <c r="L765" i="1"/>
  <c r="K765" i="1"/>
  <c r="H765" i="1"/>
  <c r="L764" i="1"/>
  <c r="K764" i="1"/>
  <c r="H764" i="1"/>
  <c r="L763" i="1"/>
  <c r="K763" i="1"/>
  <c r="H763" i="1"/>
  <c r="L757" i="1"/>
  <c r="K757" i="1"/>
  <c r="H757" i="1"/>
  <c r="L756" i="1"/>
  <c r="K756" i="1"/>
  <c r="H756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38" i="1"/>
  <c r="K738" i="1"/>
  <c r="H738" i="1"/>
  <c r="L737" i="1"/>
  <c r="K737" i="1"/>
  <c r="H737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7" i="1"/>
  <c r="K717" i="1"/>
  <c r="H717" i="1"/>
  <c r="L716" i="1"/>
  <c r="K716" i="1"/>
  <c r="H716" i="1"/>
  <c r="L715" i="1"/>
  <c r="K715" i="1"/>
  <c r="H715" i="1"/>
  <c r="L714" i="1"/>
  <c r="K714" i="1"/>
  <c r="H714" i="1"/>
  <c r="L713" i="1"/>
  <c r="K713" i="1"/>
  <c r="H713" i="1"/>
  <c r="L712" i="1"/>
  <c r="K712" i="1"/>
  <c r="H712" i="1"/>
  <c r="L711" i="1"/>
  <c r="K711" i="1"/>
  <c r="H711" i="1"/>
  <c r="L710" i="1"/>
  <c r="K710" i="1"/>
  <c r="H710" i="1"/>
  <c r="L709" i="1"/>
  <c r="K709" i="1"/>
  <c r="H709" i="1"/>
  <c r="L708" i="1"/>
  <c r="K708" i="1"/>
  <c r="H708" i="1"/>
  <c r="L707" i="1"/>
  <c r="K707" i="1"/>
  <c r="H707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0" i="1"/>
  <c r="K690" i="1"/>
  <c r="H690" i="1"/>
  <c r="L689" i="1"/>
  <c r="K689" i="1"/>
  <c r="H689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74" i="1"/>
  <c r="K674" i="1"/>
  <c r="H674" i="1"/>
  <c r="L673" i="1"/>
  <c r="K673" i="1"/>
  <c r="H673" i="1"/>
  <c r="L672" i="1"/>
  <c r="K672" i="1"/>
  <c r="H672" i="1"/>
  <c r="L671" i="1"/>
  <c r="K671" i="1"/>
  <c r="H671" i="1"/>
  <c r="L670" i="1"/>
  <c r="K670" i="1"/>
  <c r="H670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62" i="1"/>
  <c r="K662" i="1"/>
  <c r="H662" i="1"/>
  <c r="L661" i="1"/>
  <c r="K661" i="1"/>
  <c r="H661" i="1"/>
  <c r="L660" i="1"/>
  <c r="K660" i="1"/>
  <c r="H660" i="1"/>
  <c r="L659" i="1"/>
  <c r="K659" i="1"/>
  <c r="H659" i="1"/>
  <c r="L658" i="1"/>
  <c r="K658" i="1"/>
  <c r="H658" i="1"/>
  <c r="L657" i="1"/>
  <c r="K657" i="1"/>
  <c r="H657" i="1"/>
  <c r="L656" i="1"/>
  <c r="K656" i="1"/>
  <c r="H656" i="1"/>
  <c r="L655" i="1"/>
  <c r="K655" i="1"/>
  <c r="H655" i="1"/>
  <c r="L654" i="1"/>
  <c r="K654" i="1"/>
  <c r="H654" i="1"/>
  <c r="L653" i="1"/>
  <c r="K653" i="1"/>
  <c r="H653" i="1"/>
  <c r="L652" i="1"/>
  <c r="K652" i="1"/>
  <c r="H652" i="1"/>
  <c r="L651" i="1"/>
  <c r="K651" i="1"/>
  <c r="H651" i="1"/>
  <c r="L650" i="1"/>
  <c r="K650" i="1"/>
  <c r="H650" i="1"/>
  <c r="L649" i="1"/>
  <c r="K649" i="1"/>
  <c r="H649" i="1"/>
  <c r="L648" i="1"/>
  <c r="K648" i="1"/>
  <c r="H648" i="1"/>
  <c r="L647" i="1"/>
  <c r="K647" i="1"/>
  <c r="H647" i="1"/>
  <c r="L646" i="1"/>
  <c r="K646" i="1"/>
  <c r="H646" i="1"/>
  <c r="L645" i="1"/>
  <c r="K645" i="1"/>
  <c r="H645" i="1"/>
  <c r="L644" i="1"/>
  <c r="K644" i="1"/>
  <c r="H644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34" i="1"/>
  <c r="K634" i="1"/>
  <c r="H634" i="1"/>
  <c r="L633" i="1"/>
  <c r="K633" i="1"/>
  <c r="H633" i="1"/>
  <c r="L632" i="1"/>
  <c r="K632" i="1"/>
  <c r="H632" i="1"/>
  <c r="L631" i="1"/>
  <c r="K631" i="1"/>
  <c r="H631" i="1"/>
  <c r="L630" i="1"/>
  <c r="K630" i="1"/>
  <c r="H630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23" i="1"/>
  <c r="K623" i="1"/>
  <c r="H623" i="1"/>
  <c r="L622" i="1"/>
  <c r="K622" i="1"/>
  <c r="H622" i="1"/>
  <c r="L621" i="1"/>
  <c r="K621" i="1"/>
  <c r="H621" i="1"/>
  <c r="L620" i="1"/>
  <c r="K620" i="1"/>
  <c r="H620" i="1"/>
  <c r="L619" i="1"/>
  <c r="K619" i="1"/>
  <c r="H619" i="1"/>
  <c r="L618" i="1"/>
  <c r="K618" i="1"/>
  <c r="H618" i="1"/>
  <c r="L617" i="1"/>
  <c r="K617" i="1"/>
  <c r="H617" i="1"/>
  <c r="L616" i="1"/>
  <c r="K616" i="1"/>
  <c r="H616" i="1"/>
  <c r="L615" i="1"/>
  <c r="K615" i="1"/>
  <c r="H615" i="1"/>
  <c r="L614" i="1"/>
  <c r="K614" i="1"/>
  <c r="H614" i="1"/>
  <c r="L613" i="1"/>
  <c r="K613" i="1"/>
  <c r="H613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6" i="1"/>
  <c r="K606" i="1"/>
  <c r="H606" i="1"/>
  <c r="L605" i="1"/>
  <c r="K605" i="1"/>
  <c r="H605" i="1"/>
  <c r="L604" i="1"/>
  <c r="K604" i="1"/>
  <c r="H604" i="1"/>
  <c r="L603" i="1"/>
  <c r="K603" i="1"/>
  <c r="H603" i="1"/>
  <c r="L602" i="1"/>
  <c r="K602" i="1"/>
  <c r="H602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8" i="1"/>
  <c r="K588" i="1"/>
  <c r="H588" i="1"/>
  <c r="L587" i="1"/>
  <c r="K587" i="1"/>
  <c r="H587" i="1"/>
  <c r="L586" i="1"/>
  <c r="K586" i="1"/>
  <c r="H586" i="1"/>
  <c r="L585" i="1"/>
  <c r="K585" i="1"/>
  <c r="H585" i="1"/>
  <c r="L584" i="1"/>
  <c r="K584" i="1"/>
  <c r="H584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9" i="1"/>
  <c r="K569" i="1"/>
  <c r="H569" i="1"/>
  <c r="L568" i="1"/>
  <c r="K568" i="1"/>
  <c r="H568" i="1"/>
  <c r="L567" i="1"/>
  <c r="K567" i="1"/>
  <c r="H567" i="1"/>
  <c r="L566" i="1"/>
  <c r="K566" i="1"/>
  <c r="H566" i="1"/>
  <c r="L565" i="1"/>
  <c r="K565" i="1"/>
  <c r="H565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8" i="1"/>
  <c r="K558" i="1"/>
  <c r="H558" i="1"/>
  <c r="L557" i="1"/>
  <c r="K557" i="1"/>
  <c r="H557" i="1"/>
  <c r="L556" i="1"/>
  <c r="K556" i="1"/>
  <c r="H556" i="1"/>
  <c r="L555" i="1"/>
  <c r="K555" i="1"/>
  <c r="H555" i="1"/>
  <c r="L554" i="1"/>
  <c r="K554" i="1"/>
  <c r="H554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9" i="1"/>
  <c r="K549" i="1"/>
  <c r="H549" i="1"/>
  <c r="L548" i="1"/>
  <c r="K548" i="1"/>
  <c r="H548" i="1"/>
  <c r="L547" i="1"/>
  <c r="K547" i="1"/>
  <c r="H547" i="1"/>
  <c r="L546" i="1"/>
  <c r="K546" i="1"/>
  <c r="H546" i="1"/>
  <c r="L545" i="1"/>
  <c r="K545" i="1"/>
  <c r="H545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6" i="1"/>
  <c r="K106" i="1"/>
  <c r="H106" i="1"/>
  <c r="L100" i="1"/>
  <c r="K100" i="1"/>
  <c r="H100" i="1"/>
  <c r="L94" i="1"/>
  <c r="K94" i="1"/>
  <c r="H94" i="1"/>
  <c r="L93" i="1"/>
  <c r="K93" i="1"/>
  <c r="H93" i="1"/>
  <c r="L92" i="1"/>
  <c r="K92" i="1"/>
  <c r="H92" i="1"/>
  <c r="L91" i="1"/>
  <c r="K91" i="1"/>
  <c r="H91" i="1"/>
  <c r="L90" i="1"/>
  <c r="K90" i="1"/>
  <c r="H90" i="1"/>
  <c r="L89" i="1"/>
  <c r="K89" i="1"/>
  <c r="H89" i="1"/>
  <c r="L88" i="1"/>
  <c r="K88" i="1"/>
  <c r="H88" i="1"/>
  <c r="L87" i="1"/>
  <c r="K87" i="1"/>
  <c r="H87" i="1"/>
  <c r="L86" i="1"/>
  <c r="K86" i="1"/>
  <c r="H86" i="1"/>
  <c r="L85" i="1"/>
  <c r="K85" i="1"/>
  <c r="H85" i="1"/>
  <c r="L84" i="1"/>
  <c r="K84" i="1"/>
  <c r="H84" i="1"/>
  <c r="L83" i="1"/>
  <c r="K83" i="1"/>
  <c r="H83" i="1"/>
  <c r="L82" i="1"/>
  <c r="K82" i="1"/>
  <c r="H82" i="1"/>
  <c r="L81" i="1"/>
  <c r="K81" i="1"/>
  <c r="H81" i="1"/>
  <c r="L80" i="1"/>
  <c r="K80" i="1"/>
  <c r="H80" i="1"/>
  <c r="L79" i="1"/>
  <c r="K79" i="1"/>
  <c r="H79" i="1"/>
  <c r="M71" i="1"/>
  <c r="L71" i="1"/>
  <c r="I71" i="1"/>
  <c r="M70" i="1"/>
  <c r="L70" i="1"/>
  <c r="I70" i="1"/>
  <c r="M69" i="1"/>
  <c r="L69" i="1"/>
  <c r="I69" i="1"/>
  <c r="M68" i="1"/>
  <c r="L68" i="1"/>
  <c r="I68" i="1"/>
  <c r="M67" i="1"/>
  <c r="L67" i="1"/>
  <c r="I67" i="1"/>
  <c r="M66" i="1"/>
  <c r="L66" i="1"/>
  <c r="I66" i="1"/>
  <c r="M65" i="1"/>
  <c r="L65" i="1"/>
  <c r="I65" i="1"/>
  <c r="M64" i="1"/>
  <c r="L64" i="1"/>
  <c r="I64" i="1"/>
  <c r="M63" i="1"/>
  <c r="L63" i="1"/>
  <c r="I63" i="1"/>
  <c r="M62" i="1"/>
  <c r="L62" i="1"/>
  <c r="I62" i="1"/>
  <c r="M61" i="1"/>
  <c r="L61" i="1"/>
  <c r="I61" i="1"/>
  <c r="M60" i="1"/>
  <c r="L60" i="1"/>
  <c r="I60" i="1"/>
  <c r="M59" i="1"/>
  <c r="L59" i="1"/>
  <c r="I59" i="1"/>
  <c r="M58" i="1"/>
  <c r="L58" i="1"/>
  <c r="I58" i="1"/>
  <c r="M57" i="1"/>
  <c r="L57" i="1"/>
  <c r="I57" i="1"/>
  <c r="M56" i="1"/>
  <c r="L56" i="1"/>
  <c r="I56" i="1"/>
  <c r="M55" i="1"/>
  <c r="L55" i="1"/>
  <c r="I55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<sst xmlns="http://schemas.openxmlformats.org/spreadsheetml/2006/main" count="5707" uniqueCount="568">
  <si>
    <t>Informe de trayectos</t>
  </si>
  <si>
    <t>Periodo: 8 de febrero de 2025 0:00 - 8 de febrero de 2025 23:59</t>
  </si>
  <si>
    <t>Informe generado</t>
  </si>
  <si>
    <t>a: 22 de septiembre de 2025 14:13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</si>
  <si>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</si>
  <si>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</si>
  <si>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</si>
  <si>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</si>
  <si>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</si>
  <si>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</si>
  <si>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</si>
  <si>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</si>
  <si>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</si>
  <si>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</si>
  <si>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</si>
  <si>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</si>
  <si>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</si>
  <si>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</si>
  <si>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Ate, Lima Metropolitana, Lima, 15498, Perú</t>
  </si>
  <si>
    <t>90 km/h</t>
  </si>
  <si>
    <t>11 km/h</t>
  </si>
  <si>
    <t>Lurigancho, Lima Metropolitana, Lima, 15468, Perú</t>
  </si>
  <si>
    <t>Avenida Lima Norte, Santa Eulalia, Lima Metropolitana, Lima, 15468, Perú</t>
  </si>
  <si>
    <t>45 km/h</t>
  </si>
  <si>
    <t>15 km/h</t>
  </si>
  <si>
    <t>Avenida Los Incas, Ate, Lima Metropolitana, Lima, 15483, Perú</t>
  </si>
  <si>
    <t>80 km/h</t>
  </si>
  <si>
    <t>Calle Manantiales de Vida, Ate, Lima Metropolitana, Lima, 15487, Perú</t>
  </si>
  <si>
    <t>16 km/h</t>
  </si>
  <si>
    <t>Ate, Lima Metropolitana, Lima, 15483, Perú</t>
  </si>
  <si>
    <t>85 km/h</t>
  </si>
  <si>
    <t>87 km/h</t>
  </si>
  <si>
    <t>17 km/h</t>
  </si>
  <si>
    <t>Avenida Metropolitana, Santa Anita, Lima Metropolitana, Lima, 15009, Perú</t>
  </si>
  <si>
    <t>Avenida de La Cultura, 808, Ate, Lima Metropolitana, Lima, 15009, Perú, (RUTA DESVIO TEM.  4507)</t>
  </si>
  <si>
    <t>21 km/h</t>
  </si>
  <si>
    <t>Carretera Central, Chaclacayo, Lima Metropolitana, Lima, 15476, Perú</t>
  </si>
  <si>
    <t>71 km/h</t>
  </si>
  <si>
    <t>Avenida Las Retamas, Ricardo Palma, Huarochirí, Lima, 15468, Perú</t>
  </si>
  <si>
    <t>Calle los Alamos, Chosica, Lima Metropolitana, Lima, 15468, Perú</t>
  </si>
  <si>
    <t>84 km/h</t>
  </si>
  <si>
    <t>14 km/h</t>
  </si>
  <si>
    <t>Calle Las Gardenias, Ricardo Palma, Huarochirí, Lima, 15468, Perú</t>
  </si>
  <si>
    <t>83 km/h</t>
  </si>
  <si>
    <t>Capitan Gamarra, Ricardo Palma, Huarochirí, Lima, 15468, Perú, (Ruta4507nueva era 23-10-23)</t>
  </si>
  <si>
    <t>Avenida José Santos Chocano, Ricardo Palma, Huarochirí, Lima, 15468, Perú</t>
  </si>
  <si>
    <t>94 km/h</t>
  </si>
  <si>
    <t>13 km/h</t>
  </si>
  <si>
    <t>Calle A, Chosica, Lima Metropolitana, Lima, 15468, Perú</t>
  </si>
  <si>
    <t>91 km/h</t>
  </si>
  <si>
    <t>18 km/h</t>
  </si>
  <si>
    <t>Avenida José Carlos Mariátegui, Ricardo Palma, Huarochirí, Lima, 15468, Perú</t>
  </si>
  <si>
    <t>Calle Huayna Cápac, 200, Chaclacayo, Lima Metropolitana, Lima, 15474, Perú</t>
  </si>
  <si>
    <t>Calle Atahualpa, 200, Chaclacayo, Lima Metropolitana, Lima, 15474, Perú</t>
  </si>
  <si>
    <t>Calle Cerro de Pasco, Ate, Lima Metropolitana, Lima, 15498, Perú</t>
  </si>
  <si>
    <t>72 km/h</t>
  </si>
  <si>
    <t>74 km/h</t>
  </si>
  <si>
    <t>Avenida Bernard de Balaguer, Lurigancho, Lima Metropolitana, Lima, 15464, Perú</t>
  </si>
  <si>
    <t>67 km/h</t>
  </si>
  <si>
    <t>12 km/h</t>
  </si>
  <si>
    <t>70 km/h</t>
  </si>
  <si>
    <t>Pasaje A, Ate, Lima Metropolitana, Lima, 15487, Perú</t>
  </si>
  <si>
    <t>93 km/h</t>
  </si>
  <si>
    <t>Calle 1, Ate, Lima Metropolitana, Lima, 15483, Perú</t>
  </si>
  <si>
    <t>81 km/h</t>
  </si>
  <si>
    <t>Avenida Circunvalación, La Victoria, Lima Metropolitana, Lima, 15019, Perú</t>
  </si>
  <si>
    <t>Avenida Las Retamas, Chaclacayo, Lima Metropolitana, Lima, 15474, Perú</t>
  </si>
  <si>
    <t>61 km/h</t>
  </si>
  <si>
    <t>Calle Leoncio Prado, Santa Eulalia, Huarochirí, Lima, 15468, Perú</t>
  </si>
  <si>
    <t>Calle Nueva Los Alamos, Santa Eulalia, Huarochirí, Lima, 15468, Perú</t>
  </si>
  <si>
    <t>Calle Estocolmo, Ate, Lima Metropolitana, Lima, 15498, Perú</t>
  </si>
  <si>
    <t>82 km/h</t>
  </si>
  <si>
    <t>Calle Las Tunas, Santa Anita, Lima Metropolitana, Lima, 15007, Perú</t>
  </si>
  <si>
    <t>Calle Los Topacios, Lurigancho, Lima Metropolitana, Lima, 15472, Perú</t>
  </si>
  <si>
    <t>Prolongación Javier Prado Este, Ate, Lima Metropolitana, Lima, 15498, Perú, (Ruta4507nueva era 23-10-23)</t>
  </si>
  <si>
    <t>Avenida Panamericana Sur, Santiago de Surco, Lima Metropolitana, Lima, 15803, Perú</t>
  </si>
  <si>
    <t>Avenida Alfonso Cobián, Chaclacayo, Lima Metropolitana, Lima, 15476, Perú</t>
  </si>
  <si>
    <t>Avenida Nicolás de Ayllón, El Agustino, Lima Metropolitana, Lima, 15002, Perú, (Ruta4507nueva era 23-10-23, RUTA DESVIO TEM.  4507)</t>
  </si>
  <si>
    <t>78 km/h</t>
  </si>
  <si>
    <t>Calle Las Vayas, Santa Anita, Lima Metropolitana, Lima, 15009, Perú</t>
  </si>
  <si>
    <t>Calle 11, Santa Anita, Lima Metropolitana, Lima, 15009, Perú</t>
  </si>
  <si>
    <t>77 km/h</t>
  </si>
  <si>
    <t>Avenida Simón Bolívar, Santa Eulalia, Huarochirí, Lima, 15468, Perú</t>
  </si>
  <si>
    <t>Ate, Lima Metropolitana, Lima, 15474, Perú</t>
  </si>
  <si>
    <t>76 km/h</t>
  </si>
  <si>
    <t>10 km/h</t>
  </si>
  <si>
    <t>Jirón Argentina, Chosica, Lima Metropolitana, Lima, 15468, Perú</t>
  </si>
  <si>
    <t>Chosica, Lima Metropolitana, Lima, 15468, Perú</t>
  </si>
  <si>
    <t>Calle Los Álamos, Ate, Lima Metropolitana, Lima, 15483, Perú</t>
  </si>
  <si>
    <t>Avenida Enrique Guzmán y Valle, Chosica, Lima Metropolitana, Lima, 15468, Perú</t>
  </si>
  <si>
    <t>7 km/h</t>
  </si>
  <si>
    <t>1 km/h</t>
  </si>
  <si>
    <t>Carretera Central, Ate, Lima Metropolitana, Lima, 15474, Perú</t>
  </si>
  <si>
    <t>95 km/h</t>
  </si>
  <si>
    <t>19 km/h</t>
  </si>
  <si>
    <t>Avenida Andrés Avelino Cáceres, Ate, Lima Metropolitana, Lima, 15483, Perú</t>
  </si>
  <si>
    <t>Santa Eulalia, Huarochirí, Lima, 15468, Perú</t>
  </si>
  <si>
    <t>102 km/h</t>
  </si>
  <si>
    <t>Avenida Lima Norte, Chosica, Lima Metropolitana, Lima, 15468, Perú</t>
  </si>
  <si>
    <t>Avenida Lima Norte, Santa Eulalia, Lima Metropolitana, Lima, 15468, Perú, (Ruta4507nueva era 23-10-23)</t>
  </si>
  <si>
    <t>96 km/h</t>
  </si>
  <si>
    <t>Ate, Lima Metropolitana, Lima, 15487, Perú</t>
  </si>
  <si>
    <t>Los Ciruelos, San Juan de Lurigancho, Lima Metropolitana, Lima, 15419, Perú</t>
  </si>
  <si>
    <t>68 km/h</t>
  </si>
  <si>
    <t>Carretera Central, Sol de Cupiche, Huarochirí, Lima, 15500, Perú</t>
  </si>
  <si>
    <t>Corcona, Huarochirí, Lima, Perú</t>
  </si>
  <si>
    <t>Avenida Nicolás de Ayllón, Santa Anita, Lima Metropolitana, Lima, 15008, Perú, (Ruta4507nueva era 23-10-23, RUTA DESVIO TEM.  4507)</t>
  </si>
  <si>
    <t>Avenida Huancaray, Santa Anita, Lima Metropolitana, Lima, 15009, Perú, (RUTA DESVIO TEM.  4507)</t>
  </si>
  <si>
    <t>113 km/h</t>
  </si>
  <si>
    <t>Avenida José Carlos Mariátegui, Ate, Lima Metropolitana, Lima, 15483, Perú</t>
  </si>
  <si>
    <t>Avenida Colectora, Chosica, Lima Metropolitana, Lima, 15468, Perú</t>
  </si>
  <si>
    <t>Calle 3, Chosica, Lima Metropolitana, Lima, 15468, Perú</t>
  </si>
  <si>
    <t>Avenida Micaela Bastidas, 561, Santa Eulalia, Huarochirí, Lima, 15468, Perú</t>
  </si>
  <si>
    <t>Alameda E, Chaclacayo, Lima Metropolitana, Lima, 15476, Perú</t>
  </si>
  <si>
    <t>Calle 50, Santa Anita, Lima Metropolitana, Lima, 15009, Perú, (RUTA DESVIO TEM.  4507)</t>
  </si>
  <si>
    <t>Micaela Bastidas, Ate, Lima Metropolitana, Lima, 15498, Perú</t>
  </si>
  <si>
    <t>69 km/h</t>
  </si>
  <si>
    <t>79 km/h</t>
  </si>
  <si>
    <t>Jirón Tacna, Chosica, Lima Metropolitana, Lima, 15468, Perú, (Ruta4507nueva era 23-10-23)</t>
  </si>
  <si>
    <t>Avenida Nicolás de Ayllón, Santa Anita, Lima Metropolitana, Lima, 15009, Perú, (Ruta4507nueva era 23-10-23)</t>
  </si>
  <si>
    <t>Calle 2, Ate, Lima Metropolitana, Lima, 15487, Perú</t>
  </si>
  <si>
    <t>75 km/h</t>
  </si>
  <si>
    <t>Avenida Inca Garcilazo de la Vega, Lima, Lima Metropolitana, Lima, 15004, Perú</t>
  </si>
  <si>
    <t>Metropolitano, Lima, Lima Metropolitana, Lima, 15083, Perú, (Ruta4507nueva era 23-10-23)</t>
  </si>
  <si>
    <t>92 km/h</t>
  </si>
  <si>
    <t>Chaclacayo, Lima Metropolitana, Lima, 15474, Perú, (Ruta4507nueva era 23-10-23)</t>
  </si>
  <si>
    <t>Avenida Jaime Zubieta Calderón, Ate, Lima Metropolitana, Lima, 15483, Perú, (Ruta4507nueva era 23-10-23)</t>
  </si>
  <si>
    <t>Avenida Los Eucaliptos, Santa Anita, Lima Metropolitana, Lima, 15008, Perú, (RUTA DESVIO TEM.  4507)</t>
  </si>
  <si>
    <t>86 km/h</t>
  </si>
  <si>
    <t>Totales:</t>
  </si>
  <si>
    <t/>
  </si>
  <si>
    <t>* Los datos de combustible se calculan de acuerdo con el consumo medio de combustible del vehículo especificado en su configuración</t>
  </si>
  <si>
    <t>2 km/h</t>
  </si>
  <si>
    <t>0 km/h</t>
  </si>
  <si>
    <t>Calle Berlín, Ate, Lima Metropolitana, Lima, 15498, Perú</t>
  </si>
  <si>
    <t>40 km/h</t>
  </si>
  <si>
    <t>5 km/h</t>
  </si>
  <si>
    <t>Abraham Valdelomar, Ricardo Palma, Huarochirí, Lima, 15468, Perú</t>
  </si>
  <si>
    <t>23 km/h</t>
  </si>
  <si>
    <t>Jose Carlos Mariátegui, Ricardo Palma, Lima Metropolitana, Lima, 15468, Perú, (PARADERO RICARDO PALMA)</t>
  </si>
  <si>
    <t>24 km/h</t>
  </si>
  <si>
    <t>Avenida Almirante Miguel Grau, 1299, Lima, Lima Metropolitana, Lima, 15011, Perú, (Ruta4507nueva era 23-10-23)</t>
  </si>
  <si>
    <t>Avenida Almirante Miguel Grau, 1294, Lima, Lima Metropolitana, Lima, 15011, Perú, (Ruta4507nueva era 23-10-23)</t>
  </si>
  <si>
    <t>Avenida Almirante Miguel Grau, 384, La Victoria, Lima Metropolitana, Lima, 15001, Perú, (Ruta4507nueva era 23-10-23)</t>
  </si>
  <si>
    <t>56 km/h</t>
  </si>
  <si>
    <t>Jirón Huarochirí, 643, Lima, Lima Metropolitana, Lima, 15082, Perú</t>
  </si>
  <si>
    <t>6 km/h</t>
  </si>
  <si>
    <t>Los Huancas, Ate, Lima Metropolitana, Lima, 15483, Perú</t>
  </si>
  <si>
    <t>Avenida José Carlos Mariátegui, Ate, Lima Metropolitana, Lima, 15474, Perú</t>
  </si>
  <si>
    <t>Carretera Central, Ate, Lima Metropolitana, Lima, 15474, Perú, (Ruta4507nueva era 23-10-23)</t>
  </si>
  <si>
    <t>32 km/h</t>
  </si>
  <si>
    <t>8 km/h</t>
  </si>
  <si>
    <t>Avenida Simón Bolívar, Santa Eulalia, Huarochirí, Lima, 15468, Perú, (Ruta4507nueva era 23-10-23)</t>
  </si>
  <si>
    <t>Jirón Junín, Lima, Lima Metropolitana, Lima, 15003, Perú</t>
  </si>
  <si>
    <t>Avenida Nicolás Arriola, La Victoria, Lima Metropolitana, Lima, 15019, Perú</t>
  </si>
  <si>
    <t>28 km/h</t>
  </si>
  <si>
    <t>Avenida Central, Ate, Lima Metropolitana, Lima, 15487, Perú</t>
  </si>
  <si>
    <t>35 km/h</t>
  </si>
  <si>
    <t>Carretera Central, Ate, Lima Metropolitana, Lima, 15487, Perú, (Ruta4507nueva era 23-10-23)</t>
  </si>
  <si>
    <t>29 km/h</t>
  </si>
  <si>
    <t>Avenida José Carlos Mariátegui, Ricardo Palma, Huarochirí, Lima, 15468, Perú, (Ruta4507nueva era 23-10-23)</t>
  </si>
  <si>
    <t>25 km/h</t>
  </si>
  <si>
    <t>9 km/h</t>
  </si>
  <si>
    <t>33 km/h</t>
  </si>
  <si>
    <t>Jirón Sánchez Pinillos, Lima, Lima Metropolitana, Lima, 15082, Perú</t>
  </si>
  <si>
    <t>27 km/h</t>
  </si>
  <si>
    <t>Carretera Central, Chaclacayo, Lima Metropolitana, Lima, 15474, Perú</t>
  </si>
  <si>
    <t>Carretera Central, Chaclacayo, Lima Metropolitana, Lima, 15474, Perú, (Ruta4507nueva era 23-10-23)</t>
  </si>
  <si>
    <t>37 km/h</t>
  </si>
  <si>
    <t>50 km/h</t>
  </si>
  <si>
    <t>Chaclacayo, Lima Metropolitana, Lima, 15476, Perú</t>
  </si>
  <si>
    <t>Pasaje Gould, Lima, Lima Metropolitana, Lima, 15082, Perú</t>
  </si>
  <si>
    <t>66 km/h</t>
  </si>
  <si>
    <t>Carretera Central, Ricardo Palma, Huarochirí, Lima, 15468, Perú</t>
  </si>
  <si>
    <t>Calle Córdova, Ricardo Palma, Huarochirí, Lima, 15468, Perú, (Ruta4507nueva era 23-10-23)</t>
  </si>
  <si>
    <t>20 km/h</t>
  </si>
  <si>
    <t>Jirón Ascope, Lima, Lima Metropolitana, Lima, 15082, Perú, (PARADERO DESTINO ASCOPE, Ruta4507nueva era 23-10-23)</t>
  </si>
  <si>
    <t>Pasaje 6, Chaclacayo, Lima Metropolitana, Lima, 15476, Perú</t>
  </si>
  <si>
    <t>64 km/h</t>
  </si>
  <si>
    <t>47 km/h</t>
  </si>
  <si>
    <t>38 km/h</t>
  </si>
  <si>
    <t>4 km/h</t>
  </si>
  <si>
    <t>Avenida Nicolás de Ayllón, Santa Anita, Lima Metropolitana, Lima, 15008, Perú, (RUTA DESVIO TEM.  4507)</t>
  </si>
  <si>
    <t>60 km/h</t>
  </si>
  <si>
    <t>30 km/h</t>
  </si>
  <si>
    <t>Avenida Los Cipreses, Santa Anita, Lima Metropolitana, Lima, 15008, Perú</t>
  </si>
  <si>
    <t>Avenida Nicolás de Ayllón, Santa Anita, Lima Metropolitana, Lima, 15008, Perú</t>
  </si>
  <si>
    <t>Avenida Los Cipreses, Santa Anita, Lima Metropolitana, Lima, 15008, Perú, (RUTA DESVIO TEM.  4507)</t>
  </si>
  <si>
    <t>3 km/h</t>
  </si>
  <si>
    <t>Avenida Nicolás de Ayllón, El Agustino, Lima Metropolitana, Lima, 15008, Perú, (Ruta4507nueva era 23-10-23)</t>
  </si>
  <si>
    <t>Avenida Circunvalación, San Luis, Lima Metropolitana, Lima, 15019, Perú, (Ruta4507nueva era 23-10-23)</t>
  </si>
  <si>
    <t>Avenida Nicolás de Ayllón, San Luis, Lima Metropolitana, Lima, 15019, Perú, (Ruta4507nueva era 23-10-23)</t>
  </si>
  <si>
    <t>Avenida José de la Riva Aguero, Lima, Lima Metropolitana, Lima, 15004, Perú</t>
  </si>
  <si>
    <t>Avenida Almirante Miguel Grau, 1518, Lima, Lima Metropolitana, Lima, 15011, Perú, (Ruta4507nueva era 23-10-23)</t>
  </si>
  <si>
    <t>52 km/h</t>
  </si>
  <si>
    <t>Avenida Almirante Miguel Grau, 1499, Lima, Lima Metropolitana, Lima, 15011, Perú, (Ruta4507nueva era 23-10-23)</t>
  </si>
  <si>
    <t>Avenida Almirante Miguel Grau, 1005, Lima, Lima Metropolitana, Lima, 15011, Perú, (Ruta4507nueva era 23-10-23)</t>
  </si>
  <si>
    <t>Avenida Almirante Miguel Grau, 887, Lima, Lima Metropolitana, Lima, 15001, Perú, (Ruta4507nueva era 23-10-23)</t>
  </si>
  <si>
    <t>Avenida Almirante Miguel Grau, Lima, Lima Metropolitana, Lima, 15001, Perú, (S02 AV.GRAU/ JR ANDAHUAYLAS, Ruta4507nueva era 23-10-23)</t>
  </si>
  <si>
    <t>51 km/h</t>
  </si>
  <si>
    <t>Vía Expresa Almirante Miguel Grau, La Victoria, Lima Metropolitana, Lima, 15001, Perú, (Ruta4507nueva era 23-10-23)</t>
  </si>
  <si>
    <t>31 km/h</t>
  </si>
  <si>
    <t>Avenida Iquitos, Lima, Lima Metropolitana, Lima, 15001, Perú, (Ruta4507nueva era 23-10-23)</t>
  </si>
  <si>
    <t>Avenida Almirante Miguel Grau, 243, Lima, Lima Metropolitana, Lima, 15001, Perú</t>
  </si>
  <si>
    <t>Metropolitano, Lima, Lima Metropolitana, Lima, 15001, Perú</t>
  </si>
  <si>
    <t>26 km/h</t>
  </si>
  <si>
    <t>Metropolitano, Lima, Lima Metropolitana, Lima, 15083, Perú</t>
  </si>
  <si>
    <t>Avenida España, 224, Lima, Lima Metropolitana, Lima, 15083, Perú</t>
  </si>
  <si>
    <t>Jirón Washington, 1355, Lima, Lima Metropolitana, Lima, 15083, Perú</t>
  </si>
  <si>
    <t>Avenida Alfonso Ugarte, 494, Breña, Lima Metropolitana, Lima, 15083, Perú, (Ruta4507nueva era 23-10-23)</t>
  </si>
  <si>
    <t>Plaza Francisco Bolognesi, 590, Jesús María, Lima Metropolitana, Lima, 15083, Perú, (Ruta4507nueva era 23-10-23)</t>
  </si>
  <si>
    <t>Avenida Guzmán Blanco, 101, Breña, Lima Metropolitana, Lima, 15046, Perú, (Ruta4507nueva era 23-10-23)</t>
  </si>
  <si>
    <t>Plaza Francisco Bolognesi, Lima, Lima Metropolitana, Lima, 15083, Perú, (Ruta4507nueva era 23-10-23)</t>
  </si>
  <si>
    <t>Avenida Almirante Miguel Grau, Lima, Lima Metropolitana, Lima, 15083, Perú, (Ruta4507nueva era 23-10-23)</t>
  </si>
  <si>
    <t>Vía Expresa Almirante Miguel Grau, La Victoria, Lima Metropolitana, Lima, 15011, Perú, (Ruta4507nueva era 23-10-23)</t>
  </si>
  <si>
    <t>36 km/h</t>
  </si>
  <si>
    <t>Avenida Almirante Miguel Grau, La Victoria, Lima Metropolitana, Lima, 15011, Perú, (Ruta4507nueva era 23-10-23)</t>
  </si>
  <si>
    <t>Avenida Circunvalación, San Luis, Lima Metropolitana, Lima, 15019, Perú</t>
  </si>
  <si>
    <t>34 km/h</t>
  </si>
  <si>
    <t>Avenida Pablo Patron, 715, San Luis, Lima Metropolitana, Lima, 15019, Perú</t>
  </si>
  <si>
    <t>Avenida Nicolás de Ayllón, Ate, Lima Metropolitana, Lima, 15002, Perú, (Ruta4507nueva era 23-10-23, RUTA DESVIO TEM.  4507)</t>
  </si>
  <si>
    <t>22 km/h</t>
  </si>
  <si>
    <t>Avenida Nicolás de Ayllón, Ate, Lima Metropolitana, Lima, 15008, Perú, (Ruta4507nueva era 23-10-23)</t>
  </si>
  <si>
    <t>Avenida Los Ruiseñores, Santa Anita, Lima Metropolitana, Lima, 15008, Perú, (Ruta4507nueva era 23-10-23)</t>
  </si>
  <si>
    <t>Las Alondras, 175, Santa Anita, Lima Metropolitana, Lima, 15008, Perú, (Ruta4507nueva era 23-10-23)</t>
  </si>
  <si>
    <t>Avenida Los Ruiseñores, 206, Santa Anita, Lima Metropolitana, Lima, 15008, Perú</t>
  </si>
  <si>
    <t>Avenida de La Cultura, Santa Anita, Lima Metropolitana, Lima, 15009, Perú, (RUTA DESVIO TEM.  4507)</t>
  </si>
  <si>
    <t>Avenida Metropolitana, Santa Anita, Lima Metropolitana, Lima, 15009, Perú, (RUTA DESVIO TEM.  4507)</t>
  </si>
  <si>
    <t>Avenida Nicolás de Ayllón, Ate, Lima Metropolitana, Lima, 15487, Perú, (Ruta4507nueva era 23-10-23)</t>
  </si>
  <si>
    <t>41 km/h</t>
  </si>
  <si>
    <t>42 km/h</t>
  </si>
  <si>
    <t>Avenida José Carlos Mariátegui, Ate, Lima Metropolitana, Lima, 15474, Perú, (Horacio Zeballos)</t>
  </si>
  <si>
    <t>Avenida Andrés Avelino Cáceres, Ate, Lima Metropolitana, Lima, 15474, Perú</t>
  </si>
  <si>
    <t>Carretera Central, Chaclacayo, Lima Metropolitana, Lima, 15474, Perú, (S07ÑAÑA, Ruta4507nueva era 23-10-23)</t>
  </si>
  <si>
    <t>Avenida Unión, Chaclacayo, Lima Metropolitana, Lima, 15474, Perú, (S07ÑAÑA, Ruta4507nueva era 23-10-23)</t>
  </si>
  <si>
    <t>Carretera Central, Lurigancho, Lima Metropolitana, Lima, 15483, Perú</t>
  </si>
  <si>
    <t>Calle B, Ate, Lima Metropolitana, Lima, 15483, Perú</t>
  </si>
  <si>
    <t>Carretera Central, Ate, Lima Metropolitana, Lima, 15474, Perú, (Horacio Zeballos)</t>
  </si>
  <si>
    <t>Carretera Central, Chaclacayo, Lima Metropolitana, Lima, 15476, Perú, (Ruta4507nueva era 23-10-23)</t>
  </si>
  <si>
    <t>65 km/h</t>
  </si>
  <si>
    <t>57 km/h</t>
  </si>
  <si>
    <t>48 km/h</t>
  </si>
  <si>
    <t>Carretera Central, Chaclacayo, Lima Metropolitana, Lima, 15464, Perú, (Ruta4507nueva era 23-10-23)</t>
  </si>
  <si>
    <t>Avenida Malecón Manco Cápac, Chaclacayo, Lima Metropolitana, Lima, 15472, Perú, (Ruta4507nueva era 23-10-23)</t>
  </si>
  <si>
    <t>55 km/h</t>
  </si>
  <si>
    <t>Carretera Central, Chaclacayo, Lima Metropolitana, Lima, 15464, Perú</t>
  </si>
  <si>
    <t>Avenida Unión, Chaclacayo, Lima Metropolitana, Lima, 15476, Perú, (Ruta4507nueva era 23-10-23)</t>
  </si>
  <si>
    <t>62 km/h</t>
  </si>
  <si>
    <t>Avenida Unión, Chaclacayo, Lima Metropolitana, Lima, 15476, Perú</t>
  </si>
  <si>
    <t>59 km/h</t>
  </si>
  <si>
    <t>Carretera Central, Ate, Lima Metropolitana, Lima, 15474, Perú, (Horacio Zeballos, Ruta4507nueva era 23-10-23)</t>
  </si>
  <si>
    <t>53 km/h</t>
  </si>
  <si>
    <t>Ate, Lima Metropolitana, Lima, 15487, Perú, (Ruta4507nueva era 23-10-23)</t>
  </si>
  <si>
    <t>Carretera Central, Ate, Lima Metropolitana, Lima, 15487, Perú, (S06 SANTA CLARA, Ruta4507nueva era 23-10-23)</t>
  </si>
  <si>
    <t>Avenida Pedro Ruiz Gallo, Ate, Lima Metropolitana, Lima, 15487, Perú, (Ruta4507nueva era 23-10-23)</t>
  </si>
  <si>
    <t>46 km/h</t>
  </si>
  <si>
    <t>Calle Las Praderas, Ate, Lima Metropolitana, Lima, 15487, Perú, (Ruta4507nueva era 23-10-23)</t>
  </si>
  <si>
    <t>Avenida Santa María, Ate, Lima Metropolitana, Lima, 15498, Perú</t>
  </si>
  <si>
    <t>54 km/h</t>
  </si>
  <si>
    <t>Avenida Santa María, Ate, Lima Metropolitana, Lima, 15498, Perú, (RUTA DESVIO TEM.  4507)</t>
  </si>
  <si>
    <t>Avenida Bernardino Rivadavia, Ate, Lima Metropolitana, Lima, 15498, Perú, (RUTA DESVIO TEM.  4507)</t>
  </si>
  <si>
    <t>Avenida Metropolitana, Ate, Lima Metropolitana, Lima, 15498, Perú, (RUTA DESVIO TEM.  4507)</t>
  </si>
  <si>
    <t>Prolongación Javier Prado Este, Ate, Lima Metropolitana, Lima, 15498, Perú, (RUTA DESVIO TEM.  4507)</t>
  </si>
  <si>
    <t>58 km/h</t>
  </si>
  <si>
    <t>Avenida Huancaray, Santa Anita, Lima Metropolitana, Lima, 15009, Perú</t>
  </si>
  <si>
    <t>Avenida Huancaray, Santa Anita, Lima Metropolitana, Lima, 15007, Perú, (RUTA DESVIO TEM.  4507)</t>
  </si>
  <si>
    <t>Avenida Francisco Bolognesi, 1082, Santa Anita, Lima Metropolitana, Lima, 15008, Perú, (RUTA DESVIO TEM.  4507)</t>
  </si>
  <si>
    <t>Avenida Francisco Bolognesi, Santa Anita, Lima Metropolitana, Lima, 15008, Perú, (RUTA DESVIO TEM.  4507)</t>
  </si>
  <si>
    <t>Avenida Manuel de la Torre Ugarte, Santa Anita, Lima Metropolitana, Lima, 15008, Perú, (RUTA DESVIO TEM.  4507)</t>
  </si>
  <si>
    <t>49 km/h</t>
  </si>
  <si>
    <t>Vía de Evitamiento, Santa Anita, Lima Metropolitana, Lima, 15008, Perú, (Ruta4507nueva era 23-10-23)</t>
  </si>
  <si>
    <t>Avenida 1 de Mayo, El Agustino, Lima Metropolitana, Lima, 15002, Perú, (Ruta4507nueva era 23-10-23)</t>
  </si>
  <si>
    <t>Nardos, Ate, Lima Metropolitana, Lima, 15019, Perú</t>
  </si>
  <si>
    <t>Avenida Andrés Avelino Cáceres, Ate, Lima Metropolitana, Lima, 15019, Perú</t>
  </si>
  <si>
    <t>Avenida Almirante Miguel Grau, 1804, Lima, Lima Metropolitana, Lima, 15011, Perú</t>
  </si>
  <si>
    <t>Avenida Nicolás Ayllón, 137, Lima, Lima Metropolitana, Lima, 15011, Perú</t>
  </si>
  <si>
    <t>Avenida Almirante Miguel Grau, Lima, Lima Metropolitana, Lima, 15003, Perú</t>
  </si>
  <si>
    <t>Avenida Almirante Miguel Grau, 1772, Lima, Lima Metropolitana, Lima, 15011, Perú</t>
  </si>
  <si>
    <t>Avenida Almirante Miguel Grau, 1772, Lima, Lima Metropolitana, Lima, 15011, Perú, (Ruta4507nueva era 23-10-23)</t>
  </si>
  <si>
    <t>Avenida Almirante Miguel Grau, 1715, Lima, Lima Metropolitana, Lima, 15011, Perú, (Ruta4507nueva era 23-10-23)</t>
  </si>
  <si>
    <t>Avenida Almirante Miguel Grau, 1652, Lima, Lima Metropolitana, Lima, 15011, Perú, (Ruta4507nueva era 23-10-23)</t>
  </si>
  <si>
    <t>Avenida Almirante Miguel Grau, 1518, Lima, Lima Metropolitana, Lima, 15011, Perú</t>
  </si>
  <si>
    <t>Avenida Almirante Miguel Grau, 354, Lima, Lima Metropolitana, Lima, 15001, Perú, (Ruta4507nueva era 23-10-23)</t>
  </si>
  <si>
    <t>Avenida 28 de Julio, 970, Jesús María, Lima Metropolitana, Lima, 15083, Perú</t>
  </si>
  <si>
    <t>Avenida 28 de Julio, Lima, Lima Metropolitana, Lima, 15083, Perú</t>
  </si>
  <si>
    <t>Avenida 28 de Julio, 715, Jesús María, Lima Metropolitana, Lima, 15083, Perú</t>
  </si>
  <si>
    <t>Jirón Washington, 1607, Lima, Lima Metropolitana, Lima, 15083, Perú</t>
  </si>
  <si>
    <t>39 km/h</t>
  </si>
  <si>
    <t>Jirón Washington, 1556, Lima, Lima Metropolitana, Lima, 15083, Perú</t>
  </si>
  <si>
    <t>Jirón Washington, Lima, Lima Metropolitana, Lima, 15083, Perú</t>
  </si>
  <si>
    <t>Jirón Washington, Lima, Lima Metropolitana, Lima, 15083, Perú, (Ruta4507nueva era 23-10-23)</t>
  </si>
  <si>
    <t>Jirón Quilca, 300, Lima, Lima Metropolitana, Lima, 15001, Perú</t>
  </si>
  <si>
    <t>Jirón Zepita, 399, Lima, Lima Metropolitana, Lima, 15001, Perú</t>
  </si>
  <si>
    <t>Avenida Óscar Raimundo Benavides, 150, Lima, Lima Metropolitana, Lima, 15082, Perú, (Ruta4507nueva era 23-10-23)</t>
  </si>
  <si>
    <t>Ciclovía Colonial, Lima, Lima Metropolitana, Lima, 15082, Perú</t>
  </si>
  <si>
    <t>Avenida Alfonso Ugarte, Lima, Lima Metropolitana, Lima, 15082, Perú, (Ruta4507nueva era 23-10-23)</t>
  </si>
  <si>
    <t>Avenida Alfonso Ugarte, 619, Lima, Lima Metropolitana, Lima, 15082, Perú, (Ruta4507nueva era 23-10-23)</t>
  </si>
  <si>
    <t>Avenida Alfonso Ugarte, Lima, Lima Metropolitana, Lima, 15082, Perú</t>
  </si>
  <si>
    <t>Avenida Alfonso Ugarte, 1280, Breña, Lima Metropolitana, Lima, 15083, Perú, (Ruta4507nueva era 23-10-23)</t>
  </si>
  <si>
    <t>Avenida Guzmán Blanco, 171, Lima, Lima Metropolitana, Lima, 15046, Perú</t>
  </si>
  <si>
    <t>Avenida Guzmán Blanco, Lima, Lima Metropolitana, Lima, 15083, Perú</t>
  </si>
  <si>
    <t>Ciclovía Salaverry, Jesús María, Lima Metropolitana, Lima, 15083, Perú</t>
  </si>
  <si>
    <t>Avenida 28 de Julio, Jesús María, Lima Metropolitana, Lima, 15083, Perú</t>
  </si>
  <si>
    <t>Avenida 28 de Julio, 1056, Jesús María, Lima Metropolitana, Lima, 15083, Perú</t>
  </si>
  <si>
    <t>Vía Expresa Almirante Miguel Grau, La Victoria, Lima Metropolitana, Lima, 15001, Perú, (S02 AV.GRAU/ JR ANDAHUAYLAS, Ruta4507nueva era 23-10-23)</t>
  </si>
  <si>
    <t>Vía Expresa Almirante Miguel Grau, Lima, Lima Metropolitana, Lima, 15001, Perú, (Ruta4507nueva era 23-10-23)</t>
  </si>
  <si>
    <t>Avenida Almirante Miguel Grau, 800, La Victoria, Lima Metropolitana, Lima, 15011, Perú, (Ruta4507nueva era 23-10-23)</t>
  </si>
  <si>
    <t>Avenida Almirante Miguel Grau, 956, La Victoria, Lima Metropolitana, Lima, 15011, Perú, (Ruta4507nueva era 23-10-23)</t>
  </si>
  <si>
    <t>Avenida Almirante Miguel Grau, 1110, La Victoria, Lima Metropolitana, Lima, 15011, Perú, (Ruta4507nueva era 23-10-23)</t>
  </si>
  <si>
    <t>Prolongación Avenida San Pablo, Lima, Lima Metropolitana, Lima, 15011, Perú, (Ruta4507nueva era 23-10-23)</t>
  </si>
  <si>
    <t>Avenida Nicolás de Ayllón, Lima, Lima Metropolitana, Lima, 15011, Perú, (Ruta4507nueva era 23-10-23)</t>
  </si>
  <si>
    <t>Avenida José de la Riva Aguero, Lima, Lima Metropolitana, Lima, 15004, Perú, (Ruta4507nueva era 23-10-23)</t>
  </si>
  <si>
    <t>Calle Ollanta, Lima, Lima Metropolitana, Lima, 15019, Perú</t>
  </si>
  <si>
    <t>Calle 28 de Diciembre, San Luis, Lima Metropolitana, Lima, 15019, Perú, (Ruta4507nueva era 23-10-23)</t>
  </si>
  <si>
    <t>Auxiliar Avenida Circunvalación, La Victoria, Lima Metropolitana, Lima, 15019, Perú</t>
  </si>
  <si>
    <t>Avenida Nicolás de Ayllón, Ate, Lima Metropolitana, Lima, 15002, Perú, (Ruta4507nueva era 23-10-23)</t>
  </si>
  <si>
    <t>Avenida La Molina, Ate, Lima Metropolitana, Lima, 15008, Perú, (Ruta4507nueva era 23-10-23)</t>
  </si>
  <si>
    <t>Avenida Nicolás de Ayllón, 4770, Ate, Lima Metropolitana, Lima, 15498, Perú, (Ruta4507nueva era 23-10-23)</t>
  </si>
  <si>
    <t>Víctor Raúl Haya de la Torre, Ate, Lima Metropolitana, Lima, 15498, Perú, (Ruta4507nueva era 23-10-23)</t>
  </si>
  <si>
    <t>Avenida Nicolás de Ayllón, Ate, Lima Metropolitana, Lima, 15498, Perú, (Ruta4507nueva era 23-10-23)</t>
  </si>
  <si>
    <t>Avenida Nicolás de Ayllón, Ate, Lima Metropolitana, Lima, 15498, Perú, (Ruta4507nueva era 23-10-23, RUTA DESVIO TEM.  4507)</t>
  </si>
  <si>
    <t>Victor Raul Haya de la Torre, Ate, Lima Metropolitana, Lima, 15498, Perú, (Ruta4507nueva era 23-10-23, RUTA DESVIO TEM.  4507)</t>
  </si>
  <si>
    <t>Avenida Nicolás de Ayllón, Ate, Lima Metropolitana, Lima, 15498, Perú, (S05Vitarte/ ALT. Hospital, Ruta4507nueva era 23-10-23)</t>
  </si>
  <si>
    <t>Avenida Nicolás de Ayllón, 5880, Ate, Lima Metropolitana, Lima, 15498, Perú, (S05Vitarte/ ALT. Hospital, Ruta4507nueva era 23-10-23)</t>
  </si>
  <si>
    <t>63 km/h</t>
  </si>
  <si>
    <t>Avenida Nicolás Ayllón, 161 C, Chaclacayo, Lima Metropolitana, Lima, 15464, Perú, (Ruta4507nueva era 23-10-23)</t>
  </si>
  <si>
    <t>Avenida Nicolás Ayllón, 432, Chaclacayo, Lima Metropolitana, Lima, 15472, Perú, (Ruta4507nueva era 23-10-23)</t>
  </si>
  <si>
    <t>Avenida Nicolás Ayllón, Chaclacayo, Lima Metropolitana, Lima, 15472, Perú, (Ruta4507nueva era 23-10-23)</t>
  </si>
  <si>
    <t>Carretera Central, Lurigancho, Lima Metropolitana, Lima, 15472, Perú, (Ruta4507nueva era 23-10-23)</t>
  </si>
  <si>
    <t>Avenida Las Flores, Lurigancho, Lima Metropolitana, Lima, 15468, Perú, (Ruta4507nueva era 23-10-23)</t>
  </si>
  <si>
    <t>Avenida Lima Sur, 824, Chosica, Lima Metropolitana, Lima, 15468, Perú</t>
  </si>
  <si>
    <t>Avenida Lima Sur, Chosica, Lima Metropolitana, Lima, 15468, Perú, (Ruta4507nueva era 23-10-23)</t>
  </si>
  <si>
    <t>Avenida Lima Sur, 275, Chosica, Lima Metropolitana, Lima, 15468, Perú, (Ruta4507nueva era 23-10-23)</t>
  </si>
  <si>
    <t>Avenida Lima Norte, Chosica, Lima Metropolitana, Lima, 15468, Perú, (Ruta4507nueva era 23-10-23)</t>
  </si>
  <si>
    <t>Calle 20 de Enero, Santa Eulalia, Huarochirí, Lima, 15468, Perú, (Ruta4507nueva era 23-10-23)</t>
  </si>
  <si>
    <t>Avenida Lima Norte, Santa Eulalia, Huarochirí, Lima, 15468, Perú, (Ruta4507nueva era 23-10-23)</t>
  </si>
  <si>
    <t>Avenida Lima Norte, 180, Chosica, Lima Metropolitana, Lima, 15468, Perú, (Ruta4507nueva era 23-10-23)</t>
  </si>
  <si>
    <t>Avenida Lima Norte, 178, Chosica, Lima Metropolitana, Lima, 15468, Perú, (Ruta4507nueva era 23-10-23)</t>
  </si>
  <si>
    <t>Jirón Trujillo Sur, Chosica, Lima Metropolitana, Lima, 15468, Perú, (Ruta4507nueva era 23-10-23)</t>
  </si>
  <si>
    <t>Jirón Tacna, Chosica, Lima Metropolitana, Lima, 15468, Perú</t>
  </si>
  <si>
    <t>Avenida Lima Sur, 765, Chosica, Lima Metropolitana, Lima, 15468, Perú, (Ruta4507nueva era 23-10-23)</t>
  </si>
  <si>
    <t>Avenida Lima Sur, Chosica, Lima Metropolitana, Lima, 15468, Perú, (S09 CHOSICA/ PEDREGAL, Ruta4507nueva era 23-10-23)</t>
  </si>
  <si>
    <t>Avenida Lima Sur, 1205, Chosica, Lima Metropolitana, Lima, 15468, Perú, (Ruta4507nueva era 23-10-23)</t>
  </si>
  <si>
    <t>Avenida Lima Sur, 1254, Chosica, Lima Metropolitana, Lima, 15468, Perú, (Ruta4507nueva era 23-10-23)</t>
  </si>
  <si>
    <t>Avenida Las Flores, Chosica, Lima Metropolitana, Lima, 15468, Perú, (Ruta4507nueva era 23-10-23)</t>
  </si>
  <si>
    <t>43 km/h</t>
  </si>
  <si>
    <t>Chaclacayo, Lima Metropolitana, Lima, 15472, Perú, (Ruta4507nueva era 23-10-23)</t>
  </si>
  <si>
    <t>Avenida Nicolás Ayllón, 2226, Chaclacayo, Lima Metropolitana, Lima, 15472, Perú, (Ruta4507nueva era 23-10-23)</t>
  </si>
  <si>
    <t>Avenida Jaime Zubieta Calderon, Ate, Lima Metropolitana, Lima, 15483, Perú, (Ruta4507nueva era 23-10-23)</t>
  </si>
  <si>
    <t>Ate, Lima Metropolitana, Lima, 15487, Perú, (S06 SANTA CLARA, Ruta4507nueva era 23-10-23)</t>
  </si>
  <si>
    <t>Avenida Nicolás de Ayllón, 816-818, Ate, Lima Metropolitana, Lima, 15487, Perú, (Ruta4507nueva era 23-10-23)</t>
  </si>
  <si>
    <t>Avenida Nicolás de Ayllón, 5818, Ate, Lima Metropolitana, Lima, 15498, Perú, (Ruta4507nueva era 23-10-23)</t>
  </si>
  <si>
    <t>Victor Raul Haya de la Torre, Ate, Lima Metropolitana, Lima, 15498, Perú, (Ruta4507nueva era 23-10-23)</t>
  </si>
  <si>
    <t>Avenida Nicolás de Ayllón, km 6.5, Ate, Lima Metropolitana, Lima, 15498, Perú</t>
  </si>
  <si>
    <t>Avenida Nicolás de Ayllón, Santa Anita, Lima Metropolitana, Lima, 15498, Perú, (Ruta4507nueva era 23-10-23)</t>
  </si>
  <si>
    <t>Las Alondras, Santa Anita, Lima Metropolitana, Lima, 15008, Perú, (Ruta4507nueva era 23-10-23)</t>
  </si>
  <si>
    <t>Avenida Nicolás de Ayllón, Santa Anita, Lima Metropolitana, Lima, 15008, Perú, (Ruta4507nueva era 23-10-23)</t>
  </si>
  <si>
    <t>Avenida Andrés Avelino Cáceres, 324, Ate, Lima Metropolitana, Lima, 15019, Perú</t>
  </si>
  <si>
    <t>Calle Ollanta, San Luis, Lima Metropolitana, Lima, 15019, Perú</t>
  </si>
  <si>
    <t>Calle Angel Cepollini, San Luis, Lima Metropolitana, Lima, 15019, Perú</t>
  </si>
  <si>
    <t>Avenida Inca Garcilazo de la Vega, El Agustino, Lima Metropolitana, Lima, 15004, Perú</t>
  </si>
  <si>
    <t>Avenida Nicolás de Ayllón, Lima, Lima Metropolitana, Lima, 15004, Perú, (Ruta4507nueva era 23-10-23)</t>
  </si>
  <si>
    <t>Jirón Junín, El Agustino, Lima Metropolitana, Lima, 15011, Perú</t>
  </si>
  <si>
    <t>Avenida Almirante Miguel Grau, 1323, Lima, Lima Metropolitana, Lima, 15011, Perú, (Ruta4507nueva era 23-10-23)</t>
  </si>
  <si>
    <t>Avenida Almirante Miguel Grau, 1356, Lima, Lima Metropolitana, Lima, 15011, Perú, (Ruta4507nueva era 23-10-23)</t>
  </si>
  <si>
    <t>Avenida Almirante Miguel Grau, 510, Lima, Lima Metropolitana, Lima, 15001, Perú, (Ruta4507nueva era 23-10-23)</t>
  </si>
  <si>
    <t>Metropolitano, Lima, Lima Metropolitana, Lima, 15001, Perú, (Ruta4507nueva era 23-10-23)</t>
  </si>
  <si>
    <t>Avenida Paseo de la República, Lima, Lima Metropolitana, Lima, 15083, Perú, (Ruta4507nueva era 23-10-23)</t>
  </si>
  <si>
    <t>Vía Expresa Luis Fernán Bedoya Reyes, La Victoria, Lima Metropolitana, Lima, 15001, Perú, (Ruta4507nueva era 23-10-23)</t>
  </si>
  <si>
    <t>Avenida Almirante Miguel Grau, La Victoria, Lima Metropolitana, Lima, 15001, Perú, (Ruta4507nueva era 23-10-23)</t>
  </si>
  <si>
    <t>Avenida Almirante Miguel Grau, 1400, Lima, Lima Metropolitana, Lima, 15011, Perú, (Ruta4507nueva era 23-10-23)</t>
  </si>
  <si>
    <t>Avenida Almirante Miguel Grau, Lima, Lima Metropolitana, Lima, 15011, Perú</t>
  </si>
  <si>
    <t>Prolongación Avenida San Pablo, Lima, Lima Metropolitana, Lima, 15011, Perú</t>
  </si>
  <si>
    <t>Avenida Inca Garcilazo de la Vega, El Agustino, Lima Metropolitana, Lima, 15004, Perú, (Ruta4507nueva era 23-10-23)</t>
  </si>
  <si>
    <t>Inca Garcilaso de la Vega, Lima, Lima Metropolitana, Lima, 15019, Perú</t>
  </si>
  <si>
    <t>Avenida Nicolás Arriola, 2976, San Luis, Lima Metropolitana, Lima, 15019, Perú, (RUTA DESVIO TEM.  4507)</t>
  </si>
  <si>
    <t>Avenida Nicolás Arriola, San Luis, Lima Metropolitana, Lima, 15019, Perú, (RUTA DESVIO TEM.  4507)</t>
  </si>
  <si>
    <t>Avenida Nicolás de Ayllón, Ate, Lima Metropolitana, Lima, 15008, Perú, (Ruta4507nueva era 23-10-23, RUTA DESVIO TEM.  4507)</t>
  </si>
  <si>
    <t>Avenida Santiago de Chuco, Santa Anita, Lima Metropolitana, Lima, 15008, Perú, (RUTA DESVIO TEM.  4507)</t>
  </si>
  <si>
    <t>Avenida Huancaray, Santa Anita, Lima Metropolitana, Lima, 15009, Perú, (S04 AV. Metropolitana / Colectora Industrial, RUTA DESVIO TEM.  4507)</t>
  </si>
  <si>
    <t>Avenida Metropolitana, Ate, Lima Metropolitana, Lima, 15498, Perú</t>
  </si>
  <si>
    <t>Avenida Bernardino Rivadavia, F1, Ate, Lima Metropolitana, Lima, 15498, Perú</t>
  </si>
  <si>
    <t>Calle 4, Ate, Lima Metropolitana, Lima, 15498, Perú</t>
  </si>
  <si>
    <t>Avenida Nicolás de Ayllón, 5818, Ate, Lima Metropolitana, Lima, 15498, Perú</t>
  </si>
  <si>
    <t>Avenida Nicolás de Ayllón, 500, Ate, Lima Metropolitana, Lima, 15498, Perú, (Ruta4507nueva era 23-10-23)</t>
  </si>
  <si>
    <t>Avenida Nicolás de Ayllón, 6376, Ate, Lima Metropolitana, Lima, 15498, Perú, (Ruta4507nueva era 23-10-23)</t>
  </si>
  <si>
    <t>Avenida Nicolás de Ayllón, 836, Ate, Lima Metropolitana, Lima, 15487, Perú, (Ruta4507nueva era 23-10-23)</t>
  </si>
  <si>
    <t>Carretera Central, 1030, Ate, Lima Metropolitana, Lima, 15487, Perú, (Ruta4507nueva era 23-10-23)</t>
  </si>
  <si>
    <t>Avenida Nueva Neópolis, Ate, Lima Metropolitana, Lima, 15487, Perú, (Ruta4507nueva era 23-10-23)</t>
  </si>
  <si>
    <t>44 km/h</t>
  </si>
  <si>
    <t>Avenida Gloria Grande, Ate, Lima Metropolitana, Lima, 15483, Perú, (Ruta4507nueva era 23-10-23)</t>
  </si>
  <si>
    <t>Avenida Jaime Zubieta Calderón, Ate, Lima Metropolitana, Lima, 15483, Perú</t>
  </si>
  <si>
    <t>Avenida Jaime Zubieta Calderon, Ate, Lima Metropolitana, Lima, 15483, Perú</t>
  </si>
  <si>
    <t>Avenida José Carlos Mariátegui, Ate, Lima Metropolitana, Lima, 15474, Perú, (Horacio Zeballos, Ruta4507nueva era 23-10-23)</t>
  </si>
  <si>
    <t>Avenida Las Flores, Lurigancho, Lima Metropolitana, Lima, 15472, Perú, (Ruta4507nueva era 23-10-23)</t>
  </si>
  <si>
    <t>Avenida Lima Sur, Chosica, Lima Metropolitana, Lima, 15468, Perú</t>
  </si>
  <si>
    <t>Ricardo Palma, Huarochirí, Lima, 15468, Perú, (CURVA RICARDO PALMA, Ruta4507nueva era 23-10-23)</t>
  </si>
  <si>
    <t>Simón Bolívar, Ricardo Palma, Huarochirí, Lima, 15468, Perú</t>
  </si>
  <si>
    <t>Simón Bolívar, Ricardo Palma, Huarochirí, Lima, 15468, Perú, (TALLER TRASANDINO, Ruta4507nueva era 23-10-23)</t>
  </si>
  <si>
    <t>Simón Bolívar, Ricardo Palma, Huarochirí, Lima, 15468, Perú, (Ruta4507nueva era 23-10-23)</t>
  </si>
  <si>
    <t>Simón Bolívar, Ricardo Palma, Huarochirí, Lima, 15468, Perú, (CURVA RICARDO PALMA, Ruta4507nueva era 23-10-23)</t>
  </si>
  <si>
    <t>Avenida Lima Norte, 574, Santa Eulalia, Lima Metropolitana, Lima, 15468, Perú, (Ruta4507nueva era 23-10-23)</t>
  </si>
  <si>
    <t>Avenida Lima Norte, 599, Chosica, Lima Metropolitana, Lima, 15468, Perú, (Ruta4507nueva era 23-10-23)</t>
  </si>
  <si>
    <t>Avenida Lima Sur, 824, Chosica, Lima Metropolitana, Lima, 15468, Perú, (Ruta4507nueva era 23-10-23)</t>
  </si>
  <si>
    <t>Avenida Las Flores, 29000, Lurigancho, Lima Metropolitana, Lima, 15472, Perú, (Ruta4507nueva era 23-10-23)</t>
  </si>
  <si>
    <t>Avenida Unión, Chaclacayo, Lima Metropolitana, Lima, 15474, Perú, (S07ÑAÑA)</t>
  </si>
  <si>
    <t>Carretera Central, Ate, Lima Metropolitana, Lima, 15483, Perú, (Ruta4507nueva era 23-10-23)</t>
  </si>
  <si>
    <t>Avenida Minería, Santa Anita, Lima Metropolitana, Lima, 15008, Perú, (RUTA DESVIO TEM.  4507)</t>
  </si>
  <si>
    <t>Avenida Nicolás de Ayllón, 2691, El Agustino, Lima Metropolitana, Lima, 15002, Perú, (Ruta4507nueva era 23-10-23, RUTA DESVIO TEM.  4507)</t>
  </si>
  <si>
    <t>Avenida Nicolás de Ayllón, Ate, Lima Metropolitana, Lima, 15022, Perú, (Ruta4507nueva era 23-10-23, RUTA DESVIO TEM.  4507)</t>
  </si>
  <si>
    <t>15 de Abril, El Agustino, Lima Metropolitana, Lima, 15004, Perú</t>
  </si>
  <si>
    <t>Avenida Almirante Miguel Grau, Lima, Lima Metropolitana, Lima, 15011, Perú, (Ruta4507nueva era 23-10-23)</t>
  </si>
  <si>
    <t>Avenida Almirante Miguel Grau, 1586, Lima, Lima Metropolitana, Lima, 15011, Perú, (Ruta4507nueva era 23-10-23)</t>
  </si>
  <si>
    <t>Avenida Almirante Miguel Grau, 1233, Lima, Lima Metropolitana, Lima, 15011, Perú, (Ruta4507nueva era 23-10-23)</t>
  </si>
  <si>
    <t>Avenida Almirante Miguel Grau, 1188, Lima, Lima Metropolitana, Lima, 15011, Perú, (Ruta4507nueva era 23-10-23)</t>
  </si>
  <si>
    <t>Avenida Almirante Miguel Grau, 113, Lima, Lima Metropolitana, Lima, 15001, Perú, (Ruta4507nueva era 23-10-23)</t>
  </si>
  <si>
    <t>Avenida Paseo de la República, 111, Lima, Lima Metropolitana, Lima, 15001, Perú</t>
  </si>
  <si>
    <t>Avenida Franklin D. Roosevelt, Lima, Lima Metropolitana, Lima, 15001, Perú</t>
  </si>
  <si>
    <t>Avenida Paseo de la República, Lima, Lima Metropolitana, Lima, 15001, Perú</t>
  </si>
  <si>
    <t>Jirón Washington, 1232, Lima, Lima Metropolitana, Lima, 15001, Perú</t>
  </si>
  <si>
    <t>Jirón Davalos Lisson, Lima, Lima Metropolitana, Lima, 15001, Perú</t>
  </si>
  <si>
    <t>Avenida Óscar Raimundo Benavides, 150, Lima, Lima Metropolitana, Lima, 15082, Perú</t>
  </si>
  <si>
    <t>Ciclovía Colonial, Lima, Lima Metropolitana, Lima, 15082, Perú, (Ruta4507nueva era 23-10-23)</t>
  </si>
  <si>
    <t>Avenida Alfonso Ugarte, 650, Lima, Lima Metropolitana, Lima, 15082, Perú, (Ruta4507nueva era 23-10-23)</t>
  </si>
  <si>
    <t>Avenida Alfonso Ugarte, 650, Lima, Lima Metropolitana, Lima, 15082, Perú</t>
  </si>
  <si>
    <t>Jirón Pomabamba, Breña, Lima Metropolitana, Lima, 15082, Perú, (Ruta4507nueva era 23-10-23)</t>
  </si>
  <si>
    <t>Avenida Alfonso Ugarte, 1006, Lima, Lima Metropolitana, Lima, 15082, Perú, (Ruta4507nueva era 23-10-23)</t>
  </si>
  <si>
    <t>Avenida Alfonso Ugarte, Breña, Lima Metropolitana, Lima, 15082, Perú, (S01Alfonso Ugarte/ Metro, Ruta4507nueva era 23-10-23)</t>
  </si>
  <si>
    <t>Avenida Alfonso Ugarte, Breña, Lima Metropolitana, Lima, 15082, Perú, (Ruta4507nueva era 23-10-23)</t>
  </si>
  <si>
    <t>Jirón Iquique, 459, Breña, Lima Metropolitana, Lima, 15082, Perú</t>
  </si>
  <si>
    <t>Jirón Iquique, 585, Breña, Lima Metropolitana, Lima, 15082, Perú</t>
  </si>
  <si>
    <t>Jirón Iquique, 588, Breña, Lima Metropolitana, Lima, 15082, Perú</t>
  </si>
  <si>
    <t>Avenida Bolivia, 576, Breña, Lima Metropolitana, Lima, 15083, Perú</t>
  </si>
  <si>
    <t>Avenida Bolivia, 651, Breña, Lima Metropolitana, Lima, 15083, Perú</t>
  </si>
  <si>
    <t>Avenida Bolivia, 527, Breña, Lima Metropolitana, Lima, 15083, Perú</t>
  </si>
  <si>
    <t>Avenida Bolivia, 475, Breña, Lima Metropolitana, Lima, 15083, Perú</t>
  </si>
  <si>
    <t>Avenida Bolivia, Lima, Lima Metropolitana, Lima, 15001, Perú</t>
  </si>
  <si>
    <t>Avenida Bolivia, 180, Lima, Lima Metropolitana, Lima, 15001, Perú</t>
  </si>
  <si>
    <t>Avenida Nicolás de Ayllón, San Luis, Lima Metropolitana, Lima, 15022, Perú, (Ruta4507nueva era 23-10-23, RUTA DESVIO TEM.  4507)</t>
  </si>
  <si>
    <t>Calle Santa Inés, Ate, Lima Metropolitana, Lima, 15008, Perú, (Ruta4507nueva era 23-10-23, RUTA DESVIO TEM.  4507)</t>
  </si>
  <si>
    <t>Avenida Los Cipreses, Santa Anita, Lima Metropolitana, Lima, 15002, Perú, (RUTA DESVIO TEM.  4507)</t>
  </si>
  <si>
    <t>Los Sauces, Santa Anita, Lima Metropolitana, Lima, 15002, Perú, (RUTA DESVIO TEM.  4507)</t>
  </si>
  <si>
    <t>Prolongación Javier Prado Este, Ate, Lima Metropolitana, Lima, 15498, Perú</t>
  </si>
  <si>
    <t>Avenida Nicolás de Ayllón, Ate, Lima Metropolitana, Lima, 15487, Perú</t>
  </si>
  <si>
    <t>Carretera Central, 1030, Ate, Lima Metropolitana, Lima, 15487, Perú</t>
  </si>
  <si>
    <t>Venta, Ate, Lima Metropolitana, Lima, 15474, Perú</t>
  </si>
  <si>
    <t>Avenida Malecón Manco Cápac, Chaclacayo, Lima Metropolitana, Lima, 15472, Perú</t>
  </si>
  <si>
    <t>Avenida Central, Ate, Lima Metropolitana, Lima, 15498, Perú, (Ruta4507nueva era 23-10-23, RUTA DESVIO TEM.  4507)</t>
  </si>
  <si>
    <t>Jirón San Martín de Porres, Ate, Lima Metropolitana, Lima, 15498, Perú, (Ruta4507nueva era 23-10-23, RUTA DESVIO TEM.  4507)</t>
  </si>
  <si>
    <t>Avenida Santa Rosa, Santa Anita, Lima Metropolitana, Lima, 15007, Perú, (RUTA DESVIO TEM.  4507)</t>
  </si>
  <si>
    <t>Avenida Huancaray, Santa Anita, Lima Metropolitana, Lima, 15008, Perú, (RUTA DESVIO TEM.  4507)</t>
  </si>
  <si>
    <t>Avenida Los Ruiseñores, Santa Anita, Lima Metropolitana, Lima, 15008, Perú, (RUTA DESVIO TEM.  4507)</t>
  </si>
  <si>
    <t>Avenida Nicolás de Ayllón, El Agustino, Lima Metropolitana, Lima, 15008, Perú, (Ruta4507nueva era 23-10-23, RUTA DESVIO TEM.  4507)</t>
  </si>
  <si>
    <t>Vía de Evitamiento, Ate, Lima Metropolitana, Lima, 15008, Perú, (Ruta4507nueva era 23-10-23, RUTA DESVIO TEM.  4507)</t>
  </si>
  <si>
    <t>Calle Santa Inés, Ate, Lima Metropolitana, Lima, 15008, Perú</t>
  </si>
  <si>
    <t>Vía de Evitamiento, Santa Anita, Lima Metropolitana, Lima, 15002, Perú, (RUTA DESVIO TEM.  4507)</t>
  </si>
  <si>
    <t>Calle Digoberto Ojeda, Ricardo Palma, Huarochirí, Lima, 15468, Perú</t>
  </si>
  <si>
    <t>Jirón Cornelio Borda, Lima, Lima Metropolitana, Lima, 15082, Perú, (PARADERO DESTINO ASCOPE, Ruta4507nueva era 23-10-23)</t>
  </si>
  <si>
    <t>Jirón Cornelio Borda, Lima, Lima Metropolitana, Lima, 15082, Perú, (PARADERO DESTINO ASCOPE)</t>
  </si>
  <si>
    <t>Pasaje Gould, Lima, Lima Metropolitana, Lima, 15082, Perú, (PARADERO DESTINO ASCOPE)</t>
  </si>
  <si>
    <t>Jose Carlos Mariátegui, Chosica, Lima Metropolitana, Lima, 15468, Perú, (PARADERO RICARDO PALMA)</t>
  </si>
  <si>
    <t>Avenida Circunvalación, 564, La Victoria, Lima Metropolitana, Lima, 15019, Perú</t>
  </si>
  <si>
    <t>Avenida Río Perene, Ate, Lima Metropolitana, Lima, 15498, Perú</t>
  </si>
  <si>
    <t>Calle Arequipa, Ate, Lima Metropolitana, Lima, 15498, Perú</t>
  </si>
  <si>
    <t>Avenida De Las Torres, San Luis, Lima Metropolitana, Lima, 15022, Perú</t>
  </si>
  <si>
    <t>Avenida Almirante Miguel Grau, 1832, Lima, Lima Metropolitana, Lima, 15011, Perú</t>
  </si>
  <si>
    <t>Avenida Unión, Chaclacayo, Lima Metropolitana, Lima, 15474, Perú</t>
  </si>
  <si>
    <t>Avenida Andrés Avelino Cáceres, Frnt. 34, Ate, Lima Metropolitana, Lima, 15483, Perú</t>
  </si>
  <si>
    <t>Avenida Nicolás Ayllón, Chaclacayo, Lima Metropolitana, Lima, 15472, Perú</t>
  </si>
  <si>
    <t>Ricardo Palma, Huarochirí, Lima, 15468, Perú, (Ruta4507nueva era 23-10-23)</t>
  </si>
  <si>
    <t>Avenida José Carlos Mariátegui, Ricardo Palma, Huarochirí, Lima, 15468, Perú, (CURVA RICARDO PALMA, Ruta4507nueva era 23-10-23)</t>
  </si>
  <si>
    <t>Jirón Cornelio Borda, Lima, Lima Metropolitana, Lima, 15082, Perú</t>
  </si>
  <si>
    <t>Avenida Nicolás de Ayllón, 1308, Ate, Lima Metropolitana, Lima, 15009, Perú, (Ruta4507nueva era 23-10-23)</t>
  </si>
  <si>
    <t>Avenida Lima Norte, Santa Eulalia, Huarochirí, Lima, 15468, Perú</t>
  </si>
  <si>
    <t>Avenida San Martín, Santa Eulalia, Huarochirí, Lima, 15468, Perú</t>
  </si>
  <si>
    <t>Víctor Raúl Haya de la Torre, Ate, Lima Metropolitana, Lima, 15498, Perú</t>
  </si>
  <si>
    <t>Calle Alhelíes, Chaclacayo, Lima Metropolitana, Lima, 15476, Perú</t>
  </si>
  <si>
    <t>Avenida Integración, Chaclacayo, Lima Metropolitana, Lima, 15476, Perú</t>
  </si>
  <si>
    <t>Avenida Panamericana Sur, Santiago de Surco, Lima Metropolitana, Lima, 10853, Perú</t>
  </si>
  <si>
    <t>Avenida Almirante Miguel Grau, 766, Lima, Lima Metropolitana, Lima, 15001, Perú, (Ruta4507nueva era 23-10-23)</t>
  </si>
  <si>
    <t>Calle Los Ficus, Chaclacayo, Lima Metropolitana, Lima, 15472, Perú</t>
  </si>
  <si>
    <t>73 km/h</t>
  </si>
  <si>
    <t>Avenida 15 de Julio, Nº 512 UVC 3, Ate, Lima Metropolitana, Lima, 15483, Perú</t>
  </si>
  <si>
    <t>Avenida 15 de Julio, Ate, Lima Metropolitana, Lima, 15483, Perú</t>
  </si>
  <si>
    <t>Calle Cesar Vallejo, Ricardo Palma, Huarochirí, Lima, 15468, Perú</t>
  </si>
  <si>
    <t>100 km/h</t>
  </si>
  <si>
    <t>Ricardo Palma, Huarochirí, Lima, 15468, Perú</t>
  </si>
  <si>
    <t>Avenida Paseo de la República, Lima, Lima Metropolitana, Lima, 15083, Perú</t>
  </si>
  <si>
    <t>Avenida Santa Ana, Santa Anita, Lima Metropolitana, Lima, 15009, Perú</t>
  </si>
  <si>
    <t>Jirón Coronel Miguel Baquero, 190, Lima, Lima Metropolitana, Lima, 15082, Perú</t>
  </si>
  <si>
    <t>Avenida Gloria Grande, Ate, Lima Metropolitana, Lima, 15483, Perú</t>
  </si>
  <si>
    <t>Avenida Almirante Miguel Grau, 300, La Victoria, Lima Metropolitana, Lima, 15001, Perú, (Ruta4507nueva era 23-10-23)</t>
  </si>
  <si>
    <t>Avenida Nicolás Ayllón, 137, Lima, Lima Metropolitana, Lima, 15011, Perú, (Ruta4507nueva era 23-10-23)</t>
  </si>
  <si>
    <t>Calle Camino Real, Santa Eulalia, Lima Metropolitana, Lima, 15468, Perú</t>
  </si>
  <si>
    <t>Marcos Puente Llanos, Ate, Lima Metropolitana, Lima, 15498, Perú</t>
  </si>
  <si>
    <t>Simón Bolívar, Ricardo Palma, Huarochirí, Lima, 15468, Perú, (TALLER TRASANDINO)</t>
  </si>
  <si>
    <t>Avenida 9 de Diciembre, 371, Lima, Lima Metropolitana, Lima, 15083, Perú, (Ruta4507nueva era 23-10-23)</t>
  </si>
  <si>
    <t>Carretera Central, Lurigancho, Lima Metropolitana, Lima, 15483, Perú, (Ruta4507nueva era 23-10-23)</t>
  </si>
  <si>
    <t>Carretera Central, Ate, Lima Metropolitana, Lima, 15487, Perú, (S06 SANTA CLARA)</t>
  </si>
  <si>
    <t>Calle 5, Chaclacayo, Lima Metropolitana, Lima, 15474, Perú</t>
  </si>
  <si>
    <t>130 km/h</t>
  </si>
  <si>
    <t>Chaclacayo, Lima Metropolitana, Lima, 15474, Perú</t>
  </si>
  <si>
    <t>Jirón Los Próceres, Santa Eulalia, Huarochirí, Lima, 15468, Perú</t>
  </si>
  <si>
    <t>Jirón Los Próceres, Santa Eulalia, Huarochirí, Lima, 15468, Perú, (Ruta4507nueva era 23-10-23)</t>
  </si>
  <si>
    <t>Avenida Palomar Sur, Santa Eulalia, Huarochirí, Lima, 15468, Perú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</si>
  <si>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</si>
  <si>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</si>
  <si>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</si>
  <si>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</si>
  <si>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</si>
  <si>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</si>
  <si>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</si>
  <si>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</si>
  <si>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</si>
  <si>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</si>
  <si>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</si>
  <si>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</si>
  <si>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</si>
  <si>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</si>
  <si>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</si>
  <si>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</si>
  <si>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</si>
  <si>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</si>
  <si>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</si>
  <si>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</si>
  <si>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</si>
  <si>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</si>
  <si>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</si>
  <si>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</si>
  <si>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</si>
  <si>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</si>
  <si>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</si>
  <si>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</si>
  <si>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</si>
  <si>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</si>
  <si>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</si>
  <si>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</si>
  <si>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</si>
  <si>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</si>
  <si>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</si>
  <si>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</si>
  <si>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</si>
  <si>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</si>
  <si>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</si>
  <si>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</si>
  <si>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</si>
  <si>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</si>
  <si>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</si>
  <si>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</si>
  <si>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</si>
  <si>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</si>
  <si>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>Objeto 47</t>
  </si>
  <si>
    <t>Objeto 48</t>
  </si>
  <si>
    <t>Objeto 49</t>
  </si>
  <si>
    <t>Objeto 50</t>
  </si>
  <si>
    <t>Objeto 51</t>
  </si>
  <si>
    <t>Objeto 52</t>
  </si>
  <si>
    <t>Objeto 53</t>
  </si>
  <si>
    <t>Objeto 54</t>
  </si>
  <si>
    <t>Objeto 55</t>
  </si>
  <si>
    <t>Objeto 56</t>
  </si>
  <si>
    <t>Objeto 57</t>
  </si>
  <si>
    <t>Objeto 58</t>
  </si>
  <si>
    <t>Objeto 59</t>
  </si>
  <si>
    <t>Objeto 60</t>
  </si>
  <si>
    <t>Objeto 61</t>
  </si>
  <si>
    <t>Objeto 62</t>
  </si>
  <si>
    <t>Objeto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</si>
</sst>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6"/>
  <sheetViews>
    <sheetView tabSelected="1" workbookViewId="0">
      <selection activeCell="A5" sqref="A5:J5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</row>
    <row r="2" spans="1:13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</row>
    <row r="3" spans="1:13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</row>
    <row r="4" spans="1:13" x14ac:dyDescent="0.25">
      <c r="A4" s="12" t="s">
        <v>3</v>
      </c>
      <c r="B4" s="12"/>
      <c r="C4" s="12"/>
      <c r="D4" s="12"/>
      <c r="E4" s="12"/>
      <c r="F4" s="12"/>
      <c r="G4" s="12"/>
      <c r="H4" s="12"/>
      <c r="I4" s="12"/>
      <c r="J4" s="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spans="1:13" s="1" customFormat="1" x14ac:dyDescent="0.25">
      <c r="A6" s="13" t="s">
        <v>4</v>
      </c>
      <c r="B6" s="13"/>
      <c r="C6" s="13"/>
      <c r="D6" s="13"/>
      <c r="E6" s="13"/>
      <c r="F6" s="13"/>
      <c r="G6" s="13"/>
      <c r="H6" s="13"/>
      <c r="I6" s="13"/>
      <c r="J6" s="13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505</v>
      </c>
      <c r="B8" s="3">
        <v>45696.235995370371</v>
      </c>
      <c r="C8" t="s">
        <v>18</v>
      </c>
      <c r="D8" s="3">
        <v>45696.953611111108</v>
      </c>
      <c r="E8" t="s">
        <v>18</v>
      </c>
      <c r="F8" s="4">
        <v>145.81100000000001</v>
      </c>
      <c r="G8" s="4">
        <v>513216.84</v>
      </c>
      <c r="H8" s="4">
        <v>513362.65100000001</v>
      </c>
      <c r="I8" s="5">
        <f>27491 / 86400</f>
        <v>0.31818287037037035</v>
      </c>
      <c r="J8" t="s">
        <v>19</v>
      </c>
      <c r="K8" t="s">
        <v>20</v>
      </c>
      <c r="L8" s="5">
        <f>49443 / 86400</f>
        <v>0.57225694444444442</v>
      </c>
      <c r="M8" s="5">
        <f>36948 / 86400</f>
        <v>0.4276388888888889</v>
      </c>
    </row>
    <row r="9" spans="1:13" x14ac:dyDescent="0.25">
      <c r="A9" t="s">
        <v>506</v>
      </c>
      <c r="B9" s="3">
        <v>45696.723495370374</v>
      </c>
      <c r="C9" t="s">
        <v>21</v>
      </c>
      <c r="D9" s="3">
        <v>45696.736793981487</v>
      </c>
      <c r="E9" t="s">
        <v>22</v>
      </c>
      <c r="F9" s="4">
        <v>4.8129999999999997</v>
      </c>
      <c r="G9" s="4">
        <v>18074.314999999999</v>
      </c>
      <c r="H9" s="4">
        <v>18079.128000000001</v>
      </c>
      <c r="I9" s="5">
        <f>360 / 86400</f>
        <v>4.1666666666666666E-3</v>
      </c>
      <c r="J9" t="s">
        <v>23</v>
      </c>
      <c r="K9" t="s">
        <v>24</v>
      </c>
      <c r="L9" s="5">
        <f>1149 / 86400</f>
        <v>1.3298611111111112E-2</v>
      </c>
      <c r="M9" s="5">
        <f>85250 / 86400</f>
        <v>0.98668981481481477</v>
      </c>
    </row>
    <row r="10" spans="1:13" x14ac:dyDescent="0.25">
      <c r="A10" t="s">
        <v>507</v>
      </c>
      <c r="B10" s="3">
        <v>45696.316388888888</v>
      </c>
      <c r="C10" t="s">
        <v>25</v>
      </c>
      <c r="D10" s="3">
        <v>45696.891689814816</v>
      </c>
      <c r="E10" t="s">
        <v>25</v>
      </c>
      <c r="F10" s="4">
        <v>135.38399999999999</v>
      </c>
      <c r="G10" s="4">
        <v>327665.78899999999</v>
      </c>
      <c r="H10" s="4">
        <v>327801.174</v>
      </c>
      <c r="I10" s="5">
        <f>13017 / 86400</f>
        <v>0.15065972222222221</v>
      </c>
      <c r="J10" t="s">
        <v>26</v>
      </c>
      <c r="K10" t="s">
        <v>24</v>
      </c>
      <c r="L10" s="5">
        <f>31811 / 86400</f>
        <v>0.3681828703703704</v>
      </c>
      <c r="M10" s="5">
        <f>54583 / 86400</f>
        <v>0.6317476851851852</v>
      </c>
    </row>
    <row r="11" spans="1:13" x14ac:dyDescent="0.25">
      <c r="A11" t="s">
        <v>508</v>
      </c>
      <c r="B11" s="3">
        <v>45696.253958333335</v>
      </c>
      <c r="C11" t="s">
        <v>27</v>
      </c>
      <c r="D11" s="3">
        <v>45696.990370370375</v>
      </c>
      <c r="E11" t="s">
        <v>27</v>
      </c>
      <c r="F11" s="4">
        <v>217.76</v>
      </c>
      <c r="G11" s="4">
        <v>512357.76</v>
      </c>
      <c r="H11" s="4">
        <v>512575.52</v>
      </c>
      <c r="I11" s="5">
        <f>16392 / 86400</f>
        <v>0.18972222222222221</v>
      </c>
      <c r="J11" t="s">
        <v>26</v>
      </c>
      <c r="K11" t="s">
        <v>28</v>
      </c>
      <c r="L11" s="5">
        <f>48329 / 86400</f>
        <v>0.55936342592592592</v>
      </c>
      <c r="M11" s="5">
        <f>38064 / 86400</f>
        <v>0.44055555555555553</v>
      </c>
    </row>
    <row r="12" spans="1:13" x14ac:dyDescent="0.25">
      <c r="A12" t="s">
        <v>509</v>
      </c>
      <c r="B12" s="3">
        <v>45696.199733796297</v>
      </c>
      <c r="C12" t="s">
        <v>29</v>
      </c>
      <c r="D12" s="3">
        <v>45696.912094907406</v>
      </c>
      <c r="E12" t="s">
        <v>29</v>
      </c>
      <c r="F12" s="4">
        <v>208.786</v>
      </c>
      <c r="G12" s="4">
        <v>91619.747000000003</v>
      </c>
      <c r="H12" s="4">
        <v>91828.532999999996</v>
      </c>
      <c r="I12" s="5">
        <f>17095 / 86400</f>
        <v>0.1978587962962963</v>
      </c>
      <c r="J12" t="s">
        <v>30</v>
      </c>
      <c r="K12" t="s">
        <v>24</v>
      </c>
      <c r="L12" s="5">
        <f>51046 / 86400</f>
        <v>0.59081018518518513</v>
      </c>
      <c r="M12" s="5">
        <f>35345 / 86400</f>
        <v>0.40908564814814813</v>
      </c>
    </row>
    <row r="13" spans="1:13" x14ac:dyDescent="0.25">
      <c r="A13" t="s">
        <v>510</v>
      </c>
      <c r="B13" s="3">
        <v>45696.232395833329</v>
      </c>
      <c r="C13" t="s">
        <v>18</v>
      </c>
      <c r="D13" s="3">
        <v>45696.885937500003</v>
      </c>
      <c r="E13" t="s">
        <v>18</v>
      </c>
      <c r="F13" s="4">
        <v>237.05200000000002</v>
      </c>
      <c r="G13" s="4">
        <v>136648.17600000001</v>
      </c>
      <c r="H13" s="4">
        <v>136885.228</v>
      </c>
      <c r="I13" s="5">
        <f>16383 / 86400</f>
        <v>0.18961805555555555</v>
      </c>
      <c r="J13" t="s">
        <v>31</v>
      </c>
      <c r="K13" t="s">
        <v>32</v>
      </c>
      <c r="L13" s="5">
        <f>49250 / 86400</f>
        <v>0.57002314814814814</v>
      </c>
      <c r="M13" s="5">
        <f>37143 / 86400</f>
        <v>0.42989583333333331</v>
      </c>
    </row>
    <row r="14" spans="1:13" x14ac:dyDescent="0.25">
      <c r="A14" t="s">
        <v>511</v>
      </c>
      <c r="B14" s="3">
        <v>45696.000081018516</v>
      </c>
      <c r="C14" t="s">
        <v>33</v>
      </c>
      <c r="D14" s="3">
        <v>45696.99998842593</v>
      </c>
      <c r="E14" t="s">
        <v>34</v>
      </c>
      <c r="F14" s="4">
        <v>352.63144156152009</v>
      </c>
      <c r="G14" s="4">
        <v>346745.08353943174</v>
      </c>
      <c r="H14" s="4">
        <v>347119.02096250013</v>
      </c>
      <c r="I14" s="5">
        <f>0 / 86400</f>
        <v>0</v>
      </c>
      <c r="J14" t="s">
        <v>31</v>
      </c>
      <c r="K14" t="s">
        <v>35</v>
      </c>
      <c r="L14" s="5">
        <f>61046 / 86400</f>
        <v>0.70655092592592594</v>
      </c>
      <c r="M14" s="5">
        <f>25352 / 86400</f>
        <v>0.29342592592592592</v>
      </c>
    </row>
    <row r="15" spans="1:13" x14ac:dyDescent="0.25">
      <c r="A15" t="s">
        <v>512</v>
      </c>
      <c r="B15" s="3">
        <v>45696.168645833328</v>
      </c>
      <c r="C15" t="s">
        <v>36</v>
      </c>
      <c r="D15" s="3">
        <v>45696.587870370371</v>
      </c>
      <c r="E15" t="s">
        <v>36</v>
      </c>
      <c r="F15" s="4">
        <v>158.928</v>
      </c>
      <c r="G15" s="4">
        <v>483492.75400000002</v>
      </c>
      <c r="H15" s="4">
        <v>483651.68199999997</v>
      </c>
      <c r="I15" s="5">
        <f>11583 / 86400</f>
        <v>0.1340625</v>
      </c>
      <c r="J15" t="s">
        <v>37</v>
      </c>
      <c r="K15" t="s">
        <v>28</v>
      </c>
      <c r="L15" s="5">
        <f>35124 / 86400</f>
        <v>0.40652777777777777</v>
      </c>
      <c r="M15" s="5">
        <f>51275 / 86400</f>
        <v>0.59346064814814814</v>
      </c>
    </row>
    <row r="16" spans="1:13" x14ac:dyDescent="0.25">
      <c r="A16" t="s">
        <v>513</v>
      </c>
      <c r="B16" s="3">
        <v>45696.291458333333</v>
      </c>
      <c r="C16" t="s">
        <v>38</v>
      </c>
      <c r="D16" s="3">
        <v>45696.911782407406</v>
      </c>
      <c r="E16" t="s">
        <v>39</v>
      </c>
      <c r="F16" s="4">
        <v>201.80599999999998</v>
      </c>
      <c r="G16" s="4">
        <v>507327.53399999999</v>
      </c>
      <c r="H16" s="4">
        <v>507529.34</v>
      </c>
      <c r="I16" s="5">
        <f>18554 / 86400</f>
        <v>0.21474537037037036</v>
      </c>
      <c r="J16" t="s">
        <v>40</v>
      </c>
      <c r="K16" t="s">
        <v>41</v>
      </c>
      <c r="L16" s="5">
        <f>50288 / 86400</f>
        <v>0.58203703703703702</v>
      </c>
      <c r="M16" s="5">
        <f>36106 / 86400</f>
        <v>0.41789351851851853</v>
      </c>
    </row>
    <row r="17" spans="1:13" x14ac:dyDescent="0.25">
      <c r="A17" t="s">
        <v>514</v>
      </c>
      <c r="B17" s="3">
        <v>45696.243854166663</v>
      </c>
      <c r="C17" t="s">
        <v>42</v>
      </c>
      <c r="D17" s="3">
        <v>45696.998287037037</v>
      </c>
      <c r="E17" t="s">
        <v>42</v>
      </c>
      <c r="F17" s="4">
        <v>210.02600000000001</v>
      </c>
      <c r="G17" s="4">
        <v>407172.70799999998</v>
      </c>
      <c r="H17" s="4">
        <v>407382.734</v>
      </c>
      <c r="I17" s="5">
        <f>18352 / 86400</f>
        <v>0.21240740740740741</v>
      </c>
      <c r="J17" t="s">
        <v>43</v>
      </c>
      <c r="K17" t="s">
        <v>41</v>
      </c>
      <c r="L17" s="5">
        <f>53030 / 86400</f>
        <v>0.6137731481481481</v>
      </c>
      <c r="M17" s="5">
        <f>33364 / 86400</f>
        <v>0.38615740740740739</v>
      </c>
    </row>
    <row r="18" spans="1:13" x14ac:dyDescent="0.25">
      <c r="A18" t="s">
        <v>515</v>
      </c>
      <c r="B18" s="3">
        <v>45696.287222222221</v>
      </c>
      <c r="C18" t="s">
        <v>44</v>
      </c>
      <c r="D18" s="3">
        <v>45696.849247685182</v>
      </c>
      <c r="E18" t="s">
        <v>45</v>
      </c>
      <c r="F18" s="4">
        <v>111.82799999999999</v>
      </c>
      <c r="G18" s="4">
        <v>436702.40299999999</v>
      </c>
      <c r="H18" s="4">
        <v>436814.23100000003</v>
      </c>
      <c r="I18" s="5">
        <f>13616 / 86400</f>
        <v>0.15759259259259259</v>
      </c>
      <c r="J18" t="s">
        <v>46</v>
      </c>
      <c r="K18" t="s">
        <v>47</v>
      </c>
      <c r="L18" s="5">
        <f>31412 / 86400</f>
        <v>0.36356481481481484</v>
      </c>
      <c r="M18" s="5">
        <f>54983 / 86400</f>
        <v>0.63637731481481485</v>
      </c>
    </row>
    <row r="19" spans="1:13" x14ac:dyDescent="0.25">
      <c r="A19" t="s">
        <v>516</v>
      </c>
      <c r="B19" s="3">
        <v>45696.13444444444</v>
      </c>
      <c r="C19" t="s">
        <v>22</v>
      </c>
      <c r="D19" s="3">
        <v>45696.888865740737</v>
      </c>
      <c r="E19" t="s">
        <v>48</v>
      </c>
      <c r="F19" s="4">
        <v>290.19900000000001</v>
      </c>
      <c r="G19" s="4">
        <v>53194.201999999997</v>
      </c>
      <c r="H19" s="4">
        <v>53484.400999999998</v>
      </c>
      <c r="I19" s="5">
        <f>18757 / 86400</f>
        <v>0.21709490740740742</v>
      </c>
      <c r="J19" t="s">
        <v>49</v>
      </c>
      <c r="K19" t="s">
        <v>50</v>
      </c>
      <c r="L19" s="5">
        <f>59566 / 86400</f>
        <v>0.68942129629629634</v>
      </c>
      <c r="M19" s="5">
        <f>26826 / 86400</f>
        <v>0.31048611111111113</v>
      </c>
    </row>
    <row r="20" spans="1:13" x14ac:dyDescent="0.25">
      <c r="A20" t="s">
        <v>517</v>
      </c>
      <c r="B20" s="3">
        <v>45696.18950231481</v>
      </c>
      <c r="C20" t="s">
        <v>51</v>
      </c>
      <c r="D20" s="3">
        <v>45696.861018518517</v>
      </c>
      <c r="E20" t="s">
        <v>51</v>
      </c>
      <c r="F20" s="4">
        <v>202.18299999999999</v>
      </c>
      <c r="G20" s="4">
        <v>214971.394</v>
      </c>
      <c r="H20" s="4">
        <v>215173.57699999999</v>
      </c>
      <c r="I20" s="5">
        <f>18003 / 86400</f>
        <v>0.20836805555555554</v>
      </c>
      <c r="J20" t="s">
        <v>49</v>
      </c>
      <c r="K20" t="s">
        <v>24</v>
      </c>
      <c r="L20" s="5">
        <f>48840 / 86400</f>
        <v>0.56527777777777777</v>
      </c>
      <c r="M20" s="5">
        <f>37557 / 86400</f>
        <v>0.4346875</v>
      </c>
    </row>
    <row r="21" spans="1:13" x14ac:dyDescent="0.25">
      <c r="A21" t="s">
        <v>518</v>
      </c>
      <c r="B21" s="3">
        <v>45696.272916666669</v>
      </c>
      <c r="C21" t="s">
        <v>52</v>
      </c>
      <c r="D21" s="3">
        <v>45696.917210648149</v>
      </c>
      <c r="E21" t="s">
        <v>53</v>
      </c>
      <c r="F21" s="4">
        <v>186.96100000005958</v>
      </c>
      <c r="G21" s="4">
        <v>524234.87599999999</v>
      </c>
      <c r="H21" s="4">
        <v>524421.83700000006</v>
      </c>
      <c r="I21" s="5">
        <f>16681 / 86400</f>
        <v>0.19306712962962963</v>
      </c>
      <c r="J21" t="s">
        <v>43</v>
      </c>
      <c r="K21" t="s">
        <v>41</v>
      </c>
      <c r="L21" s="5">
        <f>47418 / 86400</f>
        <v>0.54881944444444442</v>
      </c>
      <c r="M21" s="5">
        <f>38977 / 86400</f>
        <v>0.45112268518518517</v>
      </c>
    </row>
    <row r="22" spans="1:13" x14ac:dyDescent="0.25">
      <c r="A22" t="s">
        <v>519</v>
      </c>
      <c r="B22" s="3">
        <v>45696.253368055557</v>
      </c>
      <c r="C22" t="s">
        <v>54</v>
      </c>
      <c r="D22" s="3">
        <v>45696.857569444444</v>
      </c>
      <c r="E22" t="s">
        <v>54</v>
      </c>
      <c r="F22" s="4">
        <v>190.50299999999999</v>
      </c>
      <c r="G22" s="4">
        <v>425129.652</v>
      </c>
      <c r="H22" s="4">
        <v>425320.15500000003</v>
      </c>
      <c r="I22" s="5">
        <f>11341 / 86400</f>
        <v>0.13126157407407407</v>
      </c>
      <c r="J22" t="s">
        <v>55</v>
      </c>
      <c r="K22" t="s">
        <v>32</v>
      </c>
      <c r="L22" s="5">
        <f>39625 / 86400</f>
        <v>0.45862268518518517</v>
      </c>
      <c r="M22" s="5">
        <f>46767 / 86400</f>
        <v>0.54128472222222224</v>
      </c>
    </row>
    <row r="23" spans="1:13" x14ac:dyDescent="0.25">
      <c r="A23" t="s">
        <v>520</v>
      </c>
      <c r="B23" s="3">
        <v>45696.231238425928</v>
      </c>
      <c r="C23" t="s">
        <v>29</v>
      </c>
      <c r="D23" s="3">
        <v>45696.77789351852</v>
      </c>
      <c r="E23" t="s">
        <v>29</v>
      </c>
      <c r="F23" s="4">
        <v>180.33500000000001</v>
      </c>
      <c r="G23" s="4">
        <v>11925.174999999999</v>
      </c>
      <c r="H23" s="4">
        <v>12105.512000000001</v>
      </c>
      <c r="I23" s="5">
        <f>17912 / 86400</f>
        <v>0.20731481481481481</v>
      </c>
      <c r="J23" t="s">
        <v>56</v>
      </c>
      <c r="K23" t="s">
        <v>24</v>
      </c>
      <c r="L23" s="5">
        <f>44006 / 86400</f>
        <v>0.50932870370370376</v>
      </c>
      <c r="M23" s="5">
        <f>42388 / 86400</f>
        <v>0.49060185185185184</v>
      </c>
    </row>
    <row r="24" spans="1:13" x14ac:dyDescent="0.25">
      <c r="A24" t="s">
        <v>521</v>
      </c>
      <c r="B24" s="3">
        <v>45696.25881944444</v>
      </c>
      <c r="C24" t="s">
        <v>57</v>
      </c>
      <c r="D24" s="3">
        <v>45696.668425925927</v>
      </c>
      <c r="E24" t="s">
        <v>57</v>
      </c>
      <c r="F24" s="4">
        <v>43.536999999999999</v>
      </c>
      <c r="G24" s="4">
        <v>138094.10500000001</v>
      </c>
      <c r="H24" s="4">
        <v>138137.64199999999</v>
      </c>
      <c r="I24" s="5">
        <f>3395 / 86400</f>
        <v>3.9293981481481478E-2</v>
      </c>
      <c r="J24" t="s">
        <v>58</v>
      </c>
      <c r="K24" t="s">
        <v>50</v>
      </c>
      <c r="L24" s="5">
        <f>8749 / 86400</f>
        <v>0.10126157407407407</v>
      </c>
      <c r="M24" s="5">
        <f>77649 / 86400</f>
        <v>0.89871527777777782</v>
      </c>
    </row>
    <row r="25" spans="1:13" x14ac:dyDescent="0.25">
      <c r="A25" t="s">
        <v>522</v>
      </c>
      <c r="B25" s="3">
        <v>45696.231041666666</v>
      </c>
      <c r="C25" t="s">
        <v>29</v>
      </c>
      <c r="D25" s="3">
        <v>45696.789340277777</v>
      </c>
      <c r="E25" t="s">
        <v>29</v>
      </c>
      <c r="F25" s="4">
        <v>137.52100000000002</v>
      </c>
      <c r="G25" s="4">
        <v>4926.1729999999998</v>
      </c>
      <c r="H25" s="4">
        <v>5063.6940000000004</v>
      </c>
      <c r="I25" s="5">
        <f>19637 / 86400</f>
        <v>0.2272800925925926</v>
      </c>
      <c r="J25" t="s">
        <v>43</v>
      </c>
      <c r="K25" t="s">
        <v>59</v>
      </c>
      <c r="L25" s="5">
        <f>39733 / 86400</f>
        <v>0.4598726851851852</v>
      </c>
      <c r="M25" s="5">
        <f>46663 / 86400</f>
        <v>0.54008101851851853</v>
      </c>
    </row>
    <row r="26" spans="1:13" x14ac:dyDescent="0.25">
      <c r="A26" t="s">
        <v>523</v>
      </c>
      <c r="B26" s="3">
        <v>45696.207442129627</v>
      </c>
      <c r="C26" t="s">
        <v>36</v>
      </c>
      <c r="D26" s="3">
        <v>45696.779178240744</v>
      </c>
      <c r="E26" t="s">
        <v>36</v>
      </c>
      <c r="F26" s="4">
        <v>207.786</v>
      </c>
      <c r="G26" s="4">
        <v>386159.94099999999</v>
      </c>
      <c r="H26" s="4">
        <v>386367.72700000001</v>
      </c>
      <c r="I26" s="5">
        <f>15815 / 86400</f>
        <v>0.18304398148148149</v>
      </c>
      <c r="J26" t="s">
        <v>60</v>
      </c>
      <c r="K26" t="s">
        <v>28</v>
      </c>
      <c r="L26" s="5">
        <f>45824 / 86400</f>
        <v>0.53037037037037038</v>
      </c>
      <c r="M26" s="5">
        <f>40572 / 86400</f>
        <v>0.46958333333333335</v>
      </c>
    </row>
    <row r="27" spans="1:13" x14ac:dyDescent="0.25">
      <c r="A27" t="s">
        <v>524</v>
      </c>
      <c r="B27" s="3">
        <v>45696.300347222219</v>
      </c>
      <c r="C27" t="s">
        <v>61</v>
      </c>
      <c r="D27" s="3">
        <v>45696.96806712963</v>
      </c>
      <c r="E27" t="s">
        <v>61</v>
      </c>
      <c r="F27" s="4">
        <v>227.48500000000001</v>
      </c>
      <c r="G27" s="4">
        <v>391842.42099999997</v>
      </c>
      <c r="H27" s="4">
        <v>392069.90600000002</v>
      </c>
      <c r="I27" s="5">
        <f>16589 / 86400</f>
        <v>0.19200231481481481</v>
      </c>
      <c r="J27" t="s">
        <v>62</v>
      </c>
      <c r="K27" t="s">
        <v>50</v>
      </c>
      <c r="L27" s="5">
        <f>46213 / 86400</f>
        <v>0.53487268518518516</v>
      </c>
      <c r="M27" s="5">
        <f>40180 / 86400</f>
        <v>0.46504629629629629</v>
      </c>
    </row>
    <row r="28" spans="1:13" x14ac:dyDescent="0.25">
      <c r="A28" t="s">
        <v>525</v>
      </c>
      <c r="B28" s="3">
        <v>45696.146666666667</v>
      </c>
      <c r="C28" t="s">
        <v>63</v>
      </c>
      <c r="D28" s="3">
        <v>45696.812557870369</v>
      </c>
      <c r="E28" t="s">
        <v>63</v>
      </c>
      <c r="F28" s="4">
        <v>229.36799999999999</v>
      </c>
      <c r="G28" s="4">
        <v>522128.679</v>
      </c>
      <c r="H28" s="4">
        <v>522358.04700000002</v>
      </c>
      <c r="I28" s="5">
        <f>13196 / 86400</f>
        <v>0.15273148148148147</v>
      </c>
      <c r="J28" t="s">
        <v>64</v>
      </c>
      <c r="K28" t="s">
        <v>50</v>
      </c>
      <c r="L28" s="5">
        <f>45166 / 86400</f>
        <v>0.5227546296296296</v>
      </c>
      <c r="M28" s="5">
        <f>41228 / 86400</f>
        <v>0.47717592592592595</v>
      </c>
    </row>
    <row r="29" spans="1:13" x14ac:dyDescent="0.25">
      <c r="A29" t="s">
        <v>526</v>
      </c>
      <c r="B29" s="3">
        <v>45696</v>
      </c>
      <c r="C29" t="s">
        <v>65</v>
      </c>
      <c r="D29" s="3">
        <v>45696.982905092591</v>
      </c>
      <c r="E29" t="s">
        <v>66</v>
      </c>
      <c r="F29" s="4">
        <v>190.642</v>
      </c>
      <c r="G29" s="4">
        <v>410877.09100000001</v>
      </c>
      <c r="H29" s="4">
        <v>411067.73300000001</v>
      </c>
      <c r="I29" s="5">
        <f>13298 / 86400</f>
        <v>0.15391203703703704</v>
      </c>
      <c r="J29" t="s">
        <v>67</v>
      </c>
      <c r="K29" t="s">
        <v>28</v>
      </c>
      <c r="L29" s="5">
        <f>44109 / 86400</f>
        <v>0.51052083333333331</v>
      </c>
      <c r="M29" s="5">
        <f>42285 / 86400</f>
        <v>0.48940972222222223</v>
      </c>
    </row>
    <row r="30" spans="1:13" x14ac:dyDescent="0.25">
      <c r="A30" t="s">
        <v>527</v>
      </c>
      <c r="B30" s="3">
        <v>45696.293206018519</v>
      </c>
      <c r="C30" t="s">
        <v>68</v>
      </c>
      <c r="D30" s="3">
        <v>45696.871817129635</v>
      </c>
      <c r="E30" t="s">
        <v>69</v>
      </c>
      <c r="F30" s="4">
        <v>189.38399999999999</v>
      </c>
      <c r="G30" s="4">
        <v>401784.45</v>
      </c>
      <c r="H30" s="4">
        <v>401973.83399999997</v>
      </c>
      <c r="I30" s="5">
        <f>14834 / 86400</f>
        <v>0.17168981481481482</v>
      </c>
      <c r="J30" t="s">
        <v>40</v>
      </c>
      <c r="K30" t="s">
        <v>28</v>
      </c>
      <c r="L30" s="5">
        <f>41603 / 86400</f>
        <v>0.48151620370370368</v>
      </c>
      <c r="M30" s="5">
        <f>44788 / 86400</f>
        <v>0.51837962962962958</v>
      </c>
    </row>
    <row r="31" spans="1:13" x14ac:dyDescent="0.25">
      <c r="A31" t="s">
        <v>528</v>
      </c>
      <c r="B31" s="3">
        <v>45696.266886574071</v>
      </c>
      <c r="C31" t="s">
        <v>70</v>
      </c>
      <c r="D31" s="3">
        <v>45696.802314814813</v>
      </c>
      <c r="E31" t="s">
        <v>70</v>
      </c>
      <c r="F31" s="4">
        <v>172.38200000000001</v>
      </c>
      <c r="G31" s="4">
        <v>407208.83500000002</v>
      </c>
      <c r="H31" s="4">
        <v>407381.217</v>
      </c>
      <c r="I31" s="5">
        <f>12075 / 86400</f>
        <v>0.13975694444444445</v>
      </c>
      <c r="J31" t="s">
        <v>71</v>
      </c>
      <c r="K31" t="s">
        <v>32</v>
      </c>
      <c r="L31" s="5">
        <f>36688 / 86400</f>
        <v>0.42462962962962963</v>
      </c>
      <c r="M31" s="5">
        <f>49700 / 86400</f>
        <v>0.57523148148148151</v>
      </c>
    </row>
    <row r="32" spans="1:13" x14ac:dyDescent="0.25">
      <c r="A32" t="s">
        <v>529</v>
      </c>
      <c r="B32" s="3">
        <v>45696.301550925928</v>
      </c>
      <c r="C32" t="s">
        <v>72</v>
      </c>
      <c r="D32" s="3">
        <v>45696.656122685185</v>
      </c>
      <c r="E32" t="s">
        <v>72</v>
      </c>
      <c r="F32" s="4">
        <v>120.886</v>
      </c>
      <c r="G32" s="4">
        <v>347639.85399999999</v>
      </c>
      <c r="H32" s="4">
        <v>347760.74</v>
      </c>
      <c r="I32" s="5">
        <f>8798 / 86400</f>
        <v>0.1018287037037037</v>
      </c>
      <c r="J32" t="s">
        <v>60</v>
      </c>
      <c r="K32" t="s">
        <v>28</v>
      </c>
      <c r="L32" s="5">
        <f>27879 / 86400</f>
        <v>0.32267361111111109</v>
      </c>
      <c r="M32" s="5">
        <f>58518 / 86400</f>
        <v>0.67729166666666663</v>
      </c>
    </row>
    <row r="33" spans="1:13" x14ac:dyDescent="0.25">
      <c r="A33" t="s">
        <v>530</v>
      </c>
      <c r="B33" s="3">
        <v>45696.161423611113</v>
      </c>
      <c r="C33" t="s">
        <v>73</v>
      </c>
      <c r="D33" s="3">
        <v>45696.998356481483</v>
      </c>
      <c r="E33" t="s">
        <v>73</v>
      </c>
      <c r="F33" s="4">
        <v>312.40600000000001</v>
      </c>
      <c r="G33" s="4">
        <v>40003.563000000002</v>
      </c>
      <c r="H33" s="4">
        <v>40315.968999999997</v>
      </c>
      <c r="I33" s="5">
        <f>21436 / 86400</f>
        <v>0.24810185185185185</v>
      </c>
      <c r="J33" t="s">
        <v>64</v>
      </c>
      <c r="K33" t="s">
        <v>32</v>
      </c>
      <c r="L33" s="5">
        <f>66028 / 86400</f>
        <v>0.76421296296296293</v>
      </c>
      <c r="M33" s="5">
        <f>20369 / 86400</f>
        <v>0.23575231481481482</v>
      </c>
    </row>
    <row r="34" spans="1:13" x14ac:dyDescent="0.25">
      <c r="A34" t="s">
        <v>531</v>
      </c>
      <c r="B34" s="3">
        <v>45696</v>
      </c>
      <c r="C34" t="s">
        <v>74</v>
      </c>
      <c r="D34" s="3">
        <v>45696.99998842593</v>
      </c>
      <c r="E34" t="s">
        <v>75</v>
      </c>
      <c r="F34" s="4">
        <v>148.797</v>
      </c>
      <c r="G34" s="4">
        <v>45130.084999999999</v>
      </c>
      <c r="H34" s="4">
        <v>45278.881999999998</v>
      </c>
      <c r="I34" s="5">
        <f>10801 / 86400</f>
        <v>0.12501157407407407</v>
      </c>
      <c r="J34" t="s">
        <v>64</v>
      </c>
      <c r="K34" t="s">
        <v>50</v>
      </c>
      <c r="L34" s="5">
        <f>30445 / 86400</f>
        <v>0.35237268518518516</v>
      </c>
      <c r="M34" s="5">
        <f>55946 / 86400</f>
        <v>0.64752314814814815</v>
      </c>
    </row>
    <row r="35" spans="1:13" x14ac:dyDescent="0.25">
      <c r="A35" t="s">
        <v>532</v>
      </c>
      <c r="B35" s="3">
        <v>45696.250162037039</v>
      </c>
      <c r="C35" t="s">
        <v>76</v>
      </c>
      <c r="D35" s="3">
        <v>45696.99998842593</v>
      </c>
      <c r="E35" t="s">
        <v>77</v>
      </c>
      <c r="F35" s="4">
        <v>122.378</v>
      </c>
      <c r="G35" s="4">
        <v>526464.21799999999</v>
      </c>
      <c r="H35" s="4">
        <v>526586.59600000002</v>
      </c>
      <c r="I35" s="5">
        <f>12400 / 86400</f>
        <v>0.14351851851851852</v>
      </c>
      <c r="J35" t="s">
        <v>46</v>
      </c>
      <c r="K35" t="s">
        <v>28</v>
      </c>
      <c r="L35" s="5">
        <f>26860 / 86400</f>
        <v>0.31087962962962962</v>
      </c>
      <c r="M35" s="5">
        <f>59537 / 86400</f>
        <v>0.6890856481481481</v>
      </c>
    </row>
    <row r="36" spans="1:13" x14ac:dyDescent="0.25">
      <c r="A36" t="s">
        <v>533</v>
      </c>
      <c r="B36" s="3">
        <v>45696.216527777782</v>
      </c>
      <c r="C36" t="s">
        <v>36</v>
      </c>
      <c r="D36" s="3">
        <v>45696.853946759264</v>
      </c>
      <c r="E36" t="s">
        <v>29</v>
      </c>
      <c r="F36" s="4">
        <v>213.41500000000002</v>
      </c>
      <c r="G36" s="4">
        <v>566880.51300000004</v>
      </c>
      <c r="H36" s="4">
        <v>567093.92799999996</v>
      </c>
      <c r="I36" s="5">
        <f>18096 / 86400</f>
        <v>0.20944444444444443</v>
      </c>
      <c r="J36" t="s">
        <v>78</v>
      </c>
      <c r="K36" t="s">
        <v>28</v>
      </c>
      <c r="L36" s="5">
        <f>48822 / 86400</f>
        <v>0.5650694444444444</v>
      </c>
      <c r="M36" s="5">
        <f>37576 / 86400</f>
        <v>0.43490740740740741</v>
      </c>
    </row>
    <row r="37" spans="1:13" x14ac:dyDescent="0.25">
      <c r="A37" t="s">
        <v>534</v>
      </c>
      <c r="B37" s="3">
        <v>45696.235960648148</v>
      </c>
      <c r="C37" t="s">
        <v>79</v>
      </c>
      <c r="D37" s="3">
        <v>45696.947997685187</v>
      </c>
      <c r="E37" t="s">
        <v>80</v>
      </c>
      <c r="F37" s="4">
        <v>186.44300000000001</v>
      </c>
      <c r="G37" s="4">
        <v>434552.01400000002</v>
      </c>
      <c r="H37" s="4">
        <v>434738.45699999999</v>
      </c>
      <c r="I37" s="5">
        <f>12060 / 86400</f>
        <v>0.13958333333333334</v>
      </c>
      <c r="J37" t="s">
        <v>81</v>
      </c>
      <c r="K37" t="s">
        <v>32</v>
      </c>
      <c r="L37" s="5">
        <f>40554 / 86400</f>
        <v>0.46937499999999999</v>
      </c>
      <c r="M37" s="5">
        <f>45840 / 86400</f>
        <v>0.53055555555555556</v>
      </c>
    </row>
    <row r="38" spans="1:13" x14ac:dyDescent="0.25">
      <c r="A38" t="s">
        <v>535</v>
      </c>
      <c r="B38" s="3">
        <v>45696.231886574074</v>
      </c>
      <c r="C38" t="s">
        <v>51</v>
      </c>
      <c r="D38" s="3">
        <v>45696.905763888892</v>
      </c>
      <c r="E38" t="s">
        <v>82</v>
      </c>
      <c r="F38" s="4">
        <v>205.16400000000002</v>
      </c>
      <c r="G38" s="4">
        <v>514380.86700000003</v>
      </c>
      <c r="H38" s="4">
        <v>514586.402</v>
      </c>
      <c r="I38" s="5">
        <f>20789 / 86400</f>
        <v>0.24061342592592594</v>
      </c>
      <c r="J38" t="s">
        <v>56</v>
      </c>
      <c r="K38" t="s">
        <v>41</v>
      </c>
      <c r="L38" s="5">
        <f>51730 / 86400</f>
        <v>0.59872685185185182</v>
      </c>
      <c r="M38" s="5">
        <f>34669 / 86400</f>
        <v>0.40126157407407409</v>
      </c>
    </row>
    <row r="39" spans="1:13" x14ac:dyDescent="0.25">
      <c r="A39" t="s">
        <v>536</v>
      </c>
      <c r="B39" s="3">
        <v>45696</v>
      </c>
      <c r="C39" t="s">
        <v>83</v>
      </c>
      <c r="D39" s="3">
        <v>45696.85055555556</v>
      </c>
      <c r="E39" t="s">
        <v>83</v>
      </c>
      <c r="F39" s="4">
        <v>211.63499999999999</v>
      </c>
      <c r="G39" s="4">
        <v>504453.44500000001</v>
      </c>
      <c r="H39" s="4">
        <v>504665.08</v>
      </c>
      <c r="I39" s="5">
        <f>42944 / 86400</f>
        <v>0.49703703703703705</v>
      </c>
      <c r="J39" t="s">
        <v>84</v>
      </c>
      <c r="K39" t="s">
        <v>85</v>
      </c>
      <c r="L39" s="5">
        <f>73488 / 86400</f>
        <v>0.85055555555555551</v>
      </c>
      <c r="M39" s="5">
        <f>12911 / 86400</f>
        <v>0.14943287037037037</v>
      </c>
    </row>
    <row r="40" spans="1:13" x14ac:dyDescent="0.25">
      <c r="A40" t="s">
        <v>537</v>
      </c>
      <c r="B40" s="3">
        <v>45696.247986111106</v>
      </c>
      <c r="C40" t="s">
        <v>86</v>
      </c>
      <c r="D40" s="3">
        <v>45696.998958333337</v>
      </c>
      <c r="E40" t="s">
        <v>87</v>
      </c>
      <c r="F40" s="4">
        <v>280.56200000000001</v>
      </c>
      <c r="G40" s="4">
        <v>351328.61700000003</v>
      </c>
      <c r="H40" s="4">
        <v>351609.179</v>
      </c>
      <c r="I40" s="5">
        <f>21374 / 86400</f>
        <v>0.24738425925925925</v>
      </c>
      <c r="J40" t="s">
        <v>30</v>
      </c>
      <c r="K40" t="s">
        <v>28</v>
      </c>
      <c r="L40" s="5">
        <f>62656 / 86400</f>
        <v>0.72518518518518515</v>
      </c>
      <c r="M40" s="5">
        <f>23740 / 86400</f>
        <v>0.27476851851851852</v>
      </c>
    </row>
    <row r="41" spans="1:13" x14ac:dyDescent="0.25">
      <c r="A41" t="s">
        <v>538</v>
      </c>
      <c r="B41" s="3">
        <v>45696.224386574075</v>
      </c>
      <c r="C41" t="s">
        <v>88</v>
      </c>
      <c r="D41" s="3">
        <v>45696.754201388889</v>
      </c>
      <c r="E41" t="s">
        <v>88</v>
      </c>
      <c r="F41" s="4">
        <v>199.43</v>
      </c>
      <c r="G41" s="4">
        <v>410224.74300000002</v>
      </c>
      <c r="H41" s="4">
        <v>410424.17300000001</v>
      </c>
      <c r="I41" s="5">
        <f>13497 / 86400</f>
        <v>0.15621527777777777</v>
      </c>
      <c r="J41" t="s">
        <v>56</v>
      </c>
      <c r="K41" t="s">
        <v>32</v>
      </c>
      <c r="L41" s="5">
        <f>41416 / 86400</f>
        <v>0.47935185185185186</v>
      </c>
      <c r="M41" s="5">
        <f>44981 / 86400</f>
        <v>0.52061342592592597</v>
      </c>
    </row>
    <row r="42" spans="1:13" x14ac:dyDescent="0.25">
      <c r="A42" t="s">
        <v>539</v>
      </c>
      <c r="B42" s="3">
        <v>45696.151597222226</v>
      </c>
      <c r="C42" t="s">
        <v>29</v>
      </c>
      <c r="D42" s="3">
        <v>45696.793749999997</v>
      </c>
      <c r="E42" t="s">
        <v>29</v>
      </c>
      <c r="F42" s="4">
        <v>230.59100000000001</v>
      </c>
      <c r="G42" s="4">
        <v>440786.79200000002</v>
      </c>
      <c r="H42" s="4">
        <v>441017.38299999997</v>
      </c>
      <c r="I42" s="5">
        <f>13533 / 86400</f>
        <v>0.15663194444444445</v>
      </c>
      <c r="J42" t="s">
        <v>56</v>
      </c>
      <c r="K42" t="s">
        <v>50</v>
      </c>
      <c r="L42" s="5">
        <f>46357 / 86400</f>
        <v>0.53653935185185186</v>
      </c>
      <c r="M42" s="5">
        <f>40039 / 86400</f>
        <v>0.46341435185185187</v>
      </c>
    </row>
    <row r="43" spans="1:13" x14ac:dyDescent="0.25">
      <c r="A43" t="s">
        <v>540</v>
      </c>
      <c r="B43" s="3">
        <v>45696</v>
      </c>
      <c r="C43" t="s">
        <v>89</v>
      </c>
      <c r="D43" s="3">
        <v>45696.498182870375</v>
      </c>
      <c r="E43" t="s">
        <v>89</v>
      </c>
      <c r="F43" s="4">
        <v>0.107</v>
      </c>
      <c r="G43" s="4">
        <v>473415.92</v>
      </c>
      <c r="H43" s="4">
        <v>473416.027</v>
      </c>
      <c r="I43" s="5">
        <f>118 / 86400</f>
        <v>1.3657407407407407E-3</v>
      </c>
      <c r="J43" t="s">
        <v>90</v>
      </c>
      <c r="K43" t="s">
        <v>91</v>
      </c>
      <c r="L43" s="5">
        <f>295 / 86400</f>
        <v>3.414351851851852E-3</v>
      </c>
      <c r="M43" s="5">
        <f>86103 / 86400</f>
        <v>0.99656250000000002</v>
      </c>
    </row>
    <row r="44" spans="1:13" x14ac:dyDescent="0.25">
      <c r="A44" t="s">
        <v>541</v>
      </c>
      <c r="B44" s="3">
        <v>45696.005497685182</v>
      </c>
      <c r="C44" t="s">
        <v>92</v>
      </c>
      <c r="D44" s="3">
        <v>45696.996030092589</v>
      </c>
      <c r="E44" t="s">
        <v>92</v>
      </c>
      <c r="F44" s="4">
        <v>277.12099999999998</v>
      </c>
      <c r="G44" s="4">
        <v>412607.31900000002</v>
      </c>
      <c r="H44" s="4">
        <v>412884.44</v>
      </c>
      <c r="I44" s="5">
        <f>16929 / 86400</f>
        <v>0.19593749999999999</v>
      </c>
      <c r="J44" t="s">
        <v>93</v>
      </c>
      <c r="K44" t="s">
        <v>94</v>
      </c>
      <c r="L44" s="5">
        <f>53236 / 86400</f>
        <v>0.61615740740740743</v>
      </c>
      <c r="M44" s="5">
        <f>33153 / 86400</f>
        <v>0.38371527777777775</v>
      </c>
    </row>
    <row r="45" spans="1:13" x14ac:dyDescent="0.25">
      <c r="A45" t="s">
        <v>542</v>
      </c>
      <c r="B45" s="3">
        <v>45696.178645833337</v>
      </c>
      <c r="C45" t="s">
        <v>29</v>
      </c>
      <c r="D45" s="3">
        <v>45696.953009259261</v>
      </c>
      <c r="E45" t="s">
        <v>29</v>
      </c>
      <c r="F45" s="4">
        <v>270.34499999999997</v>
      </c>
      <c r="G45" s="4">
        <v>326927.30300000001</v>
      </c>
      <c r="H45" s="4">
        <v>327197.64799999999</v>
      </c>
      <c r="I45" s="5">
        <f>19808 / 86400</f>
        <v>0.22925925925925925</v>
      </c>
      <c r="J45" t="s">
        <v>30</v>
      </c>
      <c r="K45" t="s">
        <v>32</v>
      </c>
      <c r="L45" s="5">
        <f>58407 / 86400</f>
        <v>0.67600694444444442</v>
      </c>
      <c r="M45" s="5">
        <f>27985 / 86400</f>
        <v>0.32390046296296299</v>
      </c>
    </row>
    <row r="46" spans="1:13" x14ac:dyDescent="0.25">
      <c r="A46" t="s">
        <v>543</v>
      </c>
      <c r="B46" s="3">
        <v>45696.315138888887</v>
      </c>
      <c r="C46" t="s">
        <v>95</v>
      </c>
      <c r="D46" s="3">
        <v>45696.950138888889</v>
      </c>
      <c r="E46" t="s">
        <v>29</v>
      </c>
      <c r="F46" s="4">
        <v>192.38399999999999</v>
      </c>
      <c r="G46" s="4">
        <v>359727.33399999997</v>
      </c>
      <c r="H46" s="4">
        <v>359919.71799999999</v>
      </c>
      <c r="I46" s="5">
        <f>16943 / 86400</f>
        <v>0.19609953703703703</v>
      </c>
      <c r="J46" t="s">
        <v>64</v>
      </c>
      <c r="K46" t="s">
        <v>24</v>
      </c>
      <c r="L46" s="5">
        <f>45420 / 86400</f>
        <v>0.52569444444444446</v>
      </c>
      <c r="M46" s="5">
        <f>40976 / 86400</f>
        <v>0.47425925925925927</v>
      </c>
    </row>
    <row r="47" spans="1:13" x14ac:dyDescent="0.25">
      <c r="A47" t="s">
        <v>544</v>
      </c>
      <c r="B47" s="3">
        <v>45696.283437499995</v>
      </c>
      <c r="C47" t="s">
        <v>96</v>
      </c>
      <c r="D47" s="3">
        <v>45696.875</v>
      </c>
      <c r="E47" t="s">
        <v>96</v>
      </c>
      <c r="F47" s="4">
        <v>188.209</v>
      </c>
      <c r="G47" s="4">
        <v>80999.793999999994</v>
      </c>
      <c r="H47" s="4">
        <v>81188.002999999997</v>
      </c>
      <c r="I47" s="5">
        <f>15317 / 86400</f>
        <v>0.17728009259259259</v>
      </c>
      <c r="J47" t="s">
        <v>97</v>
      </c>
      <c r="K47" t="s">
        <v>28</v>
      </c>
      <c r="L47" s="5">
        <f>42933 / 86400</f>
        <v>0.49690972222222224</v>
      </c>
      <c r="M47" s="5">
        <f>43464 / 86400</f>
        <v>0.50305555555555559</v>
      </c>
    </row>
    <row r="48" spans="1:13" x14ac:dyDescent="0.25">
      <c r="A48" t="s">
        <v>545</v>
      </c>
      <c r="B48" s="3">
        <v>45696.205567129626</v>
      </c>
      <c r="C48" t="s">
        <v>38</v>
      </c>
      <c r="D48" s="3">
        <v>45696.7809375</v>
      </c>
      <c r="E48" t="s">
        <v>38</v>
      </c>
      <c r="F48" s="4">
        <v>200.387</v>
      </c>
      <c r="G48" s="4">
        <v>468566.78700000001</v>
      </c>
      <c r="H48" s="4">
        <v>468767.174</v>
      </c>
      <c r="I48" s="5">
        <f>13127 / 86400</f>
        <v>0.15193287037037037</v>
      </c>
      <c r="J48" t="s">
        <v>49</v>
      </c>
      <c r="K48" t="s">
        <v>32</v>
      </c>
      <c r="L48" s="5">
        <f>41762 / 86400</f>
        <v>0.48335648148148147</v>
      </c>
      <c r="M48" s="5">
        <f>44632 / 86400</f>
        <v>0.51657407407407407</v>
      </c>
    </row>
    <row r="49" spans="1:13" x14ac:dyDescent="0.25">
      <c r="A49" t="s">
        <v>546</v>
      </c>
      <c r="B49" s="3">
        <v>45696.254791666666</v>
      </c>
      <c r="C49" t="s">
        <v>98</v>
      </c>
      <c r="D49" s="3">
        <v>45696.941817129627</v>
      </c>
      <c r="E49" t="s">
        <v>99</v>
      </c>
      <c r="F49" s="4">
        <v>201.773</v>
      </c>
      <c r="G49" s="4">
        <v>427800.576</v>
      </c>
      <c r="H49" s="4">
        <v>428002.34899999999</v>
      </c>
      <c r="I49" s="5">
        <f>21431 / 86400</f>
        <v>0.24804398148148149</v>
      </c>
      <c r="J49" t="s">
        <v>55</v>
      </c>
      <c r="K49" t="s">
        <v>28</v>
      </c>
      <c r="L49" s="5">
        <f>46039 / 86400</f>
        <v>0.53285879629629629</v>
      </c>
      <c r="M49" s="5">
        <f>40347 / 86400</f>
        <v>0.46697916666666667</v>
      </c>
    </row>
    <row r="50" spans="1:13" x14ac:dyDescent="0.25">
      <c r="A50" t="s">
        <v>547</v>
      </c>
      <c r="B50" s="3">
        <v>45696.245011574079</v>
      </c>
      <c r="C50" t="s">
        <v>29</v>
      </c>
      <c r="D50" s="3">
        <v>45696.896469907406</v>
      </c>
      <c r="E50" t="s">
        <v>29</v>
      </c>
      <c r="F50" s="4">
        <v>86.93</v>
      </c>
      <c r="G50" s="4">
        <v>574561.76</v>
      </c>
      <c r="H50" s="4">
        <v>574648.68999999994</v>
      </c>
      <c r="I50" s="5">
        <f>10574 / 86400</f>
        <v>0.12238425925925926</v>
      </c>
      <c r="J50" t="s">
        <v>100</v>
      </c>
      <c r="K50" t="s">
        <v>47</v>
      </c>
      <c r="L50" s="5">
        <f>24395 / 86400</f>
        <v>0.28234953703703702</v>
      </c>
      <c r="M50" s="5">
        <f>62000 / 86400</f>
        <v>0.71759259259259256</v>
      </c>
    </row>
    <row r="51" spans="1:13" x14ac:dyDescent="0.25">
      <c r="A51" t="s">
        <v>548</v>
      </c>
      <c r="B51" s="3">
        <v>45696.831423611111</v>
      </c>
      <c r="C51" t="s">
        <v>101</v>
      </c>
      <c r="D51" s="3">
        <v>45696.945879629631</v>
      </c>
      <c r="E51" t="s">
        <v>102</v>
      </c>
      <c r="F51" s="4">
        <v>20.216000000000001</v>
      </c>
      <c r="G51" s="4">
        <v>415898.87599999999</v>
      </c>
      <c r="H51" s="4">
        <v>415919.092</v>
      </c>
      <c r="I51" s="5">
        <f>3016 / 86400</f>
        <v>3.4907407407407408E-2</v>
      </c>
      <c r="J51" t="s">
        <v>103</v>
      </c>
      <c r="K51" t="s">
        <v>59</v>
      </c>
      <c r="L51" s="5">
        <f>6086 / 86400</f>
        <v>7.0439814814814816E-2</v>
      </c>
      <c r="M51" s="5">
        <f>80313 / 86400</f>
        <v>0.92954861111111109</v>
      </c>
    </row>
    <row r="52" spans="1:13" x14ac:dyDescent="0.25">
      <c r="A52" t="s">
        <v>549</v>
      </c>
      <c r="B52" s="3">
        <v>45696</v>
      </c>
      <c r="C52" t="s">
        <v>104</v>
      </c>
      <c r="D52" s="3">
        <v>45696.976701388892</v>
      </c>
      <c r="E52" t="s">
        <v>105</v>
      </c>
      <c r="F52" s="4">
        <v>206.24099999999999</v>
      </c>
      <c r="G52" s="4">
        <v>399798.95199999999</v>
      </c>
      <c r="H52" s="4">
        <v>400005.19300000003</v>
      </c>
      <c r="I52" s="5">
        <f>17807 / 86400</f>
        <v>0.20609953703703704</v>
      </c>
      <c r="J52" t="s">
        <v>55</v>
      </c>
      <c r="K52" t="s">
        <v>24</v>
      </c>
      <c r="L52" s="5">
        <f>49365 / 86400</f>
        <v>0.57135416666666672</v>
      </c>
      <c r="M52" s="5">
        <f>37032 / 86400</f>
        <v>0.42861111111111111</v>
      </c>
    </row>
    <row r="53" spans="1:13" x14ac:dyDescent="0.25">
      <c r="A53" t="s">
        <v>550</v>
      </c>
      <c r="B53" s="3">
        <v>45696.211886574078</v>
      </c>
      <c r="C53" t="s">
        <v>29</v>
      </c>
      <c r="D53" s="3">
        <v>45696.606354166666</v>
      </c>
      <c r="E53" t="s">
        <v>29</v>
      </c>
      <c r="F53" s="4">
        <v>104.22199999999999</v>
      </c>
      <c r="G53" s="4">
        <v>381897.70199999999</v>
      </c>
      <c r="H53" s="4">
        <v>382001.924</v>
      </c>
      <c r="I53" s="5">
        <f>6438 / 86400</f>
        <v>7.4513888888888893E-2</v>
      </c>
      <c r="J53" t="s">
        <v>55</v>
      </c>
      <c r="K53" t="s">
        <v>32</v>
      </c>
      <c r="L53" s="5">
        <f>21463 / 86400</f>
        <v>0.24841435185185184</v>
      </c>
      <c r="M53" s="5">
        <f>64934 / 86400</f>
        <v>0.75155092592592587</v>
      </c>
    </row>
    <row r="54" spans="1:13" x14ac:dyDescent="0.25">
      <c r="A54" t="s">
        <v>551</v>
      </c>
      <c r="B54" s="3">
        <v>45696.301168981481</v>
      </c>
      <c r="C54" t="s">
        <v>21</v>
      </c>
      <c r="D54" s="3">
        <v>45696.922800925924</v>
      </c>
      <c r="E54" t="s">
        <v>21</v>
      </c>
      <c r="F54" s="4">
        <v>198.071</v>
      </c>
      <c r="G54" s="4">
        <v>545235.28799999994</v>
      </c>
      <c r="H54" s="4">
        <v>545433.35900000005</v>
      </c>
      <c r="I54" s="5">
        <f>14292 / 86400</f>
        <v>0.16541666666666666</v>
      </c>
      <c r="J54" t="s">
        <v>55</v>
      </c>
      <c r="K54" t="s">
        <v>28</v>
      </c>
      <c r="L54" s="5">
        <f>44953 / 86400</f>
        <v>0.52028935185185188</v>
      </c>
      <c r="M54" s="5">
        <f>41439 / 86400</f>
        <v>0.47961805555555553</v>
      </c>
    </row>
    <row r="55" spans="1:13" x14ac:dyDescent="0.25">
      <c r="A55" t="s">
        <v>552</v>
      </c>
      <c r="B55" s="3">
        <v>45696</v>
      </c>
      <c r="C55" t="s">
        <v>106</v>
      </c>
      <c r="D55" s="3">
        <v>45696.99998842593</v>
      </c>
      <c r="E55" t="s">
        <v>107</v>
      </c>
      <c r="F55" s="4">
        <v>276.09199999999998</v>
      </c>
      <c r="G55" s="4">
        <v>102073.428</v>
      </c>
      <c r="H55" s="4">
        <v>102349.52</v>
      </c>
      <c r="I55" s="5">
        <f>21274 / 86400</f>
        <v>0.24622685185185186</v>
      </c>
      <c r="J55" t="s">
        <v>108</v>
      </c>
      <c r="K55" t="s">
        <v>50</v>
      </c>
      <c r="L55" s="5">
        <f>56062 / 86400</f>
        <v>0.64886574074074077</v>
      </c>
      <c r="M55" s="5">
        <f>30337 / 86400</f>
        <v>0.35112268518518519</v>
      </c>
    </row>
    <row r="56" spans="1:13" x14ac:dyDescent="0.25">
      <c r="A56" t="s">
        <v>553</v>
      </c>
      <c r="B56" s="3">
        <v>45696</v>
      </c>
      <c r="C56" t="s">
        <v>109</v>
      </c>
      <c r="D56" s="3">
        <v>45696.935347222221</v>
      </c>
      <c r="E56" t="s">
        <v>29</v>
      </c>
      <c r="F56" s="4">
        <v>173.49699999999999</v>
      </c>
      <c r="G56" s="4">
        <v>53427.841999999997</v>
      </c>
      <c r="H56" s="4">
        <v>53601.339</v>
      </c>
      <c r="I56" s="5">
        <f>12219 / 86400</f>
        <v>0.14142361111111112</v>
      </c>
      <c r="J56" t="s">
        <v>93</v>
      </c>
      <c r="K56" t="s">
        <v>32</v>
      </c>
      <c r="L56" s="5">
        <f>36977 / 86400</f>
        <v>0.42797453703703703</v>
      </c>
      <c r="M56" s="5">
        <f>49421 / 86400</f>
        <v>0.57200231481481478</v>
      </c>
    </row>
    <row r="57" spans="1:13" x14ac:dyDescent="0.25">
      <c r="A57" t="s">
        <v>554</v>
      </c>
      <c r="B57" s="3">
        <v>45696.261377314819</v>
      </c>
      <c r="C57" t="s">
        <v>110</v>
      </c>
      <c r="D57" s="3">
        <v>45696.762453703705</v>
      </c>
      <c r="E57" t="s">
        <v>111</v>
      </c>
      <c r="F57" s="4">
        <v>175.012</v>
      </c>
      <c r="G57" s="4">
        <v>45430.766000000003</v>
      </c>
      <c r="H57" s="4">
        <v>45605.777999999998</v>
      </c>
      <c r="I57" s="5">
        <f>14044 / 86400</f>
        <v>0.1625462962962963</v>
      </c>
      <c r="J57" t="s">
        <v>64</v>
      </c>
      <c r="K57" t="s">
        <v>32</v>
      </c>
      <c r="L57" s="5">
        <f>38178 / 86400</f>
        <v>0.44187500000000002</v>
      </c>
      <c r="M57" s="5">
        <f>48221 / 86400</f>
        <v>0.55811342592592594</v>
      </c>
    </row>
    <row r="58" spans="1:13" x14ac:dyDescent="0.25">
      <c r="A58" t="s">
        <v>555</v>
      </c>
      <c r="B58" s="3">
        <v>45696.415520833332</v>
      </c>
      <c r="C58" t="s">
        <v>112</v>
      </c>
      <c r="D58" s="3">
        <v>45696.721157407403</v>
      </c>
      <c r="E58" t="s">
        <v>112</v>
      </c>
      <c r="F58" s="4">
        <v>103.76100000000001</v>
      </c>
      <c r="G58" s="4">
        <v>77697.991999999998</v>
      </c>
      <c r="H58" s="4">
        <v>77801.752999999997</v>
      </c>
      <c r="I58" s="5">
        <f>8414 / 86400</f>
        <v>9.7384259259259254E-2</v>
      </c>
      <c r="J58" t="s">
        <v>43</v>
      </c>
      <c r="K58" t="s">
        <v>28</v>
      </c>
      <c r="L58" s="5">
        <f>23053 / 86400</f>
        <v>0.26681712962962961</v>
      </c>
      <c r="M58" s="5">
        <f>63346 / 86400</f>
        <v>0.73317129629629629</v>
      </c>
    </row>
    <row r="59" spans="1:13" x14ac:dyDescent="0.25">
      <c r="A59" t="s">
        <v>556</v>
      </c>
      <c r="B59" s="3">
        <v>45696.239432870367</v>
      </c>
      <c r="C59" t="s">
        <v>113</v>
      </c>
      <c r="D59" s="3">
        <v>45696.99998842593</v>
      </c>
      <c r="E59" t="s">
        <v>114</v>
      </c>
      <c r="F59" s="4">
        <v>305.05700000000002</v>
      </c>
      <c r="G59" s="4">
        <v>38694.072999999997</v>
      </c>
      <c r="H59" s="4">
        <v>38999.129999999997</v>
      </c>
      <c r="I59" s="5">
        <f>20028 / 86400</f>
        <v>0.23180555555555554</v>
      </c>
      <c r="J59" t="s">
        <v>64</v>
      </c>
      <c r="K59" t="s">
        <v>50</v>
      </c>
      <c r="L59" s="5">
        <f>61362 / 86400</f>
        <v>0.71020833333333333</v>
      </c>
      <c r="M59" s="5">
        <f>25037 / 86400</f>
        <v>0.28978009259259258</v>
      </c>
    </row>
    <row r="60" spans="1:13" x14ac:dyDescent="0.25">
      <c r="A60" t="s">
        <v>557</v>
      </c>
      <c r="B60" s="3">
        <v>45696.266585648147</v>
      </c>
      <c r="C60" t="s">
        <v>115</v>
      </c>
      <c r="D60" s="3">
        <v>45696.975324074076</v>
      </c>
      <c r="E60" t="s">
        <v>115</v>
      </c>
      <c r="F60" s="4">
        <v>102.08999999999999</v>
      </c>
      <c r="G60" s="4">
        <v>191463.18100000001</v>
      </c>
      <c r="H60" s="4">
        <v>191565.27100000001</v>
      </c>
      <c r="I60" s="5">
        <f>4777 / 86400</f>
        <v>5.5289351851851853E-2</v>
      </c>
      <c r="J60" t="s">
        <v>116</v>
      </c>
      <c r="K60" t="s">
        <v>50</v>
      </c>
      <c r="L60" s="5">
        <f>20004 / 86400</f>
        <v>0.23152777777777778</v>
      </c>
      <c r="M60" s="5">
        <f>66395 / 86400</f>
        <v>0.76846064814814818</v>
      </c>
    </row>
    <row r="61" spans="1:13" x14ac:dyDescent="0.25">
      <c r="A61" t="s">
        <v>558</v>
      </c>
      <c r="B61" s="3">
        <v>45696.218634259261</v>
      </c>
      <c r="C61" t="s">
        <v>96</v>
      </c>
      <c r="D61" s="3">
        <v>45696.866736111115</v>
      </c>
      <c r="E61" t="s">
        <v>96</v>
      </c>
      <c r="F61" s="4">
        <v>196.80900000000003</v>
      </c>
      <c r="G61" s="4">
        <v>521740.21500000003</v>
      </c>
      <c r="H61" s="4">
        <v>521937.02399999998</v>
      </c>
      <c r="I61" s="5">
        <f>18418 / 86400</f>
        <v>0.2131712962962963</v>
      </c>
      <c r="J61" t="s">
        <v>40</v>
      </c>
      <c r="K61" t="s">
        <v>24</v>
      </c>
      <c r="L61" s="5">
        <f>47145 / 86400</f>
        <v>0.54565972222222225</v>
      </c>
      <c r="M61" s="5">
        <f>39253 / 86400</f>
        <v>0.45431712962962961</v>
      </c>
    </row>
    <row r="62" spans="1:13" x14ac:dyDescent="0.25">
      <c r="A62" t="s">
        <v>559</v>
      </c>
      <c r="B62" s="3">
        <v>45696.265023148153</v>
      </c>
      <c r="C62" t="s">
        <v>98</v>
      </c>
      <c r="D62" s="3">
        <v>45696.82876157407</v>
      </c>
      <c r="E62" t="s">
        <v>98</v>
      </c>
      <c r="F62" s="4">
        <v>186.94900000000001</v>
      </c>
      <c r="G62" s="4">
        <v>22007.991999999998</v>
      </c>
      <c r="H62" s="4">
        <v>22194.940999999999</v>
      </c>
      <c r="I62" s="5">
        <f>14675 / 86400</f>
        <v>0.16984953703703703</v>
      </c>
      <c r="J62" t="s">
        <v>71</v>
      </c>
      <c r="K62" t="s">
        <v>24</v>
      </c>
      <c r="L62" s="5">
        <f>44005 / 86400</f>
        <v>0.50931712962962961</v>
      </c>
      <c r="M62" s="5">
        <f>42389 / 86400</f>
        <v>0.49061342592592594</v>
      </c>
    </row>
    <row r="63" spans="1:13" x14ac:dyDescent="0.25">
      <c r="A63" t="s">
        <v>560</v>
      </c>
      <c r="B63" s="3">
        <v>45696.207430555558</v>
      </c>
      <c r="C63" t="s">
        <v>36</v>
      </c>
      <c r="D63" s="3">
        <v>45696.7340625</v>
      </c>
      <c r="E63" t="s">
        <v>36</v>
      </c>
      <c r="F63" s="4">
        <v>174.625</v>
      </c>
      <c r="G63" s="4">
        <v>63438.161</v>
      </c>
      <c r="H63" s="4">
        <v>63612.786</v>
      </c>
      <c r="I63" s="5">
        <f>12099 / 86400</f>
        <v>0.14003472222222221</v>
      </c>
      <c r="J63" t="s">
        <v>117</v>
      </c>
      <c r="K63" t="s">
        <v>32</v>
      </c>
      <c r="L63" s="5">
        <f>37013 / 86400</f>
        <v>0.4283912037037037</v>
      </c>
      <c r="M63" s="5">
        <f>49381 / 86400</f>
        <v>0.5715393518518519</v>
      </c>
    </row>
    <row r="64" spans="1:13" x14ac:dyDescent="0.25">
      <c r="A64" t="s">
        <v>561</v>
      </c>
      <c r="B64" s="3">
        <v>45696.26871527778</v>
      </c>
      <c r="C64" t="s">
        <v>70</v>
      </c>
      <c r="D64" s="3">
        <v>45696.803564814814</v>
      </c>
      <c r="E64" t="s">
        <v>70</v>
      </c>
      <c r="F64" s="4">
        <v>174.197</v>
      </c>
      <c r="G64" s="4">
        <v>4512.4589999999998</v>
      </c>
      <c r="H64" s="4">
        <v>4686.6559999999999</v>
      </c>
      <c r="I64" s="5">
        <f>15025 / 86400</f>
        <v>0.17390046296296297</v>
      </c>
      <c r="J64" t="s">
        <v>37</v>
      </c>
      <c r="K64" t="s">
        <v>24</v>
      </c>
      <c r="L64" s="5">
        <f>40807 / 86400</f>
        <v>0.47230324074074076</v>
      </c>
      <c r="M64" s="5">
        <f>45588 / 86400</f>
        <v>0.52763888888888888</v>
      </c>
    </row>
    <row r="65" spans="1:13" x14ac:dyDescent="0.25">
      <c r="A65" t="s">
        <v>562</v>
      </c>
      <c r="B65" s="3">
        <v>45696.001620370371</v>
      </c>
      <c r="C65" t="s">
        <v>118</v>
      </c>
      <c r="D65" s="3">
        <v>45696.998657407406</v>
      </c>
      <c r="E65" t="s">
        <v>118</v>
      </c>
      <c r="F65" s="4">
        <v>304.911</v>
      </c>
      <c r="G65" s="4">
        <v>407073.52500000002</v>
      </c>
      <c r="H65" s="4">
        <v>407378.43599999999</v>
      </c>
      <c r="I65" s="5">
        <f>18938 / 86400</f>
        <v>0.21918981481481481</v>
      </c>
      <c r="J65" t="s">
        <v>64</v>
      </c>
      <c r="K65" t="s">
        <v>50</v>
      </c>
      <c r="L65" s="5">
        <f>59872 / 86400</f>
        <v>0.692962962962963</v>
      </c>
      <c r="M65" s="5">
        <f>26519 / 86400</f>
        <v>0.30693287037037037</v>
      </c>
    </row>
    <row r="66" spans="1:13" x14ac:dyDescent="0.25">
      <c r="A66" t="s">
        <v>563</v>
      </c>
      <c r="B66" s="3">
        <v>45696</v>
      </c>
      <c r="C66" t="s">
        <v>119</v>
      </c>
      <c r="D66" s="3">
        <v>45696.998240740737</v>
      </c>
      <c r="E66" t="s">
        <v>83</v>
      </c>
      <c r="F66" s="4">
        <v>274.637</v>
      </c>
      <c r="G66" s="4">
        <v>548566.68500000006</v>
      </c>
      <c r="H66" s="4">
        <v>548841.32200000004</v>
      </c>
      <c r="I66" s="5">
        <f>18981 / 86400</f>
        <v>0.21968750000000001</v>
      </c>
      <c r="J66" t="s">
        <v>71</v>
      </c>
      <c r="K66" t="s">
        <v>32</v>
      </c>
      <c r="L66" s="5">
        <f>58976 / 86400</f>
        <v>0.68259259259259264</v>
      </c>
      <c r="M66" s="5">
        <f>27420 / 86400</f>
        <v>0.31736111111111109</v>
      </c>
    </row>
    <row r="67" spans="1:13" x14ac:dyDescent="0.25">
      <c r="A67" t="s">
        <v>564</v>
      </c>
      <c r="B67" s="3">
        <v>45696.033437499995</v>
      </c>
      <c r="C67" t="s">
        <v>120</v>
      </c>
      <c r="D67" s="3">
        <v>45696.982766203699</v>
      </c>
      <c r="E67" t="s">
        <v>120</v>
      </c>
      <c r="F67" s="4">
        <v>538.14</v>
      </c>
      <c r="G67" s="4">
        <v>47718.97</v>
      </c>
      <c r="H67" s="4">
        <v>48257.11</v>
      </c>
      <c r="I67" s="5">
        <f>9337 / 86400</f>
        <v>0.10806712962962962</v>
      </c>
      <c r="J67" t="s">
        <v>31</v>
      </c>
      <c r="K67" t="s">
        <v>121</v>
      </c>
      <c r="L67" s="5">
        <f>25903 / 86400</f>
        <v>0.29980324074074072</v>
      </c>
      <c r="M67" s="5">
        <f>60493 / 86400</f>
        <v>0.70015046296296302</v>
      </c>
    </row>
    <row r="68" spans="1:13" x14ac:dyDescent="0.25">
      <c r="A68" t="s">
        <v>565</v>
      </c>
      <c r="B68" s="3">
        <v>45696</v>
      </c>
      <c r="C68" t="s">
        <v>122</v>
      </c>
      <c r="D68" s="3">
        <v>45696.99998842593</v>
      </c>
      <c r="E68" t="s">
        <v>123</v>
      </c>
      <c r="F68" s="4">
        <v>366.423</v>
      </c>
      <c r="G68" s="4">
        <v>57947.466</v>
      </c>
      <c r="H68" s="4">
        <v>58313.889000000003</v>
      </c>
      <c r="I68" s="5">
        <f>24428 / 86400</f>
        <v>0.28273148148148147</v>
      </c>
      <c r="J68" t="s">
        <v>124</v>
      </c>
      <c r="K68" t="s">
        <v>50</v>
      </c>
      <c r="L68" s="5">
        <f>72041 / 86400</f>
        <v>0.83380787037037041</v>
      </c>
      <c r="M68" s="5">
        <f>14348 / 86400</f>
        <v>0.1660648148148148</v>
      </c>
    </row>
    <row r="69" spans="1:13" x14ac:dyDescent="0.25">
      <c r="A69" t="s">
        <v>566</v>
      </c>
      <c r="B69" s="3">
        <v>45696.013182870374</v>
      </c>
      <c r="C69" t="s">
        <v>21</v>
      </c>
      <c r="D69" s="3">
        <v>45696.99998842593</v>
      </c>
      <c r="E69" t="s">
        <v>125</v>
      </c>
      <c r="F69" s="4">
        <v>337.69400000000002</v>
      </c>
      <c r="G69" s="4">
        <v>60917.834000000003</v>
      </c>
      <c r="H69" s="4">
        <v>61255.527999999998</v>
      </c>
      <c r="I69" s="5">
        <f>24257 / 86400</f>
        <v>0.28075231481481483</v>
      </c>
      <c r="J69" t="s">
        <v>97</v>
      </c>
      <c r="K69" t="s">
        <v>50</v>
      </c>
      <c r="L69" s="5">
        <f>67461 / 86400</f>
        <v>0.78079861111111115</v>
      </c>
      <c r="M69" s="5">
        <f>18935 / 86400</f>
        <v>0.21915509259259258</v>
      </c>
    </row>
    <row r="70" spans="1:13" x14ac:dyDescent="0.25">
      <c r="A70" t="s">
        <v>567</v>
      </c>
      <c r="B70" s="3">
        <v>45696</v>
      </c>
      <c r="C70" t="s">
        <v>126</v>
      </c>
      <c r="D70" s="3">
        <v>45696.99998842593</v>
      </c>
      <c r="E70" t="s">
        <v>127</v>
      </c>
      <c r="F70" s="4">
        <v>172.715</v>
      </c>
      <c r="G70" s="4">
        <v>290756.80499999999</v>
      </c>
      <c r="H70" s="4">
        <v>290929.52</v>
      </c>
      <c r="I70" s="5">
        <f>22273 / 86400</f>
        <v>0.25778935185185187</v>
      </c>
      <c r="J70" t="s">
        <v>128</v>
      </c>
      <c r="K70" t="s">
        <v>47</v>
      </c>
      <c r="L70" s="5">
        <f>46731 / 86400</f>
        <v>0.5408680555555555</v>
      </c>
      <c r="M70" s="5">
        <f>39668 / 86400</f>
        <v>0.45912037037037035</v>
      </c>
    </row>
    <row r="71" spans="1:13" x14ac:dyDescent="0.25">
      <c r="A71" s="6" t="s">
        <v>129</v>
      </c>
      <c r="B71" s="6" t="s">
        <v>130</v>
      </c>
      <c r="C71" s="6" t="s">
        <v>130</v>
      </c>
      <c r="D71" s="6" t="s">
        <v>130</v>
      </c>
      <c r="E71" s="6" t="s">
        <v>130</v>
      </c>
      <c r="F71" s="7">
        <v>12473.433441561579</v>
      </c>
      <c r="G71" s="6" t="s">
        <v>130</v>
      </c>
      <c r="H71" s="6" t="s">
        <v>130</v>
      </c>
      <c r="I71" s="8">
        <f>955091 / 86400</f>
        <v>11.054293981481482</v>
      </c>
      <c r="J71" s="6" t="s">
        <v>130</v>
      </c>
      <c r="K71" s="6" t="s">
        <v>130</v>
      </c>
      <c r="L71" s="8">
        <f>2695647 / 86400</f>
        <v>31.199618055555554</v>
      </c>
      <c r="M71" s="8">
        <f>2747248 / 86400</f>
        <v>31.796851851851851</v>
      </c>
    </row>
    <row r="72" spans="1:13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</row>
    <row r="73" spans="1:13" s="9" customFormat="1" x14ac:dyDescent="0.25">
      <c r="A73" s="14" t="s">
        <v>131</v>
      </c>
      <c r="B73" s="14"/>
      <c r="C73" s="14"/>
      <c r="D73" s="14"/>
      <c r="E73" s="14"/>
      <c r="F73" s="14"/>
      <c r="G73" s="14"/>
      <c r="H73" s="14"/>
      <c r="I73" s="14"/>
      <c r="J73" s="14"/>
    </row>
    <row r="74" spans="1:13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</row>
    <row r="75" spans="1:13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</row>
    <row r="76" spans="1:13" s="10" customFormat="1" ht="20.100000000000001" customHeight="1" x14ac:dyDescent="0.35">
      <c r="A76" s="15" t="s">
        <v>505</v>
      </c>
      <c r="B76" s="15"/>
      <c r="C76" s="15"/>
      <c r="D76" s="15"/>
      <c r="E76" s="15"/>
      <c r="F76" s="15"/>
      <c r="G76" s="15"/>
      <c r="H76" s="15"/>
      <c r="I76" s="15"/>
      <c r="J76" s="15"/>
    </row>
    <row r="77" spans="1:13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</row>
    <row r="78" spans="1:13" ht="30" x14ac:dyDescent="0.25">
      <c r="A78" s="2" t="s">
        <v>6</v>
      </c>
      <c r="B78" s="2" t="s">
        <v>7</v>
      </c>
      <c r="C78" s="2" t="s">
        <v>8</v>
      </c>
      <c r="D78" s="2" t="s">
        <v>9</v>
      </c>
      <c r="E78" s="2" t="s">
        <v>10</v>
      </c>
      <c r="F78" s="2" t="s">
        <v>11</v>
      </c>
      <c r="G78" s="2" t="s">
        <v>12</v>
      </c>
      <c r="H78" s="2" t="s">
        <v>13</v>
      </c>
      <c r="I78" s="2" t="s">
        <v>14</v>
      </c>
      <c r="J78" s="2" t="s">
        <v>15</v>
      </c>
      <c r="K78" s="2" t="s">
        <v>16</v>
      </c>
      <c r="L78" s="2" t="s">
        <v>17</v>
      </c>
    </row>
    <row r="79" spans="1:13" x14ac:dyDescent="0.25">
      <c r="A79" s="3">
        <v>45696.235995370371</v>
      </c>
      <c r="B79" t="s">
        <v>18</v>
      </c>
      <c r="C79" s="3">
        <v>45696.240023148144</v>
      </c>
      <c r="D79" t="s">
        <v>18</v>
      </c>
      <c r="E79" s="4">
        <v>2.4E-2</v>
      </c>
      <c r="F79" s="4">
        <v>513216.84</v>
      </c>
      <c r="G79" s="4">
        <v>513216.864</v>
      </c>
      <c r="H79" s="5">
        <f>279 / 86400</f>
        <v>3.2291666666666666E-3</v>
      </c>
      <c r="I79" t="s">
        <v>132</v>
      </c>
      <c r="J79" t="s">
        <v>133</v>
      </c>
      <c r="K79" s="5">
        <f>348 / 86400</f>
        <v>4.0277777777777777E-3</v>
      </c>
      <c r="L79" s="5">
        <f>20712 / 86400</f>
        <v>0.23972222222222223</v>
      </c>
    </row>
    <row r="80" spans="1:13" x14ac:dyDescent="0.25">
      <c r="A80" s="3">
        <v>45696.243750000001</v>
      </c>
      <c r="B80" t="s">
        <v>18</v>
      </c>
      <c r="C80" s="3">
        <v>45696.248078703706</v>
      </c>
      <c r="D80" t="s">
        <v>134</v>
      </c>
      <c r="E80" s="4">
        <v>0.499</v>
      </c>
      <c r="F80" s="4">
        <v>513216.864</v>
      </c>
      <c r="G80" s="4">
        <v>513217.36300000001</v>
      </c>
      <c r="H80" s="5">
        <f>259 / 86400</f>
        <v>2.9976851851851853E-3</v>
      </c>
      <c r="I80" t="s">
        <v>135</v>
      </c>
      <c r="J80" t="s">
        <v>136</v>
      </c>
      <c r="K80" s="5">
        <f>374 / 86400</f>
        <v>4.3287037037037035E-3</v>
      </c>
      <c r="L80" s="5">
        <f>490 / 86400</f>
        <v>5.6712962962962967E-3</v>
      </c>
    </row>
    <row r="81" spans="1:12" x14ac:dyDescent="0.25">
      <c r="A81" s="3">
        <v>45696.253750000003</v>
      </c>
      <c r="B81" t="s">
        <v>134</v>
      </c>
      <c r="C81" s="3">
        <v>45696.317800925928</v>
      </c>
      <c r="D81" t="s">
        <v>137</v>
      </c>
      <c r="E81" s="4">
        <v>34.920999999999999</v>
      </c>
      <c r="F81" s="4">
        <v>513217.36300000001</v>
      </c>
      <c r="G81" s="4">
        <v>513252.28399999999</v>
      </c>
      <c r="H81" s="5">
        <f>1040 / 86400</f>
        <v>1.2037037037037037E-2</v>
      </c>
      <c r="I81" t="s">
        <v>19</v>
      </c>
      <c r="J81" t="s">
        <v>138</v>
      </c>
      <c r="K81" s="5">
        <f>5534 / 86400</f>
        <v>6.4050925925925928E-2</v>
      </c>
      <c r="L81" s="5">
        <f>1094 / 86400</f>
        <v>1.2662037037037038E-2</v>
      </c>
    </row>
    <row r="82" spans="1:12" x14ac:dyDescent="0.25">
      <c r="A82" s="3">
        <v>45696.330462962964</v>
      </c>
      <c r="B82" t="s">
        <v>137</v>
      </c>
      <c r="C82" s="3">
        <v>45696.337083333332</v>
      </c>
      <c r="D82" t="s">
        <v>139</v>
      </c>
      <c r="E82" s="4">
        <v>1.7729999999999999</v>
      </c>
      <c r="F82" s="4">
        <v>513252.28399999999</v>
      </c>
      <c r="G82" s="4">
        <v>513254.05699999997</v>
      </c>
      <c r="H82" s="5">
        <f>239 / 86400</f>
        <v>2.7662037037037039E-3</v>
      </c>
      <c r="I82" t="s">
        <v>140</v>
      </c>
      <c r="J82" t="s">
        <v>20</v>
      </c>
      <c r="K82" s="5">
        <f>571 / 86400</f>
        <v>6.6087962962962966E-3</v>
      </c>
      <c r="L82" s="5">
        <f>1681 / 86400</f>
        <v>1.9456018518518518E-2</v>
      </c>
    </row>
    <row r="83" spans="1:12" x14ac:dyDescent="0.25">
      <c r="A83" s="3">
        <v>45696.356539351851</v>
      </c>
      <c r="B83" t="s">
        <v>139</v>
      </c>
      <c r="C83" s="3">
        <v>45696.483576388884</v>
      </c>
      <c r="D83" t="s">
        <v>141</v>
      </c>
      <c r="E83" s="4">
        <v>37.122</v>
      </c>
      <c r="F83" s="4">
        <v>513254.05699999997</v>
      </c>
      <c r="G83" s="4">
        <v>513291.179</v>
      </c>
      <c r="H83" s="5">
        <f>5699 / 86400</f>
        <v>6.5960648148148143E-2</v>
      </c>
      <c r="I83" t="s">
        <v>37</v>
      </c>
      <c r="J83" t="s">
        <v>59</v>
      </c>
      <c r="K83" s="5">
        <f>10975 / 86400</f>
        <v>0.12702546296296297</v>
      </c>
      <c r="L83" s="5">
        <f>1822 / 86400</f>
        <v>2.1087962962962965E-2</v>
      </c>
    </row>
    <row r="84" spans="1:12" x14ac:dyDescent="0.25">
      <c r="A84" s="3">
        <v>45696.504664351851</v>
      </c>
      <c r="B84" t="s">
        <v>142</v>
      </c>
      <c r="C84" s="3">
        <v>45696.652754629627</v>
      </c>
      <c r="D84" t="s">
        <v>143</v>
      </c>
      <c r="E84" s="4">
        <v>4.4610000000000003</v>
      </c>
      <c r="F84" s="4">
        <v>513291.179</v>
      </c>
      <c r="G84" s="4">
        <v>513295.64</v>
      </c>
      <c r="H84" s="5">
        <f>11781 / 86400</f>
        <v>0.13635416666666667</v>
      </c>
      <c r="I84" t="s">
        <v>144</v>
      </c>
      <c r="J84" t="s">
        <v>91</v>
      </c>
      <c r="K84" s="5">
        <f>12795 / 86400</f>
        <v>0.14809027777777778</v>
      </c>
      <c r="L84" s="5">
        <f>359 / 86400</f>
        <v>4.1550925925925922E-3</v>
      </c>
    </row>
    <row r="85" spans="1:12" x14ac:dyDescent="0.25">
      <c r="A85" s="3">
        <v>45696.656909722224</v>
      </c>
      <c r="B85" t="s">
        <v>143</v>
      </c>
      <c r="C85" s="3">
        <v>45696.658715277779</v>
      </c>
      <c r="D85" t="s">
        <v>143</v>
      </c>
      <c r="E85" s="4">
        <v>0</v>
      </c>
      <c r="F85" s="4">
        <v>513295.64</v>
      </c>
      <c r="G85" s="4">
        <v>513295.64</v>
      </c>
      <c r="H85" s="5">
        <f>139 / 86400</f>
        <v>1.6087962962962963E-3</v>
      </c>
      <c r="I85" t="s">
        <v>133</v>
      </c>
      <c r="J85" t="s">
        <v>133</v>
      </c>
      <c r="K85" s="5">
        <f>156 / 86400</f>
        <v>1.8055555555555555E-3</v>
      </c>
      <c r="L85" s="5">
        <f>499 / 86400</f>
        <v>5.7754629629629631E-3</v>
      </c>
    </row>
    <row r="86" spans="1:12" x14ac:dyDescent="0.25">
      <c r="A86" s="3">
        <v>45696.664490740739</v>
      </c>
      <c r="B86" t="s">
        <v>143</v>
      </c>
      <c r="C86" s="3">
        <v>45696.666643518518</v>
      </c>
      <c r="D86" t="s">
        <v>143</v>
      </c>
      <c r="E86" s="4">
        <v>0</v>
      </c>
      <c r="F86" s="4">
        <v>513295.64</v>
      </c>
      <c r="G86" s="4">
        <v>513295.64</v>
      </c>
      <c r="H86" s="5">
        <f>179 / 86400</f>
        <v>2.0717592592592593E-3</v>
      </c>
      <c r="I86" t="s">
        <v>133</v>
      </c>
      <c r="J86" t="s">
        <v>133</v>
      </c>
      <c r="K86" s="5">
        <f>185 / 86400</f>
        <v>2.1412037037037038E-3</v>
      </c>
      <c r="L86" s="5">
        <f>324 / 86400</f>
        <v>3.7499999999999999E-3</v>
      </c>
    </row>
    <row r="87" spans="1:12" x14ac:dyDescent="0.25">
      <c r="A87" s="3">
        <v>45696.670393518521</v>
      </c>
      <c r="B87" t="s">
        <v>143</v>
      </c>
      <c r="C87" s="3">
        <v>45696.672974537039</v>
      </c>
      <c r="D87" t="s">
        <v>143</v>
      </c>
      <c r="E87" s="4">
        <v>0</v>
      </c>
      <c r="F87" s="4">
        <v>513295.64</v>
      </c>
      <c r="G87" s="4">
        <v>513295.64</v>
      </c>
      <c r="H87" s="5">
        <f>219 / 86400</f>
        <v>2.5347222222222221E-3</v>
      </c>
      <c r="I87" t="s">
        <v>133</v>
      </c>
      <c r="J87" t="s">
        <v>133</v>
      </c>
      <c r="K87" s="5">
        <f>222 / 86400</f>
        <v>2.5694444444444445E-3</v>
      </c>
      <c r="L87" s="5">
        <f>107 / 86400</f>
        <v>1.238425925925926E-3</v>
      </c>
    </row>
    <row r="88" spans="1:12" x14ac:dyDescent="0.25">
      <c r="A88" s="3">
        <v>45696.674212962964</v>
      </c>
      <c r="B88" t="s">
        <v>143</v>
      </c>
      <c r="C88" s="3">
        <v>45696.809548611112</v>
      </c>
      <c r="D88" t="s">
        <v>145</v>
      </c>
      <c r="E88" s="4">
        <v>47.485999999999997</v>
      </c>
      <c r="F88" s="4">
        <v>513295.64</v>
      </c>
      <c r="G88" s="4">
        <v>513343.12599999999</v>
      </c>
      <c r="H88" s="5">
        <f>4759 / 86400</f>
        <v>5.5081018518518515E-2</v>
      </c>
      <c r="I88" t="s">
        <v>40</v>
      </c>
      <c r="J88" t="s">
        <v>24</v>
      </c>
      <c r="K88" s="5">
        <f>11692 / 86400</f>
        <v>0.13532407407407407</v>
      </c>
      <c r="L88" s="5">
        <f>83 / 86400</f>
        <v>9.6064814814814819E-4</v>
      </c>
    </row>
    <row r="89" spans="1:12" x14ac:dyDescent="0.25">
      <c r="A89" s="3">
        <v>45696.81050925926</v>
      </c>
      <c r="B89" t="s">
        <v>145</v>
      </c>
      <c r="C89" s="3">
        <v>45696.876736111109</v>
      </c>
      <c r="D89" t="s">
        <v>134</v>
      </c>
      <c r="E89" s="4">
        <v>18.922999999999998</v>
      </c>
      <c r="F89" s="4">
        <v>513343.12599999999</v>
      </c>
      <c r="G89" s="4">
        <v>513362.049</v>
      </c>
      <c r="H89" s="5">
        <f>2319 / 86400</f>
        <v>2.6840277777777779E-2</v>
      </c>
      <c r="I89" t="s">
        <v>81</v>
      </c>
      <c r="J89" t="s">
        <v>59</v>
      </c>
      <c r="K89" s="5">
        <f>5721 / 86400</f>
        <v>6.6215277777777776E-2</v>
      </c>
      <c r="L89" s="5">
        <f>514 / 86400</f>
        <v>5.9490740740740745E-3</v>
      </c>
    </row>
    <row r="90" spans="1:12" x14ac:dyDescent="0.25">
      <c r="A90" s="3">
        <v>45696.882685185185</v>
      </c>
      <c r="B90" t="s">
        <v>134</v>
      </c>
      <c r="C90" s="3">
        <v>45696.886412037042</v>
      </c>
      <c r="D90" t="s">
        <v>134</v>
      </c>
      <c r="E90" s="4">
        <v>0.03</v>
      </c>
      <c r="F90" s="4">
        <v>513362.049</v>
      </c>
      <c r="G90" s="4">
        <v>513362.07900000003</v>
      </c>
      <c r="H90" s="5">
        <f>300 / 86400</f>
        <v>3.472222222222222E-3</v>
      </c>
      <c r="I90" t="s">
        <v>90</v>
      </c>
      <c r="J90" t="s">
        <v>133</v>
      </c>
      <c r="K90" s="5">
        <f>322 / 86400</f>
        <v>3.7268518518518519E-3</v>
      </c>
      <c r="L90" s="5">
        <f>372 / 86400</f>
        <v>4.3055555555555555E-3</v>
      </c>
    </row>
    <row r="91" spans="1:12" x14ac:dyDescent="0.25">
      <c r="A91" s="3">
        <v>45696.890717592592</v>
      </c>
      <c r="B91" t="s">
        <v>134</v>
      </c>
      <c r="C91" s="3">
        <v>45696.89539351852</v>
      </c>
      <c r="D91" t="s">
        <v>18</v>
      </c>
      <c r="E91" s="4">
        <v>0.54100000000000004</v>
      </c>
      <c r="F91" s="4">
        <v>513362.07900000003</v>
      </c>
      <c r="G91" s="4">
        <v>513362.62</v>
      </c>
      <c r="H91" s="5">
        <f>180 / 86400</f>
        <v>2.0833333333333333E-3</v>
      </c>
      <c r="I91" t="s">
        <v>47</v>
      </c>
      <c r="J91" t="s">
        <v>136</v>
      </c>
      <c r="K91" s="5">
        <f>404 / 86400</f>
        <v>4.6759259259259263E-3</v>
      </c>
      <c r="L91" s="5">
        <f>3503 / 86400</f>
        <v>4.0543981481481479E-2</v>
      </c>
    </row>
    <row r="92" spans="1:12" x14ac:dyDescent="0.25">
      <c r="A92" s="3">
        <v>45696.935937499999</v>
      </c>
      <c r="B92" t="s">
        <v>18</v>
      </c>
      <c r="C92" s="3">
        <v>45696.935983796298</v>
      </c>
      <c r="D92" t="s">
        <v>18</v>
      </c>
      <c r="E92" s="4">
        <v>0</v>
      </c>
      <c r="F92" s="4">
        <v>513362.62</v>
      </c>
      <c r="G92" s="4">
        <v>513362.62</v>
      </c>
      <c r="H92" s="5">
        <f>0 / 86400</f>
        <v>0</v>
      </c>
      <c r="I92" t="s">
        <v>133</v>
      </c>
      <c r="J92" t="s">
        <v>133</v>
      </c>
      <c r="K92" s="5">
        <f>4 / 86400</f>
        <v>4.6296296296296294E-5</v>
      </c>
      <c r="L92" s="5">
        <f>1286 / 86400</f>
        <v>1.4884259259259259E-2</v>
      </c>
    </row>
    <row r="93" spans="1:12" x14ac:dyDescent="0.25">
      <c r="A93" s="3">
        <v>45696.950868055559</v>
      </c>
      <c r="B93" t="s">
        <v>18</v>
      </c>
      <c r="C93" s="3">
        <v>45696.952465277776</v>
      </c>
      <c r="D93" t="s">
        <v>18</v>
      </c>
      <c r="E93" s="4">
        <v>3.1E-2</v>
      </c>
      <c r="F93" s="4">
        <v>513362.62</v>
      </c>
      <c r="G93" s="4">
        <v>513362.65100000001</v>
      </c>
      <c r="H93" s="5">
        <f>99 / 86400</f>
        <v>1.1458333333333333E-3</v>
      </c>
      <c r="I93" t="s">
        <v>146</v>
      </c>
      <c r="J93" t="s">
        <v>91</v>
      </c>
      <c r="K93" s="5">
        <f>137 / 86400</f>
        <v>1.5856481481481481E-3</v>
      </c>
      <c r="L93" s="5">
        <f>95 / 86400</f>
        <v>1.0995370370370371E-3</v>
      </c>
    </row>
    <row r="94" spans="1:12" x14ac:dyDescent="0.25">
      <c r="A94" s="3">
        <v>45696.953564814816</v>
      </c>
      <c r="B94" t="s">
        <v>18</v>
      </c>
      <c r="C94" s="3">
        <v>45696.953611111108</v>
      </c>
      <c r="D94" t="s">
        <v>18</v>
      </c>
      <c r="E94" s="4">
        <v>0</v>
      </c>
      <c r="F94" s="4">
        <v>513362.65100000001</v>
      </c>
      <c r="G94" s="4">
        <v>513362.65100000001</v>
      </c>
      <c r="H94" s="5">
        <f>0 / 86400</f>
        <v>0</v>
      </c>
      <c r="I94" t="s">
        <v>133</v>
      </c>
      <c r="J94" t="s">
        <v>133</v>
      </c>
      <c r="K94" s="5">
        <f>3 / 86400</f>
        <v>3.4722222222222222E-5</v>
      </c>
      <c r="L94" s="5">
        <f>4007 / 86400</f>
        <v>4.6377314814814816E-2</v>
      </c>
    </row>
    <row r="95" spans="1:12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</row>
    <row r="96" spans="1:12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</row>
    <row r="97" spans="1:12" s="10" customFormat="1" ht="20.100000000000001" customHeight="1" x14ac:dyDescent="0.35">
      <c r="A97" s="15" t="s">
        <v>506</v>
      </c>
      <c r="B97" s="15"/>
      <c r="C97" s="15"/>
      <c r="D97" s="15"/>
      <c r="E97" s="15"/>
      <c r="F97" s="15"/>
      <c r="G97" s="15"/>
      <c r="H97" s="15"/>
      <c r="I97" s="15"/>
      <c r="J97" s="15"/>
    </row>
    <row r="98" spans="1:12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</row>
    <row r="99" spans="1:12" ht="30" x14ac:dyDescent="0.25">
      <c r="A99" s="2" t="s">
        <v>6</v>
      </c>
      <c r="B99" s="2" t="s">
        <v>7</v>
      </c>
      <c r="C99" s="2" t="s">
        <v>8</v>
      </c>
      <c r="D99" s="2" t="s">
        <v>9</v>
      </c>
      <c r="E99" s="2" t="s">
        <v>10</v>
      </c>
      <c r="F99" s="2" t="s">
        <v>11</v>
      </c>
      <c r="G99" s="2" t="s">
        <v>12</v>
      </c>
      <c r="H99" s="2" t="s">
        <v>13</v>
      </c>
      <c r="I99" s="2" t="s">
        <v>14</v>
      </c>
      <c r="J99" s="2" t="s">
        <v>15</v>
      </c>
      <c r="K99" s="2" t="s">
        <v>16</v>
      </c>
      <c r="L99" s="2" t="s">
        <v>17</v>
      </c>
    </row>
    <row r="100" spans="1:12" x14ac:dyDescent="0.25">
      <c r="A100" s="3">
        <v>45696.723495370374</v>
      </c>
      <c r="B100" t="s">
        <v>21</v>
      </c>
      <c r="C100" s="3">
        <v>45696.736793981487</v>
      </c>
      <c r="D100" t="s">
        <v>22</v>
      </c>
      <c r="E100" s="4">
        <v>4.8129999999999997</v>
      </c>
      <c r="F100" s="4">
        <v>18074.314999999999</v>
      </c>
      <c r="G100" s="4">
        <v>18079.128000000001</v>
      </c>
      <c r="H100" s="5">
        <f>360 / 86400</f>
        <v>4.1666666666666666E-3</v>
      </c>
      <c r="I100" t="s">
        <v>23</v>
      </c>
      <c r="J100" t="s">
        <v>24</v>
      </c>
      <c r="K100" s="5">
        <f>1149 / 86400</f>
        <v>1.3298611111111112E-2</v>
      </c>
      <c r="L100" s="5">
        <f>85250 / 86400</f>
        <v>0.98668981481481477</v>
      </c>
    </row>
    <row r="101" spans="1:12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</row>
    <row r="102" spans="1:12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</row>
    <row r="103" spans="1:12" s="10" customFormat="1" ht="20.100000000000001" customHeight="1" x14ac:dyDescent="0.35">
      <c r="A103" s="15" t="s">
        <v>507</v>
      </c>
      <c r="B103" s="15"/>
      <c r="C103" s="15"/>
      <c r="D103" s="15"/>
      <c r="E103" s="15"/>
      <c r="F103" s="15"/>
      <c r="G103" s="15"/>
      <c r="H103" s="15"/>
      <c r="I103" s="15"/>
      <c r="J103" s="15"/>
    </row>
    <row r="104" spans="1:12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ht="30" x14ac:dyDescent="0.25">
      <c r="A105" s="2" t="s">
        <v>6</v>
      </c>
      <c r="B105" s="2" t="s">
        <v>7</v>
      </c>
      <c r="C105" s="2" t="s">
        <v>8</v>
      </c>
      <c r="D105" s="2" t="s">
        <v>9</v>
      </c>
      <c r="E105" s="2" t="s">
        <v>10</v>
      </c>
      <c r="F105" s="2" t="s">
        <v>11</v>
      </c>
      <c r="G105" s="2" t="s">
        <v>12</v>
      </c>
      <c r="H105" s="2" t="s">
        <v>13</v>
      </c>
      <c r="I105" s="2" t="s">
        <v>14</v>
      </c>
      <c r="J105" s="2" t="s">
        <v>15</v>
      </c>
      <c r="K105" s="2" t="s">
        <v>16</v>
      </c>
      <c r="L105" s="2" t="s">
        <v>17</v>
      </c>
    </row>
    <row r="106" spans="1:12" x14ac:dyDescent="0.25">
      <c r="A106" s="3">
        <v>45696.316388888888</v>
      </c>
      <c r="B106" t="s">
        <v>25</v>
      </c>
      <c r="C106" s="3">
        <v>45696.316435185188</v>
      </c>
      <c r="D106" t="s">
        <v>25</v>
      </c>
      <c r="E106" s="4">
        <v>0</v>
      </c>
      <c r="F106" s="4">
        <v>327665.78899999999</v>
      </c>
      <c r="G106" s="4">
        <v>327665.78899999999</v>
      </c>
      <c r="H106" s="5">
        <f>0 / 86400</f>
        <v>0</v>
      </c>
      <c r="I106" t="s">
        <v>133</v>
      </c>
      <c r="J106" t="s">
        <v>133</v>
      </c>
      <c r="K106" s="5">
        <f>3 / 86400</f>
        <v>3.4722222222222222E-5</v>
      </c>
      <c r="L106" s="5">
        <f>27344 / 86400</f>
        <v>0.31648148148148147</v>
      </c>
    </row>
    <row r="107" spans="1:12" x14ac:dyDescent="0.25">
      <c r="A107" s="3">
        <v>45696.316527777773</v>
      </c>
      <c r="B107" t="s">
        <v>25</v>
      </c>
      <c r="C107" s="3">
        <v>45696.316574074073</v>
      </c>
      <c r="D107" t="s">
        <v>25</v>
      </c>
      <c r="E107" s="4">
        <v>0</v>
      </c>
      <c r="F107" s="4">
        <v>327665.78899999999</v>
      </c>
      <c r="G107" s="4">
        <v>327665.78899999999</v>
      </c>
      <c r="H107" s="5">
        <f>0 / 86400</f>
        <v>0</v>
      </c>
      <c r="I107" t="s">
        <v>133</v>
      </c>
      <c r="J107" t="s">
        <v>133</v>
      </c>
      <c r="K107" s="5">
        <f>4 / 86400</f>
        <v>4.6296296296296294E-5</v>
      </c>
      <c r="L107" s="5">
        <f>2278 / 86400</f>
        <v>2.6365740740740742E-2</v>
      </c>
    </row>
    <row r="108" spans="1:12" x14ac:dyDescent="0.25">
      <c r="A108" s="3">
        <v>45696.342939814815</v>
      </c>
      <c r="B108" t="s">
        <v>147</v>
      </c>
      <c r="C108" s="3">
        <v>45696.342974537038</v>
      </c>
      <c r="D108" t="s">
        <v>147</v>
      </c>
      <c r="E108" s="4">
        <v>0</v>
      </c>
      <c r="F108" s="4">
        <v>327665.78899999999</v>
      </c>
      <c r="G108" s="4">
        <v>327665.78899999999</v>
      </c>
      <c r="H108" s="5">
        <f>0 / 86400</f>
        <v>0</v>
      </c>
      <c r="I108" t="s">
        <v>133</v>
      </c>
      <c r="J108" t="s">
        <v>133</v>
      </c>
      <c r="K108" s="5">
        <f>3 / 86400</f>
        <v>3.4722222222222222E-5</v>
      </c>
      <c r="L108" s="5">
        <f>4 / 86400</f>
        <v>4.6296296296296294E-5</v>
      </c>
    </row>
    <row r="109" spans="1:12" x14ac:dyDescent="0.25">
      <c r="A109" s="3">
        <v>45696.34302083333</v>
      </c>
      <c r="B109" t="s">
        <v>147</v>
      </c>
      <c r="C109" s="3">
        <v>45696.34306712963</v>
      </c>
      <c r="D109" t="s">
        <v>147</v>
      </c>
      <c r="E109" s="4">
        <v>0</v>
      </c>
      <c r="F109" s="4">
        <v>327665.78899999999</v>
      </c>
      <c r="G109" s="4">
        <v>327665.78899999999</v>
      </c>
      <c r="H109" s="5">
        <f>0 / 86400</f>
        <v>0</v>
      </c>
      <c r="I109" t="s">
        <v>133</v>
      </c>
      <c r="J109" t="s">
        <v>133</v>
      </c>
      <c r="K109" s="5">
        <f>4 / 86400</f>
        <v>4.6296296296296294E-5</v>
      </c>
      <c r="L109" s="5">
        <f>8904 / 86400</f>
        <v>0.10305555555555555</v>
      </c>
    </row>
    <row r="110" spans="1:12" x14ac:dyDescent="0.25">
      <c r="A110" s="3">
        <v>45696.446122685185</v>
      </c>
      <c r="B110" t="s">
        <v>25</v>
      </c>
      <c r="C110" s="3">
        <v>45696.446620370371</v>
      </c>
      <c r="D110" t="s">
        <v>25</v>
      </c>
      <c r="E110" s="4">
        <v>1.9E-2</v>
      </c>
      <c r="F110" s="4">
        <v>327665.78999999998</v>
      </c>
      <c r="G110" s="4">
        <v>327665.80900000001</v>
      </c>
      <c r="H110" s="5">
        <f>20 / 86400</f>
        <v>2.3148148148148149E-4</v>
      </c>
      <c r="I110" t="s">
        <v>136</v>
      </c>
      <c r="J110" t="s">
        <v>132</v>
      </c>
      <c r="K110" s="5">
        <f>42 / 86400</f>
        <v>4.861111111111111E-4</v>
      </c>
      <c r="L110" s="5">
        <f>229 / 86400</f>
        <v>2.650462962962963E-3</v>
      </c>
    </row>
    <row r="111" spans="1:12" x14ac:dyDescent="0.25">
      <c r="A111" s="3">
        <v>45696.449270833335</v>
      </c>
      <c r="B111" t="s">
        <v>148</v>
      </c>
      <c r="C111" s="3">
        <v>45696.454930555556</v>
      </c>
      <c r="D111" t="s">
        <v>149</v>
      </c>
      <c r="E111" s="4">
        <v>1.03</v>
      </c>
      <c r="F111" s="4">
        <v>327665.80900000001</v>
      </c>
      <c r="G111" s="4">
        <v>327666.83899999998</v>
      </c>
      <c r="H111" s="5">
        <f>240 / 86400</f>
        <v>2.7777777777777779E-3</v>
      </c>
      <c r="I111" t="s">
        <v>150</v>
      </c>
      <c r="J111" t="s">
        <v>151</v>
      </c>
      <c r="K111" s="5">
        <f>488 / 86400</f>
        <v>5.6481481481481478E-3</v>
      </c>
      <c r="L111" s="5">
        <f>4 / 86400</f>
        <v>4.6296296296296294E-5</v>
      </c>
    </row>
    <row r="112" spans="1:12" x14ac:dyDescent="0.25">
      <c r="A112" s="3">
        <v>45696.454976851848</v>
      </c>
      <c r="B112" t="s">
        <v>149</v>
      </c>
      <c r="C112" s="3">
        <v>45696.455405092594</v>
      </c>
      <c r="D112" t="s">
        <v>149</v>
      </c>
      <c r="E112" s="4">
        <v>0</v>
      </c>
      <c r="F112" s="4">
        <v>327666.83899999998</v>
      </c>
      <c r="G112" s="4">
        <v>327666.83899999998</v>
      </c>
      <c r="H112" s="5">
        <f>24 / 86400</f>
        <v>2.7777777777777778E-4</v>
      </c>
      <c r="I112" t="s">
        <v>133</v>
      </c>
      <c r="J112" t="s">
        <v>133</v>
      </c>
      <c r="K112" s="5">
        <f>37 / 86400</f>
        <v>4.2824074074074075E-4</v>
      </c>
      <c r="L112" s="5">
        <f>1 / 86400</f>
        <v>1.1574074074074073E-5</v>
      </c>
    </row>
    <row r="113" spans="1:12" x14ac:dyDescent="0.25">
      <c r="A113" s="3">
        <v>45696.455416666664</v>
      </c>
      <c r="B113" t="s">
        <v>149</v>
      </c>
      <c r="C113" s="3">
        <v>45696.455613425926</v>
      </c>
      <c r="D113" t="s">
        <v>149</v>
      </c>
      <c r="E113" s="4">
        <v>0</v>
      </c>
      <c r="F113" s="4">
        <v>327666.83899999998</v>
      </c>
      <c r="G113" s="4">
        <v>327666.83899999998</v>
      </c>
      <c r="H113" s="5">
        <f>6 / 86400</f>
        <v>6.9444444444444444E-5</v>
      </c>
      <c r="I113" t="s">
        <v>133</v>
      </c>
      <c r="J113" t="s">
        <v>133</v>
      </c>
      <c r="K113" s="5">
        <f>17 / 86400</f>
        <v>1.9675925925925926E-4</v>
      </c>
      <c r="L113" s="5">
        <f>5 / 86400</f>
        <v>5.7870370370370373E-5</v>
      </c>
    </row>
    <row r="114" spans="1:12" x14ac:dyDescent="0.25">
      <c r="A114" s="3">
        <v>45696.455671296295</v>
      </c>
      <c r="B114" t="s">
        <v>149</v>
      </c>
      <c r="C114" s="3">
        <v>45696.512453703705</v>
      </c>
      <c r="D114" t="s">
        <v>152</v>
      </c>
      <c r="E114" s="4">
        <v>23.555</v>
      </c>
      <c r="F114" s="4">
        <v>327666.83899999998</v>
      </c>
      <c r="G114" s="4">
        <v>327690.39399999997</v>
      </c>
      <c r="H114" s="5">
        <f>1884 / 86400</f>
        <v>2.1805555555555557E-2</v>
      </c>
      <c r="I114" t="s">
        <v>56</v>
      </c>
      <c r="J114" t="s">
        <v>32</v>
      </c>
      <c r="K114" s="5">
        <f>4906 / 86400</f>
        <v>5.6782407407407406E-2</v>
      </c>
      <c r="L114" s="5">
        <f>8 / 86400</f>
        <v>9.2592592592592588E-5</v>
      </c>
    </row>
    <row r="115" spans="1:12" x14ac:dyDescent="0.25">
      <c r="A115" s="3">
        <v>45696.512546296297</v>
      </c>
      <c r="B115" t="s">
        <v>152</v>
      </c>
      <c r="C115" s="3">
        <v>45696.51258101852</v>
      </c>
      <c r="D115" t="s">
        <v>152</v>
      </c>
      <c r="E115" s="4">
        <v>0</v>
      </c>
      <c r="F115" s="4">
        <v>327690.39399999997</v>
      </c>
      <c r="G115" s="4">
        <v>327690.39399999997</v>
      </c>
      <c r="H115" s="5">
        <f>0 / 86400</f>
        <v>0</v>
      </c>
      <c r="I115" t="s">
        <v>133</v>
      </c>
      <c r="J115" t="s">
        <v>133</v>
      </c>
      <c r="K115" s="5">
        <f>3 / 86400</f>
        <v>3.4722222222222222E-5</v>
      </c>
      <c r="L115" s="5">
        <f>2117 / 86400</f>
        <v>2.4502314814814814E-2</v>
      </c>
    </row>
    <row r="116" spans="1:12" x14ac:dyDescent="0.25">
      <c r="A116" s="3">
        <v>45696.537083333329</v>
      </c>
      <c r="B116" t="s">
        <v>152</v>
      </c>
      <c r="C116" s="3">
        <v>45696.54954861111</v>
      </c>
      <c r="D116" t="s">
        <v>152</v>
      </c>
      <c r="E116" s="4">
        <v>0.17199999999999999</v>
      </c>
      <c r="F116" s="4">
        <v>327690.39399999997</v>
      </c>
      <c r="G116" s="4">
        <v>327690.56599999999</v>
      </c>
      <c r="H116" s="5">
        <f>999 / 86400</f>
        <v>1.15625E-2</v>
      </c>
      <c r="I116" t="s">
        <v>32</v>
      </c>
      <c r="J116" t="s">
        <v>91</v>
      </c>
      <c r="K116" s="5">
        <f>1077 / 86400</f>
        <v>1.2465277777777778E-2</v>
      </c>
      <c r="L116" s="5">
        <f>4 / 86400</f>
        <v>4.6296296296296294E-5</v>
      </c>
    </row>
    <row r="117" spans="1:12" x14ac:dyDescent="0.25">
      <c r="A117" s="3">
        <v>45696.54959490741</v>
      </c>
      <c r="B117" t="s">
        <v>152</v>
      </c>
      <c r="C117" s="3">
        <v>45696.549629629633</v>
      </c>
      <c r="D117" t="s">
        <v>152</v>
      </c>
      <c r="E117" s="4">
        <v>0</v>
      </c>
      <c r="F117" s="4">
        <v>327690.56599999999</v>
      </c>
      <c r="G117" s="4">
        <v>327690.56599999999</v>
      </c>
      <c r="H117" s="5">
        <f>0 / 86400</f>
        <v>0</v>
      </c>
      <c r="I117" t="s">
        <v>133</v>
      </c>
      <c r="J117" t="s">
        <v>133</v>
      </c>
      <c r="K117" s="5">
        <f>3 / 86400</f>
        <v>3.4722222222222222E-5</v>
      </c>
      <c r="L117" s="5">
        <f>9 / 86400</f>
        <v>1.0416666666666667E-4</v>
      </c>
    </row>
    <row r="118" spans="1:12" x14ac:dyDescent="0.25">
      <c r="A118" s="3">
        <v>45696.549733796295</v>
      </c>
      <c r="B118" t="s">
        <v>152</v>
      </c>
      <c r="C118" s="3">
        <v>45696.656631944439</v>
      </c>
      <c r="D118" t="s">
        <v>153</v>
      </c>
      <c r="E118" s="4">
        <v>44.444000000000003</v>
      </c>
      <c r="F118" s="4">
        <v>327690.56599999999</v>
      </c>
      <c r="G118" s="4">
        <v>327735.01</v>
      </c>
      <c r="H118" s="5">
        <f>3359 / 86400</f>
        <v>3.8877314814814816E-2</v>
      </c>
      <c r="I118" t="s">
        <v>26</v>
      </c>
      <c r="J118" t="s">
        <v>32</v>
      </c>
      <c r="K118" s="5">
        <f>9236 / 86400</f>
        <v>0.10689814814814814</v>
      </c>
      <c r="L118" s="5">
        <f>9 / 86400</f>
        <v>1.0416666666666667E-4</v>
      </c>
    </row>
    <row r="119" spans="1:12" x14ac:dyDescent="0.25">
      <c r="A119" s="3">
        <v>45696.656736111108</v>
      </c>
      <c r="B119" t="s">
        <v>153</v>
      </c>
      <c r="C119" s="3">
        <v>45696.705324074079</v>
      </c>
      <c r="D119" t="s">
        <v>154</v>
      </c>
      <c r="E119" s="4">
        <v>15.513</v>
      </c>
      <c r="F119" s="4">
        <v>327735.01</v>
      </c>
      <c r="G119" s="4">
        <v>327750.52299999999</v>
      </c>
      <c r="H119" s="5">
        <f>2080 / 86400</f>
        <v>2.4074074074074074E-2</v>
      </c>
      <c r="I119" t="s">
        <v>55</v>
      </c>
      <c r="J119" t="s">
        <v>47</v>
      </c>
      <c r="K119" s="5">
        <f>4198 / 86400</f>
        <v>4.8587962962962965E-2</v>
      </c>
      <c r="L119" s="5">
        <f>2469 / 86400</f>
        <v>2.8576388888888887E-2</v>
      </c>
    </row>
    <row r="120" spans="1:12" x14ac:dyDescent="0.25">
      <c r="A120" s="3">
        <v>45696.733900462961</v>
      </c>
      <c r="B120" t="s">
        <v>154</v>
      </c>
      <c r="C120" s="3">
        <v>45696.733923611115</v>
      </c>
      <c r="D120" t="s">
        <v>154</v>
      </c>
      <c r="E120" s="4">
        <v>0</v>
      </c>
      <c r="F120" s="4">
        <v>327750.52299999999</v>
      </c>
      <c r="G120" s="4">
        <v>327750.52299999999</v>
      </c>
      <c r="H120" s="5">
        <f>0 / 86400</f>
        <v>0</v>
      </c>
      <c r="I120" t="s">
        <v>133</v>
      </c>
      <c r="J120" t="s">
        <v>133</v>
      </c>
      <c r="K120" s="5">
        <f>1 / 86400</f>
        <v>1.1574074074074073E-5</v>
      </c>
      <c r="L120" s="5">
        <f>2 / 86400</f>
        <v>2.3148148148148147E-5</v>
      </c>
    </row>
    <row r="121" spans="1:12" x14ac:dyDescent="0.25">
      <c r="A121" s="3">
        <v>45696.733946759261</v>
      </c>
      <c r="B121" t="s">
        <v>154</v>
      </c>
      <c r="C121" s="3">
        <v>45696.733958333338</v>
      </c>
      <c r="D121" t="s">
        <v>154</v>
      </c>
      <c r="E121" s="4">
        <v>0</v>
      </c>
      <c r="F121" s="4">
        <v>327750.52299999999</v>
      </c>
      <c r="G121" s="4">
        <v>327750.52299999999</v>
      </c>
      <c r="H121" s="5">
        <f>0 / 86400</f>
        <v>0</v>
      </c>
      <c r="I121" t="s">
        <v>133</v>
      </c>
      <c r="J121" t="s">
        <v>133</v>
      </c>
      <c r="K121" s="5">
        <f>1 / 86400</f>
        <v>1.1574074074074073E-5</v>
      </c>
      <c r="L121" s="5">
        <f>1224 / 86400</f>
        <v>1.4166666666666666E-2</v>
      </c>
    </row>
    <row r="122" spans="1:12" x14ac:dyDescent="0.25">
      <c r="A122" s="3">
        <v>45696.748124999998</v>
      </c>
      <c r="B122" t="s">
        <v>154</v>
      </c>
      <c r="C122" s="3">
        <v>45696.874120370368</v>
      </c>
      <c r="D122" t="s">
        <v>36</v>
      </c>
      <c r="E122" s="4">
        <v>43.707999999999998</v>
      </c>
      <c r="F122" s="4">
        <v>327750.52299999999</v>
      </c>
      <c r="G122" s="4">
        <v>327794.23100000003</v>
      </c>
      <c r="H122" s="5">
        <f>4285 / 86400</f>
        <v>4.9594907407407407E-2</v>
      </c>
      <c r="I122" t="s">
        <v>103</v>
      </c>
      <c r="J122" t="s">
        <v>41</v>
      </c>
      <c r="K122" s="5">
        <f>10885 / 86400</f>
        <v>0.1259837962962963</v>
      </c>
      <c r="L122" s="5">
        <f>615 / 86400</f>
        <v>7.1180555555555554E-3</v>
      </c>
    </row>
    <row r="123" spans="1:12" x14ac:dyDescent="0.25">
      <c r="A123" s="3">
        <v>45696.881238425922</v>
      </c>
      <c r="B123" t="s">
        <v>36</v>
      </c>
      <c r="C123" s="3">
        <v>45696.891689814816</v>
      </c>
      <c r="D123" t="s">
        <v>25</v>
      </c>
      <c r="E123" s="4">
        <v>6.9429999999999996</v>
      </c>
      <c r="F123" s="4">
        <v>327794.23100000003</v>
      </c>
      <c r="G123" s="4">
        <v>327801.174</v>
      </c>
      <c r="H123" s="5">
        <f>120 / 86400</f>
        <v>1.3888888888888889E-3</v>
      </c>
      <c r="I123" t="s">
        <v>58</v>
      </c>
      <c r="J123" t="s">
        <v>155</v>
      </c>
      <c r="K123" s="5">
        <f>903 / 86400</f>
        <v>1.0451388888888889E-2</v>
      </c>
      <c r="L123" s="5">
        <f>9357 / 86400</f>
        <v>0.10829861111111111</v>
      </c>
    </row>
    <row r="124" spans="1:12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</row>
    <row r="125" spans="1:12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</row>
    <row r="126" spans="1:12" s="10" customFormat="1" ht="20.100000000000001" customHeight="1" x14ac:dyDescent="0.35">
      <c r="A126" s="15" t="s">
        <v>508</v>
      </c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2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</row>
    <row r="128" spans="1:12" ht="30" x14ac:dyDescent="0.25">
      <c r="A128" s="2" t="s">
        <v>6</v>
      </c>
      <c r="B128" s="2" t="s">
        <v>7</v>
      </c>
      <c r="C128" s="2" t="s">
        <v>8</v>
      </c>
      <c r="D128" s="2" t="s">
        <v>9</v>
      </c>
      <c r="E128" s="2" t="s">
        <v>10</v>
      </c>
      <c r="F128" s="2" t="s">
        <v>11</v>
      </c>
      <c r="G128" s="2" t="s">
        <v>12</v>
      </c>
      <c r="H128" s="2" t="s">
        <v>13</v>
      </c>
      <c r="I128" s="2" t="s">
        <v>14</v>
      </c>
      <c r="J128" s="2" t="s">
        <v>15</v>
      </c>
      <c r="K128" s="2" t="s">
        <v>16</v>
      </c>
      <c r="L128" s="2" t="s">
        <v>17</v>
      </c>
    </row>
    <row r="129" spans="1:12" x14ac:dyDescent="0.25">
      <c r="A129" s="3">
        <v>45696.253958333335</v>
      </c>
      <c r="B129" t="s">
        <v>27</v>
      </c>
      <c r="C129" s="3">
        <v>45696.259918981479</v>
      </c>
      <c r="D129" t="s">
        <v>156</v>
      </c>
      <c r="E129" s="4">
        <v>1.84</v>
      </c>
      <c r="F129" s="4">
        <v>512357.76</v>
      </c>
      <c r="G129" s="4">
        <v>512359.6</v>
      </c>
      <c r="H129" s="5">
        <f>179 / 86400</f>
        <v>2.0717592592592593E-3</v>
      </c>
      <c r="I129" t="s">
        <v>157</v>
      </c>
      <c r="J129" t="s">
        <v>47</v>
      </c>
      <c r="K129" s="5">
        <f>515 / 86400</f>
        <v>5.9606481481481481E-3</v>
      </c>
      <c r="L129" s="5">
        <f>22158 / 86400</f>
        <v>0.25645833333333334</v>
      </c>
    </row>
    <row r="130" spans="1:12" x14ac:dyDescent="0.25">
      <c r="A130" s="3">
        <v>45696.262418981481</v>
      </c>
      <c r="B130" t="s">
        <v>156</v>
      </c>
      <c r="C130" s="3">
        <v>45696.26935185185</v>
      </c>
      <c r="D130" t="s">
        <v>158</v>
      </c>
      <c r="E130" s="4">
        <v>1.627</v>
      </c>
      <c r="F130" s="4">
        <v>512359.6</v>
      </c>
      <c r="G130" s="4">
        <v>512361.22700000001</v>
      </c>
      <c r="H130" s="5">
        <f>219 / 86400</f>
        <v>2.5347222222222221E-3</v>
      </c>
      <c r="I130" t="s">
        <v>159</v>
      </c>
      <c r="J130" t="s">
        <v>85</v>
      </c>
      <c r="K130" s="5">
        <f>599 / 86400</f>
        <v>6.9328703703703705E-3</v>
      </c>
      <c r="L130" s="5">
        <f>803 / 86400</f>
        <v>9.2939814814814812E-3</v>
      </c>
    </row>
    <row r="131" spans="1:12" x14ac:dyDescent="0.25">
      <c r="A131" s="3">
        <v>45696.278645833328</v>
      </c>
      <c r="B131" t="s">
        <v>158</v>
      </c>
      <c r="C131" s="3">
        <v>45696.331875000003</v>
      </c>
      <c r="D131" t="s">
        <v>160</v>
      </c>
      <c r="E131" s="4">
        <v>29.044</v>
      </c>
      <c r="F131" s="4">
        <v>512361.22700000001</v>
      </c>
      <c r="G131" s="4">
        <v>512390.27100000001</v>
      </c>
      <c r="H131" s="5">
        <f>1480 / 86400</f>
        <v>1.712962962962963E-2</v>
      </c>
      <c r="I131" t="s">
        <v>26</v>
      </c>
      <c r="J131" t="s">
        <v>138</v>
      </c>
      <c r="K131" s="5">
        <f>4599 / 86400</f>
        <v>5.3229166666666668E-2</v>
      </c>
      <c r="L131" s="5">
        <f>3288 / 86400</f>
        <v>3.8055555555555558E-2</v>
      </c>
    </row>
    <row r="132" spans="1:12" x14ac:dyDescent="0.25">
      <c r="A132" s="3">
        <v>45696.369930555556</v>
      </c>
      <c r="B132" t="s">
        <v>160</v>
      </c>
      <c r="C132" s="3">
        <v>45696.374039351853</v>
      </c>
      <c r="D132" t="s">
        <v>139</v>
      </c>
      <c r="E132" s="4">
        <v>0.92100000000000004</v>
      </c>
      <c r="F132" s="4">
        <v>512390.27100000001</v>
      </c>
      <c r="G132" s="4">
        <v>512391.19199999998</v>
      </c>
      <c r="H132" s="5">
        <f>59 / 86400</f>
        <v>6.8287037037037036E-4</v>
      </c>
      <c r="I132" t="s">
        <v>161</v>
      </c>
      <c r="J132" t="s">
        <v>162</v>
      </c>
      <c r="K132" s="5">
        <f>354 / 86400</f>
        <v>4.0972222222222226E-3</v>
      </c>
      <c r="L132" s="5">
        <f>894 / 86400</f>
        <v>1.0347222222222223E-2</v>
      </c>
    </row>
    <row r="133" spans="1:12" x14ac:dyDescent="0.25">
      <c r="A133" s="3">
        <v>45696.384386574078</v>
      </c>
      <c r="B133" t="s">
        <v>139</v>
      </c>
      <c r="C133" s="3">
        <v>45696.389814814815</v>
      </c>
      <c r="D133" t="s">
        <v>82</v>
      </c>
      <c r="E133" s="4">
        <v>1.349</v>
      </c>
      <c r="F133" s="4">
        <v>512391.19199999998</v>
      </c>
      <c r="G133" s="4">
        <v>512392.54100000003</v>
      </c>
      <c r="H133" s="5">
        <f>159 / 86400</f>
        <v>1.8402777777777777E-3</v>
      </c>
      <c r="I133" t="s">
        <v>163</v>
      </c>
      <c r="J133" t="s">
        <v>85</v>
      </c>
      <c r="K133" s="5">
        <f>468 / 86400</f>
        <v>5.4166666666666669E-3</v>
      </c>
      <c r="L133" s="5">
        <f>461 / 86400</f>
        <v>5.3356481481481484E-3</v>
      </c>
    </row>
    <row r="134" spans="1:12" x14ac:dyDescent="0.25">
      <c r="A134" s="3">
        <v>45696.395150462966</v>
      </c>
      <c r="B134" t="s">
        <v>82</v>
      </c>
      <c r="C134" s="3">
        <v>45696.516296296293</v>
      </c>
      <c r="D134" t="s">
        <v>164</v>
      </c>
      <c r="E134" s="4">
        <v>49.774000000000001</v>
      </c>
      <c r="F134" s="4">
        <v>512392.54100000003</v>
      </c>
      <c r="G134" s="4">
        <v>512442.315</v>
      </c>
      <c r="H134" s="5">
        <f>3359 / 86400</f>
        <v>3.8877314814814816E-2</v>
      </c>
      <c r="I134" t="s">
        <v>55</v>
      </c>
      <c r="J134" t="s">
        <v>32</v>
      </c>
      <c r="K134" s="5">
        <f>10467 / 86400</f>
        <v>0.12114583333333333</v>
      </c>
      <c r="L134" s="5">
        <f>796 / 86400</f>
        <v>9.2129629629629627E-3</v>
      </c>
    </row>
    <row r="135" spans="1:12" x14ac:dyDescent="0.25">
      <c r="A135" s="3">
        <v>45696.525509259256</v>
      </c>
      <c r="B135" t="s">
        <v>164</v>
      </c>
      <c r="C135" s="3">
        <v>45696.678530092591</v>
      </c>
      <c r="D135" t="s">
        <v>160</v>
      </c>
      <c r="E135" s="4">
        <v>51.351999999999997</v>
      </c>
      <c r="F135" s="4">
        <v>512442.315</v>
      </c>
      <c r="G135" s="4">
        <v>512493.66700000002</v>
      </c>
      <c r="H135" s="5">
        <f>4921 / 86400</f>
        <v>5.6956018518518517E-2</v>
      </c>
      <c r="I135" t="s">
        <v>84</v>
      </c>
      <c r="J135" t="s">
        <v>41</v>
      </c>
      <c r="K135" s="5">
        <f>13220 / 86400</f>
        <v>0.15300925925925926</v>
      </c>
      <c r="L135" s="5">
        <f>3894 / 86400</f>
        <v>4.5069444444444447E-2</v>
      </c>
    </row>
    <row r="136" spans="1:12" x14ac:dyDescent="0.25">
      <c r="A136" s="3">
        <v>45696.723599537036</v>
      </c>
      <c r="B136" t="s">
        <v>160</v>
      </c>
      <c r="C136" s="3">
        <v>45696.726481481484</v>
      </c>
      <c r="D136" t="s">
        <v>82</v>
      </c>
      <c r="E136" s="4">
        <v>0.91300000000000003</v>
      </c>
      <c r="F136" s="4">
        <v>512493.66700000002</v>
      </c>
      <c r="G136" s="4">
        <v>512494.58</v>
      </c>
      <c r="H136" s="5">
        <f>19 / 86400</f>
        <v>2.199074074074074E-4</v>
      </c>
      <c r="I136" t="s">
        <v>165</v>
      </c>
      <c r="J136" t="s">
        <v>47</v>
      </c>
      <c r="K136" s="5">
        <f>248 / 86400</f>
        <v>2.8703703703703703E-3</v>
      </c>
      <c r="L136" s="5">
        <f>716 / 86400</f>
        <v>8.2870370370370372E-3</v>
      </c>
    </row>
    <row r="137" spans="1:12" x14ac:dyDescent="0.25">
      <c r="A137" s="3">
        <v>45696.734768518523</v>
      </c>
      <c r="B137" t="s">
        <v>82</v>
      </c>
      <c r="C137" s="3">
        <v>45696.919259259259</v>
      </c>
      <c r="D137" t="s">
        <v>166</v>
      </c>
      <c r="E137" s="4">
        <v>74.599999999999994</v>
      </c>
      <c r="F137" s="4">
        <v>512494.58</v>
      </c>
      <c r="G137" s="4">
        <v>512569.18</v>
      </c>
      <c r="H137" s="5">
        <f>5039 / 86400</f>
        <v>5.8321759259259261E-2</v>
      </c>
      <c r="I137" t="s">
        <v>121</v>
      </c>
      <c r="J137" t="s">
        <v>32</v>
      </c>
      <c r="K137" s="5">
        <f>15939 / 86400</f>
        <v>0.18447916666666667</v>
      </c>
      <c r="L137" s="5">
        <f>912 / 86400</f>
        <v>1.0555555555555556E-2</v>
      </c>
    </row>
    <row r="138" spans="1:12" x14ac:dyDescent="0.25">
      <c r="A138" s="3">
        <v>45696.929814814815</v>
      </c>
      <c r="B138" t="s">
        <v>167</v>
      </c>
      <c r="C138" s="3">
        <v>45696.931793981479</v>
      </c>
      <c r="D138" t="s">
        <v>167</v>
      </c>
      <c r="E138" s="4">
        <v>0.39400000000000002</v>
      </c>
      <c r="F138" s="4">
        <v>512569.18</v>
      </c>
      <c r="G138" s="4">
        <v>512569.57400000002</v>
      </c>
      <c r="H138" s="5">
        <f>60 / 86400</f>
        <v>6.9444444444444447E-4</v>
      </c>
      <c r="I138" t="s">
        <v>168</v>
      </c>
      <c r="J138" t="s">
        <v>151</v>
      </c>
      <c r="K138" s="5">
        <f>171 / 86400</f>
        <v>1.9791666666666668E-3</v>
      </c>
      <c r="L138" s="5">
        <f>185 / 86400</f>
        <v>2.1412037037037038E-3</v>
      </c>
    </row>
    <row r="139" spans="1:12" x14ac:dyDescent="0.25">
      <c r="A139" s="3">
        <v>45696.933935185181</v>
      </c>
      <c r="B139" t="s">
        <v>167</v>
      </c>
      <c r="C139" s="3">
        <v>45696.951192129629</v>
      </c>
      <c r="D139" t="s">
        <v>27</v>
      </c>
      <c r="E139" s="4">
        <v>5.9240000000000004</v>
      </c>
      <c r="F139" s="4">
        <v>512569.57400000002</v>
      </c>
      <c r="G139" s="4">
        <v>512575.49800000002</v>
      </c>
      <c r="H139" s="5">
        <f>659 / 86400</f>
        <v>7.6273148148148151E-3</v>
      </c>
      <c r="I139" t="s">
        <v>169</v>
      </c>
      <c r="J139" t="s">
        <v>41</v>
      </c>
      <c r="K139" s="5">
        <f>1491 / 86400</f>
        <v>1.7256944444444443E-2</v>
      </c>
      <c r="L139" s="5">
        <f>3126 / 86400</f>
        <v>3.6180555555555556E-2</v>
      </c>
    </row>
    <row r="140" spans="1:12" x14ac:dyDescent="0.25">
      <c r="A140" s="3">
        <v>45696.98737268518</v>
      </c>
      <c r="B140" t="s">
        <v>27</v>
      </c>
      <c r="C140" s="3">
        <v>45696.990370370375</v>
      </c>
      <c r="D140" t="s">
        <v>27</v>
      </c>
      <c r="E140" s="4">
        <v>2.1999999999999999E-2</v>
      </c>
      <c r="F140" s="4">
        <v>512575.49800000002</v>
      </c>
      <c r="G140" s="4">
        <v>512575.52</v>
      </c>
      <c r="H140" s="5">
        <f>239 / 86400</f>
        <v>2.7662037037037039E-3</v>
      </c>
      <c r="I140" t="s">
        <v>133</v>
      </c>
      <c r="J140" t="s">
        <v>133</v>
      </c>
      <c r="K140" s="5">
        <f>258 / 86400</f>
        <v>2.9861111111111113E-3</v>
      </c>
      <c r="L140" s="5">
        <f>831 / 86400</f>
        <v>9.618055555555555E-3</v>
      </c>
    </row>
    <row r="141" spans="1:12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</row>
    <row r="142" spans="1:12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</row>
    <row r="143" spans="1:12" s="10" customFormat="1" ht="20.100000000000001" customHeight="1" x14ac:dyDescent="0.35">
      <c r="A143" s="15" t="s">
        <v>509</v>
      </c>
      <c r="B143" s="15"/>
      <c r="C143" s="15"/>
      <c r="D143" s="15"/>
      <c r="E143" s="15"/>
      <c r="F143" s="15"/>
      <c r="G143" s="15"/>
      <c r="H143" s="15"/>
      <c r="I143" s="15"/>
      <c r="J143" s="15"/>
    </row>
    <row r="144" spans="1:12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</row>
    <row r="145" spans="1:12" ht="30" x14ac:dyDescent="0.25">
      <c r="A145" s="2" t="s">
        <v>6</v>
      </c>
      <c r="B145" s="2" t="s">
        <v>7</v>
      </c>
      <c r="C145" s="2" t="s">
        <v>8</v>
      </c>
      <c r="D145" s="2" t="s">
        <v>9</v>
      </c>
      <c r="E145" s="2" t="s">
        <v>10</v>
      </c>
      <c r="F145" s="2" t="s">
        <v>11</v>
      </c>
      <c r="G145" s="2" t="s">
        <v>12</v>
      </c>
      <c r="H145" s="2" t="s">
        <v>13</v>
      </c>
      <c r="I145" s="2" t="s">
        <v>14</v>
      </c>
      <c r="J145" s="2" t="s">
        <v>15</v>
      </c>
      <c r="K145" s="2" t="s">
        <v>16</v>
      </c>
      <c r="L145" s="2" t="s">
        <v>17</v>
      </c>
    </row>
    <row r="146" spans="1:12" x14ac:dyDescent="0.25">
      <c r="A146" s="3">
        <v>45696.199733796297</v>
      </c>
      <c r="B146" t="s">
        <v>29</v>
      </c>
      <c r="C146" s="3">
        <v>45696.210439814815</v>
      </c>
      <c r="D146" t="s">
        <v>95</v>
      </c>
      <c r="E146" s="4">
        <v>0.41399999999999998</v>
      </c>
      <c r="F146" s="4">
        <v>91619.747000000003</v>
      </c>
      <c r="G146" s="4">
        <v>91620.160999999993</v>
      </c>
      <c r="H146" s="5">
        <f>779 / 86400</f>
        <v>9.0162037037037034E-3</v>
      </c>
      <c r="I146" t="s">
        <v>41</v>
      </c>
      <c r="J146" t="s">
        <v>132</v>
      </c>
      <c r="K146" s="5">
        <f>925 / 86400</f>
        <v>1.0706018518518519E-2</v>
      </c>
      <c r="L146" s="5">
        <f>17437 / 86400</f>
        <v>0.20181712962962964</v>
      </c>
    </row>
    <row r="147" spans="1:12" x14ac:dyDescent="0.25">
      <c r="A147" s="3">
        <v>45696.212523148148</v>
      </c>
      <c r="B147" t="s">
        <v>95</v>
      </c>
      <c r="C147" s="3">
        <v>45696.222638888888</v>
      </c>
      <c r="D147" t="s">
        <v>170</v>
      </c>
      <c r="E147" s="4">
        <v>5.66</v>
      </c>
      <c r="F147" s="4">
        <v>91620.160999999993</v>
      </c>
      <c r="G147" s="4">
        <v>91625.820999999996</v>
      </c>
      <c r="H147" s="5">
        <f>40 / 86400</f>
        <v>4.6296296296296298E-4</v>
      </c>
      <c r="I147" t="s">
        <v>23</v>
      </c>
      <c r="J147" t="s">
        <v>138</v>
      </c>
      <c r="K147" s="5">
        <f>873 / 86400</f>
        <v>1.0104166666666666E-2</v>
      </c>
      <c r="L147" s="5">
        <f>2291 / 86400</f>
        <v>2.6516203703703705E-2</v>
      </c>
    </row>
    <row r="148" spans="1:12" x14ac:dyDescent="0.25">
      <c r="A148" s="3">
        <v>45696.249155092592</v>
      </c>
      <c r="B148" t="s">
        <v>170</v>
      </c>
      <c r="C148" s="3">
        <v>45696.345532407402</v>
      </c>
      <c r="D148" t="s">
        <v>171</v>
      </c>
      <c r="E148" s="4">
        <v>32.86</v>
      </c>
      <c r="F148" s="4">
        <v>91625.820999999996</v>
      </c>
      <c r="G148" s="4">
        <v>91658.680999999997</v>
      </c>
      <c r="H148" s="5">
        <f>2800 / 86400</f>
        <v>3.2407407407407406E-2</v>
      </c>
      <c r="I148" t="s">
        <v>172</v>
      </c>
      <c r="J148" t="s">
        <v>41</v>
      </c>
      <c r="K148" s="5">
        <f>8327 / 86400</f>
        <v>9.6377314814814818E-2</v>
      </c>
      <c r="L148" s="5">
        <f>1158 / 86400</f>
        <v>1.3402777777777777E-2</v>
      </c>
    </row>
    <row r="149" spans="1:12" x14ac:dyDescent="0.25">
      <c r="A149" s="3">
        <v>45696.358935185184</v>
      </c>
      <c r="B149" t="s">
        <v>171</v>
      </c>
      <c r="C149" s="3">
        <v>45696.50105324074</v>
      </c>
      <c r="D149" t="s">
        <v>82</v>
      </c>
      <c r="E149" s="4">
        <v>49.555</v>
      </c>
      <c r="F149" s="4">
        <v>91658.680999999997</v>
      </c>
      <c r="G149" s="4">
        <v>91708.236000000004</v>
      </c>
      <c r="H149" s="5">
        <f>4379 / 86400</f>
        <v>5.0682870370370371E-2</v>
      </c>
      <c r="I149" t="s">
        <v>60</v>
      </c>
      <c r="J149" t="s">
        <v>24</v>
      </c>
      <c r="K149" s="5">
        <f>12279 / 86400</f>
        <v>0.14211805555555557</v>
      </c>
      <c r="L149" s="5">
        <f>293 / 86400</f>
        <v>3.3912037037037036E-3</v>
      </c>
    </row>
    <row r="150" spans="1:12" x14ac:dyDescent="0.25">
      <c r="A150" s="3">
        <v>45696.504444444443</v>
      </c>
      <c r="B150" t="s">
        <v>82</v>
      </c>
      <c r="C150" s="3">
        <v>45696.506192129629</v>
      </c>
      <c r="D150" t="s">
        <v>173</v>
      </c>
      <c r="E150" s="4">
        <v>0.71099999999999997</v>
      </c>
      <c r="F150" s="4">
        <v>91708.236000000004</v>
      </c>
      <c r="G150" s="4">
        <v>91708.947</v>
      </c>
      <c r="H150" s="5">
        <f>0 / 86400</f>
        <v>0</v>
      </c>
      <c r="I150" t="s">
        <v>159</v>
      </c>
      <c r="J150" t="s">
        <v>32</v>
      </c>
      <c r="K150" s="5">
        <f>150 / 86400</f>
        <v>1.736111111111111E-3</v>
      </c>
      <c r="L150" s="5">
        <f>1413 / 86400</f>
        <v>1.6354166666666666E-2</v>
      </c>
    </row>
    <row r="151" spans="1:12" x14ac:dyDescent="0.25">
      <c r="A151" s="3">
        <v>45696.522546296299</v>
      </c>
      <c r="B151" t="s">
        <v>173</v>
      </c>
      <c r="C151" s="3">
        <v>45696.525370370371</v>
      </c>
      <c r="D151" t="s">
        <v>174</v>
      </c>
      <c r="E151" s="4">
        <v>0.57699999999999996</v>
      </c>
      <c r="F151" s="4">
        <v>91708.947</v>
      </c>
      <c r="G151" s="4">
        <v>91709.524000000005</v>
      </c>
      <c r="H151" s="5">
        <f>39 / 86400</f>
        <v>4.5138888888888887E-4</v>
      </c>
      <c r="I151" t="s">
        <v>175</v>
      </c>
      <c r="J151" t="s">
        <v>162</v>
      </c>
      <c r="K151" s="5">
        <f>243 / 86400</f>
        <v>2.8124999999999999E-3</v>
      </c>
      <c r="L151" s="5">
        <f>454 / 86400</f>
        <v>5.2546296296296299E-3</v>
      </c>
    </row>
    <row r="152" spans="1:12" x14ac:dyDescent="0.25">
      <c r="A152" s="3">
        <v>45696.530624999999</v>
      </c>
      <c r="B152" t="s">
        <v>174</v>
      </c>
      <c r="C152" s="3">
        <v>45696.532152777778</v>
      </c>
      <c r="D152" t="s">
        <v>139</v>
      </c>
      <c r="E152" s="4">
        <v>0.433</v>
      </c>
      <c r="F152" s="4">
        <v>91709.524000000005</v>
      </c>
      <c r="G152" s="4">
        <v>91709.956999999995</v>
      </c>
      <c r="H152" s="5">
        <f>0 / 86400</f>
        <v>0</v>
      </c>
      <c r="I152" t="s">
        <v>175</v>
      </c>
      <c r="J152" t="s">
        <v>59</v>
      </c>
      <c r="K152" s="5">
        <f>131 / 86400</f>
        <v>1.5162037037037036E-3</v>
      </c>
      <c r="L152" s="5">
        <f>1467 / 86400</f>
        <v>1.6979166666666667E-2</v>
      </c>
    </row>
    <row r="153" spans="1:12" x14ac:dyDescent="0.25">
      <c r="A153" s="3">
        <v>45696.549131944441</v>
      </c>
      <c r="B153" t="s">
        <v>139</v>
      </c>
      <c r="C153" s="3">
        <v>45696.684386574074</v>
      </c>
      <c r="D153" t="s">
        <v>176</v>
      </c>
      <c r="E153" s="4">
        <v>50.302</v>
      </c>
      <c r="F153" s="4">
        <v>91709.956999999995</v>
      </c>
      <c r="G153" s="4">
        <v>91760.259000000005</v>
      </c>
      <c r="H153" s="5">
        <f>4341 / 86400</f>
        <v>5.0243055555555555E-2</v>
      </c>
      <c r="I153" t="s">
        <v>30</v>
      </c>
      <c r="J153" t="s">
        <v>24</v>
      </c>
      <c r="K153" s="5">
        <f>11686 / 86400</f>
        <v>0.13525462962962964</v>
      </c>
      <c r="L153" s="5">
        <f>13 / 86400</f>
        <v>1.5046296296296297E-4</v>
      </c>
    </row>
    <row r="154" spans="1:12" x14ac:dyDescent="0.25">
      <c r="A154" s="3">
        <v>45696.684537037036</v>
      </c>
      <c r="B154" t="s">
        <v>176</v>
      </c>
      <c r="C154" s="3">
        <v>45696.684837962966</v>
      </c>
      <c r="D154" t="s">
        <v>176</v>
      </c>
      <c r="E154" s="4">
        <v>0</v>
      </c>
      <c r="F154" s="4">
        <v>91760.259000000005</v>
      </c>
      <c r="G154" s="4">
        <v>91760.259000000005</v>
      </c>
      <c r="H154" s="5">
        <f>19 / 86400</f>
        <v>2.199074074074074E-4</v>
      </c>
      <c r="I154" t="s">
        <v>133</v>
      </c>
      <c r="J154" t="s">
        <v>133</v>
      </c>
      <c r="K154" s="5">
        <f>25 / 86400</f>
        <v>2.8935185185185184E-4</v>
      </c>
      <c r="L154" s="5">
        <f>228 / 86400</f>
        <v>2.638888888888889E-3</v>
      </c>
    </row>
    <row r="155" spans="1:12" x14ac:dyDescent="0.25">
      <c r="A155" s="3">
        <v>45696.687476851846</v>
      </c>
      <c r="B155" t="s">
        <v>176</v>
      </c>
      <c r="C155" s="3">
        <v>45696.855821759258</v>
      </c>
      <c r="D155" t="s">
        <v>177</v>
      </c>
      <c r="E155" s="4">
        <v>61.29</v>
      </c>
      <c r="F155" s="4">
        <v>91760.259000000005</v>
      </c>
      <c r="G155" s="4">
        <v>91821.548999999999</v>
      </c>
      <c r="H155" s="5">
        <f>4339 / 86400</f>
        <v>5.0219907407407408E-2</v>
      </c>
      <c r="I155" t="s">
        <v>178</v>
      </c>
      <c r="J155" t="s">
        <v>24</v>
      </c>
      <c r="K155" s="5">
        <f>14544 / 86400</f>
        <v>0.16833333333333333</v>
      </c>
      <c r="L155" s="5">
        <f>334 / 86400</f>
        <v>3.8657407407407408E-3</v>
      </c>
    </row>
    <row r="156" spans="1:12" x14ac:dyDescent="0.25">
      <c r="A156" s="3">
        <v>45696.8596875</v>
      </c>
      <c r="B156" t="s">
        <v>177</v>
      </c>
      <c r="C156" s="3">
        <v>45696.862395833334</v>
      </c>
      <c r="D156" t="s">
        <v>170</v>
      </c>
      <c r="E156" s="4">
        <v>0.32400000000000001</v>
      </c>
      <c r="F156" s="4">
        <v>91821.548999999999</v>
      </c>
      <c r="G156" s="4">
        <v>91821.873000000007</v>
      </c>
      <c r="H156" s="5">
        <f>79 / 86400</f>
        <v>9.1435185185185185E-4</v>
      </c>
      <c r="I156" t="s">
        <v>85</v>
      </c>
      <c r="J156" t="s">
        <v>136</v>
      </c>
      <c r="K156" s="5">
        <f>233 / 86400</f>
        <v>2.6967592592592594E-3</v>
      </c>
      <c r="L156" s="5">
        <f>2513 / 86400</f>
        <v>2.9085648148148149E-2</v>
      </c>
    </row>
    <row r="157" spans="1:12" x14ac:dyDescent="0.25">
      <c r="A157" s="3">
        <v>45696.891481481478</v>
      </c>
      <c r="B157" t="s">
        <v>170</v>
      </c>
      <c r="C157" s="3">
        <v>45696.905624999999</v>
      </c>
      <c r="D157" t="s">
        <v>95</v>
      </c>
      <c r="E157" s="4">
        <v>6.0449999999999999</v>
      </c>
      <c r="F157" s="4">
        <v>91821.873000000007</v>
      </c>
      <c r="G157" s="4">
        <v>91827.918000000005</v>
      </c>
      <c r="H157" s="5">
        <f>80 / 86400</f>
        <v>9.2592592592592596E-4</v>
      </c>
      <c r="I157" t="s">
        <v>179</v>
      </c>
      <c r="J157" t="s">
        <v>50</v>
      </c>
      <c r="K157" s="5">
        <f>1221 / 86400</f>
        <v>1.4131944444444445E-2</v>
      </c>
      <c r="L157" s="5">
        <f>150 / 86400</f>
        <v>1.736111111111111E-3</v>
      </c>
    </row>
    <row r="158" spans="1:12" x14ac:dyDescent="0.25">
      <c r="A158" s="3">
        <v>45696.907361111109</v>
      </c>
      <c r="B158" t="s">
        <v>95</v>
      </c>
      <c r="C158" s="3">
        <v>45696.912094907406</v>
      </c>
      <c r="D158" t="s">
        <v>29</v>
      </c>
      <c r="E158" s="4">
        <v>0.61499999999999999</v>
      </c>
      <c r="F158" s="4">
        <v>91827.918000000005</v>
      </c>
      <c r="G158" s="4">
        <v>91828.532999999996</v>
      </c>
      <c r="H158" s="5">
        <f>200 / 86400</f>
        <v>2.3148148148148147E-3</v>
      </c>
      <c r="I158" t="s">
        <v>175</v>
      </c>
      <c r="J158" t="s">
        <v>136</v>
      </c>
      <c r="K158" s="5">
        <f>409 / 86400</f>
        <v>4.7337962962962967E-3</v>
      </c>
      <c r="L158" s="5">
        <f>7594 / 86400</f>
        <v>8.7893518518518524E-2</v>
      </c>
    </row>
    <row r="159" spans="1:12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</row>
    <row r="160" spans="1:12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</row>
    <row r="161" spans="1:12" s="10" customFormat="1" ht="20.100000000000001" customHeight="1" x14ac:dyDescent="0.35">
      <c r="A161" s="15" t="s">
        <v>510</v>
      </c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2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</row>
    <row r="163" spans="1:12" ht="30" x14ac:dyDescent="0.25">
      <c r="A163" s="2" t="s">
        <v>6</v>
      </c>
      <c r="B163" s="2" t="s">
        <v>7</v>
      </c>
      <c r="C163" s="2" t="s">
        <v>8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13</v>
      </c>
      <c r="I163" s="2" t="s">
        <v>14</v>
      </c>
      <c r="J163" s="2" t="s">
        <v>15</v>
      </c>
      <c r="K163" s="2" t="s">
        <v>16</v>
      </c>
      <c r="L163" s="2" t="s">
        <v>17</v>
      </c>
    </row>
    <row r="164" spans="1:12" x14ac:dyDescent="0.25">
      <c r="A164" s="3">
        <v>45696.232395833329</v>
      </c>
      <c r="B164" t="s">
        <v>18</v>
      </c>
      <c r="C164" s="3">
        <v>45696.235185185185</v>
      </c>
      <c r="D164" t="s">
        <v>18</v>
      </c>
      <c r="E164" s="4">
        <v>2.1999999999999999E-2</v>
      </c>
      <c r="F164" s="4">
        <v>136648.17600000001</v>
      </c>
      <c r="G164" s="4">
        <v>136648.198</v>
      </c>
      <c r="H164" s="5">
        <f>179 / 86400</f>
        <v>2.0717592592592593E-3</v>
      </c>
      <c r="I164" t="s">
        <v>132</v>
      </c>
      <c r="J164" t="s">
        <v>133</v>
      </c>
      <c r="K164" s="5">
        <f>240 / 86400</f>
        <v>2.7777777777777779E-3</v>
      </c>
      <c r="L164" s="5">
        <f>20430 / 86400</f>
        <v>0.23645833333333333</v>
      </c>
    </row>
    <row r="165" spans="1:12" x14ac:dyDescent="0.25">
      <c r="A165" s="3">
        <v>45696.239247685182</v>
      </c>
      <c r="B165" t="s">
        <v>18</v>
      </c>
      <c r="C165" s="3">
        <v>45696.239398148144</v>
      </c>
      <c r="D165" t="s">
        <v>18</v>
      </c>
      <c r="E165" s="4">
        <v>3.0000000000000001E-3</v>
      </c>
      <c r="F165" s="4">
        <v>136648.198</v>
      </c>
      <c r="G165" s="4">
        <v>136648.201</v>
      </c>
      <c r="H165" s="5">
        <f>0 / 86400</f>
        <v>0</v>
      </c>
      <c r="I165" t="s">
        <v>133</v>
      </c>
      <c r="J165" t="s">
        <v>91</v>
      </c>
      <c r="K165" s="5">
        <f>12 / 86400</f>
        <v>1.3888888888888889E-4</v>
      </c>
      <c r="L165" s="5">
        <f>380 / 86400</f>
        <v>4.3981481481481484E-3</v>
      </c>
    </row>
    <row r="166" spans="1:12" x14ac:dyDescent="0.25">
      <c r="A166" s="3">
        <v>45696.243796296301</v>
      </c>
      <c r="B166" t="s">
        <v>18</v>
      </c>
      <c r="C166" s="3">
        <v>45696.360601851848</v>
      </c>
      <c r="D166" t="s">
        <v>139</v>
      </c>
      <c r="E166" s="4">
        <v>50.441000000000003</v>
      </c>
      <c r="F166" s="4">
        <v>136648.201</v>
      </c>
      <c r="G166" s="4">
        <v>136698.64199999999</v>
      </c>
      <c r="H166" s="5">
        <f>3160 / 86400</f>
        <v>3.6574074074074071E-2</v>
      </c>
      <c r="I166" t="s">
        <v>121</v>
      </c>
      <c r="J166" t="s">
        <v>50</v>
      </c>
      <c r="K166" s="5">
        <f>10091 / 86400</f>
        <v>0.11679398148148148</v>
      </c>
      <c r="L166" s="5">
        <f>1097 / 86400</f>
        <v>1.269675925925926E-2</v>
      </c>
    </row>
    <row r="167" spans="1:12" x14ac:dyDescent="0.25">
      <c r="A167" s="3">
        <v>45696.373298611114</v>
      </c>
      <c r="B167" t="s">
        <v>139</v>
      </c>
      <c r="C167" s="3">
        <v>45696.376655092594</v>
      </c>
      <c r="D167" t="s">
        <v>160</v>
      </c>
      <c r="E167" s="4">
        <v>0.38200000000000001</v>
      </c>
      <c r="F167" s="4">
        <v>136698.64199999999</v>
      </c>
      <c r="G167" s="4">
        <v>136699.024</v>
      </c>
      <c r="H167" s="5">
        <f>180 / 86400</f>
        <v>2.0833333333333333E-3</v>
      </c>
      <c r="I167" t="s">
        <v>161</v>
      </c>
      <c r="J167" t="s">
        <v>136</v>
      </c>
      <c r="K167" s="5">
        <f>289 / 86400</f>
        <v>3.3449074074074076E-3</v>
      </c>
      <c r="L167" s="5">
        <f>2546 / 86400</f>
        <v>2.9467592592592594E-2</v>
      </c>
    </row>
    <row r="168" spans="1:12" x14ac:dyDescent="0.25">
      <c r="A168" s="3">
        <v>45696.406122685185</v>
      </c>
      <c r="B168" t="s">
        <v>160</v>
      </c>
      <c r="C168" s="3">
        <v>45696.410115740742</v>
      </c>
      <c r="D168" t="s">
        <v>82</v>
      </c>
      <c r="E168" s="4">
        <v>0.94199999999999995</v>
      </c>
      <c r="F168" s="4">
        <v>136699.024</v>
      </c>
      <c r="G168" s="4">
        <v>136699.96599999999</v>
      </c>
      <c r="H168" s="5">
        <f>99 / 86400</f>
        <v>1.1458333333333333E-3</v>
      </c>
      <c r="I168" t="s">
        <v>180</v>
      </c>
      <c r="J168" t="s">
        <v>85</v>
      </c>
      <c r="K168" s="5">
        <f>345 / 86400</f>
        <v>3.9930555555555552E-3</v>
      </c>
      <c r="L168" s="5">
        <f>21 / 86400</f>
        <v>2.4305555555555555E-4</v>
      </c>
    </row>
    <row r="169" spans="1:12" x14ac:dyDescent="0.25">
      <c r="A169" s="3">
        <v>45696.410358796296</v>
      </c>
      <c r="B169" t="s">
        <v>82</v>
      </c>
      <c r="C169" s="3">
        <v>45696.410949074074</v>
      </c>
      <c r="D169" t="s">
        <v>82</v>
      </c>
      <c r="E169" s="4">
        <v>3.0000000000000001E-3</v>
      </c>
      <c r="F169" s="4">
        <v>136699.96599999999</v>
      </c>
      <c r="G169" s="4">
        <v>136699.96900000001</v>
      </c>
      <c r="H169" s="5">
        <f>20 / 86400</f>
        <v>2.3148148148148149E-4</v>
      </c>
      <c r="I169" t="s">
        <v>91</v>
      </c>
      <c r="J169" t="s">
        <v>133</v>
      </c>
      <c r="K169" s="5">
        <f>50 / 86400</f>
        <v>5.7870370370370367E-4</v>
      </c>
      <c r="L169" s="5">
        <f>1947 / 86400</f>
        <v>2.2534722222222223E-2</v>
      </c>
    </row>
    <row r="170" spans="1:12" x14ac:dyDescent="0.25">
      <c r="A170" s="3">
        <v>45696.433483796296</v>
      </c>
      <c r="B170" t="s">
        <v>82</v>
      </c>
      <c r="C170" s="3">
        <v>45696.6872337963</v>
      </c>
      <c r="D170" t="s">
        <v>82</v>
      </c>
      <c r="E170" s="4">
        <v>99.027000000000001</v>
      </c>
      <c r="F170" s="4">
        <v>136699.96900000001</v>
      </c>
      <c r="G170" s="4">
        <v>136798.99600000001</v>
      </c>
      <c r="H170" s="5">
        <f>7526 / 86400</f>
        <v>8.7106481481481479E-2</v>
      </c>
      <c r="I170" t="s">
        <v>117</v>
      </c>
      <c r="J170" t="s">
        <v>28</v>
      </c>
      <c r="K170" s="5">
        <f>21924 / 86400</f>
        <v>0.25374999999999998</v>
      </c>
      <c r="L170" s="5">
        <f>325 / 86400</f>
        <v>3.7615740740740739E-3</v>
      </c>
    </row>
    <row r="171" spans="1:12" x14ac:dyDescent="0.25">
      <c r="A171" s="3">
        <v>45696.690995370373</v>
      </c>
      <c r="B171" t="s">
        <v>82</v>
      </c>
      <c r="C171" s="3">
        <v>45696.873865740738</v>
      </c>
      <c r="D171" t="s">
        <v>134</v>
      </c>
      <c r="E171" s="4">
        <v>85.683000000000007</v>
      </c>
      <c r="F171" s="4">
        <v>136798.99600000001</v>
      </c>
      <c r="G171" s="4">
        <v>136884.679</v>
      </c>
      <c r="H171" s="5">
        <f>4940 / 86400</f>
        <v>5.7175925925925929E-2</v>
      </c>
      <c r="I171" t="s">
        <v>31</v>
      </c>
      <c r="J171" t="s">
        <v>175</v>
      </c>
      <c r="K171" s="5">
        <f>15799 / 86400</f>
        <v>0.18285879629629628</v>
      </c>
      <c r="L171" s="5">
        <f>543 / 86400</f>
        <v>6.2847222222222219E-3</v>
      </c>
    </row>
    <row r="172" spans="1:12" x14ac:dyDescent="0.25">
      <c r="A172" s="3">
        <v>45696.880150462966</v>
      </c>
      <c r="B172" t="s">
        <v>134</v>
      </c>
      <c r="C172" s="3">
        <v>45696.885937500003</v>
      </c>
      <c r="D172" t="s">
        <v>18</v>
      </c>
      <c r="E172" s="4">
        <v>0.54900000000000004</v>
      </c>
      <c r="F172" s="4">
        <v>136884.679</v>
      </c>
      <c r="G172" s="4">
        <v>136885.228</v>
      </c>
      <c r="H172" s="5">
        <f>279 / 86400</f>
        <v>3.2291666666666666E-3</v>
      </c>
      <c r="I172" t="s">
        <v>161</v>
      </c>
      <c r="J172" t="s">
        <v>181</v>
      </c>
      <c r="K172" s="5">
        <f>500 / 86400</f>
        <v>5.7870370370370367E-3</v>
      </c>
      <c r="L172" s="5">
        <f>9854 / 86400</f>
        <v>0.11405092592592593</v>
      </c>
    </row>
    <row r="173" spans="1:12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1:12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1:12" s="10" customFormat="1" ht="20.100000000000001" customHeight="1" x14ac:dyDescent="0.35">
      <c r="A175" s="15" t="s">
        <v>511</v>
      </c>
      <c r="B175" s="15"/>
      <c r="C175" s="15"/>
      <c r="D175" s="15"/>
      <c r="E175" s="15"/>
      <c r="F175" s="15"/>
      <c r="G175" s="15"/>
      <c r="H175" s="15"/>
      <c r="I175" s="15"/>
      <c r="J175" s="15"/>
    </row>
    <row r="176" spans="1:12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1:12" ht="30" x14ac:dyDescent="0.25">
      <c r="A177" s="2" t="s">
        <v>6</v>
      </c>
      <c r="B177" s="2" t="s">
        <v>7</v>
      </c>
      <c r="C177" s="2" t="s">
        <v>8</v>
      </c>
      <c r="D177" s="2" t="s">
        <v>9</v>
      </c>
      <c r="E177" s="2" t="s">
        <v>10</v>
      </c>
      <c r="F177" s="2" t="s">
        <v>11</v>
      </c>
      <c r="G177" s="2" t="s">
        <v>12</v>
      </c>
      <c r="H177" s="2" t="s">
        <v>13</v>
      </c>
      <c r="I177" s="2" t="s">
        <v>14</v>
      </c>
      <c r="J177" s="2" t="s">
        <v>15</v>
      </c>
      <c r="K177" s="2" t="s">
        <v>16</v>
      </c>
      <c r="L177" s="2" t="s">
        <v>17</v>
      </c>
    </row>
    <row r="178" spans="1:12" x14ac:dyDescent="0.25">
      <c r="A178" s="3">
        <v>45696.000081018516</v>
      </c>
      <c r="B178" t="s">
        <v>33</v>
      </c>
      <c r="C178" s="3">
        <v>45696.000543981485</v>
      </c>
      <c r="D178" t="s">
        <v>107</v>
      </c>
      <c r="E178" s="4">
        <v>0.26603477627038957</v>
      </c>
      <c r="F178" s="4">
        <v>346745.08353943174</v>
      </c>
      <c r="G178" s="4">
        <v>346745.34957420803</v>
      </c>
      <c r="H178" s="5">
        <f t="shared" ref="H178:H241" si="0">0 / 86400</f>
        <v>0</v>
      </c>
      <c r="I178" t="s">
        <v>157</v>
      </c>
      <c r="J178" t="s">
        <v>140</v>
      </c>
      <c r="K178" s="5">
        <f>40 / 86400</f>
        <v>4.6296296296296298E-4</v>
      </c>
      <c r="L178" s="5">
        <f>17 / 86400</f>
        <v>1.9675925925925926E-4</v>
      </c>
    </row>
    <row r="179" spans="1:12" x14ac:dyDescent="0.25">
      <c r="A179" s="3">
        <v>45696.000659722224</v>
      </c>
      <c r="B179" t="s">
        <v>107</v>
      </c>
      <c r="C179" s="3">
        <v>45696.006620370375</v>
      </c>
      <c r="D179" t="s">
        <v>182</v>
      </c>
      <c r="E179" s="4">
        <v>4.3440381740331651</v>
      </c>
      <c r="F179" s="4">
        <v>346745.35940682486</v>
      </c>
      <c r="G179" s="4">
        <v>346749.70344499894</v>
      </c>
      <c r="H179" s="5">
        <f t="shared" si="0"/>
        <v>0</v>
      </c>
      <c r="I179" t="s">
        <v>183</v>
      </c>
      <c r="J179" t="s">
        <v>184</v>
      </c>
      <c r="K179" s="5">
        <f>515 / 86400</f>
        <v>5.9606481481481481E-3</v>
      </c>
      <c r="L179" s="5">
        <f>40 / 86400</f>
        <v>4.6296296296296298E-4</v>
      </c>
    </row>
    <row r="180" spans="1:12" x14ac:dyDescent="0.25">
      <c r="A180" s="3">
        <v>45696.00708333333</v>
      </c>
      <c r="B180" t="s">
        <v>182</v>
      </c>
      <c r="C180" s="3">
        <v>45696.007314814815</v>
      </c>
      <c r="D180" t="s">
        <v>182</v>
      </c>
      <c r="E180" s="4">
        <v>1.0909694731235504E-2</v>
      </c>
      <c r="F180" s="4">
        <v>346749.70799686038</v>
      </c>
      <c r="G180" s="4">
        <v>346749.71890655509</v>
      </c>
      <c r="H180" s="5">
        <f t="shared" si="0"/>
        <v>0</v>
      </c>
      <c r="I180" t="s">
        <v>91</v>
      </c>
      <c r="J180" t="s">
        <v>132</v>
      </c>
      <c r="K180" s="5">
        <f>20 / 86400</f>
        <v>2.3148148148148149E-4</v>
      </c>
      <c r="L180" s="5">
        <f>20 / 86400</f>
        <v>2.3148148148148149E-4</v>
      </c>
    </row>
    <row r="181" spans="1:12" x14ac:dyDescent="0.25">
      <c r="A181" s="3">
        <v>45696.0075462963</v>
      </c>
      <c r="B181" t="s">
        <v>106</v>
      </c>
      <c r="C181" s="3">
        <v>45696.008009259254</v>
      </c>
      <c r="D181" t="s">
        <v>185</v>
      </c>
      <c r="E181" s="4">
        <v>2.5751089930534363E-2</v>
      </c>
      <c r="F181" s="4">
        <v>346749.72957401752</v>
      </c>
      <c r="G181" s="4">
        <v>346749.75532510743</v>
      </c>
      <c r="H181" s="5">
        <f t="shared" si="0"/>
        <v>0</v>
      </c>
      <c r="I181" t="s">
        <v>132</v>
      </c>
      <c r="J181" t="s">
        <v>132</v>
      </c>
      <c r="K181" s="5">
        <f>40 / 86400</f>
        <v>4.6296296296296298E-4</v>
      </c>
      <c r="L181" s="5">
        <f>40 / 86400</f>
        <v>4.6296296296296298E-4</v>
      </c>
    </row>
    <row r="182" spans="1:12" x14ac:dyDescent="0.25">
      <c r="A182" s="3">
        <v>45696.008472222224</v>
      </c>
      <c r="B182" t="s">
        <v>186</v>
      </c>
      <c r="C182" s="3">
        <v>45696.008703703701</v>
      </c>
      <c r="D182" t="s">
        <v>182</v>
      </c>
      <c r="E182" s="4">
        <v>9.5044468641281125E-3</v>
      </c>
      <c r="F182" s="4">
        <v>346749.77462622244</v>
      </c>
      <c r="G182" s="4">
        <v>346749.78413066932</v>
      </c>
      <c r="H182" s="5">
        <f t="shared" si="0"/>
        <v>0</v>
      </c>
      <c r="I182" t="s">
        <v>132</v>
      </c>
      <c r="J182" t="s">
        <v>132</v>
      </c>
      <c r="K182" s="5">
        <f>20 / 86400</f>
        <v>2.3148148148148149E-4</v>
      </c>
      <c r="L182" s="5">
        <f>40 / 86400</f>
        <v>4.6296296296296298E-4</v>
      </c>
    </row>
    <row r="183" spans="1:12" x14ac:dyDescent="0.25">
      <c r="A183" s="3">
        <v>45696.00916666667</v>
      </c>
      <c r="B183" t="s">
        <v>187</v>
      </c>
      <c r="C183" s="3">
        <v>45696.009398148148</v>
      </c>
      <c r="D183" t="s">
        <v>187</v>
      </c>
      <c r="E183" s="4">
        <v>9.37883186340332E-3</v>
      </c>
      <c r="F183" s="4">
        <v>346749.81089074857</v>
      </c>
      <c r="G183" s="4">
        <v>346749.82026958041</v>
      </c>
      <c r="H183" s="5">
        <f t="shared" si="0"/>
        <v>0</v>
      </c>
      <c r="I183" t="s">
        <v>91</v>
      </c>
      <c r="J183" t="s">
        <v>132</v>
      </c>
      <c r="K183" s="5">
        <f>20 / 86400</f>
        <v>2.3148148148148149E-4</v>
      </c>
      <c r="L183" s="5">
        <f>40 / 86400</f>
        <v>4.6296296296296298E-4</v>
      </c>
    </row>
    <row r="184" spans="1:12" x14ac:dyDescent="0.25">
      <c r="A184" s="3">
        <v>45696.00986111111</v>
      </c>
      <c r="B184" t="s">
        <v>182</v>
      </c>
      <c r="C184" s="3">
        <v>45696.010092592594</v>
      </c>
      <c r="D184" t="s">
        <v>186</v>
      </c>
      <c r="E184" s="4">
        <v>1.8104326307773592E-2</v>
      </c>
      <c r="F184" s="4">
        <v>346749.85407750774</v>
      </c>
      <c r="G184" s="4">
        <v>346749.87218183407</v>
      </c>
      <c r="H184" s="5">
        <f t="shared" si="0"/>
        <v>0</v>
      </c>
      <c r="I184" t="s">
        <v>91</v>
      </c>
      <c r="J184" t="s">
        <v>188</v>
      </c>
      <c r="K184" s="5">
        <f>20 / 86400</f>
        <v>2.3148148148148149E-4</v>
      </c>
      <c r="L184" s="5">
        <f>40 / 86400</f>
        <v>4.6296296296296298E-4</v>
      </c>
    </row>
    <row r="185" spans="1:12" x14ac:dyDescent="0.25">
      <c r="A185" s="3">
        <v>45696.010555555556</v>
      </c>
      <c r="B185" t="s">
        <v>186</v>
      </c>
      <c r="C185" s="3">
        <v>45696.010787037041</v>
      </c>
      <c r="D185" t="s">
        <v>182</v>
      </c>
      <c r="E185" s="4">
        <v>3.8198288679122923E-3</v>
      </c>
      <c r="F185" s="4">
        <v>346749.88407568628</v>
      </c>
      <c r="G185" s="4">
        <v>346749.88789551513</v>
      </c>
      <c r="H185" s="5">
        <f t="shared" si="0"/>
        <v>0</v>
      </c>
      <c r="I185" t="s">
        <v>91</v>
      </c>
      <c r="J185" t="s">
        <v>91</v>
      </c>
      <c r="K185" s="5">
        <f>20 / 86400</f>
        <v>2.3148148148148149E-4</v>
      </c>
      <c r="L185" s="5">
        <f>20 / 86400</f>
        <v>2.3148148148148149E-4</v>
      </c>
    </row>
    <row r="186" spans="1:12" x14ac:dyDescent="0.25">
      <c r="A186" s="3">
        <v>45696.011018518519</v>
      </c>
      <c r="B186" t="s">
        <v>186</v>
      </c>
      <c r="C186" s="3">
        <v>45696.011249999996</v>
      </c>
      <c r="D186" t="s">
        <v>106</v>
      </c>
      <c r="E186" s="4">
        <v>1.4730855762958527E-2</v>
      </c>
      <c r="F186" s="4">
        <v>346749.89158232015</v>
      </c>
      <c r="G186" s="4">
        <v>346749.90631317592</v>
      </c>
      <c r="H186" s="5">
        <f t="shared" si="0"/>
        <v>0</v>
      </c>
      <c r="I186" t="s">
        <v>91</v>
      </c>
      <c r="J186" t="s">
        <v>188</v>
      </c>
      <c r="K186" s="5">
        <f>20 / 86400</f>
        <v>2.3148148148148149E-4</v>
      </c>
      <c r="L186" s="5">
        <f>265 / 86400</f>
        <v>3.0671296296296297E-3</v>
      </c>
    </row>
    <row r="187" spans="1:12" x14ac:dyDescent="0.25">
      <c r="A187" s="3">
        <v>45696.014317129629</v>
      </c>
      <c r="B187" t="s">
        <v>106</v>
      </c>
      <c r="C187" s="3">
        <v>45696.015011574069</v>
      </c>
      <c r="D187" t="s">
        <v>189</v>
      </c>
      <c r="E187" s="4">
        <v>0.21219552183151244</v>
      </c>
      <c r="F187" s="4">
        <v>346750.00240510097</v>
      </c>
      <c r="G187" s="4">
        <v>346750.21460062277</v>
      </c>
      <c r="H187" s="5">
        <f t="shared" si="0"/>
        <v>0</v>
      </c>
      <c r="I187" t="s">
        <v>140</v>
      </c>
      <c r="J187" t="s">
        <v>47</v>
      </c>
      <c r="K187" s="5">
        <f>60 / 86400</f>
        <v>6.9444444444444447E-4</v>
      </c>
      <c r="L187" s="5">
        <f>200 / 86400</f>
        <v>2.3148148148148147E-3</v>
      </c>
    </row>
    <row r="188" spans="1:12" x14ac:dyDescent="0.25">
      <c r="A188" s="3">
        <v>45696.017326388886</v>
      </c>
      <c r="B188" t="s">
        <v>189</v>
      </c>
      <c r="C188" s="3">
        <v>45696.022118055553</v>
      </c>
      <c r="D188" t="s">
        <v>190</v>
      </c>
      <c r="E188" s="4">
        <v>3.2468054025769235</v>
      </c>
      <c r="F188" s="4">
        <v>346750.23955582647</v>
      </c>
      <c r="G188" s="4">
        <v>346753.48636122904</v>
      </c>
      <c r="H188" s="5">
        <f t="shared" si="0"/>
        <v>0</v>
      </c>
      <c r="I188" t="s">
        <v>179</v>
      </c>
      <c r="J188" t="s">
        <v>155</v>
      </c>
      <c r="K188" s="5">
        <f>414 / 86400</f>
        <v>4.7916666666666663E-3</v>
      </c>
      <c r="L188" s="5">
        <f>20 / 86400</f>
        <v>2.3148148148148149E-4</v>
      </c>
    </row>
    <row r="189" spans="1:12" x14ac:dyDescent="0.25">
      <c r="A189" s="3">
        <v>45696.022349537037</v>
      </c>
      <c r="B189" t="s">
        <v>191</v>
      </c>
      <c r="C189" s="3">
        <v>45696.025497685187</v>
      </c>
      <c r="D189" t="s">
        <v>192</v>
      </c>
      <c r="E189" s="4">
        <v>1.2331112233996391</v>
      </c>
      <c r="F189" s="4">
        <v>346753.5227432758</v>
      </c>
      <c r="G189" s="4">
        <v>346754.75585449924</v>
      </c>
      <c r="H189" s="5">
        <f t="shared" si="0"/>
        <v>0</v>
      </c>
      <c r="I189" t="s">
        <v>165</v>
      </c>
      <c r="J189" t="s">
        <v>28</v>
      </c>
      <c r="K189" s="5">
        <f>272 / 86400</f>
        <v>3.1481481481481482E-3</v>
      </c>
      <c r="L189" s="5">
        <f>53 / 86400</f>
        <v>6.134259259259259E-4</v>
      </c>
    </row>
    <row r="190" spans="1:12" x14ac:dyDescent="0.25">
      <c r="A190" s="3">
        <v>45696.02611111111</v>
      </c>
      <c r="B190" t="s">
        <v>192</v>
      </c>
      <c r="C190" s="3">
        <v>45696.029131944444</v>
      </c>
      <c r="D190" t="s">
        <v>193</v>
      </c>
      <c r="E190" s="4">
        <v>1.7477953178882599</v>
      </c>
      <c r="F190" s="4">
        <v>346754.76476432604</v>
      </c>
      <c r="G190" s="4">
        <v>346756.51255964395</v>
      </c>
      <c r="H190" s="5">
        <f t="shared" si="0"/>
        <v>0</v>
      </c>
      <c r="I190" t="s">
        <v>194</v>
      </c>
      <c r="J190" t="s">
        <v>140</v>
      </c>
      <c r="K190" s="5">
        <f>261 / 86400</f>
        <v>3.0208333333333333E-3</v>
      </c>
      <c r="L190" s="5">
        <f>16 / 86400</f>
        <v>1.8518518518518518E-4</v>
      </c>
    </row>
    <row r="191" spans="1:12" x14ac:dyDescent="0.25">
      <c r="A191" s="3">
        <v>45696.029317129629</v>
      </c>
      <c r="B191" t="s">
        <v>195</v>
      </c>
      <c r="C191" s="3">
        <v>45696.030474537038</v>
      </c>
      <c r="D191" t="s">
        <v>196</v>
      </c>
      <c r="E191" s="4">
        <v>0.7436936882138252</v>
      </c>
      <c r="F191" s="4">
        <v>346756.55460702471</v>
      </c>
      <c r="G191" s="4">
        <v>346757.29830071295</v>
      </c>
      <c r="H191" s="5">
        <f t="shared" si="0"/>
        <v>0</v>
      </c>
      <c r="I191" t="s">
        <v>135</v>
      </c>
      <c r="J191" t="s">
        <v>165</v>
      </c>
      <c r="K191" s="5">
        <f>100 / 86400</f>
        <v>1.1574074074074073E-3</v>
      </c>
      <c r="L191" s="5">
        <f>20 / 86400</f>
        <v>2.3148148148148149E-4</v>
      </c>
    </row>
    <row r="192" spans="1:12" x14ac:dyDescent="0.25">
      <c r="A192" s="3">
        <v>45696.030706018515</v>
      </c>
      <c r="B192" t="s">
        <v>197</v>
      </c>
      <c r="C192" s="3">
        <v>45696.031168981484</v>
      </c>
      <c r="D192" t="s">
        <v>198</v>
      </c>
      <c r="E192" s="4">
        <v>0.42470569312572481</v>
      </c>
      <c r="F192" s="4">
        <v>346757.41030984861</v>
      </c>
      <c r="G192" s="4">
        <v>346757.83501554176</v>
      </c>
      <c r="H192" s="5">
        <f t="shared" si="0"/>
        <v>0</v>
      </c>
      <c r="I192" t="s">
        <v>199</v>
      </c>
      <c r="J192" t="s">
        <v>180</v>
      </c>
      <c r="K192" s="5">
        <f>40 / 86400</f>
        <v>4.6296296296296298E-4</v>
      </c>
      <c r="L192" s="5">
        <f>17 / 86400</f>
        <v>1.9675925925925926E-4</v>
      </c>
    </row>
    <row r="193" spans="1:12" x14ac:dyDescent="0.25">
      <c r="A193" s="3">
        <v>45696.031365740739</v>
      </c>
      <c r="B193" t="s">
        <v>198</v>
      </c>
      <c r="C193" s="3">
        <v>45696.031828703708</v>
      </c>
      <c r="D193" t="s">
        <v>200</v>
      </c>
      <c r="E193" s="4">
        <v>0.33988212662935258</v>
      </c>
      <c r="F193" s="4">
        <v>346757.84116541088</v>
      </c>
      <c r="G193" s="4">
        <v>346758.18104753748</v>
      </c>
      <c r="H193" s="5">
        <f t="shared" si="0"/>
        <v>0</v>
      </c>
      <c r="I193" t="s">
        <v>23</v>
      </c>
      <c r="J193" t="s">
        <v>201</v>
      </c>
      <c r="K193" s="5">
        <f>40 / 86400</f>
        <v>4.6296296296296298E-4</v>
      </c>
      <c r="L193" s="5">
        <f>40 / 86400</f>
        <v>4.6296296296296298E-4</v>
      </c>
    </row>
    <row r="194" spans="1:12" x14ac:dyDescent="0.25">
      <c r="A194" s="3">
        <v>45696.032291666663</v>
      </c>
      <c r="B194" t="s">
        <v>143</v>
      </c>
      <c r="C194" s="3">
        <v>45696.032754629632</v>
      </c>
      <c r="D194" t="s">
        <v>202</v>
      </c>
      <c r="E194" s="4">
        <v>0.12934290242195129</v>
      </c>
      <c r="F194" s="4">
        <v>346758.24460999767</v>
      </c>
      <c r="G194" s="4">
        <v>346758.37395290012</v>
      </c>
      <c r="H194" s="5">
        <f t="shared" si="0"/>
        <v>0</v>
      </c>
      <c r="I194" t="s">
        <v>161</v>
      </c>
      <c r="J194" t="s">
        <v>59</v>
      </c>
      <c r="K194" s="5">
        <f>40 / 86400</f>
        <v>4.6296296296296298E-4</v>
      </c>
      <c r="L194" s="5">
        <f>20 / 86400</f>
        <v>2.3148148148148149E-4</v>
      </c>
    </row>
    <row r="195" spans="1:12" x14ac:dyDescent="0.25">
      <c r="A195" s="3">
        <v>45696.032986111109</v>
      </c>
      <c r="B195" t="s">
        <v>203</v>
      </c>
      <c r="C195" s="3">
        <v>45696.035000000003</v>
      </c>
      <c r="D195" t="s">
        <v>204</v>
      </c>
      <c r="E195" s="4">
        <v>1.2348424999117851</v>
      </c>
      <c r="F195" s="4">
        <v>346758.4058363199</v>
      </c>
      <c r="G195" s="4">
        <v>346759.64067881985</v>
      </c>
      <c r="H195" s="5">
        <f t="shared" si="0"/>
        <v>0</v>
      </c>
      <c r="I195" t="s">
        <v>179</v>
      </c>
      <c r="J195" t="s">
        <v>205</v>
      </c>
      <c r="K195" s="5">
        <f>174 / 86400</f>
        <v>2.0138888888888888E-3</v>
      </c>
      <c r="L195" s="5">
        <f>60 / 86400</f>
        <v>6.9444444444444447E-4</v>
      </c>
    </row>
    <row r="196" spans="1:12" x14ac:dyDescent="0.25">
      <c r="A196" s="3">
        <v>45696.035694444443</v>
      </c>
      <c r="B196" t="s">
        <v>206</v>
      </c>
      <c r="C196" s="3">
        <v>45696.036215277782</v>
      </c>
      <c r="D196" t="s">
        <v>207</v>
      </c>
      <c r="E196" s="4">
        <v>7.6883734107017515E-2</v>
      </c>
      <c r="F196" s="4">
        <v>346759.70601918345</v>
      </c>
      <c r="G196" s="4">
        <v>346759.78290291759</v>
      </c>
      <c r="H196" s="5">
        <f t="shared" si="0"/>
        <v>0</v>
      </c>
      <c r="I196" t="s">
        <v>162</v>
      </c>
      <c r="J196" t="s">
        <v>146</v>
      </c>
      <c r="K196" s="5">
        <f>45 / 86400</f>
        <v>5.2083333333333333E-4</v>
      </c>
      <c r="L196" s="5">
        <f>40 / 86400</f>
        <v>4.6296296296296298E-4</v>
      </c>
    </row>
    <row r="197" spans="1:12" x14ac:dyDescent="0.25">
      <c r="A197" s="3">
        <v>45696.036678240736</v>
      </c>
      <c r="B197" t="s">
        <v>208</v>
      </c>
      <c r="C197" s="3">
        <v>45696.037569444445</v>
      </c>
      <c r="D197" t="s">
        <v>209</v>
      </c>
      <c r="E197" s="4">
        <v>0.43041913038492202</v>
      </c>
      <c r="F197" s="4">
        <v>346759.81574235065</v>
      </c>
      <c r="G197" s="4">
        <v>346760.24616148102</v>
      </c>
      <c r="H197" s="5">
        <f t="shared" si="0"/>
        <v>0</v>
      </c>
      <c r="I197" t="s">
        <v>165</v>
      </c>
      <c r="J197" t="s">
        <v>175</v>
      </c>
      <c r="K197" s="5">
        <f>77 / 86400</f>
        <v>8.9120370370370373E-4</v>
      </c>
      <c r="L197" s="5">
        <f>20 / 86400</f>
        <v>2.3148148148148149E-4</v>
      </c>
    </row>
    <row r="198" spans="1:12" x14ac:dyDescent="0.25">
      <c r="A198" s="3">
        <v>45696.037800925929</v>
      </c>
      <c r="B198" t="s">
        <v>210</v>
      </c>
      <c r="C198" s="3">
        <v>45696.038159722222</v>
      </c>
      <c r="D198" t="s">
        <v>211</v>
      </c>
      <c r="E198" s="4">
        <v>7.7492686569690702E-2</v>
      </c>
      <c r="F198" s="4">
        <v>346760.35222223052</v>
      </c>
      <c r="G198" s="4">
        <v>346760.42971491709</v>
      </c>
      <c r="H198" s="5">
        <f t="shared" si="0"/>
        <v>0</v>
      </c>
      <c r="I198" t="s">
        <v>184</v>
      </c>
      <c r="J198" t="s">
        <v>162</v>
      </c>
      <c r="K198" s="5">
        <f>31 / 86400</f>
        <v>3.5879629629629629E-4</v>
      </c>
      <c r="L198" s="5">
        <f>8 / 86400</f>
        <v>9.2592592592592588E-5</v>
      </c>
    </row>
    <row r="199" spans="1:12" x14ac:dyDescent="0.25">
      <c r="A199" s="3">
        <v>45696.038252314815</v>
      </c>
      <c r="B199" t="s">
        <v>211</v>
      </c>
      <c r="C199" s="3">
        <v>45696.038483796292</v>
      </c>
      <c r="D199" t="s">
        <v>212</v>
      </c>
      <c r="E199" s="4">
        <v>2.8099477052688598E-2</v>
      </c>
      <c r="F199" s="4">
        <v>346760.43548213027</v>
      </c>
      <c r="G199" s="4">
        <v>346760.46358160733</v>
      </c>
      <c r="H199" s="5">
        <f t="shared" si="0"/>
        <v>0</v>
      </c>
      <c r="I199" t="s">
        <v>136</v>
      </c>
      <c r="J199" t="s">
        <v>136</v>
      </c>
      <c r="K199" s="5">
        <f>20 / 86400</f>
        <v>2.3148148148148149E-4</v>
      </c>
      <c r="L199" s="5">
        <f>176 / 86400</f>
        <v>2.0370370370370369E-3</v>
      </c>
    </row>
    <row r="200" spans="1:12" x14ac:dyDescent="0.25">
      <c r="A200" s="3">
        <v>45696.040520833332</v>
      </c>
      <c r="B200" t="s">
        <v>212</v>
      </c>
      <c r="C200" s="3">
        <v>45696.040590277778</v>
      </c>
      <c r="D200" t="s">
        <v>212</v>
      </c>
      <c r="E200" s="4">
        <v>7.4643458127975461E-3</v>
      </c>
      <c r="F200" s="4">
        <v>346760.49028607417</v>
      </c>
      <c r="G200" s="4">
        <v>346760.49775041995</v>
      </c>
      <c r="H200" s="5">
        <f t="shared" si="0"/>
        <v>0</v>
      </c>
      <c r="I200" t="s">
        <v>136</v>
      </c>
      <c r="J200" t="s">
        <v>181</v>
      </c>
      <c r="K200" s="5">
        <f>6 / 86400</f>
        <v>6.9444444444444444E-5</v>
      </c>
      <c r="L200" s="5">
        <f>852 / 86400</f>
        <v>9.8611111111111104E-3</v>
      </c>
    </row>
    <row r="201" spans="1:12" x14ac:dyDescent="0.25">
      <c r="A201" s="3">
        <v>45696.050451388888</v>
      </c>
      <c r="B201" t="s">
        <v>212</v>
      </c>
      <c r="C201" s="3">
        <v>45696.050682870366</v>
      </c>
      <c r="D201" t="s">
        <v>212</v>
      </c>
      <c r="E201" s="4">
        <v>1.4147404968738555E-2</v>
      </c>
      <c r="F201" s="4">
        <v>346760.5154284673</v>
      </c>
      <c r="G201" s="4">
        <v>346760.52957587229</v>
      </c>
      <c r="H201" s="5">
        <f t="shared" si="0"/>
        <v>0</v>
      </c>
      <c r="I201" t="s">
        <v>136</v>
      </c>
      <c r="J201" t="s">
        <v>188</v>
      </c>
      <c r="K201" s="5">
        <f>20 / 86400</f>
        <v>2.3148148148148149E-4</v>
      </c>
      <c r="L201" s="5">
        <f>294 / 86400</f>
        <v>3.4027777777777776E-3</v>
      </c>
    </row>
    <row r="202" spans="1:12" x14ac:dyDescent="0.25">
      <c r="A202" s="3">
        <v>45696.054085648153</v>
      </c>
      <c r="B202" t="s">
        <v>212</v>
      </c>
      <c r="C202" s="3">
        <v>45696.071192129632</v>
      </c>
      <c r="D202" t="s">
        <v>212</v>
      </c>
      <c r="E202" s="4">
        <v>8.9782123565673826E-3</v>
      </c>
      <c r="F202" s="4">
        <v>346760.5564727966</v>
      </c>
      <c r="G202" s="4">
        <v>346760.56545100897</v>
      </c>
      <c r="H202" s="5">
        <f t="shared" si="0"/>
        <v>0</v>
      </c>
      <c r="I202" t="s">
        <v>136</v>
      </c>
      <c r="J202" t="s">
        <v>133</v>
      </c>
      <c r="K202" s="5">
        <f>1478 / 86400</f>
        <v>1.7106481481481483E-2</v>
      </c>
      <c r="L202" s="5">
        <f>16 / 86400</f>
        <v>1.8518518518518518E-4</v>
      </c>
    </row>
    <row r="203" spans="1:12" x14ac:dyDescent="0.25">
      <c r="A203" s="3">
        <v>45696.071377314816</v>
      </c>
      <c r="B203" t="s">
        <v>212</v>
      </c>
      <c r="C203" s="3">
        <v>45696.089317129634</v>
      </c>
      <c r="D203" t="s">
        <v>212</v>
      </c>
      <c r="E203" s="4">
        <v>2.0385299980640412E-2</v>
      </c>
      <c r="F203" s="4">
        <v>346760.57360290125</v>
      </c>
      <c r="G203" s="4">
        <v>346760.59398820117</v>
      </c>
      <c r="H203" s="5">
        <f t="shared" si="0"/>
        <v>0</v>
      </c>
      <c r="I203" t="s">
        <v>136</v>
      </c>
      <c r="J203" t="s">
        <v>133</v>
      </c>
      <c r="K203" s="5">
        <f>1550 / 86400</f>
        <v>1.7939814814814815E-2</v>
      </c>
      <c r="L203" s="5">
        <f>140 / 86400</f>
        <v>1.6203703703703703E-3</v>
      </c>
    </row>
    <row r="204" spans="1:12" x14ac:dyDescent="0.25">
      <c r="A204" s="3">
        <v>45696.090937500005</v>
      </c>
      <c r="B204" t="s">
        <v>212</v>
      </c>
      <c r="C204" s="3">
        <v>45696.094791666663</v>
      </c>
      <c r="D204" t="s">
        <v>213</v>
      </c>
      <c r="E204" s="4">
        <v>1.4824138246178626</v>
      </c>
      <c r="F204" s="4">
        <v>346760.62133700075</v>
      </c>
      <c r="G204" s="4">
        <v>346762.10375082534</v>
      </c>
      <c r="H204" s="5">
        <f t="shared" si="0"/>
        <v>0</v>
      </c>
      <c r="I204" t="s">
        <v>205</v>
      </c>
      <c r="J204" t="s">
        <v>28</v>
      </c>
      <c r="K204" s="5">
        <f>333 / 86400</f>
        <v>3.8541666666666668E-3</v>
      </c>
      <c r="L204" s="5">
        <f>20 / 86400</f>
        <v>2.3148148148148149E-4</v>
      </c>
    </row>
    <row r="205" spans="1:12" x14ac:dyDescent="0.25">
      <c r="A205" s="3">
        <v>45696.095023148147</v>
      </c>
      <c r="B205" t="s">
        <v>213</v>
      </c>
      <c r="C205" s="3">
        <v>45696.097488425927</v>
      </c>
      <c r="D205" t="s">
        <v>214</v>
      </c>
      <c r="E205" s="4">
        <v>1.8652951444387436</v>
      </c>
      <c r="F205" s="4">
        <v>346762.12121500005</v>
      </c>
      <c r="G205" s="4">
        <v>346763.98651014449</v>
      </c>
      <c r="H205" s="5">
        <f t="shared" si="0"/>
        <v>0</v>
      </c>
      <c r="I205" t="s">
        <v>215</v>
      </c>
      <c r="J205" t="s">
        <v>150</v>
      </c>
      <c r="K205" s="5">
        <f>213 / 86400</f>
        <v>2.4652777777777776E-3</v>
      </c>
      <c r="L205" s="5">
        <f>40 / 86400</f>
        <v>4.6296296296296298E-4</v>
      </c>
    </row>
    <row r="206" spans="1:12" x14ac:dyDescent="0.25">
      <c r="A206" s="3">
        <v>45696.097951388889</v>
      </c>
      <c r="B206" t="s">
        <v>216</v>
      </c>
      <c r="C206" s="3">
        <v>45696.106874999998</v>
      </c>
      <c r="D206" t="s">
        <v>217</v>
      </c>
      <c r="E206" s="4">
        <v>3.0450135461688044</v>
      </c>
      <c r="F206" s="4">
        <v>346764.09408288449</v>
      </c>
      <c r="G206" s="4">
        <v>346767.13909643068</v>
      </c>
      <c r="H206" s="5">
        <f t="shared" si="0"/>
        <v>0</v>
      </c>
      <c r="I206" t="s">
        <v>218</v>
      </c>
      <c r="J206" t="s">
        <v>41</v>
      </c>
      <c r="K206" s="5">
        <f>771 / 86400</f>
        <v>8.9236111111111113E-3</v>
      </c>
      <c r="L206" s="5">
        <f>100 / 86400</f>
        <v>1.1574074074074073E-3</v>
      </c>
    </row>
    <row r="207" spans="1:12" x14ac:dyDescent="0.25">
      <c r="A207" s="3">
        <v>45696.108032407406</v>
      </c>
      <c r="B207" t="s">
        <v>217</v>
      </c>
      <c r="C207" s="3">
        <v>45696.108263888891</v>
      </c>
      <c r="D207" t="s">
        <v>219</v>
      </c>
      <c r="E207" s="4">
        <v>6.4194618463516238E-3</v>
      </c>
      <c r="F207" s="4">
        <v>346767.14758430107</v>
      </c>
      <c r="G207" s="4">
        <v>346767.15400376287</v>
      </c>
      <c r="H207" s="5">
        <f t="shared" si="0"/>
        <v>0</v>
      </c>
      <c r="I207" t="s">
        <v>91</v>
      </c>
      <c r="J207" t="s">
        <v>91</v>
      </c>
      <c r="K207" s="5">
        <f>20 / 86400</f>
        <v>2.3148148148148149E-4</v>
      </c>
      <c r="L207" s="5">
        <f>100 / 86400</f>
        <v>1.1574074074074073E-3</v>
      </c>
    </row>
    <row r="208" spans="1:12" x14ac:dyDescent="0.25">
      <c r="A208" s="3">
        <v>45696.109421296293</v>
      </c>
      <c r="B208" t="s">
        <v>65</v>
      </c>
      <c r="C208" s="3">
        <v>45696.114155092597</v>
      </c>
      <c r="D208" t="s">
        <v>220</v>
      </c>
      <c r="E208" s="4">
        <v>2.5138313974142075</v>
      </c>
      <c r="F208" s="4">
        <v>346767.16194297146</v>
      </c>
      <c r="G208" s="4">
        <v>346769.67577436886</v>
      </c>
      <c r="H208" s="5">
        <f t="shared" si="0"/>
        <v>0</v>
      </c>
      <c r="I208" t="s">
        <v>184</v>
      </c>
      <c r="J208" t="s">
        <v>221</v>
      </c>
      <c r="K208" s="5">
        <f>409 / 86400</f>
        <v>4.7337962962962967E-3</v>
      </c>
      <c r="L208" s="5">
        <f>20 / 86400</f>
        <v>2.3148148148148149E-4</v>
      </c>
    </row>
    <row r="209" spans="1:12" x14ac:dyDescent="0.25">
      <c r="A209" s="3">
        <v>45696.114386574074</v>
      </c>
      <c r="B209" t="s">
        <v>220</v>
      </c>
      <c r="C209" s="3">
        <v>45696.115763888884</v>
      </c>
      <c r="D209" t="s">
        <v>222</v>
      </c>
      <c r="E209" s="4">
        <v>0.62439814913272862</v>
      </c>
      <c r="F209" s="4">
        <v>346769.72437591758</v>
      </c>
      <c r="G209" s="4">
        <v>346770.34877406666</v>
      </c>
      <c r="H209" s="5">
        <f t="shared" si="0"/>
        <v>0</v>
      </c>
      <c r="I209" t="s">
        <v>165</v>
      </c>
      <c r="J209" t="s">
        <v>94</v>
      </c>
      <c r="K209" s="5">
        <f>119 / 86400</f>
        <v>1.3773148148148147E-3</v>
      </c>
      <c r="L209" s="5">
        <f>5 / 86400</f>
        <v>5.7870370370370373E-5</v>
      </c>
    </row>
    <row r="210" spans="1:12" x14ac:dyDescent="0.25">
      <c r="A210" s="3">
        <v>45696.11582175926</v>
      </c>
      <c r="B210" t="s">
        <v>222</v>
      </c>
      <c r="C210" s="3">
        <v>45696.118668981479</v>
      </c>
      <c r="D210" t="s">
        <v>223</v>
      </c>
      <c r="E210" s="4">
        <v>1.0313832907676697</v>
      </c>
      <c r="F210" s="4">
        <v>346770.35138289409</v>
      </c>
      <c r="G210" s="4">
        <v>346771.38276618486</v>
      </c>
      <c r="H210" s="5">
        <f t="shared" si="0"/>
        <v>0</v>
      </c>
      <c r="I210" t="s">
        <v>184</v>
      </c>
      <c r="J210" t="s">
        <v>24</v>
      </c>
      <c r="K210" s="5">
        <f>246 / 86400</f>
        <v>2.8472222222222223E-3</v>
      </c>
      <c r="L210" s="5">
        <f>200 / 86400</f>
        <v>2.3148148148148147E-3</v>
      </c>
    </row>
    <row r="211" spans="1:12" x14ac:dyDescent="0.25">
      <c r="A211" s="3">
        <v>45696.120983796296</v>
      </c>
      <c r="B211" t="s">
        <v>224</v>
      </c>
      <c r="C211" s="3">
        <v>45696.121215277773</v>
      </c>
      <c r="D211" t="s">
        <v>224</v>
      </c>
      <c r="E211" s="4">
        <v>4.0675207376480102E-3</v>
      </c>
      <c r="F211" s="4">
        <v>346771.41042233241</v>
      </c>
      <c r="G211" s="4">
        <v>346771.41448985314</v>
      </c>
      <c r="H211" s="5">
        <f t="shared" si="0"/>
        <v>0</v>
      </c>
      <c r="I211" t="s">
        <v>132</v>
      </c>
      <c r="J211" t="s">
        <v>91</v>
      </c>
      <c r="K211" s="5">
        <f>20 / 86400</f>
        <v>2.3148148148148149E-4</v>
      </c>
      <c r="L211" s="5">
        <f>160 / 86400</f>
        <v>1.8518518518518519E-3</v>
      </c>
    </row>
    <row r="212" spans="1:12" x14ac:dyDescent="0.25">
      <c r="A212" s="3">
        <v>45696.123067129629</v>
      </c>
      <c r="B212" t="s">
        <v>225</v>
      </c>
      <c r="C212" s="3">
        <v>45696.131574074076</v>
      </c>
      <c r="D212" t="s">
        <v>107</v>
      </c>
      <c r="E212" s="4">
        <v>3.6519406915307044</v>
      </c>
      <c r="F212" s="4">
        <v>346771.47999789123</v>
      </c>
      <c r="G212" s="4">
        <v>346775.13193858275</v>
      </c>
      <c r="H212" s="5">
        <f t="shared" si="0"/>
        <v>0</v>
      </c>
      <c r="I212" t="s">
        <v>165</v>
      </c>
      <c r="J212" t="s">
        <v>50</v>
      </c>
      <c r="K212" s="5">
        <f>735 / 86400</f>
        <v>8.5069444444444437E-3</v>
      </c>
      <c r="L212" s="5">
        <f>80 / 86400</f>
        <v>9.2592592592592596E-4</v>
      </c>
    </row>
    <row r="213" spans="1:12" x14ac:dyDescent="0.25">
      <c r="A213" s="3">
        <v>45696.1325</v>
      </c>
      <c r="B213" t="s">
        <v>226</v>
      </c>
      <c r="C213" s="3">
        <v>45696.132731481484</v>
      </c>
      <c r="D213" t="s">
        <v>227</v>
      </c>
      <c r="E213" s="4">
        <v>3.4315306723117826E-2</v>
      </c>
      <c r="F213" s="4">
        <v>346775.15304563899</v>
      </c>
      <c r="G213" s="4">
        <v>346775.18736094568</v>
      </c>
      <c r="H213" s="5">
        <f t="shared" si="0"/>
        <v>0</v>
      </c>
      <c r="I213" t="s">
        <v>85</v>
      </c>
      <c r="J213" t="s">
        <v>146</v>
      </c>
      <c r="K213" s="5">
        <f>20 / 86400</f>
        <v>2.3148148148148149E-4</v>
      </c>
      <c r="L213" s="5">
        <f>20 / 86400</f>
        <v>2.3148148148148149E-4</v>
      </c>
    </row>
    <row r="214" spans="1:12" x14ac:dyDescent="0.25">
      <c r="A214" s="3">
        <v>45696.132962962962</v>
      </c>
      <c r="B214" t="s">
        <v>227</v>
      </c>
      <c r="C214" s="3">
        <v>45696.133425925931</v>
      </c>
      <c r="D214" t="s">
        <v>227</v>
      </c>
      <c r="E214" s="4">
        <v>0.12737920844554901</v>
      </c>
      <c r="F214" s="4">
        <v>346775.26017905312</v>
      </c>
      <c r="G214" s="4">
        <v>346775.38755826157</v>
      </c>
      <c r="H214" s="5">
        <f t="shared" si="0"/>
        <v>0</v>
      </c>
      <c r="I214" t="s">
        <v>50</v>
      </c>
      <c r="J214" t="s">
        <v>20</v>
      </c>
      <c r="K214" s="5">
        <f>40 / 86400</f>
        <v>4.6296296296296298E-4</v>
      </c>
      <c r="L214" s="5">
        <f>20 / 86400</f>
        <v>2.3148148148148149E-4</v>
      </c>
    </row>
    <row r="215" spans="1:12" x14ac:dyDescent="0.25">
      <c r="A215" s="3">
        <v>45696.133657407408</v>
      </c>
      <c r="B215" t="s">
        <v>227</v>
      </c>
      <c r="C215" s="3">
        <v>45696.144571759258</v>
      </c>
      <c r="D215" t="s">
        <v>228</v>
      </c>
      <c r="E215" s="4">
        <v>4.9028092091083524</v>
      </c>
      <c r="F215" s="4">
        <v>346775.39753912686</v>
      </c>
      <c r="G215" s="4">
        <v>346780.30034833599</v>
      </c>
      <c r="H215" s="5">
        <f t="shared" si="0"/>
        <v>0</v>
      </c>
      <c r="I215" t="s">
        <v>159</v>
      </c>
      <c r="J215" t="s">
        <v>94</v>
      </c>
      <c r="K215" s="5">
        <f>943 / 86400</f>
        <v>1.0914351851851852E-2</v>
      </c>
      <c r="L215" s="5">
        <f>20 / 86400</f>
        <v>2.3148148148148149E-4</v>
      </c>
    </row>
    <row r="216" spans="1:12" x14ac:dyDescent="0.25">
      <c r="A216" s="3">
        <v>45696.144803240742</v>
      </c>
      <c r="B216" t="s">
        <v>228</v>
      </c>
      <c r="C216" s="3">
        <v>45696.149212962962</v>
      </c>
      <c r="D216" t="s">
        <v>158</v>
      </c>
      <c r="E216" s="4">
        <v>2.4735987201929093</v>
      </c>
      <c r="F216" s="4">
        <v>346780.33503274486</v>
      </c>
      <c r="G216" s="4">
        <v>346782.80863146507</v>
      </c>
      <c r="H216" s="5">
        <f t="shared" si="0"/>
        <v>0</v>
      </c>
      <c r="I216" t="s">
        <v>229</v>
      </c>
      <c r="J216" t="s">
        <v>138</v>
      </c>
      <c r="K216" s="5">
        <f>381 / 86400</f>
        <v>4.409722222222222E-3</v>
      </c>
      <c r="L216" s="5">
        <f>39 / 86400</f>
        <v>4.5138888888888887E-4</v>
      </c>
    </row>
    <row r="217" spans="1:12" x14ac:dyDescent="0.25">
      <c r="A217" s="3">
        <v>45696.149664351848</v>
      </c>
      <c r="B217" t="s">
        <v>158</v>
      </c>
      <c r="C217" s="3">
        <v>45696.157766203702</v>
      </c>
      <c r="D217" t="s">
        <v>92</v>
      </c>
      <c r="E217" s="4">
        <v>5.3337562190890315</v>
      </c>
      <c r="F217" s="4">
        <v>346782.81571852131</v>
      </c>
      <c r="G217" s="4">
        <v>346788.14947474038</v>
      </c>
      <c r="H217" s="5">
        <f t="shared" si="0"/>
        <v>0</v>
      </c>
      <c r="I217" t="s">
        <v>230</v>
      </c>
      <c r="J217" t="s">
        <v>165</v>
      </c>
      <c r="K217" s="5">
        <f>700 / 86400</f>
        <v>8.1018518518518514E-3</v>
      </c>
      <c r="L217" s="5">
        <f>20 / 86400</f>
        <v>2.3148148148148149E-4</v>
      </c>
    </row>
    <row r="218" spans="1:12" x14ac:dyDescent="0.25">
      <c r="A218" s="3">
        <v>45696.157997685186</v>
      </c>
      <c r="B218" t="s">
        <v>231</v>
      </c>
      <c r="C218" s="3">
        <v>45696.15892361111</v>
      </c>
      <c r="D218" t="s">
        <v>232</v>
      </c>
      <c r="E218" s="4">
        <v>0.54085339379310604</v>
      </c>
      <c r="F218" s="4">
        <v>346788.19823841739</v>
      </c>
      <c r="G218" s="4">
        <v>346788.73909181118</v>
      </c>
      <c r="H218" s="5">
        <f t="shared" si="0"/>
        <v>0</v>
      </c>
      <c r="I218" t="s">
        <v>157</v>
      </c>
      <c r="J218" t="s">
        <v>140</v>
      </c>
      <c r="K218" s="5">
        <f>80 / 86400</f>
        <v>9.2592592592592596E-4</v>
      </c>
      <c r="L218" s="5">
        <f>24 / 86400</f>
        <v>2.7777777777777778E-4</v>
      </c>
    </row>
    <row r="219" spans="1:12" x14ac:dyDescent="0.25">
      <c r="A219" s="3">
        <v>45696.159201388888</v>
      </c>
      <c r="B219" t="s">
        <v>232</v>
      </c>
      <c r="C219" s="3">
        <v>45696.164803240739</v>
      </c>
      <c r="D219" t="s">
        <v>233</v>
      </c>
      <c r="E219" s="4">
        <v>2.758736234307289</v>
      </c>
      <c r="F219" s="4">
        <v>346788.74654030829</v>
      </c>
      <c r="G219" s="4">
        <v>346791.50527654262</v>
      </c>
      <c r="H219" s="5">
        <f t="shared" si="0"/>
        <v>0</v>
      </c>
      <c r="I219" t="s">
        <v>230</v>
      </c>
      <c r="J219" t="s">
        <v>35</v>
      </c>
      <c r="K219" s="5">
        <f>484 / 86400</f>
        <v>5.6018518518518518E-3</v>
      </c>
      <c r="L219" s="5">
        <f>40 / 86400</f>
        <v>4.6296296296296298E-4</v>
      </c>
    </row>
    <row r="220" spans="1:12" x14ac:dyDescent="0.25">
      <c r="A220" s="3">
        <v>45696.165266203709</v>
      </c>
      <c r="B220" t="s">
        <v>234</v>
      </c>
      <c r="C220" s="3">
        <v>45696.169953703706</v>
      </c>
      <c r="D220" t="s">
        <v>235</v>
      </c>
      <c r="E220" s="4">
        <v>4.3222195300459862</v>
      </c>
      <c r="F220" s="4">
        <v>346791.51101476635</v>
      </c>
      <c r="G220" s="4">
        <v>346795.83323429635</v>
      </c>
      <c r="H220" s="5">
        <f t="shared" si="0"/>
        <v>0</v>
      </c>
      <c r="I220" t="s">
        <v>199</v>
      </c>
      <c r="J220" t="s">
        <v>180</v>
      </c>
      <c r="K220" s="5">
        <f>405 / 86400</f>
        <v>4.6874999999999998E-3</v>
      </c>
      <c r="L220" s="5">
        <f>467 / 86400</f>
        <v>5.4050925925925924E-3</v>
      </c>
    </row>
    <row r="221" spans="1:12" x14ac:dyDescent="0.25">
      <c r="A221" s="3">
        <v>45696.175358796296</v>
      </c>
      <c r="B221" t="s">
        <v>235</v>
      </c>
      <c r="C221" s="3">
        <v>45696.177719907406</v>
      </c>
      <c r="D221" t="s">
        <v>236</v>
      </c>
      <c r="E221" s="4">
        <v>0.4637615262269974</v>
      </c>
      <c r="F221" s="4">
        <v>346795.84460119385</v>
      </c>
      <c r="G221" s="4">
        <v>346796.30836272007</v>
      </c>
      <c r="H221" s="5">
        <f t="shared" si="0"/>
        <v>0</v>
      </c>
      <c r="I221" t="s">
        <v>35</v>
      </c>
      <c r="J221" t="s">
        <v>151</v>
      </c>
      <c r="K221" s="5">
        <f>204 / 86400</f>
        <v>2.3611111111111111E-3</v>
      </c>
      <c r="L221" s="5">
        <f>715 / 86400</f>
        <v>8.2754629629629636E-3</v>
      </c>
    </row>
    <row r="222" spans="1:12" x14ac:dyDescent="0.25">
      <c r="A222" s="3">
        <v>45696.185995370368</v>
      </c>
      <c r="B222" t="s">
        <v>236</v>
      </c>
      <c r="C222" s="3">
        <v>45696.186689814815</v>
      </c>
      <c r="D222" t="s">
        <v>63</v>
      </c>
      <c r="E222" s="4">
        <v>5.2214176952838899E-2</v>
      </c>
      <c r="F222" s="4">
        <v>346796.31432695873</v>
      </c>
      <c r="G222" s="4">
        <v>346796.36654113565</v>
      </c>
      <c r="H222" s="5">
        <f t="shared" si="0"/>
        <v>0</v>
      </c>
      <c r="I222" t="s">
        <v>188</v>
      </c>
      <c r="J222" t="s">
        <v>188</v>
      </c>
      <c r="K222" s="5">
        <f>59 / 86400</f>
        <v>6.8287037037037036E-4</v>
      </c>
      <c r="L222" s="5">
        <f>2 / 86400</f>
        <v>2.3148148148148147E-5</v>
      </c>
    </row>
    <row r="223" spans="1:12" x14ac:dyDescent="0.25">
      <c r="A223" s="3">
        <v>45696.186712962968</v>
      </c>
      <c r="B223" t="s">
        <v>63</v>
      </c>
      <c r="C223" s="3">
        <v>45696.191365740742</v>
      </c>
      <c r="D223" t="s">
        <v>237</v>
      </c>
      <c r="E223" s="4">
        <v>2.1453853225708008</v>
      </c>
      <c r="F223" s="4">
        <v>346796.36856865953</v>
      </c>
      <c r="G223" s="4">
        <v>346798.5139539821</v>
      </c>
      <c r="H223" s="5">
        <f t="shared" si="0"/>
        <v>0</v>
      </c>
      <c r="I223" t="s">
        <v>230</v>
      </c>
      <c r="J223" t="s">
        <v>94</v>
      </c>
      <c r="K223" s="5">
        <f>402 / 86400</f>
        <v>4.6527777777777774E-3</v>
      </c>
      <c r="L223" s="5">
        <f>77 / 86400</f>
        <v>8.9120370370370373E-4</v>
      </c>
    </row>
    <row r="224" spans="1:12" x14ac:dyDescent="0.25">
      <c r="A224" s="3">
        <v>45696.192256944443</v>
      </c>
      <c r="B224" t="s">
        <v>231</v>
      </c>
      <c r="C224" s="3">
        <v>45696.196655092594</v>
      </c>
      <c r="D224" t="s">
        <v>238</v>
      </c>
      <c r="E224" s="4">
        <v>4.9699326289892198</v>
      </c>
      <c r="F224" s="4">
        <v>346798.57767845638</v>
      </c>
      <c r="G224" s="4">
        <v>346803.54761108535</v>
      </c>
      <c r="H224" s="5">
        <f t="shared" si="0"/>
        <v>0</v>
      </c>
      <c r="I224" t="s">
        <v>239</v>
      </c>
      <c r="J224" t="s">
        <v>179</v>
      </c>
      <c r="K224" s="5">
        <f>380 / 86400</f>
        <v>4.3981481481481484E-3</v>
      </c>
      <c r="L224" s="5">
        <f>20 / 86400</f>
        <v>2.3148148148148149E-4</v>
      </c>
    </row>
    <row r="225" spans="1:12" x14ac:dyDescent="0.25">
      <c r="A225" s="3">
        <v>45696.196886574078</v>
      </c>
      <c r="B225" t="s">
        <v>238</v>
      </c>
      <c r="C225" s="3">
        <v>45696.19804398148</v>
      </c>
      <c r="D225" t="s">
        <v>238</v>
      </c>
      <c r="E225" s="4">
        <v>1.3467466915845872</v>
      </c>
      <c r="F225" s="4">
        <v>346803.61531210778</v>
      </c>
      <c r="G225" s="4">
        <v>346804.9620587994</v>
      </c>
      <c r="H225" s="5">
        <f t="shared" si="0"/>
        <v>0</v>
      </c>
      <c r="I225" t="s">
        <v>240</v>
      </c>
      <c r="J225" t="s">
        <v>241</v>
      </c>
      <c r="K225" s="5">
        <f>100 / 86400</f>
        <v>1.1574074074074073E-3</v>
      </c>
      <c r="L225" s="5">
        <f>20 / 86400</f>
        <v>2.3148148148148149E-4</v>
      </c>
    </row>
    <row r="226" spans="1:12" x14ac:dyDescent="0.25">
      <c r="A226" s="3">
        <v>45696.198275462964</v>
      </c>
      <c r="B226" t="s">
        <v>242</v>
      </c>
      <c r="C226" s="3">
        <v>45696.20144675926</v>
      </c>
      <c r="D226" t="s">
        <v>243</v>
      </c>
      <c r="E226" s="4">
        <v>2.4969973748922349</v>
      </c>
      <c r="F226" s="4">
        <v>346805.10910587804</v>
      </c>
      <c r="G226" s="4">
        <v>346807.60610325297</v>
      </c>
      <c r="H226" s="5">
        <f t="shared" si="0"/>
        <v>0</v>
      </c>
      <c r="I226" t="s">
        <v>244</v>
      </c>
      <c r="J226" t="s">
        <v>163</v>
      </c>
      <c r="K226" s="5">
        <f>274 / 86400</f>
        <v>3.1712962962962962E-3</v>
      </c>
      <c r="L226" s="5">
        <f>249 / 86400</f>
        <v>2.8819444444444444E-3</v>
      </c>
    </row>
    <row r="227" spans="1:12" x14ac:dyDescent="0.25">
      <c r="A227" s="3">
        <v>45696.204328703709</v>
      </c>
      <c r="B227" t="s">
        <v>243</v>
      </c>
      <c r="C227" s="3">
        <v>45696.20548611111</v>
      </c>
      <c r="D227" t="s">
        <v>243</v>
      </c>
      <c r="E227" s="4">
        <v>0.86226391839981076</v>
      </c>
      <c r="F227" s="4">
        <v>346807.61354529421</v>
      </c>
      <c r="G227" s="4">
        <v>346808.4758092126</v>
      </c>
      <c r="H227" s="5">
        <f t="shared" si="0"/>
        <v>0</v>
      </c>
      <c r="I227" t="s">
        <v>37</v>
      </c>
      <c r="J227" t="s">
        <v>201</v>
      </c>
      <c r="K227" s="5">
        <f>100 / 86400</f>
        <v>1.1574074074074073E-3</v>
      </c>
      <c r="L227" s="5">
        <f>20 / 86400</f>
        <v>2.3148148148148149E-4</v>
      </c>
    </row>
    <row r="228" spans="1:12" x14ac:dyDescent="0.25">
      <c r="A228" s="3">
        <v>45696.205717592587</v>
      </c>
      <c r="B228" t="s">
        <v>243</v>
      </c>
      <c r="C228" s="3">
        <v>45696.207106481481</v>
      </c>
      <c r="D228" t="s">
        <v>245</v>
      </c>
      <c r="E228" s="4">
        <v>1.1644048708677293</v>
      </c>
      <c r="F228" s="4">
        <v>346808.62678823486</v>
      </c>
      <c r="G228" s="4">
        <v>346809.79119310575</v>
      </c>
      <c r="H228" s="5">
        <f t="shared" si="0"/>
        <v>0</v>
      </c>
      <c r="I228" t="s">
        <v>172</v>
      </c>
      <c r="J228" t="s">
        <v>157</v>
      </c>
      <c r="K228" s="5">
        <f>120 / 86400</f>
        <v>1.3888888888888889E-3</v>
      </c>
      <c r="L228" s="5">
        <f>20 / 86400</f>
        <v>2.3148148148148149E-4</v>
      </c>
    </row>
    <row r="229" spans="1:12" x14ac:dyDescent="0.25">
      <c r="A229" s="3">
        <v>45696.207337962958</v>
      </c>
      <c r="B229" t="s">
        <v>245</v>
      </c>
      <c r="C229" s="3">
        <v>45696.208958333329</v>
      </c>
      <c r="D229" t="s">
        <v>246</v>
      </c>
      <c r="E229" s="4">
        <v>1.3244365490078926</v>
      </c>
      <c r="F229" s="4">
        <v>346809.87748376775</v>
      </c>
      <c r="G229" s="4">
        <v>346811.20192031673</v>
      </c>
      <c r="H229" s="5">
        <f t="shared" si="0"/>
        <v>0</v>
      </c>
      <c r="I229" t="s">
        <v>144</v>
      </c>
      <c r="J229" t="s">
        <v>218</v>
      </c>
      <c r="K229" s="5">
        <f>140 / 86400</f>
        <v>1.6203703703703703E-3</v>
      </c>
      <c r="L229" s="5">
        <f>20 / 86400</f>
        <v>2.3148148148148149E-4</v>
      </c>
    </row>
    <row r="230" spans="1:12" x14ac:dyDescent="0.25">
      <c r="A230" s="3">
        <v>45696.209189814814</v>
      </c>
      <c r="B230" t="s">
        <v>242</v>
      </c>
      <c r="C230" s="3">
        <v>45696.209652777776</v>
      </c>
      <c r="D230" t="s">
        <v>238</v>
      </c>
      <c r="E230" s="4">
        <v>0.6845831548571587</v>
      </c>
      <c r="F230" s="4">
        <v>346811.36228328868</v>
      </c>
      <c r="G230" s="4">
        <v>346812.04686644353</v>
      </c>
      <c r="H230" s="5">
        <f t="shared" si="0"/>
        <v>0</v>
      </c>
      <c r="I230" t="s">
        <v>84</v>
      </c>
      <c r="J230" t="s">
        <v>247</v>
      </c>
      <c r="K230" s="5">
        <f>40 / 86400</f>
        <v>4.6296296296296298E-4</v>
      </c>
      <c r="L230" s="5">
        <f>20 / 86400</f>
        <v>2.3148148148148149E-4</v>
      </c>
    </row>
    <row r="231" spans="1:12" x14ac:dyDescent="0.25">
      <c r="A231" s="3">
        <v>45696.20988425926</v>
      </c>
      <c r="B231" t="s">
        <v>36</v>
      </c>
      <c r="C231" s="3">
        <v>45696.210115740745</v>
      </c>
      <c r="D231" t="s">
        <v>36</v>
      </c>
      <c r="E231" s="4">
        <v>0.1069457175731659</v>
      </c>
      <c r="F231" s="4">
        <v>346812.22492491262</v>
      </c>
      <c r="G231" s="4">
        <v>346812.33187063021</v>
      </c>
      <c r="H231" s="5">
        <f t="shared" si="0"/>
        <v>0</v>
      </c>
      <c r="I231" t="s">
        <v>151</v>
      </c>
      <c r="J231" t="s">
        <v>94</v>
      </c>
      <c r="K231" s="5">
        <f>20 / 86400</f>
        <v>2.3148148148148149E-4</v>
      </c>
      <c r="L231" s="5">
        <f>40 / 86400</f>
        <v>4.6296296296296298E-4</v>
      </c>
    </row>
    <row r="232" spans="1:12" x14ac:dyDescent="0.25">
      <c r="A232" s="3">
        <v>45696.2105787037</v>
      </c>
      <c r="B232" t="s">
        <v>248</v>
      </c>
      <c r="C232" s="3">
        <v>45696.214490740742</v>
      </c>
      <c r="D232" t="s">
        <v>167</v>
      </c>
      <c r="E232" s="4">
        <v>2.4182087661623957</v>
      </c>
      <c r="F232" s="4">
        <v>346812.47621269565</v>
      </c>
      <c r="G232" s="4">
        <v>346814.89442146179</v>
      </c>
      <c r="H232" s="5">
        <f t="shared" si="0"/>
        <v>0</v>
      </c>
      <c r="I232" t="s">
        <v>249</v>
      </c>
      <c r="J232" t="s">
        <v>205</v>
      </c>
      <c r="K232" s="5">
        <f>338 / 86400</f>
        <v>3.9120370370370368E-3</v>
      </c>
      <c r="L232" s="5">
        <f>20 / 86400</f>
        <v>2.3148148148148149E-4</v>
      </c>
    </row>
    <row r="233" spans="1:12" x14ac:dyDescent="0.25">
      <c r="A233" s="3">
        <v>45696.214722222227</v>
      </c>
      <c r="B233" t="s">
        <v>167</v>
      </c>
      <c r="C233" s="3">
        <v>45696.21638888889</v>
      </c>
      <c r="D233" t="s">
        <v>250</v>
      </c>
      <c r="E233" s="4">
        <v>1.23295489692688</v>
      </c>
      <c r="F233" s="4">
        <v>346815.03032695194</v>
      </c>
      <c r="G233" s="4">
        <v>346816.26328184886</v>
      </c>
      <c r="H233" s="5">
        <f t="shared" si="0"/>
        <v>0</v>
      </c>
      <c r="I233" t="s">
        <v>103</v>
      </c>
      <c r="J233" t="s">
        <v>201</v>
      </c>
      <c r="K233" s="5">
        <f>144 / 86400</f>
        <v>1.6666666666666668E-3</v>
      </c>
      <c r="L233" s="5">
        <f>6 / 86400</f>
        <v>6.9444444444444444E-5</v>
      </c>
    </row>
    <row r="234" spans="1:12" x14ac:dyDescent="0.25">
      <c r="A234" s="3">
        <v>45696.216458333336</v>
      </c>
      <c r="B234" t="s">
        <v>250</v>
      </c>
      <c r="C234" s="3">
        <v>45696.21738425926</v>
      </c>
      <c r="D234" t="s">
        <v>149</v>
      </c>
      <c r="E234" s="4">
        <v>0.81304489177465444</v>
      </c>
      <c r="F234" s="4">
        <v>346816.2668844178</v>
      </c>
      <c r="G234" s="4">
        <v>346817.07992930955</v>
      </c>
      <c r="H234" s="5">
        <f t="shared" si="0"/>
        <v>0</v>
      </c>
      <c r="I234" t="s">
        <v>178</v>
      </c>
      <c r="J234" t="s">
        <v>168</v>
      </c>
      <c r="K234" s="5">
        <f>80 / 86400</f>
        <v>9.2592592592592596E-4</v>
      </c>
      <c r="L234" s="5">
        <f>40 / 86400</f>
        <v>4.6296296296296298E-4</v>
      </c>
    </row>
    <row r="235" spans="1:12" x14ac:dyDescent="0.25">
      <c r="A235" s="3">
        <v>45696.217847222222</v>
      </c>
      <c r="B235" t="s">
        <v>149</v>
      </c>
      <c r="C235" s="3">
        <v>45696.218541666662</v>
      </c>
      <c r="D235" t="s">
        <v>149</v>
      </c>
      <c r="E235" s="4">
        <v>0.88935986536741252</v>
      </c>
      <c r="F235" s="4">
        <v>346817.12389617477</v>
      </c>
      <c r="G235" s="4">
        <v>346818.01325604017</v>
      </c>
      <c r="H235" s="5">
        <f t="shared" si="0"/>
        <v>0</v>
      </c>
      <c r="I235" t="s">
        <v>116</v>
      </c>
      <c r="J235" t="s">
        <v>251</v>
      </c>
      <c r="K235" s="5">
        <f>60 / 86400</f>
        <v>6.9444444444444447E-4</v>
      </c>
      <c r="L235" s="5">
        <f>40 / 86400</f>
        <v>4.6296296296296298E-4</v>
      </c>
    </row>
    <row r="236" spans="1:12" x14ac:dyDescent="0.25">
      <c r="A236" s="3">
        <v>45696.219004629631</v>
      </c>
      <c r="B236" t="s">
        <v>158</v>
      </c>
      <c r="C236" s="3">
        <v>45696.221087962964</v>
      </c>
      <c r="D236" t="s">
        <v>252</v>
      </c>
      <c r="E236" s="4">
        <v>2.2532151087522507</v>
      </c>
      <c r="F236" s="4">
        <v>346818.14603548625</v>
      </c>
      <c r="G236" s="4">
        <v>346820.39925059496</v>
      </c>
      <c r="H236" s="5">
        <f t="shared" si="0"/>
        <v>0</v>
      </c>
      <c r="I236" t="s">
        <v>247</v>
      </c>
      <c r="J236" t="s">
        <v>23</v>
      </c>
      <c r="K236" s="5">
        <f>180 / 86400</f>
        <v>2.0833333333333333E-3</v>
      </c>
      <c r="L236" s="5">
        <f>20 / 86400</f>
        <v>2.3148148148148149E-4</v>
      </c>
    </row>
    <row r="237" spans="1:12" x14ac:dyDescent="0.25">
      <c r="A237" s="3">
        <v>45696.221319444448</v>
      </c>
      <c r="B237" t="s">
        <v>158</v>
      </c>
      <c r="C237" s="3">
        <v>45696.222708333335</v>
      </c>
      <c r="D237" t="s">
        <v>158</v>
      </c>
      <c r="E237" s="4">
        <v>0.68793738430738449</v>
      </c>
      <c r="F237" s="4">
        <v>346820.59884288773</v>
      </c>
      <c r="G237" s="4">
        <v>346821.28678027209</v>
      </c>
      <c r="H237" s="5">
        <f t="shared" si="0"/>
        <v>0</v>
      </c>
      <c r="I237" t="s">
        <v>251</v>
      </c>
      <c r="J237" t="s">
        <v>35</v>
      </c>
      <c r="K237" s="5">
        <f>120 / 86400</f>
        <v>1.3888888888888889E-3</v>
      </c>
      <c r="L237" s="5">
        <f>20 / 86400</f>
        <v>2.3148148148148149E-4</v>
      </c>
    </row>
    <row r="238" spans="1:12" x14ac:dyDescent="0.25">
      <c r="A238" s="3">
        <v>45696.222939814819</v>
      </c>
      <c r="B238" t="s">
        <v>158</v>
      </c>
      <c r="C238" s="3">
        <v>45696.223402777774</v>
      </c>
      <c r="D238" t="s">
        <v>158</v>
      </c>
      <c r="E238" s="4">
        <v>4.5714654266834256E-2</v>
      </c>
      <c r="F238" s="4">
        <v>346821.29097776022</v>
      </c>
      <c r="G238" s="4">
        <v>346821.33669241448</v>
      </c>
      <c r="H238" s="5">
        <f t="shared" si="0"/>
        <v>0</v>
      </c>
      <c r="I238" t="s">
        <v>90</v>
      </c>
      <c r="J238" t="s">
        <v>181</v>
      </c>
      <c r="K238" s="5">
        <f>40 / 86400</f>
        <v>4.6296296296296298E-4</v>
      </c>
      <c r="L238" s="5">
        <f>38 / 86400</f>
        <v>4.3981481481481481E-4</v>
      </c>
    </row>
    <row r="239" spans="1:12" x14ac:dyDescent="0.25">
      <c r="A239" s="3">
        <v>45696.22384259259</v>
      </c>
      <c r="B239" t="s">
        <v>158</v>
      </c>
      <c r="C239" s="3">
        <v>45696.224305555559</v>
      </c>
      <c r="D239" t="s">
        <v>158</v>
      </c>
      <c r="E239" s="4">
        <v>7.3866360783576959E-2</v>
      </c>
      <c r="F239" s="4">
        <v>346821.35067283304</v>
      </c>
      <c r="G239" s="4">
        <v>346821.4245391938</v>
      </c>
      <c r="H239" s="5">
        <f t="shared" si="0"/>
        <v>0</v>
      </c>
      <c r="I239" t="s">
        <v>20</v>
      </c>
      <c r="J239" t="s">
        <v>90</v>
      </c>
      <c r="K239" s="5">
        <f>40 / 86400</f>
        <v>4.6296296296296298E-4</v>
      </c>
      <c r="L239" s="5">
        <f>20 / 86400</f>
        <v>2.3148148148148149E-4</v>
      </c>
    </row>
    <row r="240" spans="1:12" x14ac:dyDescent="0.25">
      <c r="A240" s="3">
        <v>45696.224537037036</v>
      </c>
      <c r="B240" t="s">
        <v>158</v>
      </c>
      <c r="C240" s="3">
        <v>45696.224768518514</v>
      </c>
      <c r="D240" t="s">
        <v>158</v>
      </c>
      <c r="E240" s="4">
        <v>8.6770020723342892E-3</v>
      </c>
      <c r="F240" s="4">
        <v>346821.43458655314</v>
      </c>
      <c r="G240" s="4">
        <v>346821.44326355524</v>
      </c>
      <c r="H240" s="5">
        <f t="shared" si="0"/>
        <v>0</v>
      </c>
      <c r="I240" t="s">
        <v>181</v>
      </c>
      <c r="J240" t="s">
        <v>132</v>
      </c>
      <c r="K240" s="5">
        <f>20 / 86400</f>
        <v>2.3148148148148149E-4</v>
      </c>
      <c r="L240" s="5">
        <f>20 / 86400</f>
        <v>2.3148148148148149E-4</v>
      </c>
    </row>
    <row r="241" spans="1:12" x14ac:dyDescent="0.25">
      <c r="A241" s="3">
        <v>45696.224999999999</v>
      </c>
      <c r="B241" t="s">
        <v>158</v>
      </c>
      <c r="C241" s="3">
        <v>45696.225694444445</v>
      </c>
      <c r="D241" t="s">
        <v>158</v>
      </c>
      <c r="E241" s="4">
        <v>5.9881673991680144E-2</v>
      </c>
      <c r="F241" s="4">
        <v>346821.45764572255</v>
      </c>
      <c r="G241" s="4">
        <v>346821.51752739656</v>
      </c>
      <c r="H241" s="5">
        <f t="shared" si="0"/>
        <v>0</v>
      </c>
      <c r="I241" t="s">
        <v>90</v>
      </c>
      <c r="J241" t="s">
        <v>181</v>
      </c>
      <c r="K241" s="5">
        <f>60 / 86400</f>
        <v>6.9444444444444447E-4</v>
      </c>
      <c r="L241" s="5">
        <f>40 / 86400</f>
        <v>4.6296296296296298E-4</v>
      </c>
    </row>
    <row r="242" spans="1:12" x14ac:dyDescent="0.25">
      <c r="A242" s="3">
        <v>45696.226157407407</v>
      </c>
      <c r="B242" t="s">
        <v>158</v>
      </c>
      <c r="C242" s="3">
        <v>45696.226620370369</v>
      </c>
      <c r="D242" t="s">
        <v>253</v>
      </c>
      <c r="E242" s="4">
        <v>0.12279499346017837</v>
      </c>
      <c r="F242" s="4">
        <v>346821.52600263135</v>
      </c>
      <c r="G242" s="4">
        <v>346821.6487976248</v>
      </c>
      <c r="H242" s="5">
        <f t="shared" ref="H242:H305" si="1">0 / 86400</f>
        <v>0</v>
      </c>
      <c r="I242" t="s">
        <v>94</v>
      </c>
      <c r="J242" t="s">
        <v>20</v>
      </c>
      <c r="K242" s="5">
        <f>40 / 86400</f>
        <v>4.6296296296296298E-4</v>
      </c>
      <c r="L242" s="5">
        <f>20 / 86400</f>
        <v>2.3148148148148149E-4</v>
      </c>
    </row>
    <row r="243" spans="1:12" x14ac:dyDescent="0.25">
      <c r="A243" s="3">
        <v>45696.226851851854</v>
      </c>
      <c r="B243" t="s">
        <v>254</v>
      </c>
      <c r="C243" s="3">
        <v>45696.228703703702</v>
      </c>
      <c r="D243" t="s">
        <v>158</v>
      </c>
      <c r="E243" s="4">
        <v>1.1727293172478677</v>
      </c>
      <c r="F243" s="4">
        <v>346821.69710034959</v>
      </c>
      <c r="G243" s="4">
        <v>346822.86982966686</v>
      </c>
      <c r="H243" s="5">
        <f t="shared" si="1"/>
        <v>0</v>
      </c>
      <c r="I243" t="s">
        <v>255</v>
      </c>
      <c r="J243" t="s">
        <v>205</v>
      </c>
      <c r="K243" s="5">
        <f>160 / 86400</f>
        <v>1.8518518518518519E-3</v>
      </c>
      <c r="L243" s="5">
        <f>36 / 86400</f>
        <v>4.1666666666666669E-4</v>
      </c>
    </row>
    <row r="244" spans="1:12" x14ac:dyDescent="0.25">
      <c r="A244" s="3">
        <v>45696.229120370372</v>
      </c>
      <c r="B244" t="s">
        <v>158</v>
      </c>
      <c r="C244" s="3">
        <v>45696.229351851856</v>
      </c>
      <c r="D244" t="s">
        <v>158</v>
      </c>
      <c r="E244" s="4">
        <v>3.5098512768745424E-3</v>
      </c>
      <c r="F244" s="4">
        <v>346822.87562594889</v>
      </c>
      <c r="G244" s="4">
        <v>346822.87913580018</v>
      </c>
      <c r="H244" s="5">
        <f t="shared" si="1"/>
        <v>0</v>
      </c>
      <c r="I244" t="s">
        <v>136</v>
      </c>
      <c r="J244" t="s">
        <v>91</v>
      </c>
      <c r="K244" s="5">
        <f>20 / 86400</f>
        <v>2.3148148148148149E-4</v>
      </c>
      <c r="L244" s="5">
        <f>17 / 86400</f>
        <v>1.9675925925925926E-4</v>
      </c>
    </row>
    <row r="245" spans="1:12" x14ac:dyDescent="0.25">
      <c r="A245" s="3">
        <v>45696.229548611111</v>
      </c>
      <c r="B245" t="s">
        <v>158</v>
      </c>
      <c r="C245" s="3">
        <v>45696.229780092588</v>
      </c>
      <c r="D245" t="s">
        <v>158</v>
      </c>
      <c r="E245" s="4">
        <v>2.1429695665836333E-2</v>
      </c>
      <c r="F245" s="4">
        <v>346822.88657309575</v>
      </c>
      <c r="G245" s="4">
        <v>346822.9080027914</v>
      </c>
      <c r="H245" s="5">
        <f t="shared" si="1"/>
        <v>0</v>
      </c>
      <c r="I245" t="s">
        <v>146</v>
      </c>
      <c r="J245" t="s">
        <v>181</v>
      </c>
      <c r="K245" s="5">
        <f>20 / 86400</f>
        <v>2.3148148148148149E-4</v>
      </c>
      <c r="L245" s="5">
        <f>80 / 86400</f>
        <v>9.2592592592592596E-4</v>
      </c>
    </row>
    <row r="246" spans="1:12" x14ac:dyDescent="0.25">
      <c r="A246" s="3">
        <v>45696.230706018519</v>
      </c>
      <c r="B246" t="s">
        <v>158</v>
      </c>
      <c r="C246" s="3">
        <v>45696.230937500004</v>
      </c>
      <c r="D246" t="s">
        <v>158</v>
      </c>
      <c r="E246" s="4">
        <v>1.7848269820213317E-2</v>
      </c>
      <c r="F246" s="4">
        <v>346822.94089242106</v>
      </c>
      <c r="G246" s="4">
        <v>346822.9587406909</v>
      </c>
      <c r="H246" s="5">
        <f t="shared" si="1"/>
        <v>0</v>
      </c>
      <c r="I246" t="s">
        <v>90</v>
      </c>
      <c r="J246" t="s">
        <v>188</v>
      </c>
      <c r="K246" s="5">
        <f>20 / 86400</f>
        <v>2.3148148148148149E-4</v>
      </c>
      <c r="L246" s="5">
        <f>40 / 86400</f>
        <v>4.6296296296296298E-4</v>
      </c>
    </row>
    <row r="247" spans="1:12" x14ac:dyDescent="0.25">
      <c r="A247" s="3">
        <v>45696.231400462959</v>
      </c>
      <c r="B247" t="s">
        <v>158</v>
      </c>
      <c r="C247" s="3">
        <v>45696.231863425928</v>
      </c>
      <c r="D247" t="s">
        <v>158</v>
      </c>
      <c r="E247" s="4">
        <v>7.0181068718433381E-2</v>
      </c>
      <c r="F247" s="4">
        <v>346822.97628158977</v>
      </c>
      <c r="G247" s="4">
        <v>346823.04646265844</v>
      </c>
      <c r="H247" s="5">
        <f t="shared" si="1"/>
        <v>0</v>
      </c>
      <c r="I247" t="s">
        <v>90</v>
      </c>
      <c r="J247" t="s">
        <v>146</v>
      </c>
      <c r="K247" s="5">
        <f>40 / 86400</f>
        <v>4.6296296296296298E-4</v>
      </c>
      <c r="L247" s="5">
        <f>53 / 86400</f>
        <v>6.134259259259259E-4</v>
      </c>
    </row>
    <row r="248" spans="1:12" x14ac:dyDescent="0.25">
      <c r="A248" s="3">
        <v>45696.232476851852</v>
      </c>
      <c r="B248" t="s">
        <v>158</v>
      </c>
      <c r="C248" s="3">
        <v>45696.232708333337</v>
      </c>
      <c r="D248" t="s">
        <v>158</v>
      </c>
      <c r="E248" s="4">
        <v>3.5548356771469116E-3</v>
      </c>
      <c r="F248" s="4">
        <v>346823.05309633852</v>
      </c>
      <c r="G248" s="4">
        <v>346823.05665117421</v>
      </c>
      <c r="H248" s="5">
        <f t="shared" si="1"/>
        <v>0</v>
      </c>
      <c r="I248" t="s">
        <v>146</v>
      </c>
      <c r="J248" t="s">
        <v>91</v>
      </c>
      <c r="K248" s="5">
        <f>20 / 86400</f>
        <v>2.3148148148148149E-4</v>
      </c>
      <c r="L248" s="5">
        <f>40 / 86400</f>
        <v>4.6296296296296298E-4</v>
      </c>
    </row>
    <row r="249" spans="1:12" x14ac:dyDescent="0.25">
      <c r="A249" s="3">
        <v>45696.233171296291</v>
      </c>
      <c r="B249" t="s">
        <v>158</v>
      </c>
      <c r="C249" s="3">
        <v>45696.235127314816</v>
      </c>
      <c r="D249" t="s">
        <v>228</v>
      </c>
      <c r="E249" s="4">
        <v>0.31438577443361282</v>
      </c>
      <c r="F249" s="4">
        <v>346823.07038739667</v>
      </c>
      <c r="G249" s="4">
        <v>346823.3847731711</v>
      </c>
      <c r="H249" s="5">
        <f t="shared" si="1"/>
        <v>0</v>
      </c>
      <c r="I249" t="s">
        <v>24</v>
      </c>
      <c r="J249" t="s">
        <v>90</v>
      </c>
      <c r="K249" s="5">
        <f>169 / 86400</f>
        <v>1.9560185185185184E-3</v>
      </c>
      <c r="L249" s="5">
        <f>320 / 86400</f>
        <v>3.7037037037037038E-3</v>
      </c>
    </row>
    <row r="250" spans="1:12" x14ac:dyDescent="0.25">
      <c r="A250" s="3">
        <v>45696.23883101852</v>
      </c>
      <c r="B250" t="s">
        <v>228</v>
      </c>
      <c r="C250" s="3">
        <v>45696.239062499997</v>
      </c>
      <c r="D250" t="s">
        <v>228</v>
      </c>
      <c r="E250" s="4">
        <v>1.4838395297527313E-2</v>
      </c>
      <c r="F250" s="4">
        <v>346823.45455455664</v>
      </c>
      <c r="G250" s="4">
        <v>346823.46939295193</v>
      </c>
      <c r="H250" s="5">
        <f t="shared" si="1"/>
        <v>0</v>
      </c>
      <c r="I250" t="s">
        <v>188</v>
      </c>
      <c r="J250" t="s">
        <v>188</v>
      </c>
      <c r="K250" s="5">
        <f>20 / 86400</f>
        <v>2.3148148148148149E-4</v>
      </c>
      <c r="L250" s="5">
        <f>40 / 86400</f>
        <v>4.6296296296296298E-4</v>
      </c>
    </row>
    <row r="251" spans="1:12" x14ac:dyDescent="0.25">
      <c r="A251" s="3">
        <v>45696.239525462966</v>
      </c>
      <c r="B251" t="s">
        <v>228</v>
      </c>
      <c r="C251" s="3">
        <v>45696.239756944444</v>
      </c>
      <c r="D251" t="s">
        <v>228</v>
      </c>
      <c r="E251" s="4">
        <v>2.4102523148059846E-2</v>
      </c>
      <c r="F251" s="4">
        <v>346823.50827182451</v>
      </c>
      <c r="G251" s="4">
        <v>346823.53237434768</v>
      </c>
      <c r="H251" s="5">
        <f t="shared" si="1"/>
        <v>0</v>
      </c>
      <c r="I251" t="s">
        <v>85</v>
      </c>
      <c r="J251" t="s">
        <v>181</v>
      </c>
      <c r="K251" s="5">
        <f>20 / 86400</f>
        <v>2.3148148148148149E-4</v>
      </c>
      <c r="L251" s="5">
        <f>40 / 86400</f>
        <v>4.6296296296296298E-4</v>
      </c>
    </row>
    <row r="252" spans="1:12" x14ac:dyDescent="0.25">
      <c r="A252" s="3">
        <v>45696.240219907406</v>
      </c>
      <c r="B252" t="s">
        <v>228</v>
      </c>
      <c r="C252" s="3">
        <v>45696.240451388891</v>
      </c>
      <c r="D252" t="s">
        <v>228</v>
      </c>
      <c r="E252" s="4">
        <v>2.2586853802204133E-2</v>
      </c>
      <c r="F252" s="4">
        <v>346823.53872147418</v>
      </c>
      <c r="G252" s="4">
        <v>346823.56130832795</v>
      </c>
      <c r="H252" s="5">
        <f t="shared" si="1"/>
        <v>0</v>
      </c>
      <c r="I252" t="s">
        <v>146</v>
      </c>
      <c r="J252" t="s">
        <v>181</v>
      </c>
      <c r="K252" s="5">
        <f>20 / 86400</f>
        <v>2.3148148148148149E-4</v>
      </c>
      <c r="L252" s="5">
        <f>40 / 86400</f>
        <v>4.6296296296296298E-4</v>
      </c>
    </row>
    <row r="253" spans="1:12" x14ac:dyDescent="0.25">
      <c r="A253" s="3">
        <v>45696.240914351853</v>
      </c>
      <c r="B253" t="s">
        <v>228</v>
      </c>
      <c r="C253" s="3">
        <v>45696.241145833337</v>
      </c>
      <c r="D253" t="s">
        <v>228</v>
      </c>
      <c r="E253" s="4">
        <v>1.9727631807327272E-3</v>
      </c>
      <c r="F253" s="4">
        <v>346823.57071570464</v>
      </c>
      <c r="G253" s="4">
        <v>346823.5726884678</v>
      </c>
      <c r="H253" s="5">
        <f t="shared" si="1"/>
        <v>0</v>
      </c>
      <c r="I253" t="s">
        <v>132</v>
      </c>
      <c r="J253" t="s">
        <v>133</v>
      </c>
      <c r="K253" s="5">
        <f>20 / 86400</f>
        <v>2.3148148148148149E-4</v>
      </c>
      <c r="L253" s="5">
        <f>40 / 86400</f>
        <v>4.6296296296296298E-4</v>
      </c>
    </row>
    <row r="254" spans="1:12" x14ac:dyDescent="0.25">
      <c r="A254" s="3">
        <v>45696.241608796292</v>
      </c>
      <c r="B254" t="s">
        <v>256</v>
      </c>
      <c r="C254" s="3">
        <v>45696.241840277777</v>
      </c>
      <c r="D254" t="s">
        <v>256</v>
      </c>
      <c r="E254" s="4">
        <v>6.3085263371467594E-3</v>
      </c>
      <c r="F254" s="4">
        <v>346823.57851172128</v>
      </c>
      <c r="G254" s="4">
        <v>346823.5848202476</v>
      </c>
      <c r="H254" s="5">
        <f t="shared" si="1"/>
        <v>0</v>
      </c>
      <c r="I254" t="s">
        <v>91</v>
      </c>
      <c r="J254" t="s">
        <v>91</v>
      </c>
      <c r="K254" s="5">
        <f>20 / 86400</f>
        <v>2.3148148148148149E-4</v>
      </c>
      <c r="L254" s="5">
        <f>104 / 86400</f>
        <v>1.2037037037037038E-3</v>
      </c>
    </row>
    <row r="255" spans="1:12" x14ac:dyDescent="0.25">
      <c r="A255" s="3">
        <v>45696.243043981478</v>
      </c>
      <c r="B255" t="s">
        <v>228</v>
      </c>
      <c r="C255" s="3">
        <v>45696.248136574075</v>
      </c>
      <c r="D255" t="s">
        <v>257</v>
      </c>
      <c r="E255" s="4">
        <v>2.6915221377015115</v>
      </c>
      <c r="F255" s="4">
        <v>346823.60077936307</v>
      </c>
      <c r="G255" s="4">
        <v>346826.2923015008</v>
      </c>
      <c r="H255" s="5">
        <f t="shared" si="1"/>
        <v>0</v>
      </c>
      <c r="I255" t="s">
        <v>258</v>
      </c>
      <c r="J255" t="s">
        <v>221</v>
      </c>
      <c r="K255" s="5">
        <f>440 / 86400</f>
        <v>5.092592592592593E-3</v>
      </c>
      <c r="L255" s="5">
        <f>16 / 86400</f>
        <v>1.8518518518518518E-4</v>
      </c>
    </row>
    <row r="256" spans="1:12" x14ac:dyDescent="0.25">
      <c r="A256" s="3">
        <v>45696.24832175926</v>
      </c>
      <c r="B256" t="s">
        <v>259</v>
      </c>
      <c r="C256" s="3">
        <v>45696.248587962968</v>
      </c>
      <c r="D256" t="s">
        <v>260</v>
      </c>
      <c r="E256" s="4">
        <v>0.10392113429307938</v>
      </c>
      <c r="F256" s="4">
        <v>346826.32985204872</v>
      </c>
      <c r="G256" s="4">
        <v>346826.43377318297</v>
      </c>
      <c r="H256" s="5">
        <f t="shared" si="1"/>
        <v>0</v>
      </c>
      <c r="I256" t="s">
        <v>205</v>
      </c>
      <c r="J256" t="s">
        <v>28</v>
      </c>
      <c r="K256" s="5">
        <f>23 / 86400</f>
        <v>2.6620370370370372E-4</v>
      </c>
      <c r="L256" s="5">
        <f t="shared" ref="L256:L264" si="2">20 / 86400</f>
        <v>2.3148148148148149E-4</v>
      </c>
    </row>
    <row r="257" spans="1:12" x14ac:dyDescent="0.25">
      <c r="A257" s="3">
        <v>45696.248819444445</v>
      </c>
      <c r="B257" t="s">
        <v>260</v>
      </c>
      <c r="C257" s="3">
        <v>45696.249282407407</v>
      </c>
      <c r="D257" t="s">
        <v>261</v>
      </c>
      <c r="E257" s="4">
        <v>0.22545894825458526</v>
      </c>
      <c r="F257" s="4">
        <v>346826.57194876001</v>
      </c>
      <c r="G257" s="4">
        <v>346826.79740770831</v>
      </c>
      <c r="H257" s="5">
        <f t="shared" si="1"/>
        <v>0</v>
      </c>
      <c r="I257" t="s">
        <v>165</v>
      </c>
      <c r="J257" t="s">
        <v>175</v>
      </c>
      <c r="K257" s="5">
        <f>40 / 86400</f>
        <v>4.6296296296296298E-4</v>
      </c>
      <c r="L257" s="5">
        <f t="shared" si="2"/>
        <v>2.3148148148148149E-4</v>
      </c>
    </row>
    <row r="258" spans="1:12" x14ac:dyDescent="0.25">
      <c r="A258" s="3">
        <v>45696.249513888892</v>
      </c>
      <c r="B258" t="s">
        <v>262</v>
      </c>
      <c r="C258" s="3">
        <v>45696.249745370369</v>
      </c>
      <c r="D258" t="s">
        <v>262</v>
      </c>
      <c r="E258" s="4">
        <v>8.2501620054244995E-3</v>
      </c>
      <c r="F258" s="4">
        <v>346826.84087367402</v>
      </c>
      <c r="G258" s="4">
        <v>346826.84912383603</v>
      </c>
      <c r="H258" s="5">
        <f t="shared" si="1"/>
        <v>0</v>
      </c>
      <c r="I258" t="s">
        <v>59</v>
      </c>
      <c r="J258" t="s">
        <v>91</v>
      </c>
      <c r="K258" s="5">
        <f>20 / 86400</f>
        <v>2.3148148148148149E-4</v>
      </c>
      <c r="L258" s="5">
        <f t="shared" si="2"/>
        <v>2.3148148148148149E-4</v>
      </c>
    </row>
    <row r="259" spans="1:12" x14ac:dyDescent="0.25">
      <c r="A259" s="3">
        <v>45696.249976851846</v>
      </c>
      <c r="B259" t="s">
        <v>261</v>
      </c>
      <c r="C259" s="3">
        <v>45696.250439814816</v>
      </c>
      <c r="D259" t="s">
        <v>261</v>
      </c>
      <c r="E259" s="4">
        <v>0.22371514779329299</v>
      </c>
      <c r="F259" s="4">
        <v>346827.02180041722</v>
      </c>
      <c r="G259" s="4">
        <v>346827.24551556504</v>
      </c>
      <c r="H259" s="5">
        <f t="shared" si="1"/>
        <v>0</v>
      </c>
      <c r="I259" t="s">
        <v>230</v>
      </c>
      <c r="J259" t="s">
        <v>175</v>
      </c>
      <c r="K259" s="5">
        <f>40 / 86400</f>
        <v>4.6296296296296298E-4</v>
      </c>
      <c r="L259" s="5">
        <f t="shared" si="2"/>
        <v>2.3148148148148149E-4</v>
      </c>
    </row>
    <row r="260" spans="1:12" x14ac:dyDescent="0.25">
      <c r="A260" s="3">
        <v>45696.250671296293</v>
      </c>
      <c r="B260" t="s">
        <v>261</v>
      </c>
      <c r="C260" s="3">
        <v>45696.25136574074</v>
      </c>
      <c r="D260" t="s">
        <v>261</v>
      </c>
      <c r="E260" s="4">
        <v>0.58194914388656616</v>
      </c>
      <c r="F260" s="4">
        <v>346827.43865514506</v>
      </c>
      <c r="G260" s="4">
        <v>346828.02060428896</v>
      </c>
      <c r="H260" s="5">
        <f t="shared" si="1"/>
        <v>0</v>
      </c>
      <c r="I260" t="s">
        <v>263</v>
      </c>
      <c r="J260" t="s">
        <v>157</v>
      </c>
      <c r="K260" s="5">
        <f>60 / 86400</f>
        <v>6.9444444444444447E-4</v>
      </c>
      <c r="L260" s="5">
        <f t="shared" si="2"/>
        <v>2.3148148148148149E-4</v>
      </c>
    </row>
    <row r="261" spans="1:12" x14ac:dyDescent="0.25">
      <c r="A261" s="3">
        <v>45696.251597222217</v>
      </c>
      <c r="B261" t="s">
        <v>261</v>
      </c>
      <c r="C261" s="3">
        <v>45696.254375000004</v>
      </c>
      <c r="D261" t="s">
        <v>227</v>
      </c>
      <c r="E261" s="4">
        <v>1.165368711233139</v>
      </c>
      <c r="F261" s="4">
        <v>346828.0636693156</v>
      </c>
      <c r="G261" s="4">
        <v>346829.22903802682</v>
      </c>
      <c r="H261" s="5">
        <f t="shared" si="1"/>
        <v>0</v>
      </c>
      <c r="I261" t="s">
        <v>244</v>
      </c>
      <c r="J261" t="s">
        <v>32</v>
      </c>
      <c r="K261" s="5">
        <f>240 / 86400</f>
        <v>2.7777777777777779E-3</v>
      </c>
      <c r="L261" s="5">
        <f t="shared" si="2"/>
        <v>2.3148148148148149E-4</v>
      </c>
    </row>
    <row r="262" spans="1:12" x14ac:dyDescent="0.25">
      <c r="A262" s="3">
        <v>45696.254606481481</v>
      </c>
      <c r="B262" t="s">
        <v>107</v>
      </c>
      <c r="C262" s="3">
        <v>45696.254837962959</v>
      </c>
      <c r="D262" t="s">
        <v>107</v>
      </c>
      <c r="E262" s="4">
        <v>0.2000013422369957</v>
      </c>
      <c r="F262" s="4">
        <v>346829.30901834124</v>
      </c>
      <c r="G262" s="4">
        <v>346829.50901968346</v>
      </c>
      <c r="H262" s="5">
        <f t="shared" si="1"/>
        <v>0</v>
      </c>
      <c r="I262" t="s">
        <v>161</v>
      </c>
      <c r="J262" t="s">
        <v>215</v>
      </c>
      <c r="K262" s="5">
        <f>20 / 86400</f>
        <v>2.3148148148148149E-4</v>
      </c>
      <c r="L262" s="5">
        <f t="shared" si="2"/>
        <v>2.3148148148148149E-4</v>
      </c>
    </row>
    <row r="263" spans="1:12" x14ac:dyDescent="0.25">
      <c r="A263" s="3">
        <v>45696.255069444444</v>
      </c>
      <c r="B263" t="s">
        <v>107</v>
      </c>
      <c r="C263" s="3">
        <v>45696.256226851852</v>
      </c>
      <c r="D263" t="s">
        <v>264</v>
      </c>
      <c r="E263" s="4">
        <v>0.63407729291915893</v>
      </c>
      <c r="F263" s="4">
        <v>346829.58638590405</v>
      </c>
      <c r="G263" s="4">
        <v>346830.22046319698</v>
      </c>
      <c r="H263" s="5">
        <f t="shared" si="1"/>
        <v>0</v>
      </c>
      <c r="I263" t="s">
        <v>168</v>
      </c>
      <c r="J263" t="s">
        <v>138</v>
      </c>
      <c r="K263" s="5">
        <f>100 / 86400</f>
        <v>1.1574074074074073E-3</v>
      </c>
      <c r="L263" s="5">
        <f t="shared" si="2"/>
        <v>2.3148148148148149E-4</v>
      </c>
    </row>
    <row r="264" spans="1:12" x14ac:dyDescent="0.25">
      <c r="A264" s="3">
        <v>45696.25645833333</v>
      </c>
      <c r="B264" t="s">
        <v>107</v>
      </c>
      <c r="C264" s="3">
        <v>45696.2580787037</v>
      </c>
      <c r="D264" t="s">
        <v>265</v>
      </c>
      <c r="E264" s="4">
        <v>0.88440162521600718</v>
      </c>
      <c r="F264" s="4">
        <v>346830.27991452848</v>
      </c>
      <c r="G264" s="4">
        <v>346831.16431615368</v>
      </c>
      <c r="H264" s="5">
        <f t="shared" si="1"/>
        <v>0</v>
      </c>
      <c r="I264" t="s">
        <v>168</v>
      </c>
      <c r="J264" t="s">
        <v>138</v>
      </c>
      <c r="K264" s="5">
        <f>140 / 86400</f>
        <v>1.6203703703703703E-3</v>
      </c>
      <c r="L264" s="5">
        <f t="shared" si="2"/>
        <v>2.3148148148148149E-4</v>
      </c>
    </row>
    <row r="265" spans="1:12" x14ac:dyDescent="0.25">
      <c r="A265" s="3">
        <v>45696.258310185185</v>
      </c>
      <c r="B265" t="s">
        <v>265</v>
      </c>
      <c r="C265" s="3">
        <v>45696.260335648149</v>
      </c>
      <c r="D265" t="s">
        <v>127</v>
      </c>
      <c r="E265" s="4">
        <v>0.97842546081542969</v>
      </c>
      <c r="F265" s="4">
        <v>346831.22119318042</v>
      </c>
      <c r="G265" s="4">
        <v>346832.19961864123</v>
      </c>
      <c r="H265" s="5">
        <f t="shared" si="1"/>
        <v>0</v>
      </c>
      <c r="I265" t="s">
        <v>168</v>
      </c>
      <c r="J265" t="s">
        <v>175</v>
      </c>
      <c r="K265" s="5">
        <f>175 / 86400</f>
        <v>2.0254629629629629E-3</v>
      </c>
      <c r="L265" s="5">
        <f>36 / 86400</f>
        <v>4.1666666666666669E-4</v>
      </c>
    </row>
    <row r="266" spans="1:12" x14ac:dyDescent="0.25">
      <c r="A266" s="3">
        <v>45696.260752314818</v>
      </c>
      <c r="B266" t="s">
        <v>266</v>
      </c>
      <c r="C266" s="3">
        <v>45696.261770833335</v>
      </c>
      <c r="D266" t="s">
        <v>267</v>
      </c>
      <c r="E266" s="4">
        <v>0.44746340191364287</v>
      </c>
      <c r="F266" s="4">
        <v>346832.21276085882</v>
      </c>
      <c r="G266" s="4">
        <v>346832.66022426076</v>
      </c>
      <c r="H266" s="5">
        <f t="shared" si="1"/>
        <v>0</v>
      </c>
      <c r="I266" t="s">
        <v>155</v>
      </c>
      <c r="J266" t="s">
        <v>50</v>
      </c>
      <c r="K266" s="5">
        <f>88 / 86400</f>
        <v>1.0185185185185184E-3</v>
      </c>
      <c r="L266" s="5">
        <f>20 / 86400</f>
        <v>2.3148148148148149E-4</v>
      </c>
    </row>
    <row r="267" spans="1:12" x14ac:dyDescent="0.25">
      <c r="A267" s="3">
        <v>45696.262002314819</v>
      </c>
      <c r="B267" t="s">
        <v>267</v>
      </c>
      <c r="C267" s="3">
        <v>45696.262465277774</v>
      </c>
      <c r="D267" t="s">
        <v>268</v>
      </c>
      <c r="E267" s="4">
        <v>0.22064297270774841</v>
      </c>
      <c r="F267" s="4">
        <v>346832.82876845705</v>
      </c>
      <c r="G267" s="4">
        <v>346833.04941142979</v>
      </c>
      <c r="H267" s="5">
        <f t="shared" si="1"/>
        <v>0</v>
      </c>
      <c r="I267" t="s">
        <v>269</v>
      </c>
      <c r="J267" t="s">
        <v>175</v>
      </c>
      <c r="K267" s="5">
        <f>40 / 86400</f>
        <v>4.6296296296296298E-4</v>
      </c>
      <c r="L267" s="5">
        <f>28 / 86400</f>
        <v>3.2407407407407406E-4</v>
      </c>
    </row>
    <row r="268" spans="1:12" x14ac:dyDescent="0.25">
      <c r="A268" s="3">
        <v>45696.262789351851</v>
      </c>
      <c r="B268" t="s">
        <v>268</v>
      </c>
      <c r="C268" s="3">
        <v>45696.265034722222</v>
      </c>
      <c r="D268" t="s">
        <v>270</v>
      </c>
      <c r="E268" s="4">
        <v>1.1243625576496123</v>
      </c>
      <c r="F268" s="4">
        <v>346833.05456924776</v>
      </c>
      <c r="G268" s="4">
        <v>346834.17893180542</v>
      </c>
      <c r="H268" s="5">
        <f t="shared" si="1"/>
        <v>0</v>
      </c>
      <c r="I268" t="s">
        <v>169</v>
      </c>
      <c r="J268" t="s">
        <v>35</v>
      </c>
      <c r="K268" s="5">
        <f>194 / 86400</f>
        <v>2.2453703703703702E-3</v>
      </c>
      <c r="L268" s="5">
        <f>40 / 86400</f>
        <v>4.6296296296296298E-4</v>
      </c>
    </row>
    <row r="269" spans="1:12" x14ac:dyDescent="0.25">
      <c r="A269" s="3">
        <v>45696.265497685185</v>
      </c>
      <c r="B269" t="s">
        <v>271</v>
      </c>
      <c r="C269" s="3">
        <v>45696.269143518519</v>
      </c>
      <c r="D269" t="s">
        <v>272</v>
      </c>
      <c r="E269" s="4">
        <v>2.0804028574824334</v>
      </c>
      <c r="F269" s="4">
        <v>346834.33404474659</v>
      </c>
      <c r="G269" s="4">
        <v>346836.41444760404</v>
      </c>
      <c r="H269" s="5">
        <f t="shared" si="1"/>
        <v>0</v>
      </c>
      <c r="I269" t="s">
        <v>240</v>
      </c>
      <c r="J269" t="s">
        <v>140</v>
      </c>
      <c r="K269" s="5">
        <f>315 / 86400</f>
        <v>3.6458333333333334E-3</v>
      </c>
      <c r="L269" s="5">
        <f>20 / 86400</f>
        <v>2.3148148148148149E-4</v>
      </c>
    </row>
    <row r="270" spans="1:12" x14ac:dyDescent="0.25">
      <c r="A270" s="3">
        <v>45696.269375000003</v>
      </c>
      <c r="B270" t="s">
        <v>273</v>
      </c>
      <c r="C270" s="3">
        <v>45696.27820601852</v>
      </c>
      <c r="D270" t="s">
        <v>274</v>
      </c>
      <c r="E270" s="4">
        <v>3.486349150121212</v>
      </c>
      <c r="F270" s="4">
        <v>346836.51121227158</v>
      </c>
      <c r="G270" s="4">
        <v>346839.99756142171</v>
      </c>
      <c r="H270" s="5">
        <f t="shared" si="1"/>
        <v>0</v>
      </c>
      <c r="I270" t="s">
        <v>169</v>
      </c>
      <c r="J270" t="s">
        <v>28</v>
      </c>
      <c r="K270" s="5">
        <f>763 / 86400</f>
        <v>8.8310185185185193E-3</v>
      </c>
      <c r="L270" s="5">
        <f>20 / 86400</f>
        <v>2.3148148148148149E-4</v>
      </c>
    </row>
    <row r="271" spans="1:12" x14ac:dyDescent="0.25">
      <c r="A271" s="3">
        <v>45696.278437500005</v>
      </c>
      <c r="B271" t="s">
        <v>274</v>
      </c>
      <c r="C271" s="3">
        <v>45696.278900462959</v>
      </c>
      <c r="D271" t="s">
        <v>275</v>
      </c>
      <c r="E271" s="4">
        <v>5.5804707705974579E-2</v>
      </c>
      <c r="F271" s="4">
        <v>346840.00197333435</v>
      </c>
      <c r="G271" s="4">
        <v>346840.0577780421</v>
      </c>
      <c r="H271" s="5">
        <f t="shared" si="1"/>
        <v>0</v>
      </c>
      <c r="I271" t="s">
        <v>91</v>
      </c>
      <c r="J271" t="s">
        <v>136</v>
      </c>
      <c r="K271" s="5">
        <f>40 / 86400</f>
        <v>4.6296296296296298E-4</v>
      </c>
      <c r="L271" s="5">
        <f>11 / 86400</f>
        <v>1.273148148148148E-4</v>
      </c>
    </row>
    <row r="272" spans="1:12" x14ac:dyDescent="0.25">
      <c r="A272" s="3">
        <v>45696.279027777782</v>
      </c>
      <c r="B272" t="s">
        <v>276</v>
      </c>
      <c r="C272" s="3">
        <v>45696.279467592598</v>
      </c>
      <c r="D272" t="s">
        <v>277</v>
      </c>
      <c r="E272" s="4">
        <v>4.364150947332382E-2</v>
      </c>
      <c r="F272" s="4">
        <v>346840.07793696789</v>
      </c>
      <c r="G272" s="4">
        <v>346840.12157847738</v>
      </c>
      <c r="H272" s="5">
        <f t="shared" si="1"/>
        <v>0</v>
      </c>
      <c r="I272" t="s">
        <v>146</v>
      </c>
      <c r="J272" t="s">
        <v>181</v>
      </c>
      <c r="K272" s="5">
        <f>38 / 86400</f>
        <v>4.3981481481481481E-4</v>
      </c>
      <c r="L272" s="5">
        <f>69 / 86400</f>
        <v>7.9861111111111116E-4</v>
      </c>
    </row>
    <row r="273" spans="1:12" x14ac:dyDescent="0.25">
      <c r="A273" s="3">
        <v>45696.280266203699</v>
      </c>
      <c r="B273" t="s">
        <v>278</v>
      </c>
      <c r="C273" s="3">
        <v>45696.280497685184</v>
      </c>
      <c r="D273" t="s">
        <v>279</v>
      </c>
      <c r="E273" s="4">
        <v>1.2841912269592285E-2</v>
      </c>
      <c r="F273" s="4">
        <v>346840.13435322512</v>
      </c>
      <c r="G273" s="4">
        <v>346840.1471951374</v>
      </c>
      <c r="H273" s="5">
        <f t="shared" si="1"/>
        <v>0</v>
      </c>
      <c r="I273" t="s">
        <v>136</v>
      </c>
      <c r="J273" t="s">
        <v>132</v>
      </c>
      <c r="K273" s="5">
        <f>20 / 86400</f>
        <v>2.3148148148148149E-4</v>
      </c>
      <c r="L273" s="5">
        <f>20 / 86400</f>
        <v>2.3148148148148149E-4</v>
      </c>
    </row>
    <row r="274" spans="1:12" x14ac:dyDescent="0.25">
      <c r="A274" s="3">
        <v>45696.280729166669</v>
      </c>
      <c r="B274" t="s">
        <v>280</v>
      </c>
      <c r="C274" s="3">
        <v>45696.281157407408</v>
      </c>
      <c r="D274" t="s">
        <v>281</v>
      </c>
      <c r="E274" s="4">
        <v>0.13184624320268631</v>
      </c>
      <c r="F274" s="4">
        <v>346840.25552374142</v>
      </c>
      <c r="G274" s="4">
        <v>346840.38736998464</v>
      </c>
      <c r="H274" s="5">
        <f t="shared" si="1"/>
        <v>0</v>
      </c>
      <c r="I274" t="s">
        <v>163</v>
      </c>
      <c r="J274" t="s">
        <v>47</v>
      </c>
      <c r="K274" s="5">
        <f>37 / 86400</f>
        <v>4.2824074074074075E-4</v>
      </c>
      <c r="L274" s="5">
        <f>36 / 86400</f>
        <v>4.1666666666666669E-4</v>
      </c>
    </row>
    <row r="275" spans="1:12" x14ac:dyDescent="0.25">
      <c r="A275" s="3">
        <v>45696.281574074077</v>
      </c>
      <c r="B275" t="s">
        <v>193</v>
      </c>
      <c r="C275" s="3">
        <v>45696.282152777778</v>
      </c>
      <c r="D275" t="s">
        <v>141</v>
      </c>
      <c r="E275" s="4">
        <v>0.29725359129905699</v>
      </c>
      <c r="F275" s="4">
        <v>346840.41502504435</v>
      </c>
      <c r="G275" s="4">
        <v>346840.71227863565</v>
      </c>
      <c r="H275" s="5">
        <f t="shared" si="1"/>
        <v>0</v>
      </c>
      <c r="I275" t="s">
        <v>201</v>
      </c>
      <c r="J275" t="s">
        <v>35</v>
      </c>
      <c r="K275" s="5">
        <f>50 / 86400</f>
        <v>5.7870370370370367E-4</v>
      </c>
      <c r="L275" s="5">
        <f>80 / 86400</f>
        <v>9.2592592592592596E-4</v>
      </c>
    </row>
    <row r="276" spans="1:12" x14ac:dyDescent="0.25">
      <c r="A276" s="3">
        <v>45696.283078703702</v>
      </c>
      <c r="B276" t="s">
        <v>142</v>
      </c>
      <c r="C276" s="3">
        <v>45696.284699074073</v>
      </c>
      <c r="D276" t="s">
        <v>143</v>
      </c>
      <c r="E276" s="4">
        <v>1.3964197369217872</v>
      </c>
      <c r="F276" s="4">
        <v>346840.74552178266</v>
      </c>
      <c r="G276" s="4">
        <v>346842.14194151957</v>
      </c>
      <c r="H276" s="5">
        <f t="shared" si="1"/>
        <v>0</v>
      </c>
      <c r="I276" t="s">
        <v>178</v>
      </c>
      <c r="J276" t="s">
        <v>215</v>
      </c>
      <c r="K276" s="5">
        <f>140 / 86400</f>
        <v>1.6203703703703703E-3</v>
      </c>
      <c r="L276" s="5">
        <f>20 / 86400</f>
        <v>2.3148148148148149E-4</v>
      </c>
    </row>
    <row r="277" spans="1:12" x14ac:dyDescent="0.25">
      <c r="A277" s="3">
        <v>45696.284930555557</v>
      </c>
      <c r="B277" t="s">
        <v>282</v>
      </c>
      <c r="C277" s="3">
        <v>45696.286724537036</v>
      </c>
      <c r="D277" t="s">
        <v>283</v>
      </c>
      <c r="E277" s="4">
        <v>1.2446110568046569</v>
      </c>
      <c r="F277" s="4">
        <v>346842.17720137915</v>
      </c>
      <c r="G277" s="4">
        <v>346843.4218124359</v>
      </c>
      <c r="H277" s="5">
        <f t="shared" si="1"/>
        <v>0</v>
      </c>
      <c r="I277" t="s">
        <v>183</v>
      </c>
      <c r="J277" t="s">
        <v>159</v>
      </c>
      <c r="K277" s="5">
        <f>155 / 86400</f>
        <v>1.7939814814814815E-3</v>
      </c>
      <c r="L277" s="5">
        <f>2 / 86400</f>
        <v>2.3148148148148147E-5</v>
      </c>
    </row>
    <row r="278" spans="1:12" x14ac:dyDescent="0.25">
      <c r="A278" s="3">
        <v>45696.286747685182</v>
      </c>
      <c r="B278" t="s">
        <v>283</v>
      </c>
      <c r="C278" s="3">
        <v>45696.286979166667</v>
      </c>
      <c r="D278" t="s">
        <v>284</v>
      </c>
      <c r="E278" s="4">
        <v>7.7805128216743472E-2</v>
      </c>
      <c r="F278" s="4">
        <v>346843.42336253996</v>
      </c>
      <c r="G278" s="4">
        <v>346843.50116766815</v>
      </c>
      <c r="H278" s="5">
        <f t="shared" si="1"/>
        <v>0</v>
      </c>
      <c r="I278" t="s">
        <v>90</v>
      </c>
      <c r="J278" t="s">
        <v>41</v>
      </c>
      <c r="K278" s="5">
        <f>20 / 86400</f>
        <v>2.3148148148148149E-4</v>
      </c>
      <c r="L278" s="5">
        <f>20 / 86400</f>
        <v>2.3148148148148149E-4</v>
      </c>
    </row>
    <row r="279" spans="1:12" x14ac:dyDescent="0.25">
      <c r="A279" s="3">
        <v>45696.287210648152</v>
      </c>
      <c r="B279" t="s">
        <v>284</v>
      </c>
      <c r="C279" s="3">
        <v>45696.287673611107</v>
      </c>
      <c r="D279" t="s">
        <v>285</v>
      </c>
      <c r="E279" s="4">
        <v>0.20638509935140609</v>
      </c>
      <c r="F279" s="4">
        <v>346843.53639693733</v>
      </c>
      <c r="G279" s="4">
        <v>346843.74278203666</v>
      </c>
      <c r="H279" s="5">
        <f t="shared" si="1"/>
        <v>0</v>
      </c>
      <c r="I279" t="s">
        <v>201</v>
      </c>
      <c r="J279" t="s">
        <v>94</v>
      </c>
      <c r="K279" s="5">
        <f>40 / 86400</f>
        <v>4.6296296296296298E-4</v>
      </c>
      <c r="L279" s="5">
        <f>20 / 86400</f>
        <v>2.3148148148148149E-4</v>
      </c>
    </row>
    <row r="280" spans="1:12" x14ac:dyDescent="0.25">
      <c r="A280" s="3">
        <v>45696.287905092591</v>
      </c>
      <c r="B280" t="s">
        <v>285</v>
      </c>
      <c r="C280" s="3">
        <v>45696.288599537038</v>
      </c>
      <c r="D280" t="s">
        <v>286</v>
      </c>
      <c r="E280" s="4">
        <v>0.32934171718358995</v>
      </c>
      <c r="F280" s="4">
        <v>346843.77600086841</v>
      </c>
      <c r="G280" s="4">
        <v>346844.10534258565</v>
      </c>
      <c r="H280" s="5">
        <f t="shared" si="1"/>
        <v>0</v>
      </c>
      <c r="I280" t="s">
        <v>287</v>
      </c>
      <c r="J280" t="s">
        <v>175</v>
      </c>
      <c r="K280" s="5">
        <f>60 / 86400</f>
        <v>6.9444444444444447E-4</v>
      </c>
      <c r="L280" s="5">
        <f>40 / 86400</f>
        <v>4.6296296296296298E-4</v>
      </c>
    </row>
    <row r="281" spans="1:12" x14ac:dyDescent="0.25">
      <c r="A281" s="3">
        <v>45696.2890625</v>
      </c>
      <c r="B281" t="s">
        <v>288</v>
      </c>
      <c r="C281" s="3">
        <v>45696.289293981477</v>
      </c>
      <c r="D281" t="s">
        <v>289</v>
      </c>
      <c r="E281" s="4">
        <v>8.9560217916965487E-2</v>
      </c>
      <c r="F281" s="4">
        <v>346844.16202899202</v>
      </c>
      <c r="G281" s="4">
        <v>346844.25158920989</v>
      </c>
      <c r="H281" s="5">
        <f t="shared" si="1"/>
        <v>0</v>
      </c>
      <c r="I281" t="s">
        <v>201</v>
      </c>
      <c r="J281" t="s">
        <v>28</v>
      </c>
      <c r="K281" s="5">
        <f>20 / 86400</f>
        <v>2.3148148148148149E-4</v>
      </c>
      <c r="L281" s="5">
        <f>60 / 86400</f>
        <v>6.9444444444444447E-4</v>
      </c>
    </row>
    <row r="282" spans="1:12" x14ac:dyDescent="0.25">
      <c r="A282" s="3">
        <v>45696.289988425924</v>
      </c>
      <c r="B282" t="s">
        <v>290</v>
      </c>
      <c r="C282" s="3">
        <v>45696.291377314818</v>
      </c>
      <c r="D282" t="s">
        <v>291</v>
      </c>
      <c r="E282" s="4">
        <v>1.0062705808281898</v>
      </c>
      <c r="F282" s="4">
        <v>346844.27231590351</v>
      </c>
      <c r="G282" s="4">
        <v>346845.27858648432</v>
      </c>
      <c r="H282" s="5">
        <f t="shared" si="1"/>
        <v>0</v>
      </c>
      <c r="I282" t="s">
        <v>194</v>
      </c>
      <c r="J282" t="s">
        <v>184</v>
      </c>
      <c r="K282" s="5">
        <f>120 / 86400</f>
        <v>1.3888888888888889E-3</v>
      </c>
      <c r="L282" s="5">
        <f>40 / 86400</f>
        <v>4.6296296296296298E-4</v>
      </c>
    </row>
    <row r="283" spans="1:12" x14ac:dyDescent="0.25">
      <c r="A283" s="3">
        <v>45696.29184027778</v>
      </c>
      <c r="B283" t="s">
        <v>292</v>
      </c>
      <c r="C283" s="3">
        <v>45696.29314814815</v>
      </c>
      <c r="D283" t="s">
        <v>293</v>
      </c>
      <c r="E283" s="4">
        <v>0.73865870827436442</v>
      </c>
      <c r="F283" s="4">
        <v>346845.38668738643</v>
      </c>
      <c r="G283" s="4">
        <v>346846.12534609472</v>
      </c>
      <c r="H283" s="5">
        <f t="shared" si="1"/>
        <v>0</v>
      </c>
      <c r="I283" t="s">
        <v>180</v>
      </c>
      <c r="J283" t="s">
        <v>140</v>
      </c>
      <c r="K283" s="5">
        <f>113 / 86400</f>
        <v>1.3078703703703703E-3</v>
      </c>
      <c r="L283" s="5">
        <f>120 / 86400</f>
        <v>1.3888888888888889E-3</v>
      </c>
    </row>
    <row r="284" spans="1:12" x14ac:dyDescent="0.25">
      <c r="A284" s="3">
        <v>45696.294537037036</v>
      </c>
      <c r="B284" t="s">
        <v>294</v>
      </c>
      <c r="C284" s="3">
        <v>45696.294965277775</v>
      </c>
      <c r="D284" t="s">
        <v>295</v>
      </c>
      <c r="E284" s="4">
        <v>0.11399502062797547</v>
      </c>
      <c r="F284" s="4">
        <v>346846.17898914596</v>
      </c>
      <c r="G284" s="4">
        <v>346846.29298416659</v>
      </c>
      <c r="H284" s="5">
        <f t="shared" si="1"/>
        <v>0</v>
      </c>
      <c r="I284" t="s">
        <v>175</v>
      </c>
      <c r="J284" t="s">
        <v>20</v>
      </c>
      <c r="K284" s="5">
        <f>37 / 86400</f>
        <v>4.2824074074074075E-4</v>
      </c>
      <c r="L284" s="5">
        <f>40 / 86400</f>
        <v>4.6296296296296298E-4</v>
      </c>
    </row>
    <row r="285" spans="1:12" x14ac:dyDescent="0.25">
      <c r="A285" s="3">
        <v>45696.295428240745</v>
      </c>
      <c r="B285" t="s">
        <v>296</v>
      </c>
      <c r="C285" s="3">
        <v>45696.296354166669</v>
      </c>
      <c r="D285" t="s">
        <v>297</v>
      </c>
      <c r="E285" s="4">
        <v>0.35348304271698</v>
      </c>
      <c r="F285" s="4">
        <v>346846.30810005713</v>
      </c>
      <c r="G285" s="4">
        <v>346846.66158309986</v>
      </c>
      <c r="H285" s="5">
        <f t="shared" si="1"/>
        <v>0</v>
      </c>
      <c r="I285" t="s">
        <v>201</v>
      </c>
      <c r="J285" t="s">
        <v>28</v>
      </c>
      <c r="K285" s="5">
        <f>80 / 86400</f>
        <v>9.2592592592592596E-4</v>
      </c>
      <c r="L285" s="5">
        <f>20 / 86400</f>
        <v>2.3148148148148149E-4</v>
      </c>
    </row>
    <row r="286" spans="1:12" x14ac:dyDescent="0.25">
      <c r="A286" s="3">
        <v>45696.296585648146</v>
      </c>
      <c r="B286" t="s">
        <v>297</v>
      </c>
      <c r="C286" s="3">
        <v>45696.297812500001</v>
      </c>
      <c r="D286" t="s">
        <v>298</v>
      </c>
      <c r="E286" s="4">
        <v>0.58808104771375658</v>
      </c>
      <c r="F286" s="4">
        <v>346846.67994427891</v>
      </c>
      <c r="G286" s="4">
        <v>346847.2680253266</v>
      </c>
      <c r="H286" s="5">
        <f t="shared" si="1"/>
        <v>0</v>
      </c>
      <c r="I286" t="s">
        <v>194</v>
      </c>
      <c r="J286" t="s">
        <v>175</v>
      </c>
      <c r="K286" s="5">
        <f>106 / 86400</f>
        <v>1.2268518518518518E-3</v>
      </c>
      <c r="L286" s="5">
        <f>20 / 86400</f>
        <v>2.3148148148148149E-4</v>
      </c>
    </row>
    <row r="287" spans="1:12" x14ac:dyDescent="0.25">
      <c r="A287" s="3">
        <v>45696.298043981486</v>
      </c>
      <c r="B287" t="s">
        <v>298</v>
      </c>
      <c r="C287" s="3">
        <v>45696.298738425925</v>
      </c>
      <c r="D287" t="s">
        <v>209</v>
      </c>
      <c r="E287" s="4">
        <v>0.36698483461141584</v>
      </c>
      <c r="F287" s="4">
        <v>346847.2726956199</v>
      </c>
      <c r="G287" s="4">
        <v>346847.63968045451</v>
      </c>
      <c r="H287" s="5">
        <f t="shared" si="1"/>
        <v>0</v>
      </c>
      <c r="I287" t="s">
        <v>241</v>
      </c>
      <c r="J287" t="s">
        <v>221</v>
      </c>
      <c r="K287" s="5">
        <f>60 / 86400</f>
        <v>6.9444444444444447E-4</v>
      </c>
      <c r="L287" s="5">
        <f>57 / 86400</f>
        <v>6.5972222222222224E-4</v>
      </c>
    </row>
    <row r="288" spans="1:12" x14ac:dyDescent="0.25">
      <c r="A288" s="3">
        <v>45696.299398148149</v>
      </c>
      <c r="B288" t="s">
        <v>209</v>
      </c>
      <c r="C288" s="3">
        <v>45696.300115740742</v>
      </c>
      <c r="D288" t="s">
        <v>299</v>
      </c>
      <c r="E288" s="4">
        <v>0.28296178859472276</v>
      </c>
      <c r="F288" s="4">
        <v>346847.66482799494</v>
      </c>
      <c r="G288" s="4">
        <v>346847.94778978353</v>
      </c>
      <c r="H288" s="5">
        <f t="shared" si="1"/>
        <v>0</v>
      </c>
      <c r="I288" t="s">
        <v>230</v>
      </c>
      <c r="J288" t="s">
        <v>28</v>
      </c>
      <c r="K288" s="5">
        <f>62 / 86400</f>
        <v>7.1759259259259259E-4</v>
      </c>
      <c r="L288" s="5">
        <f>28 / 86400</f>
        <v>3.2407407407407406E-4</v>
      </c>
    </row>
    <row r="289" spans="1:12" x14ac:dyDescent="0.25">
      <c r="A289" s="3">
        <v>45696.300439814819</v>
      </c>
      <c r="B289" t="s">
        <v>299</v>
      </c>
      <c r="C289" s="3">
        <v>45696.300902777773</v>
      </c>
      <c r="D289" t="s">
        <v>300</v>
      </c>
      <c r="E289" s="4">
        <v>0.30978721570968626</v>
      </c>
      <c r="F289" s="4">
        <v>346847.95575337455</v>
      </c>
      <c r="G289" s="4">
        <v>346848.26554059028</v>
      </c>
      <c r="H289" s="5">
        <f t="shared" si="1"/>
        <v>0</v>
      </c>
      <c r="I289" t="s">
        <v>144</v>
      </c>
      <c r="J289" t="s">
        <v>155</v>
      </c>
      <c r="K289" s="5">
        <f>40 / 86400</f>
        <v>4.6296296296296298E-4</v>
      </c>
      <c r="L289" s="5">
        <f>40 / 86400</f>
        <v>4.6296296296296298E-4</v>
      </c>
    </row>
    <row r="290" spans="1:12" x14ac:dyDescent="0.25">
      <c r="A290" s="3">
        <v>45696.301365740743</v>
      </c>
      <c r="B290" t="s">
        <v>284</v>
      </c>
      <c r="C290" s="3">
        <v>45696.30201388889</v>
      </c>
      <c r="D290" t="s">
        <v>301</v>
      </c>
      <c r="E290" s="4">
        <v>0.14179908257722854</v>
      </c>
      <c r="F290" s="4">
        <v>346848.30732278607</v>
      </c>
      <c r="G290" s="4">
        <v>346848.44912186865</v>
      </c>
      <c r="H290" s="5">
        <f t="shared" si="1"/>
        <v>0</v>
      </c>
      <c r="I290" t="s">
        <v>35</v>
      </c>
      <c r="J290" t="s">
        <v>162</v>
      </c>
      <c r="K290" s="5">
        <f>56 / 86400</f>
        <v>6.4814814814814813E-4</v>
      </c>
      <c r="L290" s="5">
        <f>60 / 86400</f>
        <v>6.9444444444444447E-4</v>
      </c>
    </row>
    <row r="291" spans="1:12" x14ac:dyDescent="0.25">
      <c r="A291" s="3">
        <v>45696.302708333329</v>
      </c>
      <c r="B291" t="s">
        <v>302</v>
      </c>
      <c r="C291" s="3">
        <v>45696.30368055556</v>
      </c>
      <c r="D291" t="s">
        <v>284</v>
      </c>
      <c r="E291" s="4">
        <v>0.36307837158441542</v>
      </c>
      <c r="F291" s="4">
        <v>346848.514556512</v>
      </c>
      <c r="G291" s="4">
        <v>346848.87763488357</v>
      </c>
      <c r="H291" s="5">
        <f t="shared" si="1"/>
        <v>0</v>
      </c>
      <c r="I291" t="s">
        <v>138</v>
      </c>
      <c r="J291" t="s">
        <v>28</v>
      </c>
      <c r="K291" s="5">
        <f>84 / 86400</f>
        <v>9.7222222222222219E-4</v>
      </c>
      <c r="L291" s="5">
        <f>52 / 86400</f>
        <v>6.018518518518519E-4</v>
      </c>
    </row>
    <row r="292" spans="1:12" x14ac:dyDescent="0.25">
      <c r="A292" s="3">
        <v>45696.304282407407</v>
      </c>
      <c r="B292" t="s">
        <v>303</v>
      </c>
      <c r="C292" s="3">
        <v>45696.307118055556</v>
      </c>
      <c r="D292" t="s">
        <v>304</v>
      </c>
      <c r="E292" s="4">
        <v>1.5398072364330291</v>
      </c>
      <c r="F292" s="4">
        <v>346848.90259395679</v>
      </c>
      <c r="G292" s="4">
        <v>346850.4424011932</v>
      </c>
      <c r="H292" s="5">
        <f t="shared" si="1"/>
        <v>0</v>
      </c>
      <c r="I292" t="s">
        <v>263</v>
      </c>
      <c r="J292" t="s">
        <v>138</v>
      </c>
      <c r="K292" s="5">
        <f>245 / 86400</f>
        <v>2.8356481481481483E-3</v>
      </c>
      <c r="L292" s="5">
        <f>40 / 86400</f>
        <v>4.6296296296296298E-4</v>
      </c>
    </row>
    <row r="293" spans="1:12" x14ac:dyDescent="0.25">
      <c r="A293" s="3">
        <v>45696.307581018518</v>
      </c>
      <c r="B293" t="s">
        <v>305</v>
      </c>
      <c r="C293" s="3">
        <v>45696.308275462958</v>
      </c>
      <c r="D293" t="s">
        <v>306</v>
      </c>
      <c r="E293" s="4">
        <v>0.47825446647405623</v>
      </c>
      <c r="F293" s="4">
        <v>346850.47759604588</v>
      </c>
      <c r="G293" s="4">
        <v>346850.95585051231</v>
      </c>
      <c r="H293" s="5">
        <f t="shared" si="1"/>
        <v>0</v>
      </c>
      <c r="I293" t="s">
        <v>241</v>
      </c>
      <c r="J293" t="s">
        <v>159</v>
      </c>
      <c r="K293" s="5">
        <f>60 / 86400</f>
        <v>6.9444444444444447E-4</v>
      </c>
      <c r="L293" s="5">
        <f>20 / 86400</f>
        <v>2.3148148148148149E-4</v>
      </c>
    </row>
    <row r="294" spans="1:12" x14ac:dyDescent="0.25">
      <c r="A294" s="3">
        <v>45696.30850694445</v>
      </c>
      <c r="B294" t="s">
        <v>307</v>
      </c>
      <c r="C294" s="3">
        <v>45696.308738425927</v>
      </c>
      <c r="D294" t="s">
        <v>308</v>
      </c>
      <c r="E294" s="4">
        <v>0.15262213319540024</v>
      </c>
      <c r="F294" s="4">
        <v>346851.02996104676</v>
      </c>
      <c r="G294" s="4">
        <v>346851.18258317997</v>
      </c>
      <c r="H294" s="5">
        <f t="shared" si="1"/>
        <v>0</v>
      </c>
      <c r="I294" t="s">
        <v>184</v>
      </c>
      <c r="J294" t="s">
        <v>165</v>
      </c>
      <c r="K294" s="5">
        <f>20 / 86400</f>
        <v>2.3148148148148149E-4</v>
      </c>
      <c r="L294" s="5">
        <f>44 / 86400</f>
        <v>5.0925925925925921E-4</v>
      </c>
    </row>
    <row r="295" spans="1:12" x14ac:dyDescent="0.25">
      <c r="A295" s="3">
        <v>45696.309247685189</v>
      </c>
      <c r="B295" t="s">
        <v>214</v>
      </c>
      <c r="C295" s="3">
        <v>45696.310636574075</v>
      </c>
      <c r="D295" t="s">
        <v>309</v>
      </c>
      <c r="E295" s="4">
        <v>0.68880076086521147</v>
      </c>
      <c r="F295" s="4">
        <v>346851.19777827215</v>
      </c>
      <c r="G295" s="4">
        <v>346851.88657903305</v>
      </c>
      <c r="H295" s="5">
        <f t="shared" si="1"/>
        <v>0</v>
      </c>
      <c r="I295" t="s">
        <v>180</v>
      </c>
      <c r="J295" t="s">
        <v>35</v>
      </c>
      <c r="K295" s="5">
        <f>120 / 86400</f>
        <v>1.3888888888888889E-3</v>
      </c>
      <c r="L295" s="5">
        <f>35 / 86400</f>
        <v>4.0509259259259258E-4</v>
      </c>
    </row>
    <row r="296" spans="1:12" x14ac:dyDescent="0.25">
      <c r="A296" s="3">
        <v>45696.311041666668</v>
      </c>
      <c r="B296" t="s">
        <v>309</v>
      </c>
      <c r="C296" s="3">
        <v>45696.3128125</v>
      </c>
      <c r="D296" t="s">
        <v>310</v>
      </c>
      <c r="E296" s="4">
        <v>0.55359348124265673</v>
      </c>
      <c r="F296" s="4">
        <v>346851.89402851794</v>
      </c>
      <c r="G296" s="4">
        <v>346852.44762199919</v>
      </c>
      <c r="H296" s="5">
        <f t="shared" si="1"/>
        <v>0</v>
      </c>
      <c r="I296" t="s">
        <v>35</v>
      </c>
      <c r="J296" t="s">
        <v>47</v>
      </c>
      <c r="K296" s="5">
        <f>153 / 86400</f>
        <v>1.7708333333333332E-3</v>
      </c>
      <c r="L296" s="5">
        <f>20 / 86400</f>
        <v>2.3148148148148149E-4</v>
      </c>
    </row>
    <row r="297" spans="1:12" x14ac:dyDescent="0.25">
      <c r="A297" s="3">
        <v>45696.313043981485</v>
      </c>
      <c r="B297" t="s">
        <v>310</v>
      </c>
      <c r="C297" s="3">
        <v>45696.31385416667</v>
      </c>
      <c r="D297" t="s">
        <v>311</v>
      </c>
      <c r="E297" s="4">
        <v>0.21217075097560884</v>
      </c>
      <c r="F297" s="4">
        <v>346852.50348324265</v>
      </c>
      <c r="G297" s="4">
        <v>346852.7156539936</v>
      </c>
      <c r="H297" s="5">
        <f t="shared" si="1"/>
        <v>0</v>
      </c>
      <c r="I297" t="s">
        <v>138</v>
      </c>
      <c r="J297" t="s">
        <v>20</v>
      </c>
      <c r="K297" s="5">
        <f>70 / 86400</f>
        <v>8.1018518518518516E-4</v>
      </c>
      <c r="L297" s="5">
        <f>20 / 86400</f>
        <v>2.3148148148148149E-4</v>
      </c>
    </row>
    <row r="298" spans="1:12" x14ac:dyDescent="0.25">
      <c r="A298" s="3">
        <v>45696.314085648148</v>
      </c>
      <c r="B298" t="s">
        <v>311</v>
      </c>
      <c r="C298" s="3">
        <v>45696.316134259258</v>
      </c>
      <c r="D298" t="s">
        <v>312</v>
      </c>
      <c r="E298" s="4">
        <v>0.48364299577474595</v>
      </c>
      <c r="F298" s="4">
        <v>346852.73441020568</v>
      </c>
      <c r="G298" s="4">
        <v>346853.21805320145</v>
      </c>
      <c r="H298" s="5">
        <f t="shared" si="1"/>
        <v>0</v>
      </c>
      <c r="I298" t="s">
        <v>28</v>
      </c>
      <c r="J298" t="s">
        <v>85</v>
      </c>
      <c r="K298" s="5">
        <f>177 / 86400</f>
        <v>2.0486111111111113E-3</v>
      </c>
      <c r="L298" s="5">
        <f>20 / 86400</f>
        <v>2.3148148148148149E-4</v>
      </c>
    </row>
    <row r="299" spans="1:12" x14ac:dyDescent="0.25">
      <c r="A299" s="3">
        <v>45696.316365740742</v>
      </c>
      <c r="B299" t="s">
        <v>312</v>
      </c>
      <c r="C299" s="3">
        <v>45696.318599537037</v>
      </c>
      <c r="D299" t="s">
        <v>313</v>
      </c>
      <c r="E299" s="4">
        <v>0.64036481320857996</v>
      </c>
      <c r="F299" s="4">
        <v>346853.24806383072</v>
      </c>
      <c r="G299" s="4">
        <v>346853.88842864393</v>
      </c>
      <c r="H299" s="5">
        <f t="shared" si="1"/>
        <v>0</v>
      </c>
      <c r="I299" t="s">
        <v>161</v>
      </c>
      <c r="J299" t="s">
        <v>59</v>
      </c>
      <c r="K299" s="5">
        <f>193 / 86400</f>
        <v>2.2337962962962962E-3</v>
      </c>
      <c r="L299" s="5">
        <f>20 / 86400</f>
        <v>2.3148148148148149E-4</v>
      </c>
    </row>
    <row r="300" spans="1:12" x14ac:dyDescent="0.25">
      <c r="A300" s="3">
        <v>45696.318831018521</v>
      </c>
      <c r="B300" t="s">
        <v>313</v>
      </c>
      <c r="C300" s="3">
        <v>45696.319525462968</v>
      </c>
      <c r="D300" t="s">
        <v>314</v>
      </c>
      <c r="E300" s="4">
        <v>0.44969791251420976</v>
      </c>
      <c r="F300" s="4">
        <v>346853.90319108329</v>
      </c>
      <c r="G300" s="4">
        <v>346854.35288899584</v>
      </c>
      <c r="H300" s="5">
        <f t="shared" si="1"/>
        <v>0</v>
      </c>
      <c r="I300" t="s">
        <v>287</v>
      </c>
      <c r="J300" t="s">
        <v>165</v>
      </c>
      <c r="K300" s="5">
        <f>60 / 86400</f>
        <v>6.9444444444444447E-4</v>
      </c>
      <c r="L300" s="5">
        <f>40 / 86400</f>
        <v>4.6296296296296298E-4</v>
      </c>
    </row>
    <row r="301" spans="1:12" x14ac:dyDescent="0.25">
      <c r="A301" s="3">
        <v>45696.319988425923</v>
      </c>
      <c r="B301" t="s">
        <v>65</v>
      </c>
      <c r="C301" s="3">
        <v>45696.320451388892</v>
      </c>
      <c r="D301" t="s">
        <v>65</v>
      </c>
      <c r="E301" s="4">
        <v>3.2378301739692687E-2</v>
      </c>
      <c r="F301" s="4">
        <v>346854.38211596035</v>
      </c>
      <c r="G301" s="4">
        <v>346854.41449426208</v>
      </c>
      <c r="H301" s="5">
        <f t="shared" si="1"/>
        <v>0</v>
      </c>
      <c r="I301" t="s">
        <v>85</v>
      </c>
      <c r="J301" t="s">
        <v>188</v>
      </c>
      <c r="K301" s="5">
        <f>40 / 86400</f>
        <v>4.6296296296296298E-4</v>
      </c>
      <c r="L301" s="5">
        <f>120 / 86400</f>
        <v>1.3888888888888889E-3</v>
      </c>
    </row>
    <row r="302" spans="1:12" x14ac:dyDescent="0.25">
      <c r="A302" s="3">
        <v>45696.321840277778</v>
      </c>
      <c r="B302" t="s">
        <v>65</v>
      </c>
      <c r="C302" s="3">
        <v>45696.322071759263</v>
      </c>
      <c r="D302" t="s">
        <v>217</v>
      </c>
      <c r="E302" s="4">
        <v>1.8624549150466917E-2</v>
      </c>
      <c r="F302" s="4">
        <v>346854.43956166529</v>
      </c>
      <c r="G302" s="4">
        <v>346854.45818621444</v>
      </c>
      <c r="H302" s="5">
        <f t="shared" si="1"/>
        <v>0</v>
      </c>
      <c r="I302" t="s">
        <v>91</v>
      </c>
      <c r="J302" t="s">
        <v>188</v>
      </c>
      <c r="K302" s="5">
        <f>20 / 86400</f>
        <v>2.3148148148148149E-4</v>
      </c>
      <c r="L302" s="5">
        <f>100 / 86400</f>
        <v>1.1574074074074073E-3</v>
      </c>
    </row>
    <row r="303" spans="1:12" x14ac:dyDescent="0.25">
      <c r="A303" s="3">
        <v>45696.323229166665</v>
      </c>
      <c r="B303" t="s">
        <v>65</v>
      </c>
      <c r="C303" s="3">
        <v>45696.326655092591</v>
      </c>
      <c r="D303" t="s">
        <v>315</v>
      </c>
      <c r="E303" s="4">
        <v>2.4452603573203087</v>
      </c>
      <c r="F303" s="4">
        <v>346854.5022968757</v>
      </c>
      <c r="G303" s="4">
        <v>346856.94755723304</v>
      </c>
      <c r="H303" s="5">
        <f t="shared" si="1"/>
        <v>0</v>
      </c>
      <c r="I303" t="s">
        <v>249</v>
      </c>
      <c r="J303" t="s">
        <v>184</v>
      </c>
      <c r="K303" s="5">
        <f>296 / 86400</f>
        <v>3.425925925925926E-3</v>
      </c>
      <c r="L303" s="5">
        <f>45 / 86400</f>
        <v>5.2083333333333333E-4</v>
      </c>
    </row>
    <row r="304" spans="1:12" x14ac:dyDescent="0.25">
      <c r="A304" s="3">
        <v>45696.327175925922</v>
      </c>
      <c r="B304" t="s">
        <v>220</v>
      </c>
      <c r="C304" s="3">
        <v>45696.32949074074</v>
      </c>
      <c r="D304" t="s">
        <v>222</v>
      </c>
      <c r="E304" s="4">
        <v>1.1579114990234376</v>
      </c>
      <c r="F304" s="4">
        <v>346856.9519698302</v>
      </c>
      <c r="G304" s="4">
        <v>346858.10988132923</v>
      </c>
      <c r="H304" s="5">
        <f t="shared" si="1"/>
        <v>0</v>
      </c>
      <c r="I304" t="s">
        <v>169</v>
      </c>
      <c r="J304" t="s">
        <v>35</v>
      </c>
      <c r="K304" s="5">
        <f>200 / 86400</f>
        <v>2.3148148148148147E-3</v>
      </c>
      <c r="L304" s="5">
        <f>72 / 86400</f>
        <v>8.3333333333333339E-4</v>
      </c>
    </row>
    <row r="305" spans="1:12" x14ac:dyDescent="0.25">
      <c r="A305" s="3">
        <v>45696.330324074079</v>
      </c>
      <c r="B305" t="s">
        <v>222</v>
      </c>
      <c r="C305" s="3">
        <v>45696.331701388888</v>
      </c>
      <c r="D305" t="s">
        <v>222</v>
      </c>
      <c r="E305" s="4">
        <v>0.52300050896406169</v>
      </c>
      <c r="F305" s="4">
        <v>346858.11895202927</v>
      </c>
      <c r="G305" s="4">
        <v>346858.64195253828</v>
      </c>
      <c r="H305" s="5">
        <f t="shared" si="1"/>
        <v>0</v>
      </c>
      <c r="I305" t="s">
        <v>168</v>
      </c>
      <c r="J305" t="s">
        <v>28</v>
      </c>
      <c r="K305" s="5">
        <f>119 / 86400</f>
        <v>1.3773148148148147E-3</v>
      </c>
      <c r="L305" s="5">
        <f>80 / 86400</f>
        <v>9.2592592592592596E-4</v>
      </c>
    </row>
    <row r="306" spans="1:12" x14ac:dyDescent="0.25">
      <c r="A306" s="3">
        <v>45696.332627314812</v>
      </c>
      <c r="B306" t="s">
        <v>316</v>
      </c>
      <c r="C306" s="3">
        <v>45696.337951388894</v>
      </c>
      <c r="D306" t="s">
        <v>317</v>
      </c>
      <c r="E306" s="4">
        <v>4.0163790063261988</v>
      </c>
      <c r="F306" s="4">
        <v>346858.65064187412</v>
      </c>
      <c r="G306" s="4">
        <v>346862.66702088044</v>
      </c>
      <c r="H306" s="5">
        <f t="shared" ref="H306:H369" si="3">0 / 86400</f>
        <v>0</v>
      </c>
      <c r="I306" t="s">
        <v>121</v>
      </c>
      <c r="J306" t="s">
        <v>201</v>
      </c>
      <c r="K306" s="5">
        <f>460 / 86400</f>
        <v>5.324074074074074E-3</v>
      </c>
      <c r="L306" s="5">
        <f>20 / 86400</f>
        <v>2.3148148148148149E-4</v>
      </c>
    </row>
    <row r="307" spans="1:12" x14ac:dyDescent="0.25">
      <c r="A307" s="3">
        <v>45696.338182870371</v>
      </c>
      <c r="B307" t="s">
        <v>318</v>
      </c>
      <c r="C307" s="3">
        <v>45696.338645833333</v>
      </c>
      <c r="D307" t="s">
        <v>318</v>
      </c>
      <c r="E307" s="4">
        <v>9.4913267016410827E-2</v>
      </c>
      <c r="F307" s="4">
        <v>346862.71380018204</v>
      </c>
      <c r="G307" s="4">
        <v>346862.80871344905</v>
      </c>
      <c r="H307" s="5">
        <f t="shared" si="3"/>
        <v>0</v>
      </c>
      <c r="I307" t="s">
        <v>175</v>
      </c>
      <c r="J307" t="s">
        <v>162</v>
      </c>
      <c r="K307" s="5">
        <f>40 / 86400</f>
        <v>4.6296296296296298E-4</v>
      </c>
      <c r="L307" s="5">
        <f>20 / 86400</f>
        <v>2.3148148148148149E-4</v>
      </c>
    </row>
    <row r="308" spans="1:12" x14ac:dyDescent="0.25">
      <c r="A308" s="3">
        <v>45696.338877314818</v>
      </c>
      <c r="B308" t="s">
        <v>319</v>
      </c>
      <c r="C308" s="3">
        <v>45696.340266203704</v>
      </c>
      <c r="D308" t="s">
        <v>318</v>
      </c>
      <c r="E308" s="4">
        <v>1.1080737867951393</v>
      </c>
      <c r="F308" s="4">
        <v>346862.9309212119</v>
      </c>
      <c r="G308" s="4">
        <v>346864.03899499867</v>
      </c>
      <c r="H308" s="5">
        <f t="shared" si="3"/>
        <v>0</v>
      </c>
      <c r="I308" t="s">
        <v>116</v>
      </c>
      <c r="J308" t="s">
        <v>163</v>
      </c>
      <c r="K308" s="5">
        <f>120 / 86400</f>
        <v>1.3888888888888889E-3</v>
      </c>
      <c r="L308" s="5">
        <f>55 / 86400</f>
        <v>6.3657407407407413E-4</v>
      </c>
    </row>
    <row r="309" spans="1:12" x14ac:dyDescent="0.25">
      <c r="A309" s="3">
        <v>45696.340902777782</v>
      </c>
      <c r="B309" t="s">
        <v>318</v>
      </c>
      <c r="C309" s="3">
        <v>45696.341134259259</v>
      </c>
      <c r="D309" t="s">
        <v>320</v>
      </c>
      <c r="E309" s="4">
        <v>4.2954154312610626E-2</v>
      </c>
      <c r="F309" s="4">
        <v>346864.05736819177</v>
      </c>
      <c r="G309" s="4">
        <v>346864.10032234609</v>
      </c>
      <c r="H309" s="5">
        <f t="shared" si="3"/>
        <v>0</v>
      </c>
      <c r="I309" t="s">
        <v>162</v>
      </c>
      <c r="J309" t="s">
        <v>151</v>
      </c>
      <c r="K309" s="5">
        <f>20 / 86400</f>
        <v>2.3148148148148149E-4</v>
      </c>
      <c r="L309" s="5">
        <f>40 / 86400</f>
        <v>4.6296296296296298E-4</v>
      </c>
    </row>
    <row r="310" spans="1:12" x14ac:dyDescent="0.25">
      <c r="A310" s="3">
        <v>45696.341597222221</v>
      </c>
      <c r="B310" t="s">
        <v>321</v>
      </c>
      <c r="C310" s="3">
        <v>45696.34275462963</v>
      </c>
      <c r="D310" t="s">
        <v>322</v>
      </c>
      <c r="E310" s="4">
        <v>0.41276022708415983</v>
      </c>
      <c r="F310" s="4">
        <v>346864.16668814817</v>
      </c>
      <c r="G310" s="4">
        <v>346864.57944837521</v>
      </c>
      <c r="H310" s="5">
        <f t="shared" si="3"/>
        <v>0</v>
      </c>
      <c r="I310" t="s">
        <v>159</v>
      </c>
      <c r="J310" t="s">
        <v>24</v>
      </c>
      <c r="K310" s="5">
        <f>100 / 86400</f>
        <v>1.1574074074074073E-3</v>
      </c>
      <c r="L310" s="5">
        <f>20 / 86400</f>
        <v>2.3148148148148149E-4</v>
      </c>
    </row>
    <row r="311" spans="1:12" x14ac:dyDescent="0.25">
      <c r="A311" s="3">
        <v>45696.342986111107</v>
      </c>
      <c r="B311" t="s">
        <v>323</v>
      </c>
      <c r="C311" s="3">
        <v>45696.344375000001</v>
      </c>
      <c r="D311" t="s">
        <v>320</v>
      </c>
      <c r="E311" s="4">
        <v>0.64471384555101396</v>
      </c>
      <c r="F311" s="4">
        <v>346864.64689658285</v>
      </c>
      <c r="G311" s="4">
        <v>346865.29161042836</v>
      </c>
      <c r="H311" s="5">
        <f t="shared" si="3"/>
        <v>0</v>
      </c>
      <c r="I311" t="s">
        <v>230</v>
      </c>
      <c r="J311" t="s">
        <v>94</v>
      </c>
      <c r="K311" s="5">
        <f>120 / 86400</f>
        <v>1.3888888888888889E-3</v>
      </c>
      <c r="L311" s="5">
        <f>40 / 86400</f>
        <v>4.6296296296296298E-4</v>
      </c>
    </row>
    <row r="312" spans="1:12" x14ac:dyDescent="0.25">
      <c r="A312" s="3">
        <v>45696.344837962963</v>
      </c>
      <c r="B312" t="s">
        <v>319</v>
      </c>
      <c r="C312" s="3">
        <v>45696.345300925925</v>
      </c>
      <c r="D312" t="s">
        <v>228</v>
      </c>
      <c r="E312" s="4">
        <v>0.30896126896142961</v>
      </c>
      <c r="F312" s="4">
        <v>346865.35709926189</v>
      </c>
      <c r="G312" s="4">
        <v>346865.66606053081</v>
      </c>
      <c r="H312" s="5">
        <f t="shared" si="3"/>
        <v>0</v>
      </c>
      <c r="I312" t="s">
        <v>169</v>
      </c>
      <c r="J312" t="s">
        <v>155</v>
      </c>
      <c r="K312" s="5">
        <f>40 / 86400</f>
        <v>4.6296296296296298E-4</v>
      </c>
      <c r="L312" s="5">
        <f>20 / 86400</f>
        <v>2.3148148148148149E-4</v>
      </c>
    </row>
    <row r="313" spans="1:12" x14ac:dyDescent="0.25">
      <c r="A313" s="3">
        <v>45696.345532407402</v>
      </c>
      <c r="B313" t="s">
        <v>228</v>
      </c>
      <c r="C313" s="3">
        <v>45696.345763888894</v>
      </c>
      <c r="D313" t="s">
        <v>228</v>
      </c>
      <c r="E313" s="4">
        <v>6.5444232225418094E-3</v>
      </c>
      <c r="F313" s="4">
        <v>346865.73653118499</v>
      </c>
      <c r="G313" s="4">
        <v>346865.74307560822</v>
      </c>
      <c r="H313" s="5">
        <f t="shared" si="3"/>
        <v>0</v>
      </c>
      <c r="I313" t="s">
        <v>146</v>
      </c>
      <c r="J313" t="s">
        <v>91</v>
      </c>
      <c r="K313" s="5">
        <f>20 / 86400</f>
        <v>2.3148148148148149E-4</v>
      </c>
      <c r="L313" s="5">
        <f>95 / 86400</f>
        <v>1.0995370370370371E-3</v>
      </c>
    </row>
    <row r="314" spans="1:12" x14ac:dyDescent="0.25">
      <c r="A314" s="3">
        <v>45696.346863425926</v>
      </c>
      <c r="B314" t="s">
        <v>228</v>
      </c>
      <c r="C314" s="3">
        <v>45696.348020833335</v>
      </c>
      <c r="D314" t="s">
        <v>228</v>
      </c>
      <c r="E314" s="4">
        <v>0.1770443789958954</v>
      </c>
      <c r="F314" s="4">
        <v>346865.79413396982</v>
      </c>
      <c r="G314" s="4">
        <v>346865.97117834882</v>
      </c>
      <c r="H314" s="5">
        <f t="shared" si="3"/>
        <v>0</v>
      </c>
      <c r="I314" t="s">
        <v>20</v>
      </c>
      <c r="J314" t="s">
        <v>146</v>
      </c>
      <c r="K314" s="5">
        <f>100 / 86400</f>
        <v>1.1574074074074073E-3</v>
      </c>
      <c r="L314" s="5">
        <f>20 / 86400</f>
        <v>2.3148148148148149E-4</v>
      </c>
    </row>
    <row r="315" spans="1:12" x14ac:dyDescent="0.25">
      <c r="A315" s="3">
        <v>45696.348252314812</v>
      </c>
      <c r="B315" t="s">
        <v>228</v>
      </c>
      <c r="C315" s="3">
        <v>45696.348715277782</v>
      </c>
      <c r="D315" t="s">
        <v>228</v>
      </c>
      <c r="E315" s="4">
        <v>9.8759357392787933E-2</v>
      </c>
      <c r="F315" s="4">
        <v>346865.99567868729</v>
      </c>
      <c r="G315" s="4">
        <v>346866.09443804465</v>
      </c>
      <c r="H315" s="5">
        <f t="shared" si="3"/>
        <v>0</v>
      </c>
      <c r="I315" t="s">
        <v>59</v>
      </c>
      <c r="J315" t="s">
        <v>162</v>
      </c>
      <c r="K315" s="5">
        <f>40 / 86400</f>
        <v>4.6296296296296298E-4</v>
      </c>
      <c r="L315" s="5">
        <f>20 / 86400</f>
        <v>2.3148148148148149E-4</v>
      </c>
    </row>
    <row r="316" spans="1:12" x14ac:dyDescent="0.25">
      <c r="A316" s="3">
        <v>45696.348946759259</v>
      </c>
      <c r="B316" t="s">
        <v>228</v>
      </c>
      <c r="C316" s="3">
        <v>45696.349409722221</v>
      </c>
      <c r="D316" t="s">
        <v>228</v>
      </c>
      <c r="E316" s="4">
        <v>0.22546550500392915</v>
      </c>
      <c r="F316" s="4">
        <v>346866.10168775899</v>
      </c>
      <c r="G316" s="4">
        <v>346866.32715326396</v>
      </c>
      <c r="H316" s="5">
        <f t="shared" si="3"/>
        <v>0</v>
      </c>
      <c r="I316" t="s">
        <v>201</v>
      </c>
      <c r="J316" t="s">
        <v>175</v>
      </c>
      <c r="K316" s="5">
        <f>40 / 86400</f>
        <v>4.6296296296296298E-4</v>
      </c>
      <c r="L316" s="5">
        <f>80 / 86400</f>
        <v>9.2592592592592596E-4</v>
      </c>
    </row>
    <row r="317" spans="1:12" x14ac:dyDescent="0.25">
      <c r="A317" s="3">
        <v>45696.350335648152</v>
      </c>
      <c r="B317" t="s">
        <v>228</v>
      </c>
      <c r="C317" s="3">
        <v>45696.35056712963</v>
      </c>
      <c r="D317" t="s">
        <v>228</v>
      </c>
      <c r="E317" s="4">
        <v>2.0607801198959351E-2</v>
      </c>
      <c r="F317" s="4">
        <v>346866.33946080186</v>
      </c>
      <c r="G317" s="4">
        <v>346866.36006860301</v>
      </c>
      <c r="H317" s="5">
        <f t="shared" si="3"/>
        <v>0</v>
      </c>
      <c r="I317" t="s">
        <v>85</v>
      </c>
      <c r="J317" t="s">
        <v>181</v>
      </c>
      <c r="K317" s="5">
        <f>20 / 86400</f>
        <v>2.3148148148148149E-4</v>
      </c>
      <c r="L317" s="5">
        <f>180 / 86400</f>
        <v>2.0833333333333333E-3</v>
      </c>
    </row>
    <row r="318" spans="1:12" x14ac:dyDescent="0.25">
      <c r="A318" s="3">
        <v>45696.352650462963</v>
      </c>
      <c r="B318" t="s">
        <v>228</v>
      </c>
      <c r="C318" s="3">
        <v>45696.353113425925</v>
      </c>
      <c r="D318" t="s">
        <v>228</v>
      </c>
      <c r="E318" s="4">
        <v>6.5588142037391661E-2</v>
      </c>
      <c r="F318" s="4">
        <v>346866.40894039947</v>
      </c>
      <c r="G318" s="4">
        <v>346866.4745285415</v>
      </c>
      <c r="H318" s="5">
        <f t="shared" si="3"/>
        <v>0</v>
      </c>
      <c r="I318" t="s">
        <v>32</v>
      </c>
      <c r="J318" t="s">
        <v>146</v>
      </c>
      <c r="K318" s="5">
        <f>40 / 86400</f>
        <v>4.6296296296296298E-4</v>
      </c>
      <c r="L318" s="5">
        <f>40 / 86400</f>
        <v>4.6296296296296298E-4</v>
      </c>
    </row>
    <row r="319" spans="1:12" x14ac:dyDescent="0.25">
      <c r="A319" s="3">
        <v>45696.353576388894</v>
      </c>
      <c r="B319" t="s">
        <v>228</v>
      </c>
      <c r="C319" s="3">
        <v>45696.353807870371</v>
      </c>
      <c r="D319" t="s">
        <v>228</v>
      </c>
      <c r="E319" s="4">
        <v>4.2924775600433347E-2</v>
      </c>
      <c r="F319" s="4">
        <v>346866.51840388594</v>
      </c>
      <c r="G319" s="4">
        <v>346866.56132866157</v>
      </c>
      <c r="H319" s="5">
        <f t="shared" si="3"/>
        <v>0</v>
      </c>
      <c r="I319" t="s">
        <v>20</v>
      </c>
      <c r="J319" t="s">
        <v>151</v>
      </c>
      <c r="K319" s="5">
        <f>20 / 86400</f>
        <v>2.3148148148148149E-4</v>
      </c>
      <c r="L319" s="5">
        <f>40 / 86400</f>
        <v>4.6296296296296298E-4</v>
      </c>
    </row>
    <row r="320" spans="1:12" x14ac:dyDescent="0.25">
      <c r="A320" s="3">
        <v>45696.354270833333</v>
      </c>
      <c r="B320" t="s">
        <v>228</v>
      </c>
      <c r="C320" s="3">
        <v>45696.354733796295</v>
      </c>
      <c r="D320" t="s">
        <v>228</v>
      </c>
      <c r="E320" s="4">
        <v>0.21228288644552232</v>
      </c>
      <c r="F320" s="4">
        <v>346866.60698571056</v>
      </c>
      <c r="G320" s="4">
        <v>346866.819268597</v>
      </c>
      <c r="H320" s="5">
        <f t="shared" si="3"/>
        <v>0</v>
      </c>
      <c r="I320" t="s">
        <v>218</v>
      </c>
      <c r="J320" t="s">
        <v>94</v>
      </c>
      <c r="K320" s="5">
        <f>40 / 86400</f>
        <v>4.6296296296296298E-4</v>
      </c>
      <c r="L320" s="5">
        <f>20 / 86400</f>
        <v>2.3148148148148149E-4</v>
      </c>
    </row>
    <row r="321" spans="1:12" x14ac:dyDescent="0.25">
      <c r="A321" s="3">
        <v>45696.354965277773</v>
      </c>
      <c r="B321" t="s">
        <v>228</v>
      </c>
      <c r="C321" s="3">
        <v>45696.357974537037</v>
      </c>
      <c r="D321" t="s">
        <v>158</v>
      </c>
      <c r="E321" s="4">
        <v>1.6368479576110839</v>
      </c>
      <c r="F321" s="4">
        <v>346866.86795404775</v>
      </c>
      <c r="G321" s="4">
        <v>346868.50480200537</v>
      </c>
      <c r="H321" s="5">
        <f t="shared" si="3"/>
        <v>0</v>
      </c>
      <c r="I321" t="s">
        <v>183</v>
      </c>
      <c r="J321" t="s">
        <v>138</v>
      </c>
      <c r="K321" s="5">
        <f>260 / 86400</f>
        <v>3.0092592592592593E-3</v>
      </c>
      <c r="L321" s="5">
        <f>15 / 86400</f>
        <v>1.7361111111111112E-4</v>
      </c>
    </row>
    <row r="322" spans="1:12" x14ac:dyDescent="0.25">
      <c r="A322" s="3">
        <v>45696.358148148152</v>
      </c>
      <c r="B322" t="s">
        <v>158</v>
      </c>
      <c r="C322" s="3">
        <v>45696.360289351855</v>
      </c>
      <c r="D322" t="s">
        <v>158</v>
      </c>
      <c r="E322" s="4">
        <v>0.95452769041061403</v>
      </c>
      <c r="F322" s="4">
        <v>346868.50877067709</v>
      </c>
      <c r="G322" s="4">
        <v>346869.46329836751</v>
      </c>
      <c r="H322" s="5">
        <f t="shared" si="3"/>
        <v>0</v>
      </c>
      <c r="I322" t="s">
        <v>218</v>
      </c>
      <c r="J322" t="s">
        <v>94</v>
      </c>
      <c r="K322" s="5">
        <f>185 / 86400</f>
        <v>2.1412037037037038E-3</v>
      </c>
      <c r="L322" s="5">
        <f>20 / 86400</f>
        <v>2.3148148148148149E-4</v>
      </c>
    </row>
    <row r="323" spans="1:12" x14ac:dyDescent="0.25">
      <c r="A323" s="3">
        <v>45696.360520833332</v>
      </c>
      <c r="B323" t="s">
        <v>158</v>
      </c>
      <c r="C323" s="3">
        <v>45696.363530092596</v>
      </c>
      <c r="D323" t="s">
        <v>158</v>
      </c>
      <c r="E323" s="4">
        <v>2.6816156954765318</v>
      </c>
      <c r="F323" s="4">
        <v>346869.52279423998</v>
      </c>
      <c r="G323" s="4">
        <v>346872.20440993545</v>
      </c>
      <c r="H323" s="5">
        <f t="shared" si="3"/>
        <v>0</v>
      </c>
      <c r="I323" t="s">
        <v>324</v>
      </c>
      <c r="J323" t="s">
        <v>168</v>
      </c>
      <c r="K323" s="5">
        <f>260 / 86400</f>
        <v>3.0092592592592593E-3</v>
      </c>
      <c r="L323" s="5">
        <f>20 / 86400</f>
        <v>2.3148148148148149E-4</v>
      </c>
    </row>
    <row r="324" spans="1:12" x14ac:dyDescent="0.25">
      <c r="A324" s="3">
        <v>45696.363761574074</v>
      </c>
      <c r="B324" t="s">
        <v>158</v>
      </c>
      <c r="C324" s="3">
        <v>45696.365844907406</v>
      </c>
      <c r="D324" t="s">
        <v>92</v>
      </c>
      <c r="E324" s="4">
        <v>1.7162473787665367</v>
      </c>
      <c r="F324" s="4">
        <v>346872.24917589733</v>
      </c>
      <c r="G324" s="4">
        <v>346873.96542327612</v>
      </c>
      <c r="H324" s="5">
        <f t="shared" si="3"/>
        <v>0</v>
      </c>
      <c r="I324" t="s">
        <v>263</v>
      </c>
      <c r="J324" t="s">
        <v>218</v>
      </c>
      <c r="K324" s="5">
        <f>180 / 86400</f>
        <v>2.0833333333333333E-3</v>
      </c>
      <c r="L324" s="5">
        <f>60 / 86400</f>
        <v>6.9444444444444447E-4</v>
      </c>
    </row>
    <row r="325" spans="1:12" x14ac:dyDescent="0.25">
      <c r="A325" s="3">
        <v>45696.366539351853</v>
      </c>
      <c r="B325" t="s">
        <v>250</v>
      </c>
      <c r="C325" s="3">
        <v>45696.368159722224</v>
      </c>
      <c r="D325" t="s">
        <v>167</v>
      </c>
      <c r="E325" s="4">
        <v>1.3027559621930123</v>
      </c>
      <c r="F325" s="4">
        <v>346874.08144927275</v>
      </c>
      <c r="G325" s="4">
        <v>346875.38420523494</v>
      </c>
      <c r="H325" s="5">
        <f t="shared" si="3"/>
        <v>0</v>
      </c>
      <c r="I325" t="s">
        <v>103</v>
      </c>
      <c r="J325" t="s">
        <v>163</v>
      </c>
      <c r="K325" s="5">
        <f>140 / 86400</f>
        <v>1.6203703703703703E-3</v>
      </c>
      <c r="L325" s="5">
        <f>20 / 86400</f>
        <v>2.3148148148148149E-4</v>
      </c>
    </row>
    <row r="326" spans="1:12" x14ac:dyDescent="0.25">
      <c r="A326" s="3">
        <v>45696.368391203709</v>
      </c>
      <c r="B326" t="s">
        <v>167</v>
      </c>
      <c r="C326" s="3">
        <v>45696.36954861111</v>
      </c>
      <c r="D326" t="s">
        <v>167</v>
      </c>
      <c r="E326" s="4">
        <v>0.85519997256994251</v>
      </c>
      <c r="F326" s="4">
        <v>346875.40721193893</v>
      </c>
      <c r="G326" s="4">
        <v>346876.26241191151</v>
      </c>
      <c r="H326" s="5">
        <f t="shared" si="3"/>
        <v>0</v>
      </c>
      <c r="I326" t="s">
        <v>183</v>
      </c>
      <c r="J326" t="s">
        <v>201</v>
      </c>
      <c r="K326" s="5">
        <f>100 / 86400</f>
        <v>1.1574074074074073E-3</v>
      </c>
      <c r="L326" s="5">
        <f>40 / 86400</f>
        <v>4.6296296296296298E-4</v>
      </c>
    </row>
    <row r="327" spans="1:12" x14ac:dyDescent="0.25">
      <c r="A327" s="3">
        <v>45696.370011574079</v>
      </c>
      <c r="B327" t="s">
        <v>167</v>
      </c>
      <c r="C327" s="3">
        <v>45696.370243055557</v>
      </c>
      <c r="D327" t="s">
        <v>167</v>
      </c>
      <c r="E327" s="4">
        <v>1.7203362703323365E-2</v>
      </c>
      <c r="F327" s="4">
        <v>346876.29190279165</v>
      </c>
      <c r="G327" s="4">
        <v>346876.30910615437</v>
      </c>
      <c r="H327" s="5">
        <f t="shared" si="3"/>
        <v>0</v>
      </c>
      <c r="I327" t="s">
        <v>90</v>
      </c>
      <c r="J327" t="s">
        <v>188</v>
      </c>
      <c r="K327" s="5">
        <f>20 / 86400</f>
        <v>2.3148148148148149E-4</v>
      </c>
      <c r="L327" s="5">
        <f>39 / 86400</f>
        <v>4.5138888888888887E-4</v>
      </c>
    </row>
    <row r="328" spans="1:12" x14ac:dyDescent="0.25">
      <c r="A328" s="3">
        <v>45696.370694444442</v>
      </c>
      <c r="B328" t="s">
        <v>167</v>
      </c>
      <c r="C328" s="3">
        <v>45696.371157407411</v>
      </c>
      <c r="D328" t="s">
        <v>167</v>
      </c>
      <c r="E328" s="4">
        <v>9.2129152417182919E-2</v>
      </c>
      <c r="F328" s="4">
        <v>346876.3136688997</v>
      </c>
      <c r="G328" s="4">
        <v>346876.40579805215</v>
      </c>
      <c r="H328" s="5">
        <f t="shared" si="3"/>
        <v>0</v>
      </c>
      <c r="I328" t="s">
        <v>59</v>
      </c>
      <c r="J328" t="s">
        <v>151</v>
      </c>
      <c r="K328" s="5">
        <f>40 / 86400</f>
        <v>4.6296296296296298E-4</v>
      </c>
      <c r="L328" s="5">
        <f>80 / 86400</f>
        <v>9.2592592592592596E-4</v>
      </c>
    </row>
    <row r="329" spans="1:12" x14ac:dyDescent="0.25">
      <c r="A329" s="3">
        <v>45696.372083333335</v>
      </c>
      <c r="B329" t="s">
        <v>167</v>
      </c>
      <c r="C329" s="3">
        <v>45696.372314814813</v>
      </c>
      <c r="D329" t="s">
        <v>233</v>
      </c>
      <c r="E329" s="4">
        <v>4.4060877621173861E-2</v>
      </c>
      <c r="F329" s="4">
        <v>346876.46866791736</v>
      </c>
      <c r="G329" s="4">
        <v>346876.512728795</v>
      </c>
      <c r="H329" s="5">
        <f t="shared" si="3"/>
        <v>0</v>
      </c>
      <c r="I329" t="s">
        <v>91</v>
      </c>
      <c r="J329" t="s">
        <v>151</v>
      </c>
      <c r="K329" s="5">
        <f>20 / 86400</f>
        <v>2.3148148148148149E-4</v>
      </c>
      <c r="L329" s="5">
        <f>100 / 86400</f>
        <v>1.1574074074074073E-3</v>
      </c>
    </row>
    <row r="330" spans="1:12" x14ac:dyDescent="0.25">
      <c r="A330" s="3">
        <v>45696.373472222222</v>
      </c>
      <c r="B330" t="s">
        <v>167</v>
      </c>
      <c r="C330" s="3">
        <v>45696.376944444448</v>
      </c>
      <c r="D330" t="s">
        <v>238</v>
      </c>
      <c r="E330" s="4">
        <v>3.7235046806335448</v>
      </c>
      <c r="F330" s="4">
        <v>346876.67215978791</v>
      </c>
      <c r="G330" s="4">
        <v>346880.39566446852</v>
      </c>
      <c r="H330" s="5">
        <f t="shared" si="3"/>
        <v>0</v>
      </c>
      <c r="I330" t="s">
        <v>60</v>
      </c>
      <c r="J330" t="s">
        <v>23</v>
      </c>
      <c r="K330" s="5">
        <f>300 / 86400</f>
        <v>3.472222222222222E-3</v>
      </c>
      <c r="L330" s="5">
        <f>40 / 86400</f>
        <v>4.6296296296296298E-4</v>
      </c>
    </row>
    <row r="331" spans="1:12" x14ac:dyDescent="0.25">
      <c r="A331" s="3">
        <v>45696.377407407403</v>
      </c>
      <c r="B331" t="s">
        <v>238</v>
      </c>
      <c r="C331" s="3">
        <v>45696.378576388888</v>
      </c>
      <c r="D331" t="s">
        <v>325</v>
      </c>
      <c r="E331" s="4">
        <v>0.65689633166790007</v>
      </c>
      <c r="F331" s="4">
        <v>346880.45176247973</v>
      </c>
      <c r="G331" s="4">
        <v>346881.10865881137</v>
      </c>
      <c r="H331" s="5">
        <f t="shared" si="3"/>
        <v>0</v>
      </c>
      <c r="I331" t="s">
        <v>241</v>
      </c>
      <c r="J331" t="s">
        <v>138</v>
      </c>
      <c r="K331" s="5">
        <f>101 / 86400</f>
        <v>1.1689814814814816E-3</v>
      </c>
      <c r="L331" s="5">
        <f>5 / 86400</f>
        <v>5.7870370370370373E-5</v>
      </c>
    </row>
    <row r="332" spans="1:12" x14ac:dyDescent="0.25">
      <c r="A332" s="3">
        <v>45696.378634259258</v>
      </c>
      <c r="B332" t="s">
        <v>325</v>
      </c>
      <c r="C332" s="3">
        <v>45696.380011574074</v>
      </c>
      <c r="D332" t="s">
        <v>326</v>
      </c>
      <c r="E332" s="4">
        <v>0.64141599339246747</v>
      </c>
      <c r="F332" s="4">
        <v>346881.11161888443</v>
      </c>
      <c r="G332" s="4">
        <v>346881.75303487782</v>
      </c>
      <c r="H332" s="5">
        <f t="shared" si="3"/>
        <v>0</v>
      </c>
      <c r="I332" t="s">
        <v>230</v>
      </c>
      <c r="J332" t="s">
        <v>94</v>
      </c>
      <c r="K332" s="5">
        <f>119 / 86400</f>
        <v>1.3773148148148147E-3</v>
      </c>
      <c r="L332" s="5">
        <f>20 / 86400</f>
        <v>2.3148148148148149E-4</v>
      </c>
    </row>
    <row r="333" spans="1:12" x14ac:dyDescent="0.25">
      <c r="A333" s="3">
        <v>45696.380243055552</v>
      </c>
      <c r="B333" t="s">
        <v>327</v>
      </c>
      <c r="C333" s="3">
        <v>45696.38553240741</v>
      </c>
      <c r="D333" t="s">
        <v>328</v>
      </c>
      <c r="E333" s="4">
        <v>3.7065458121299746</v>
      </c>
      <c r="F333" s="4">
        <v>346881.79636878415</v>
      </c>
      <c r="G333" s="4">
        <v>346885.50291459623</v>
      </c>
      <c r="H333" s="5">
        <f t="shared" si="3"/>
        <v>0</v>
      </c>
      <c r="I333" t="s">
        <v>144</v>
      </c>
      <c r="J333" t="s">
        <v>159</v>
      </c>
      <c r="K333" s="5">
        <f>457 / 86400</f>
        <v>5.2893518518518515E-3</v>
      </c>
      <c r="L333" s="5">
        <f>39 / 86400</f>
        <v>4.5138888888888887E-4</v>
      </c>
    </row>
    <row r="334" spans="1:12" x14ac:dyDescent="0.25">
      <c r="A334" s="3">
        <v>45696.385983796295</v>
      </c>
      <c r="B334" t="s">
        <v>328</v>
      </c>
      <c r="C334" s="3">
        <v>45696.386678240742</v>
      </c>
      <c r="D334" t="s">
        <v>328</v>
      </c>
      <c r="E334" s="4">
        <v>0.51213373619318003</v>
      </c>
      <c r="F334" s="4">
        <v>346885.50934143452</v>
      </c>
      <c r="G334" s="4">
        <v>346886.02147517074</v>
      </c>
      <c r="H334" s="5">
        <f t="shared" si="3"/>
        <v>0</v>
      </c>
      <c r="I334" t="s">
        <v>241</v>
      </c>
      <c r="J334" t="s">
        <v>201</v>
      </c>
      <c r="K334" s="5">
        <f>60 / 86400</f>
        <v>6.9444444444444447E-4</v>
      </c>
      <c r="L334" s="5">
        <f>20 / 86400</f>
        <v>2.3148148148148149E-4</v>
      </c>
    </row>
    <row r="335" spans="1:12" x14ac:dyDescent="0.25">
      <c r="A335" s="3">
        <v>45696.38690972222</v>
      </c>
      <c r="B335" t="s">
        <v>328</v>
      </c>
      <c r="C335" s="3">
        <v>45696.387835648144</v>
      </c>
      <c r="D335" t="s">
        <v>329</v>
      </c>
      <c r="E335" s="4">
        <v>1.1326766670942308</v>
      </c>
      <c r="F335" s="4">
        <v>346886.10817211034</v>
      </c>
      <c r="G335" s="4">
        <v>346887.24084877741</v>
      </c>
      <c r="H335" s="5">
        <f t="shared" si="3"/>
        <v>0</v>
      </c>
      <c r="I335" t="s">
        <v>324</v>
      </c>
      <c r="J335" t="s">
        <v>199</v>
      </c>
      <c r="K335" s="5">
        <f>80 / 86400</f>
        <v>9.2592592592592596E-4</v>
      </c>
      <c r="L335" s="5">
        <f>20 / 86400</f>
        <v>2.3148148148148149E-4</v>
      </c>
    </row>
    <row r="336" spans="1:12" x14ac:dyDescent="0.25">
      <c r="A336" s="3">
        <v>45696.388067129628</v>
      </c>
      <c r="B336" t="s">
        <v>329</v>
      </c>
      <c r="C336" s="3">
        <v>45696.392129629632</v>
      </c>
      <c r="D336" t="s">
        <v>330</v>
      </c>
      <c r="E336" s="4">
        <v>3.7323320900797845</v>
      </c>
      <c r="F336" s="4">
        <v>346887.329856047</v>
      </c>
      <c r="G336" s="4">
        <v>346891.06218813703</v>
      </c>
      <c r="H336" s="5">
        <f t="shared" si="3"/>
        <v>0</v>
      </c>
      <c r="I336" t="s">
        <v>324</v>
      </c>
      <c r="J336" t="s">
        <v>180</v>
      </c>
      <c r="K336" s="5">
        <f>351 / 86400</f>
        <v>4.0625000000000001E-3</v>
      </c>
      <c r="L336" s="5">
        <f>17 / 86400</f>
        <v>1.9675925925925926E-4</v>
      </c>
    </row>
    <row r="337" spans="1:12" x14ac:dyDescent="0.25">
      <c r="A337" s="3">
        <v>45696.392326388886</v>
      </c>
      <c r="B337" t="s">
        <v>330</v>
      </c>
      <c r="C337" s="3">
        <v>45696.393020833333</v>
      </c>
      <c r="D337" t="s">
        <v>331</v>
      </c>
      <c r="E337" s="4">
        <v>0.21962921321392059</v>
      </c>
      <c r="F337" s="4">
        <v>346891.06542161776</v>
      </c>
      <c r="G337" s="4">
        <v>346891.28505083098</v>
      </c>
      <c r="H337" s="5">
        <f t="shared" si="3"/>
        <v>0</v>
      </c>
      <c r="I337" t="s">
        <v>165</v>
      </c>
      <c r="J337" t="s">
        <v>47</v>
      </c>
      <c r="K337" s="5">
        <f>60 / 86400</f>
        <v>6.9444444444444447E-4</v>
      </c>
      <c r="L337" s="5">
        <f>20 / 86400</f>
        <v>2.3148148148148149E-4</v>
      </c>
    </row>
    <row r="338" spans="1:12" x14ac:dyDescent="0.25">
      <c r="A338" s="3">
        <v>45696.393252314811</v>
      </c>
      <c r="B338" t="s">
        <v>331</v>
      </c>
      <c r="C338" s="3">
        <v>45696.393483796295</v>
      </c>
      <c r="D338" t="s">
        <v>331</v>
      </c>
      <c r="E338" s="4">
        <v>2.5365307688713073E-2</v>
      </c>
      <c r="F338" s="4">
        <v>346891.30166465562</v>
      </c>
      <c r="G338" s="4">
        <v>346891.32702996331</v>
      </c>
      <c r="H338" s="5">
        <f t="shared" si="3"/>
        <v>0</v>
      </c>
      <c r="I338" t="s">
        <v>90</v>
      </c>
      <c r="J338" t="s">
        <v>136</v>
      </c>
      <c r="K338" s="5">
        <f>20 / 86400</f>
        <v>2.3148148148148149E-4</v>
      </c>
      <c r="L338" s="5">
        <f>14 / 86400</f>
        <v>1.6203703703703703E-4</v>
      </c>
    </row>
    <row r="339" spans="1:12" x14ac:dyDescent="0.25">
      <c r="A339" s="3">
        <v>45696.393645833334</v>
      </c>
      <c r="B339" t="s">
        <v>331</v>
      </c>
      <c r="C339" s="3">
        <v>45696.395694444444</v>
      </c>
      <c r="D339" t="s">
        <v>332</v>
      </c>
      <c r="E339" s="4">
        <v>0.74613344711065288</v>
      </c>
      <c r="F339" s="4">
        <v>346891.34544647386</v>
      </c>
      <c r="G339" s="4">
        <v>346892.09157992096</v>
      </c>
      <c r="H339" s="5">
        <f t="shared" si="3"/>
        <v>0</v>
      </c>
      <c r="I339" t="s">
        <v>159</v>
      </c>
      <c r="J339" t="s">
        <v>24</v>
      </c>
      <c r="K339" s="5">
        <f>177 / 86400</f>
        <v>2.0486111111111113E-3</v>
      </c>
      <c r="L339" s="5">
        <f>3 / 86400</f>
        <v>3.4722222222222222E-5</v>
      </c>
    </row>
    <row r="340" spans="1:12" x14ac:dyDescent="0.25">
      <c r="A340" s="3">
        <v>45696.395729166667</v>
      </c>
      <c r="B340" t="s">
        <v>332</v>
      </c>
      <c r="C340" s="3">
        <v>45696.397268518514</v>
      </c>
      <c r="D340" t="s">
        <v>333</v>
      </c>
      <c r="E340" s="4">
        <v>0.85766282534599303</v>
      </c>
      <c r="F340" s="4">
        <v>346892.09486970142</v>
      </c>
      <c r="G340" s="4">
        <v>346892.9525325268</v>
      </c>
      <c r="H340" s="5">
        <f t="shared" si="3"/>
        <v>0</v>
      </c>
      <c r="I340" t="s">
        <v>157</v>
      </c>
      <c r="J340" t="s">
        <v>138</v>
      </c>
      <c r="K340" s="5">
        <f>133 / 86400</f>
        <v>1.5393518518518519E-3</v>
      </c>
      <c r="L340" s="5">
        <f>20 / 86400</f>
        <v>2.3148148148148149E-4</v>
      </c>
    </row>
    <row r="341" spans="1:12" x14ac:dyDescent="0.25">
      <c r="A341" s="3">
        <v>45696.397499999999</v>
      </c>
      <c r="B341" t="s">
        <v>333</v>
      </c>
      <c r="C341" s="3">
        <v>45696.401597222226</v>
      </c>
      <c r="D341" t="s">
        <v>334</v>
      </c>
      <c r="E341" s="4">
        <v>2.446788311600685</v>
      </c>
      <c r="F341" s="4">
        <v>346893.03736113216</v>
      </c>
      <c r="G341" s="4">
        <v>346895.48414944374</v>
      </c>
      <c r="H341" s="5">
        <f t="shared" si="3"/>
        <v>0</v>
      </c>
      <c r="I341" t="s">
        <v>179</v>
      </c>
      <c r="J341" t="s">
        <v>161</v>
      </c>
      <c r="K341" s="5">
        <f>354 / 86400</f>
        <v>4.0972222222222226E-3</v>
      </c>
      <c r="L341" s="5">
        <f>20 / 86400</f>
        <v>2.3148148148148149E-4</v>
      </c>
    </row>
    <row r="342" spans="1:12" x14ac:dyDescent="0.25">
      <c r="A342" s="3">
        <v>45696.401828703703</v>
      </c>
      <c r="B342" t="s">
        <v>335</v>
      </c>
      <c r="C342" s="3">
        <v>45696.409039351856</v>
      </c>
      <c r="D342" t="s">
        <v>139</v>
      </c>
      <c r="E342" s="4">
        <v>1.5064820994138717</v>
      </c>
      <c r="F342" s="4">
        <v>346895.54084484966</v>
      </c>
      <c r="G342" s="4">
        <v>346897.04732694908</v>
      </c>
      <c r="H342" s="5">
        <f t="shared" si="3"/>
        <v>0</v>
      </c>
      <c r="I342" t="s">
        <v>150</v>
      </c>
      <c r="J342" t="s">
        <v>162</v>
      </c>
      <c r="K342" s="5">
        <f>623 / 86400</f>
        <v>7.2106481481481483E-3</v>
      </c>
      <c r="L342" s="5">
        <f>12 / 86400</f>
        <v>1.3888888888888889E-4</v>
      </c>
    </row>
    <row r="343" spans="1:12" x14ac:dyDescent="0.25">
      <c r="A343" s="3">
        <v>45696.409178240741</v>
      </c>
      <c r="B343" t="s">
        <v>139</v>
      </c>
      <c r="C343" s="3">
        <v>45696.411296296297</v>
      </c>
      <c r="D343" t="s">
        <v>173</v>
      </c>
      <c r="E343" s="4">
        <v>0.92632548755407329</v>
      </c>
      <c r="F343" s="4">
        <v>346897.06375919428</v>
      </c>
      <c r="G343" s="4">
        <v>346897.99008468183</v>
      </c>
      <c r="H343" s="5">
        <f t="shared" si="3"/>
        <v>0</v>
      </c>
      <c r="I343" t="s">
        <v>184</v>
      </c>
      <c r="J343" t="s">
        <v>50</v>
      </c>
      <c r="K343" s="5">
        <f>183 / 86400</f>
        <v>2.1180555555555558E-3</v>
      </c>
      <c r="L343" s="5">
        <f>1861 / 86400</f>
        <v>2.1539351851851851E-2</v>
      </c>
    </row>
    <row r="344" spans="1:12" x14ac:dyDescent="0.25">
      <c r="A344" s="3">
        <v>45696.432835648149</v>
      </c>
      <c r="B344" t="s">
        <v>173</v>
      </c>
      <c r="C344" s="3">
        <v>45696.433969907404</v>
      </c>
      <c r="D344" t="s">
        <v>152</v>
      </c>
      <c r="E344" s="4">
        <v>0.49952229696512224</v>
      </c>
      <c r="F344" s="4">
        <v>346898.00425205345</v>
      </c>
      <c r="G344" s="4">
        <v>346898.50377435039</v>
      </c>
      <c r="H344" s="5">
        <f t="shared" si="3"/>
        <v>0</v>
      </c>
      <c r="I344" t="s">
        <v>163</v>
      </c>
      <c r="J344" t="s">
        <v>50</v>
      </c>
      <c r="K344" s="5">
        <f>98 / 86400</f>
        <v>1.1342592592592593E-3</v>
      </c>
      <c r="L344" s="5">
        <f>218 / 86400</f>
        <v>2.5231481481481481E-3</v>
      </c>
    </row>
    <row r="345" spans="1:12" x14ac:dyDescent="0.25">
      <c r="A345" s="3">
        <v>45696.43649305556</v>
      </c>
      <c r="B345" t="s">
        <v>152</v>
      </c>
      <c r="C345" s="3">
        <v>45696.439039351855</v>
      </c>
      <c r="D345" t="s">
        <v>336</v>
      </c>
      <c r="E345" s="4">
        <v>1.6746215124130248</v>
      </c>
      <c r="F345" s="4">
        <v>346898.55451504438</v>
      </c>
      <c r="G345" s="4">
        <v>346900.22913655679</v>
      </c>
      <c r="H345" s="5">
        <f t="shared" si="3"/>
        <v>0</v>
      </c>
      <c r="I345" t="s">
        <v>240</v>
      </c>
      <c r="J345" t="s">
        <v>165</v>
      </c>
      <c r="K345" s="5">
        <f>220 / 86400</f>
        <v>2.5462962962962965E-3</v>
      </c>
      <c r="L345" s="5">
        <f>20 / 86400</f>
        <v>2.3148148148148149E-4</v>
      </c>
    </row>
    <row r="346" spans="1:12" x14ac:dyDescent="0.25">
      <c r="A346" s="3">
        <v>45696.439270833333</v>
      </c>
      <c r="B346" t="s">
        <v>336</v>
      </c>
      <c r="C346" s="3">
        <v>45696.441724537042</v>
      </c>
      <c r="D346" t="s">
        <v>98</v>
      </c>
      <c r="E346" s="4">
        <v>1.5912335720658302</v>
      </c>
      <c r="F346" s="4">
        <v>346900.32493636356</v>
      </c>
      <c r="G346" s="4">
        <v>346901.91616993566</v>
      </c>
      <c r="H346" s="5">
        <f t="shared" si="3"/>
        <v>0</v>
      </c>
      <c r="I346" t="s">
        <v>180</v>
      </c>
      <c r="J346" t="s">
        <v>165</v>
      </c>
      <c r="K346" s="5">
        <f>212 / 86400</f>
        <v>2.4537037037037036E-3</v>
      </c>
      <c r="L346" s="5">
        <f>20 / 86400</f>
        <v>2.3148148148148149E-4</v>
      </c>
    </row>
    <row r="347" spans="1:12" x14ac:dyDescent="0.25">
      <c r="A347" s="3">
        <v>45696.44195601852</v>
      </c>
      <c r="B347" t="s">
        <v>98</v>
      </c>
      <c r="C347" s="3">
        <v>45696.442418981482</v>
      </c>
      <c r="D347" t="s">
        <v>333</v>
      </c>
      <c r="E347" s="4">
        <v>1.424129295349121E-2</v>
      </c>
      <c r="F347" s="4">
        <v>346901.93767109665</v>
      </c>
      <c r="G347" s="4">
        <v>346901.9519123896</v>
      </c>
      <c r="H347" s="5">
        <f t="shared" si="3"/>
        <v>0</v>
      </c>
      <c r="I347" t="s">
        <v>162</v>
      </c>
      <c r="J347" t="s">
        <v>91</v>
      </c>
      <c r="K347" s="5">
        <f>40 / 86400</f>
        <v>4.6296296296296298E-4</v>
      </c>
      <c r="L347" s="5">
        <f>133 / 86400</f>
        <v>1.5393518518518519E-3</v>
      </c>
    </row>
    <row r="348" spans="1:12" x14ac:dyDescent="0.25">
      <c r="A348" s="3">
        <v>45696.44395833333</v>
      </c>
      <c r="B348" t="s">
        <v>333</v>
      </c>
      <c r="C348" s="3">
        <v>45696.444189814814</v>
      </c>
      <c r="D348" t="s">
        <v>337</v>
      </c>
      <c r="E348" s="4">
        <v>5.2392694890499115E-2</v>
      </c>
      <c r="F348" s="4">
        <v>346902.0285763971</v>
      </c>
      <c r="G348" s="4">
        <v>346902.08096909203</v>
      </c>
      <c r="H348" s="5">
        <f t="shared" si="3"/>
        <v>0</v>
      </c>
      <c r="I348" t="s">
        <v>41</v>
      </c>
      <c r="J348" t="s">
        <v>162</v>
      </c>
      <c r="K348" s="5">
        <f>20 / 86400</f>
        <v>2.3148148148148149E-4</v>
      </c>
      <c r="L348" s="5">
        <f>20 / 86400</f>
        <v>2.3148148148148149E-4</v>
      </c>
    </row>
    <row r="349" spans="1:12" x14ac:dyDescent="0.25">
      <c r="A349" s="3">
        <v>45696.444421296299</v>
      </c>
      <c r="B349" t="s">
        <v>337</v>
      </c>
      <c r="C349" s="3">
        <v>45696.445439814815</v>
      </c>
      <c r="D349" t="s">
        <v>338</v>
      </c>
      <c r="E349" s="4">
        <v>0.28016732305288317</v>
      </c>
      <c r="F349" s="4">
        <v>346902.11743338278</v>
      </c>
      <c r="G349" s="4">
        <v>346902.39760070585</v>
      </c>
      <c r="H349" s="5">
        <f t="shared" si="3"/>
        <v>0</v>
      </c>
      <c r="I349" t="s">
        <v>32</v>
      </c>
      <c r="J349" t="s">
        <v>20</v>
      </c>
      <c r="K349" s="5">
        <f>88 / 86400</f>
        <v>1.0185185185185184E-3</v>
      </c>
      <c r="L349" s="5">
        <f>39 / 86400</f>
        <v>4.5138888888888887E-4</v>
      </c>
    </row>
    <row r="350" spans="1:12" x14ac:dyDescent="0.25">
      <c r="A350" s="3">
        <v>45696.445891203708</v>
      </c>
      <c r="B350" t="s">
        <v>338</v>
      </c>
      <c r="C350" s="3">
        <v>45696.447881944448</v>
      </c>
      <c r="D350" t="s">
        <v>118</v>
      </c>
      <c r="E350" s="4">
        <v>0.53096647822856902</v>
      </c>
      <c r="F350" s="4">
        <v>346902.46618182841</v>
      </c>
      <c r="G350" s="4">
        <v>346902.99714830663</v>
      </c>
      <c r="H350" s="5">
        <f t="shared" si="3"/>
        <v>0</v>
      </c>
      <c r="I350" t="s">
        <v>94</v>
      </c>
      <c r="J350" t="s">
        <v>20</v>
      </c>
      <c r="K350" s="5">
        <f>172 / 86400</f>
        <v>1.9907407407407408E-3</v>
      </c>
      <c r="L350" s="5">
        <f>3 / 86400</f>
        <v>3.4722222222222222E-5</v>
      </c>
    </row>
    <row r="351" spans="1:12" x14ac:dyDescent="0.25">
      <c r="A351" s="3">
        <v>45696.447916666672</v>
      </c>
      <c r="B351" t="s">
        <v>339</v>
      </c>
      <c r="C351" s="3">
        <v>45696.448148148149</v>
      </c>
      <c r="D351" t="s">
        <v>339</v>
      </c>
      <c r="E351" s="4">
        <v>1.2729376196861267E-2</v>
      </c>
      <c r="F351" s="4">
        <v>346903.00004296727</v>
      </c>
      <c r="G351" s="4">
        <v>346903.01277234347</v>
      </c>
      <c r="H351" s="5">
        <f t="shared" si="3"/>
        <v>0</v>
      </c>
      <c r="I351" t="s">
        <v>146</v>
      </c>
      <c r="J351" t="s">
        <v>132</v>
      </c>
      <c r="K351" s="5">
        <f>20 / 86400</f>
        <v>2.3148148148148149E-4</v>
      </c>
      <c r="L351" s="5">
        <f>60 / 86400</f>
        <v>6.9444444444444447E-4</v>
      </c>
    </row>
    <row r="352" spans="1:12" x14ac:dyDescent="0.25">
      <c r="A352" s="3">
        <v>45696.448842592596</v>
      </c>
      <c r="B352" t="s">
        <v>118</v>
      </c>
      <c r="C352" s="3">
        <v>45696.449074074073</v>
      </c>
      <c r="D352" t="s">
        <v>118</v>
      </c>
      <c r="E352" s="4">
        <v>6.2701840996742244E-3</v>
      </c>
      <c r="F352" s="4">
        <v>346903.02624642599</v>
      </c>
      <c r="G352" s="4">
        <v>346903.03251661011</v>
      </c>
      <c r="H352" s="5">
        <f t="shared" si="3"/>
        <v>0</v>
      </c>
      <c r="I352" t="s">
        <v>132</v>
      </c>
      <c r="J352" t="s">
        <v>91</v>
      </c>
      <c r="K352" s="5">
        <f>20 / 86400</f>
        <v>2.3148148148148149E-4</v>
      </c>
      <c r="L352" s="5">
        <f>79 / 86400</f>
        <v>9.1435185185185185E-4</v>
      </c>
    </row>
    <row r="353" spans="1:12" x14ac:dyDescent="0.25">
      <c r="A353" s="3">
        <v>45696.449988425928</v>
      </c>
      <c r="B353" t="s">
        <v>118</v>
      </c>
      <c r="C353" s="3">
        <v>45696.450254629628</v>
      </c>
      <c r="D353" t="s">
        <v>340</v>
      </c>
      <c r="E353" s="4">
        <v>9.1822289586067196E-2</v>
      </c>
      <c r="F353" s="4">
        <v>346903.05390929763</v>
      </c>
      <c r="G353" s="4">
        <v>346903.14573158725</v>
      </c>
      <c r="H353" s="5">
        <f t="shared" si="3"/>
        <v>0</v>
      </c>
      <c r="I353" t="s">
        <v>50</v>
      </c>
      <c r="J353" t="s">
        <v>41</v>
      </c>
      <c r="K353" s="5">
        <f>23 / 86400</f>
        <v>2.6620370370370372E-4</v>
      </c>
      <c r="L353" s="5">
        <f>3 / 86400</f>
        <v>3.4722222222222222E-5</v>
      </c>
    </row>
    <row r="354" spans="1:12" x14ac:dyDescent="0.25">
      <c r="A354" s="3">
        <v>45696.450289351851</v>
      </c>
      <c r="B354" t="s">
        <v>340</v>
      </c>
      <c r="C354" s="3">
        <v>45696.451018518521</v>
      </c>
      <c r="D354" t="s">
        <v>341</v>
      </c>
      <c r="E354" s="4">
        <v>0.54725725001096726</v>
      </c>
      <c r="F354" s="4">
        <v>346903.14813921211</v>
      </c>
      <c r="G354" s="4">
        <v>346903.69539646216</v>
      </c>
      <c r="H354" s="5">
        <f t="shared" si="3"/>
        <v>0</v>
      </c>
      <c r="I354" t="s">
        <v>194</v>
      </c>
      <c r="J354" t="s">
        <v>201</v>
      </c>
      <c r="K354" s="5">
        <f>63 / 86400</f>
        <v>7.291666666666667E-4</v>
      </c>
      <c r="L354" s="5">
        <f>60 / 86400</f>
        <v>6.9444444444444447E-4</v>
      </c>
    </row>
    <row r="355" spans="1:12" x14ac:dyDescent="0.25">
      <c r="A355" s="3">
        <v>45696.451712962968</v>
      </c>
      <c r="B355" t="s">
        <v>341</v>
      </c>
      <c r="C355" s="3">
        <v>45696.452175925922</v>
      </c>
      <c r="D355" t="s">
        <v>342</v>
      </c>
      <c r="E355" s="4">
        <v>0.21885706079006195</v>
      </c>
      <c r="F355" s="4">
        <v>346903.72181307804</v>
      </c>
      <c r="G355" s="4">
        <v>346903.94067013881</v>
      </c>
      <c r="H355" s="5">
        <f t="shared" si="3"/>
        <v>0</v>
      </c>
      <c r="I355" t="s">
        <v>155</v>
      </c>
      <c r="J355" t="s">
        <v>175</v>
      </c>
      <c r="K355" s="5">
        <f>40 / 86400</f>
        <v>4.6296296296296298E-4</v>
      </c>
      <c r="L355" s="5">
        <f>20 / 86400</f>
        <v>2.3148148148148149E-4</v>
      </c>
    </row>
    <row r="356" spans="1:12" x14ac:dyDescent="0.25">
      <c r="A356" s="3">
        <v>45696.452407407407</v>
      </c>
      <c r="B356" t="s">
        <v>343</v>
      </c>
      <c r="C356" s="3">
        <v>45696.454722222217</v>
      </c>
      <c r="D356" t="s">
        <v>344</v>
      </c>
      <c r="E356" s="4">
        <v>1.4141338005065918</v>
      </c>
      <c r="F356" s="4">
        <v>346904.06591815886</v>
      </c>
      <c r="G356" s="4">
        <v>346905.48005195934</v>
      </c>
      <c r="H356" s="5">
        <f t="shared" si="3"/>
        <v>0</v>
      </c>
      <c r="I356" t="s">
        <v>23</v>
      </c>
      <c r="J356" t="s">
        <v>161</v>
      </c>
      <c r="K356" s="5">
        <f>200 / 86400</f>
        <v>2.3148148148148147E-3</v>
      </c>
      <c r="L356" s="5">
        <f>3 / 86400</f>
        <v>3.4722222222222222E-5</v>
      </c>
    </row>
    <row r="357" spans="1:12" x14ac:dyDescent="0.25">
      <c r="A357" s="3">
        <v>45696.45475694444</v>
      </c>
      <c r="B357" t="s">
        <v>344</v>
      </c>
      <c r="C357" s="3">
        <v>45696.456377314811</v>
      </c>
      <c r="D357" t="s">
        <v>329</v>
      </c>
      <c r="E357" s="4">
        <v>1.61531047052145</v>
      </c>
      <c r="F357" s="4">
        <v>346905.48299117159</v>
      </c>
      <c r="G357" s="4">
        <v>346907.09830164211</v>
      </c>
      <c r="H357" s="5">
        <f t="shared" si="3"/>
        <v>0</v>
      </c>
      <c r="I357" t="s">
        <v>172</v>
      </c>
      <c r="J357" t="s">
        <v>230</v>
      </c>
      <c r="K357" s="5">
        <f>140 / 86400</f>
        <v>1.6203703703703703E-3</v>
      </c>
      <c r="L357" s="5">
        <f>20 / 86400</f>
        <v>2.3148148148148149E-4</v>
      </c>
    </row>
    <row r="358" spans="1:12" x14ac:dyDescent="0.25">
      <c r="A358" s="3">
        <v>45696.456608796296</v>
      </c>
      <c r="B358" t="s">
        <v>329</v>
      </c>
      <c r="C358" s="3">
        <v>45696.457766203705</v>
      </c>
      <c r="D358" t="s">
        <v>328</v>
      </c>
      <c r="E358" s="4">
        <v>1.182321280181408</v>
      </c>
      <c r="F358" s="4">
        <v>346907.11240423686</v>
      </c>
      <c r="G358" s="4">
        <v>346908.29472551704</v>
      </c>
      <c r="H358" s="5">
        <f t="shared" si="3"/>
        <v>0</v>
      </c>
      <c r="I358" t="s">
        <v>81</v>
      </c>
      <c r="J358" t="s">
        <v>345</v>
      </c>
      <c r="K358" s="5">
        <f>100 / 86400</f>
        <v>1.1574074074074073E-3</v>
      </c>
      <c r="L358" s="5">
        <f>20 / 86400</f>
        <v>2.3148148148148149E-4</v>
      </c>
    </row>
    <row r="359" spans="1:12" x14ac:dyDescent="0.25">
      <c r="A359" s="3">
        <v>45696.457997685182</v>
      </c>
      <c r="B359" t="s">
        <v>328</v>
      </c>
      <c r="C359" s="3">
        <v>45696.460196759261</v>
      </c>
      <c r="D359" t="s">
        <v>346</v>
      </c>
      <c r="E359" s="4">
        <v>1.9286586402654649</v>
      </c>
      <c r="F359" s="4">
        <v>346908.42125212902</v>
      </c>
      <c r="G359" s="4">
        <v>346910.34991076926</v>
      </c>
      <c r="H359" s="5">
        <f t="shared" si="3"/>
        <v>0</v>
      </c>
      <c r="I359" t="s">
        <v>144</v>
      </c>
      <c r="J359" t="s">
        <v>168</v>
      </c>
      <c r="K359" s="5">
        <f>190 / 86400</f>
        <v>2.1990740740740742E-3</v>
      </c>
      <c r="L359" s="5">
        <f>20 / 86400</f>
        <v>2.3148148148148149E-4</v>
      </c>
    </row>
    <row r="360" spans="1:12" x14ac:dyDescent="0.25">
      <c r="A360" s="3">
        <v>45696.460428240738</v>
      </c>
      <c r="B360" t="s">
        <v>347</v>
      </c>
      <c r="C360" s="3">
        <v>45696.464502314819</v>
      </c>
      <c r="D360" t="s">
        <v>327</v>
      </c>
      <c r="E360" s="4">
        <v>3.2321012001037599</v>
      </c>
      <c r="F360" s="4">
        <v>346910.43881739047</v>
      </c>
      <c r="G360" s="4">
        <v>346913.67091859062</v>
      </c>
      <c r="H360" s="5">
        <f t="shared" si="3"/>
        <v>0</v>
      </c>
      <c r="I360" t="s">
        <v>121</v>
      </c>
      <c r="J360" t="s">
        <v>163</v>
      </c>
      <c r="K360" s="5">
        <f>352 / 86400</f>
        <v>4.0740740740740737E-3</v>
      </c>
      <c r="L360" s="5">
        <f>40 / 86400</f>
        <v>4.6296296296296298E-4</v>
      </c>
    </row>
    <row r="361" spans="1:12" x14ac:dyDescent="0.25">
      <c r="A361" s="3">
        <v>45696.464965277773</v>
      </c>
      <c r="B361" t="s">
        <v>242</v>
      </c>
      <c r="C361" s="3">
        <v>45696.46774305556</v>
      </c>
      <c r="D361" t="s">
        <v>36</v>
      </c>
      <c r="E361" s="4">
        <v>2.714373960018158</v>
      </c>
      <c r="F361" s="4">
        <v>346913.80543023488</v>
      </c>
      <c r="G361" s="4">
        <v>346916.51980419486</v>
      </c>
      <c r="H361" s="5">
        <f t="shared" si="3"/>
        <v>0</v>
      </c>
      <c r="I361" t="s">
        <v>81</v>
      </c>
      <c r="J361" t="s">
        <v>229</v>
      </c>
      <c r="K361" s="5">
        <f>240 / 86400</f>
        <v>2.7777777777777779E-3</v>
      </c>
      <c r="L361" s="5">
        <f>20 / 86400</f>
        <v>2.3148148148148149E-4</v>
      </c>
    </row>
    <row r="362" spans="1:12" x14ac:dyDescent="0.25">
      <c r="A362" s="3">
        <v>45696.467974537038</v>
      </c>
      <c r="B362" t="s">
        <v>36</v>
      </c>
      <c r="C362" s="3">
        <v>45696.468900462962</v>
      </c>
      <c r="D362" t="s">
        <v>238</v>
      </c>
      <c r="E362" s="4">
        <v>0.70112482959032063</v>
      </c>
      <c r="F362" s="4">
        <v>346916.53220655682</v>
      </c>
      <c r="G362" s="4">
        <v>346917.23333138641</v>
      </c>
      <c r="H362" s="5">
        <f t="shared" si="3"/>
        <v>0</v>
      </c>
      <c r="I362" t="s">
        <v>144</v>
      </c>
      <c r="J362" t="s">
        <v>150</v>
      </c>
      <c r="K362" s="5">
        <f>80 / 86400</f>
        <v>9.2592592592592596E-4</v>
      </c>
      <c r="L362" s="5">
        <f>4 / 86400</f>
        <v>4.6296296296296294E-5</v>
      </c>
    </row>
    <row r="363" spans="1:12" x14ac:dyDescent="0.25">
      <c r="A363" s="3">
        <v>45696.468946759254</v>
      </c>
      <c r="B363" t="s">
        <v>238</v>
      </c>
      <c r="C363" s="3">
        <v>45696.47010416667</v>
      </c>
      <c r="D363" t="s">
        <v>238</v>
      </c>
      <c r="E363" s="4">
        <v>0.45853299248218538</v>
      </c>
      <c r="F363" s="4">
        <v>346917.23632948264</v>
      </c>
      <c r="G363" s="4">
        <v>346917.69486247509</v>
      </c>
      <c r="H363" s="5">
        <f t="shared" si="3"/>
        <v>0</v>
      </c>
      <c r="I363" t="s">
        <v>205</v>
      </c>
      <c r="J363" t="s">
        <v>32</v>
      </c>
      <c r="K363" s="5">
        <f>100 / 86400</f>
        <v>1.1574074074074073E-3</v>
      </c>
      <c r="L363" s="5">
        <f>40 / 86400</f>
        <v>4.6296296296296298E-4</v>
      </c>
    </row>
    <row r="364" spans="1:12" x14ac:dyDescent="0.25">
      <c r="A364" s="3">
        <v>45696.470567129625</v>
      </c>
      <c r="B364" t="s">
        <v>238</v>
      </c>
      <c r="C364" s="3">
        <v>45696.471030092594</v>
      </c>
      <c r="D364" t="s">
        <v>167</v>
      </c>
      <c r="E364" s="4">
        <v>4.959854447841644E-2</v>
      </c>
      <c r="F364" s="4">
        <v>346917.69897385786</v>
      </c>
      <c r="G364" s="4">
        <v>346917.74857240234</v>
      </c>
      <c r="H364" s="5">
        <f t="shared" si="3"/>
        <v>0</v>
      </c>
      <c r="I364" t="s">
        <v>181</v>
      </c>
      <c r="J364" t="s">
        <v>181</v>
      </c>
      <c r="K364" s="5">
        <f>40 / 86400</f>
        <v>4.6296296296296298E-4</v>
      </c>
      <c r="L364" s="5">
        <f>80 / 86400</f>
        <v>9.2592592592592596E-4</v>
      </c>
    </row>
    <row r="365" spans="1:12" x14ac:dyDescent="0.25">
      <c r="A365" s="3">
        <v>45696.471956018519</v>
      </c>
      <c r="B365" t="s">
        <v>167</v>
      </c>
      <c r="C365" s="3">
        <v>45696.472650462965</v>
      </c>
      <c r="D365" t="s">
        <v>233</v>
      </c>
      <c r="E365" s="4">
        <v>8.2633651733398442E-2</v>
      </c>
      <c r="F365" s="4">
        <v>346917.75228498789</v>
      </c>
      <c r="G365" s="4">
        <v>346917.83491863962</v>
      </c>
      <c r="H365" s="5">
        <f t="shared" si="3"/>
        <v>0</v>
      </c>
      <c r="I365" t="s">
        <v>47</v>
      </c>
      <c r="J365" t="s">
        <v>136</v>
      </c>
      <c r="K365" s="5">
        <f>60 / 86400</f>
        <v>6.9444444444444447E-4</v>
      </c>
      <c r="L365" s="5">
        <f>20 / 86400</f>
        <v>2.3148148148148149E-4</v>
      </c>
    </row>
    <row r="366" spans="1:12" x14ac:dyDescent="0.25">
      <c r="A366" s="3">
        <v>45696.472881944443</v>
      </c>
      <c r="B366" t="s">
        <v>233</v>
      </c>
      <c r="C366" s="3">
        <v>45696.473113425927</v>
      </c>
      <c r="D366" t="s">
        <v>233</v>
      </c>
      <c r="E366" s="4">
        <v>2.3598955273628234E-3</v>
      </c>
      <c r="F366" s="4">
        <v>346917.83509563509</v>
      </c>
      <c r="G366" s="4">
        <v>346917.83745553065</v>
      </c>
      <c r="H366" s="5">
        <f t="shared" si="3"/>
        <v>0</v>
      </c>
      <c r="I366" t="s">
        <v>188</v>
      </c>
      <c r="J366" t="s">
        <v>133</v>
      </c>
      <c r="K366" s="5">
        <f>20 / 86400</f>
        <v>2.3148148148148149E-4</v>
      </c>
      <c r="L366" s="5">
        <f>20 / 86400</f>
        <v>2.3148148148148149E-4</v>
      </c>
    </row>
    <row r="367" spans="1:12" x14ac:dyDescent="0.25">
      <c r="A367" s="3">
        <v>45696.473344907412</v>
      </c>
      <c r="B367" t="s">
        <v>233</v>
      </c>
      <c r="C367" s="3">
        <v>45696.476354166662</v>
      </c>
      <c r="D367" t="s">
        <v>149</v>
      </c>
      <c r="E367" s="4">
        <v>2.4562935788631437</v>
      </c>
      <c r="F367" s="4">
        <v>346917.88924875297</v>
      </c>
      <c r="G367" s="4">
        <v>346920.34554233181</v>
      </c>
      <c r="H367" s="5">
        <f t="shared" si="3"/>
        <v>0</v>
      </c>
      <c r="I367" t="s">
        <v>31</v>
      </c>
      <c r="J367" t="s">
        <v>218</v>
      </c>
      <c r="K367" s="5">
        <f>260 / 86400</f>
        <v>3.0092592592592593E-3</v>
      </c>
      <c r="L367" s="5">
        <f>20 / 86400</f>
        <v>2.3148148148148149E-4</v>
      </c>
    </row>
    <row r="368" spans="1:12" x14ac:dyDescent="0.25">
      <c r="A368" s="3">
        <v>45696.476585648154</v>
      </c>
      <c r="B368" t="s">
        <v>250</v>
      </c>
      <c r="C368" s="3">
        <v>45696.477743055555</v>
      </c>
      <c r="D368" t="s">
        <v>149</v>
      </c>
      <c r="E368" s="4">
        <v>0.83137223523855208</v>
      </c>
      <c r="F368" s="4">
        <v>346920.36089215672</v>
      </c>
      <c r="G368" s="4">
        <v>346921.19226439198</v>
      </c>
      <c r="H368" s="5">
        <f t="shared" si="3"/>
        <v>0</v>
      </c>
      <c r="I368" t="s">
        <v>55</v>
      </c>
      <c r="J368" t="s">
        <v>184</v>
      </c>
      <c r="K368" s="5">
        <f>100 / 86400</f>
        <v>1.1574074074074073E-3</v>
      </c>
      <c r="L368" s="5">
        <f>20 / 86400</f>
        <v>2.3148148148148149E-4</v>
      </c>
    </row>
    <row r="369" spans="1:12" x14ac:dyDescent="0.25">
      <c r="A369" s="3">
        <v>45696.477974537032</v>
      </c>
      <c r="B369" t="s">
        <v>348</v>
      </c>
      <c r="C369" s="3">
        <v>45696.478900462964</v>
      </c>
      <c r="D369" t="s">
        <v>149</v>
      </c>
      <c r="E369" s="4">
        <v>0.92414324080944066</v>
      </c>
      <c r="F369" s="4">
        <v>346921.20460375003</v>
      </c>
      <c r="G369" s="4">
        <v>346922.12874699087</v>
      </c>
      <c r="H369" s="5">
        <f t="shared" si="3"/>
        <v>0</v>
      </c>
      <c r="I369" t="s">
        <v>64</v>
      </c>
      <c r="J369" t="s">
        <v>230</v>
      </c>
      <c r="K369" s="5">
        <f>80 / 86400</f>
        <v>9.2592592592592596E-4</v>
      </c>
      <c r="L369" s="5">
        <f>5 / 86400</f>
        <v>5.7870370370370373E-5</v>
      </c>
    </row>
    <row r="370" spans="1:12" x14ac:dyDescent="0.25">
      <c r="A370" s="3">
        <v>45696.478958333333</v>
      </c>
      <c r="B370" t="s">
        <v>149</v>
      </c>
      <c r="C370" s="3">
        <v>45696.480347222227</v>
      </c>
      <c r="D370" t="s">
        <v>158</v>
      </c>
      <c r="E370" s="4">
        <v>1.2610223956704141</v>
      </c>
      <c r="F370" s="4">
        <v>346922.13077504147</v>
      </c>
      <c r="G370" s="4">
        <v>346923.39179743716</v>
      </c>
      <c r="H370" s="5">
        <f t="shared" ref="H370:H433" si="4">0 / 86400</f>
        <v>0</v>
      </c>
      <c r="I370" t="s">
        <v>247</v>
      </c>
      <c r="J370" t="s">
        <v>180</v>
      </c>
      <c r="K370" s="5">
        <f>120 / 86400</f>
        <v>1.3888888888888889E-3</v>
      </c>
      <c r="L370" s="5">
        <f>40 / 86400</f>
        <v>4.6296296296296298E-4</v>
      </c>
    </row>
    <row r="371" spans="1:12" x14ac:dyDescent="0.25">
      <c r="A371" s="3">
        <v>45696.480810185181</v>
      </c>
      <c r="B371" t="s">
        <v>158</v>
      </c>
      <c r="C371" s="3">
        <v>45696.482199074075</v>
      </c>
      <c r="D371" t="s">
        <v>158</v>
      </c>
      <c r="E371" s="4">
        <v>1.1800735622644425</v>
      </c>
      <c r="F371" s="4">
        <v>346923.60122469236</v>
      </c>
      <c r="G371" s="4">
        <v>346924.78129825462</v>
      </c>
      <c r="H371" s="5">
        <f t="shared" si="4"/>
        <v>0</v>
      </c>
      <c r="I371" t="s">
        <v>81</v>
      </c>
      <c r="J371" t="s">
        <v>157</v>
      </c>
      <c r="K371" s="5">
        <f>120 / 86400</f>
        <v>1.3888888888888889E-3</v>
      </c>
      <c r="L371" s="5">
        <f>20 / 86400</f>
        <v>2.3148148148148149E-4</v>
      </c>
    </row>
    <row r="372" spans="1:12" x14ac:dyDescent="0.25">
      <c r="A372" s="3">
        <v>45696.482430555552</v>
      </c>
      <c r="B372" t="s">
        <v>158</v>
      </c>
      <c r="C372" s="3">
        <v>45696.4840625</v>
      </c>
      <c r="D372" t="s">
        <v>253</v>
      </c>
      <c r="E372" s="4">
        <v>0.88522100186347963</v>
      </c>
      <c r="F372" s="4">
        <v>346924.83761488431</v>
      </c>
      <c r="G372" s="4">
        <v>346925.72283588618</v>
      </c>
      <c r="H372" s="5">
        <f t="shared" si="4"/>
        <v>0</v>
      </c>
      <c r="I372" t="s">
        <v>263</v>
      </c>
      <c r="J372" t="s">
        <v>138</v>
      </c>
      <c r="K372" s="5">
        <f>141 / 86400</f>
        <v>1.6319444444444445E-3</v>
      </c>
      <c r="L372" s="5">
        <f>40 / 86400</f>
        <v>4.6296296296296298E-4</v>
      </c>
    </row>
    <row r="373" spans="1:12" x14ac:dyDescent="0.25">
      <c r="A373" s="3">
        <v>45696.484525462962</v>
      </c>
      <c r="B373" t="s">
        <v>253</v>
      </c>
      <c r="C373" s="3">
        <v>45696.48474537037</v>
      </c>
      <c r="D373" t="s">
        <v>349</v>
      </c>
      <c r="E373" s="4">
        <v>2.2470749616622923E-3</v>
      </c>
      <c r="F373" s="4">
        <v>346925.73658736225</v>
      </c>
      <c r="G373" s="4">
        <v>346925.73883443722</v>
      </c>
      <c r="H373" s="5">
        <f t="shared" si="4"/>
        <v>0</v>
      </c>
      <c r="I373" t="s">
        <v>91</v>
      </c>
      <c r="J373" t="s">
        <v>133</v>
      </c>
      <c r="K373" s="5">
        <f>19 / 86400</f>
        <v>2.199074074074074E-4</v>
      </c>
      <c r="L373" s="5">
        <f>80 / 86400</f>
        <v>9.2592592592592596E-4</v>
      </c>
    </row>
    <row r="374" spans="1:12" x14ac:dyDescent="0.25">
      <c r="A374" s="3">
        <v>45696.485671296294</v>
      </c>
      <c r="B374" t="s">
        <v>253</v>
      </c>
      <c r="C374" s="3">
        <v>45696.485902777778</v>
      </c>
      <c r="D374" t="s">
        <v>253</v>
      </c>
      <c r="E374" s="4">
        <v>2.1444621086120605E-3</v>
      </c>
      <c r="F374" s="4">
        <v>346925.75606960384</v>
      </c>
      <c r="G374" s="4">
        <v>346925.75821406598</v>
      </c>
      <c r="H374" s="5">
        <f t="shared" si="4"/>
        <v>0</v>
      </c>
      <c r="I374" t="s">
        <v>91</v>
      </c>
      <c r="J374" t="s">
        <v>133</v>
      </c>
      <c r="K374" s="5">
        <f>20 / 86400</f>
        <v>2.3148148148148149E-4</v>
      </c>
      <c r="L374" s="5">
        <f>40 / 86400</f>
        <v>4.6296296296296298E-4</v>
      </c>
    </row>
    <row r="375" spans="1:12" x14ac:dyDescent="0.25">
      <c r="A375" s="3">
        <v>45696.48636574074</v>
      </c>
      <c r="B375" t="s">
        <v>253</v>
      </c>
      <c r="C375" s="3">
        <v>45696.489745370374</v>
      </c>
      <c r="D375" t="s">
        <v>228</v>
      </c>
      <c r="E375" s="4">
        <v>3.2371165884733202</v>
      </c>
      <c r="F375" s="4">
        <v>346925.76076493022</v>
      </c>
      <c r="G375" s="4">
        <v>346928.99788151874</v>
      </c>
      <c r="H375" s="5">
        <f t="shared" si="4"/>
        <v>0</v>
      </c>
      <c r="I375" t="s">
        <v>37</v>
      </c>
      <c r="J375" t="s">
        <v>135</v>
      </c>
      <c r="K375" s="5">
        <f>292 / 86400</f>
        <v>3.3796296296296296E-3</v>
      </c>
      <c r="L375" s="5">
        <f>40 / 86400</f>
        <v>4.6296296296296298E-4</v>
      </c>
    </row>
    <row r="376" spans="1:12" x14ac:dyDescent="0.25">
      <c r="A376" s="3">
        <v>45696.490208333329</v>
      </c>
      <c r="B376" t="s">
        <v>350</v>
      </c>
      <c r="C376" s="3">
        <v>45696.490439814814</v>
      </c>
      <c r="D376" t="s">
        <v>320</v>
      </c>
      <c r="E376" s="4">
        <v>0.15549076581001281</v>
      </c>
      <c r="F376" s="4">
        <v>346929.02339860192</v>
      </c>
      <c r="G376" s="4">
        <v>346929.17888936767</v>
      </c>
      <c r="H376" s="5">
        <f t="shared" si="4"/>
        <v>0</v>
      </c>
      <c r="I376" t="s">
        <v>50</v>
      </c>
      <c r="J376" t="s">
        <v>155</v>
      </c>
      <c r="K376" s="5">
        <f>20 / 86400</f>
        <v>2.3148148148148149E-4</v>
      </c>
      <c r="L376" s="5">
        <f>20 / 86400</f>
        <v>2.3148148148148149E-4</v>
      </c>
    </row>
    <row r="377" spans="1:12" x14ac:dyDescent="0.25">
      <c r="A377" s="3">
        <v>45696.490671296298</v>
      </c>
      <c r="B377" t="s">
        <v>319</v>
      </c>
      <c r="C377" s="3">
        <v>45696.491365740745</v>
      </c>
      <c r="D377" t="s">
        <v>351</v>
      </c>
      <c r="E377" s="4">
        <v>0.34125421780347825</v>
      </c>
      <c r="F377" s="4">
        <v>346929.29092168988</v>
      </c>
      <c r="G377" s="4">
        <v>346929.63217590767</v>
      </c>
      <c r="H377" s="5">
        <f t="shared" si="4"/>
        <v>0</v>
      </c>
      <c r="I377" t="s">
        <v>255</v>
      </c>
      <c r="J377" t="s">
        <v>175</v>
      </c>
      <c r="K377" s="5">
        <f>60 / 86400</f>
        <v>6.9444444444444447E-4</v>
      </c>
      <c r="L377" s="5">
        <f>20 / 86400</f>
        <v>2.3148148148148149E-4</v>
      </c>
    </row>
    <row r="378" spans="1:12" x14ac:dyDescent="0.25">
      <c r="A378" s="3">
        <v>45696.491597222222</v>
      </c>
      <c r="B378" t="s">
        <v>351</v>
      </c>
      <c r="C378" s="3">
        <v>45696.493020833332</v>
      </c>
      <c r="D378" t="s">
        <v>352</v>
      </c>
      <c r="E378" s="4">
        <v>0.60660767740011212</v>
      </c>
      <c r="F378" s="4">
        <v>346929.67419025797</v>
      </c>
      <c r="G378" s="4">
        <v>346930.28079793538</v>
      </c>
      <c r="H378" s="5">
        <f t="shared" si="4"/>
        <v>0</v>
      </c>
      <c r="I378" t="s">
        <v>218</v>
      </c>
      <c r="J378" t="s">
        <v>50</v>
      </c>
      <c r="K378" s="5">
        <f>123 / 86400</f>
        <v>1.4236111111111112E-3</v>
      </c>
      <c r="L378" s="5">
        <f>13 / 86400</f>
        <v>1.5046296296296297E-4</v>
      </c>
    </row>
    <row r="379" spans="1:12" x14ac:dyDescent="0.25">
      <c r="A379" s="3">
        <v>45696.493171296301</v>
      </c>
      <c r="B379" t="s">
        <v>352</v>
      </c>
      <c r="C379" s="3">
        <v>45696.493402777778</v>
      </c>
      <c r="D379" t="s">
        <v>352</v>
      </c>
      <c r="E379" s="4">
        <v>2.7997409701347349E-3</v>
      </c>
      <c r="F379" s="4">
        <v>346930.28833436396</v>
      </c>
      <c r="G379" s="4">
        <v>346930.29113410489</v>
      </c>
      <c r="H379" s="5">
        <f t="shared" si="4"/>
        <v>0</v>
      </c>
      <c r="I379" t="s">
        <v>146</v>
      </c>
      <c r="J379" t="s">
        <v>91</v>
      </c>
      <c r="K379" s="5">
        <f>20 / 86400</f>
        <v>2.3148148148148149E-4</v>
      </c>
      <c r="L379" s="5">
        <f>40 / 86400</f>
        <v>4.6296296296296298E-4</v>
      </c>
    </row>
    <row r="380" spans="1:12" x14ac:dyDescent="0.25">
      <c r="A380" s="3">
        <v>45696.49386574074</v>
      </c>
      <c r="B380" t="s">
        <v>318</v>
      </c>
      <c r="C380" s="3">
        <v>45696.494560185187</v>
      </c>
      <c r="D380" t="s">
        <v>353</v>
      </c>
      <c r="E380" s="4">
        <v>0.4970166224837303</v>
      </c>
      <c r="F380" s="4">
        <v>346930.35559571761</v>
      </c>
      <c r="G380" s="4">
        <v>346930.85261234007</v>
      </c>
      <c r="H380" s="5">
        <f t="shared" si="4"/>
        <v>0</v>
      </c>
      <c r="I380" t="s">
        <v>183</v>
      </c>
      <c r="J380" t="s">
        <v>184</v>
      </c>
      <c r="K380" s="5">
        <f>60 / 86400</f>
        <v>6.9444444444444447E-4</v>
      </c>
      <c r="L380" s="5">
        <f>20 / 86400</f>
        <v>2.3148148148148149E-4</v>
      </c>
    </row>
    <row r="381" spans="1:12" x14ac:dyDescent="0.25">
      <c r="A381" s="3">
        <v>45696.494791666672</v>
      </c>
      <c r="B381" t="s">
        <v>318</v>
      </c>
      <c r="C381" s="3">
        <v>45696.495486111111</v>
      </c>
      <c r="D381" t="s">
        <v>319</v>
      </c>
      <c r="E381" s="4">
        <v>0.27850822097063066</v>
      </c>
      <c r="F381" s="4">
        <v>346931.28953887481</v>
      </c>
      <c r="G381" s="4">
        <v>346931.56804709579</v>
      </c>
      <c r="H381" s="5">
        <f t="shared" si="4"/>
        <v>0</v>
      </c>
      <c r="I381" t="s">
        <v>157</v>
      </c>
      <c r="J381" t="s">
        <v>32</v>
      </c>
      <c r="K381" s="5">
        <f>60 / 86400</f>
        <v>6.9444444444444447E-4</v>
      </c>
      <c r="L381" s="5">
        <f>40 / 86400</f>
        <v>4.6296296296296298E-4</v>
      </c>
    </row>
    <row r="382" spans="1:12" x14ac:dyDescent="0.25">
      <c r="A382" s="3">
        <v>45696.495949074073</v>
      </c>
      <c r="B382" t="s">
        <v>319</v>
      </c>
      <c r="C382" s="3">
        <v>45696.496412037042</v>
      </c>
      <c r="D382" t="s">
        <v>317</v>
      </c>
      <c r="E382" s="4">
        <v>0.15884291040897369</v>
      </c>
      <c r="F382" s="4">
        <v>346931.57443172473</v>
      </c>
      <c r="G382" s="4">
        <v>346931.73327463516</v>
      </c>
      <c r="H382" s="5">
        <f t="shared" si="4"/>
        <v>0</v>
      </c>
      <c r="I382" t="s">
        <v>85</v>
      </c>
      <c r="J382" t="s">
        <v>41</v>
      </c>
      <c r="K382" s="5">
        <f>40 / 86400</f>
        <v>4.6296296296296298E-4</v>
      </c>
      <c r="L382" s="5">
        <f>60 / 86400</f>
        <v>6.9444444444444447E-4</v>
      </c>
    </row>
    <row r="383" spans="1:12" x14ac:dyDescent="0.25">
      <c r="A383" s="3">
        <v>45696.497106481482</v>
      </c>
      <c r="B383" t="s">
        <v>319</v>
      </c>
      <c r="C383" s="3">
        <v>45696.498495370368</v>
      </c>
      <c r="D383" t="s">
        <v>319</v>
      </c>
      <c r="E383" s="4">
        <v>0.71891890680789949</v>
      </c>
      <c r="F383" s="4">
        <v>346931.81088430405</v>
      </c>
      <c r="G383" s="4">
        <v>346932.52980321087</v>
      </c>
      <c r="H383" s="5">
        <f t="shared" si="4"/>
        <v>0</v>
      </c>
      <c r="I383" t="s">
        <v>287</v>
      </c>
      <c r="J383" t="s">
        <v>221</v>
      </c>
      <c r="K383" s="5">
        <f>120 / 86400</f>
        <v>1.3888888888888889E-3</v>
      </c>
      <c r="L383" s="5">
        <f>40 / 86400</f>
        <v>4.6296296296296298E-4</v>
      </c>
    </row>
    <row r="384" spans="1:12" x14ac:dyDescent="0.25">
      <c r="A384" s="3">
        <v>45696.498958333337</v>
      </c>
      <c r="B384" t="s">
        <v>319</v>
      </c>
      <c r="C384" s="3">
        <v>45696.499884259261</v>
      </c>
      <c r="D384" t="s">
        <v>354</v>
      </c>
      <c r="E384" s="4">
        <v>0.77072232675552366</v>
      </c>
      <c r="F384" s="4">
        <v>346932.55469251279</v>
      </c>
      <c r="G384" s="4">
        <v>346933.32541483955</v>
      </c>
      <c r="H384" s="5">
        <f t="shared" si="4"/>
        <v>0</v>
      </c>
      <c r="I384" t="s">
        <v>144</v>
      </c>
      <c r="J384" t="s">
        <v>157</v>
      </c>
      <c r="K384" s="5">
        <f>80 / 86400</f>
        <v>9.2592592592592596E-4</v>
      </c>
      <c r="L384" s="5">
        <f>80 / 86400</f>
        <v>9.2592592592592596E-4</v>
      </c>
    </row>
    <row r="385" spans="1:12" x14ac:dyDescent="0.25">
      <c r="A385" s="3">
        <v>45696.500810185185</v>
      </c>
      <c r="B385" t="s">
        <v>354</v>
      </c>
      <c r="C385" s="3">
        <v>45696.504687499997</v>
      </c>
      <c r="D385" t="s">
        <v>355</v>
      </c>
      <c r="E385" s="4">
        <v>2.2718551842570305</v>
      </c>
      <c r="F385" s="4">
        <v>346933.37295920943</v>
      </c>
      <c r="G385" s="4">
        <v>346935.64481439372</v>
      </c>
      <c r="H385" s="5">
        <f t="shared" si="4"/>
        <v>0</v>
      </c>
      <c r="I385" t="s">
        <v>240</v>
      </c>
      <c r="J385" t="s">
        <v>140</v>
      </c>
      <c r="K385" s="5">
        <f>335 / 86400</f>
        <v>3.8773148148148148E-3</v>
      </c>
      <c r="L385" s="5">
        <f>58 / 86400</f>
        <v>6.7129629629629625E-4</v>
      </c>
    </row>
    <row r="386" spans="1:12" x14ac:dyDescent="0.25">
      <c r="A386" s="3">
        <v>45696.505358796298</v>
      </c>
      <c r="B386" t="s">
        <v>355</v>
      </c>
      <c r="C386" s="3">
        <v>45696.50582175926</v>
      </c>
      <c r="D386" t="s">
        <v>224</v>
      </c>
      <c r="E386" s="4">
        <v>6.7697785437107083E-2</v>
      </c>
      <c r="F386" s="4">
        <v>346935.65245337476</v>
      </c>
      <c r="G386" s="4">
        <v>346935.7201511602</v>
      </c>
      <c r="H386" s="5">
        <f t="shared" si="4"/>
        <v>0</v>
      </c>
      <c r="I386" t="s">
        <v>136</v>
      </c>
      <c r="J386" t="s">
        <v>146</v>
      </c>
      <c r="K386" s="5">
        <f>40 / 86400</f>
        <v>4.6296296296296298E-4</v>
      </c>
      <c r="L386" s="5">
        <f>20 / 86400</f>
        <v>2.3148148148148149E-4</v>
      </c>
    </row>
    <row r="387" spans="1:12" x14ac:dyDescent="0.25">
      <c r="A387" s="3">
        <v>45696.506053240737</v>
      </c>
      <c r="B387" t="s">
        <v>224</v>
      </c>
      <c r="C387" s="3">
        <v>45696.506284722222</v>
      </c>
      <c r="D387" t="s">
        <v>224</v>
      </c>
      <c r="E387" s="4">
        <v>7.2978507280349733E-3</v>
      </c>
      <c r="F387" s="4">
        <v>346935.72274413903</v>
      </c>
      <c r="G387" s="4">
        <v>346935.73004198977</v>
      </c>
      <c r="H387" s="5">
        <f t="shared" si="4"/>
        <v>0</v>
      </c>
      <c r="I387" t="s">
        <v>91</v>
      </c>
      <c r="J387" t="s">
        <v>91</v>
      </c>
      <c r="K387" s="5">
        <f>20 / 86400</f>
        <v>2.3148148148148149E-4</v>
      </c>
      <c r="L387" s="5">
        <f>15 / 86400</f>
        <v>1.7361111111111112E-4</v>
      </c>
    </row>
    <row r="388" spans="1:12" x14ac:dyDescent="0.25">
      <c r="A388" s="3">
        <v>45696.50645833333</v>
      </c>
      <c r="B388" t="s">
        <v>224</v>
      </c>
      <c r="C388" s="3">
        <v>45696.509432870371</v>
      </c>
      <c r="D388" t="s">
        <v>356</v>
      </c>
      <c r="E388" s="4">
        <v>0.86821108555793758</v>
      </c>
      <c r="F388" s="4">
        <v>346935.73222771037</v>
      </c>
      <c r="G388" s="4">
        <v>346936.60043879593</v>
      </c>
      <c r="H388" s="5">
        <f t="shared" si="4"/>
        <v>0</v>
      </c>
      <c r="I388" t="s">
        <v>201</v>
      </c>
      <c r="J388" t="s">
        <v>59</v>
      </c>
      <c r="K388" s="5">
        <f>257 / 86400</f>
        <v>2.9745370370370373E-3</v>
      </c>
      <c r="L388" s="5">
        <f>17 / 86400</f>
        <v>1.9675925925925926E-4</v>
      </c>
    </row>
    <row r="389" spans="1:12" x14ac:dyDescent="0.25">
      <c r="A389" s="3">
        <v>45696.509629629625</v>
      </c>
      <c r="B389" t="s">
        <v>182</v>
      </c>
      <c r="C389" s="3">
        <v>45696.510370370372</v>
      </c>
      <c r="D389" t="s">
        <v>185</v>
      </c>
      <c r="E389" s="4">
        <v>5.9515897393226623E-2</v>
      </c>
      <c r="F389" s="4">
        <v>346936.61297251942</v>
      </c>
      <c r="G389" s="4">
        <v>346936.67248841678</v>
      </c>
      <c r="H389" s="5">
        <f t="shared" si="4"/>
        <v>0</v>
      </c>
      <c r="I389" t="s">
        <v>28</v>
      </c>
      <c r="J389" t="s">
        <v>188</v>
      </c>
      <c r="K389" s="5">
        <f>64 / 86400</f>
        <v>7.407407407407407E-4</v>
      </c>
      <c r="L389" s="5">
        <f>20 / 86400</f>
        <v>2.3148148148148149E-4</v>
      </c>
    </row>
    <row r="390" spans="1:12" x14ac:dyDescent="0.25">
      <c r="A390" s="3">
        <v>45696.510601851856</v>
      </c>
      <c r="B390" t="s">
        <v>189</v>
      </c>
      <c r="C390" s="3">
        <v>45696.512650462959</v>
      </c>
      <c r="D390" t="s">
        <v>220</v>
      </c>
      <c r="E390" s="4">
        <v>1.0846361841559411</v>
      </c>
      <c r="F390" s="4">
        <v>346936.89677979646</v>
      </c>
      <c r="G390" s="4">
        <v>346937.98141598061</v>
      </c>
      <c r="H390" s="5">
        <f t="shared" si="4"/>
        <v>0</v>
      </c>
      <c r="I390" t="s">
        <v>169</v>
      </c>
      <c r="J390" t="s">
        <v>221</v>
      </c>
      <c r="K390" s="5">
        <f>177 / 86400</f>
        <v>2.0486111111111113E-3</v>
      </c>
      <c r="L390" s="5">
        <f>26 / 86400</f>
        <v>3.0092592592592595E-4</v>
      </c>
    </row>
    <row r="391" spans="1:12" x14ac:dyDescent="0.25">
      <c r="A391" s="3">
        <v>45696.51295138889</v>
      </c>
      <c r="B391" t="s">
        <v>220</v>
      </c>
      <c r="C391" s="3">
        <v>45696.51525462963</v>
      </c>
      <c r="D391" t="s">
        <v>357</v>
      </c>
      <c r="E391" s="4">
        <v>1.2674183163642883</v>
      </c>
      <c r="F391" s="4">
        <v>346937.98605931329</v>
      </c>
      <c r="G391" s="4">
        <v>346939.25347762968</v>
      </c>
      <c r="H391" s="5">
        <f t="shared" si="4"/>
        <v>0</v>
      </c>
      <c r="I391" t="s">
        <v>23</v>
      </c>
      <c r="J391" t="s">
        <v>138</v>
      </c>
      <c r="K391" s="5">
        <f>199 / 86400</f>
        <v>2.3032407407407407E-3</v>
      </c>
      <c r="L391" s="5">
        <f>4 / 86400</f>
        <v>4.6296296296296294E-5</v>
      </c>
    </row>
    <row r="392" spans="1:12" x14ac:dyDescent="0.25">
      <c r="A392" s="3">
        <v>45696.515300925923</v>
      </c>
      <c r="B392" t="s">
        <v>273</v>
      </c>
      <c r="C392" s="3">
        <v>45696.517916666664</v>
      </c>
      <c r="D392" t="s">
        <v>358</v>
      </c>
      <c r="E392" s="4">
        <v>0.91363562113046648</v>
      </c>
      <c r="F392" s="4">
        <v>346939.31798885093</v>
      </c>
      <c r="G392" s="4">
        <v>346940.23162447207</v>
      </c>
      <c r="H392" s="5">
        <f t="shared" si="4"/>
        <v>0</v>
      </c>
      <c r="I392" t="s">
        <v>35</v>
      </c>
      <c r="J392" t="s">
        <v>24</v>
      </c>
      <c r="K392" s="5">
        <f>226 / 86400</f>
        <v>2.6157407407407405E-3</v>
      </c>
      <c r="L392" s="5">
        <f>20 / 86400</f>
        <v>2.3148148148148149E-4</v>
      </c>
    </row>
    <row r="393" spans="1:12" x14ac:dyDescent="0.25">
      <c r="A393" s="3">
        <v>45696.518148148149</v>
      </c>
      <c r="B393" t="s">
        <v>359</v>
      </c>
      <c r="C393" s="3">
        <v>45696.518379629633</v>
      </c>
      <c r="D393" t="s">
        <v>359</v>
      </c>
      <c r="E393" s="4">
        <v>1.1229708194732665E-2</v>
      </c>
      <c r="F393" s="4">
        <v>346940.27851277904</v>
      </c>
      <c r="G393" s="4">
        <v>346940.28974248725</v>
      </c>
      <c r="H393" s="5">
        <f t="shared" si="4"/>
        <v>0</v>
      </c>
      <c r="I393" t="s">
        <v>136</v>
      </c>
      <c r="J393" t="s">
        <v>132</v>
      </c>
      <c r="K393" s="5">
        <f>20 / 86400</f>
        <v>2.3148148148148149E-4</v>
      </c>
      <c r="L393" s="5">
        <f>18 / 86400</f>
        <v>2.0833333333333335E-4</v>
      </c>
    </row>
    <row r="394" spans="1:12" x14ac:dyDescent="0.25">
      <c r="A394" s="3">
        <v>45696.518587962964</v>
      </c>
      <c r="B394" t="s">
        <v>359</v>
      </c>
      <c r="C394" s="3">
        <v>45696.520879629628</v>
      </c>
      <c r="D394" t="s">
        <v>122</v>
      </c>
      <c r="E394" s="4">
        <v>0.26309928160905838</v>
      </c>
      <c r="F394" s="4">
        <v>346940.30075831851</v>
      </c>
      <c r="G394" s="4">
        <v>346940.56385760009</v>
      </c>
      <c r="H394" s="5">
        <f t="shared" si="4"/>
        <v>0</v>
      </c>
      <c r="I394" t="s">
        <v>32</v>
      </c>
      <c r="J394" t="s">
        <v>136</v>
      </c>
      <c r="K394" s="5">
        <f>198 / 86400</f>
        <v>2.2916666666666667E-3</v>
      </c>
      <c r="L394" s="5">
        <f>20 / 86400</f>
        <v>2.3148148148148149E-4</v>
      </c>
    </row>
    <row r="395" spans="1:12" x14ac:dyDescent="0.25">
      <c r="A395" s="3">
        <v>45696.521111111113</v>
      </c>
      <c r="B395" t="s">
        <v>122</v>
      </c>
      <c r="C395" s="3">
        <v>45696.521574074075</v>
      </c>
      <c r="D395" t="s">
        <v>360</v>
      </c>
      <c r="E395" s="4">
        <v>5.2503015756607055E-2</v>
      </c>
      <c r="F395" s="4">
        <v>346940.58646546316</v>
      </c>
      <c r="G395" s="4">
        <v>346940.63896847895</v>
      </c>
      <c r="H395" s="5">
        <f t="shared" si="4"/>
        <v>0</v>
      </c>
      <c r="I395" t="s">
        <v>146</v>
      </c>
      <c r="J395" t="s">
        <v>136</v>
      </c>
      <c r="K395" s="5">
        <f>40 / 86400</f>
        <v>4.6296296296296298E-4</v>
      </c>
      <c r="L395" s="5">
        <f>20 / 86400</f>
        <v>2.3148148148148149E-4</v>
      </c>
    </row>
    <row r="396" spans="1:12" x14ac:dyDescent="0.25">
      <c r="A396" s="3">
        <v>45696.52180555556</v>
      </c>
      <c r="B396" t="s">
        <v>360</v>
      </c>
      <c r="C396" s="3">
        <v>45696.522511574076</v>
      </c>
      <c r="D396" t="s">
        <v>360</v>
      </c>
      <c r="E396" s="4">
        <v>8.4810489475727086E-2</v>
      </c>
      <c r="F396" s="4">
        <v>346940.68016360927</v>
      </c>
      <c r="G396" s="4">
        <v>346940.76497409877</v>
      </c>
      <c r="H396" s="5">
        <f t="shared" si="4"/>
        <v>0</v>
      </c>
      <c r="I396" t="s">
        <v>90</v>
      </c>
      <c r="J396" t="s">
        <v>136</v>
      </c>
      <c r="K396" s="5">
        <f>61 / 86400</f>
        <v>7.0601851851851847E-4</v>
      </c>
      <c r="L396" s="5">
        <f>39 / 86400</f>
        <v>4.5138888888888887E-4</v>
      </c>
    </row>
    <row r="397" spans="1:12" x14ac:dyDescent="0.25">
      <c r="A397" s="3">
        <v>45696.522962962961</v>
      </c>
      <c r="B397" t="s">
        <v>122</v>
      </c>
      <c r="C397" s="3">
        <v>45696.523194444446</v>
      </c>
      <c r="D397" t="s">
        <v>122</v>
      </c>
      <c r="E397" s="4">
        <v>8.6891350150108335E-3</v>
      </c>
      <c r="F397" s="4">
        <v>346940.79149086348</v>
      </c>
      <c r="G397" s="4">
        <v>346940.80017999851</v>
      </c>
      <c r="H397" s="5">
        <f t="shared" si="4"/>
        <v>0</v>
      </c>
      <c r="I397" t="s">
        <v>136</v>
      </c>
      <c r="J397" t="s">
        <v>132</v>
      </c>
      <c r="K397" s="5">
        <f>20 / 86400</f>
        <v>2.3148148148148149E-4</v>
      </c>
      <c r="L397" s="5">
        <f>80 / 86400</f>
        <v>9.2592592592592596E-4</v>
      </c>
    </row>
    <row r="398" spans="1:12" x14ac:dyDescent="0.25">
      <c r="A398" s="3">
        <v>45696.52412037037</v>
      </c>
      <c r="B398" t="s">
        <v>361</v>
      </c>
      <c r="C398" s="3">
        <v>45696.527928240743</v>
      </c>
      <c r="D398" t="s">
        <v>362</v>
      </c>
      <c r="E398" s="4">
        <v>1.1118603134751319</v>
      </c>
      <c r="F398" s="4">
        <v>346940.87591278303</v>
      </c>
      <c r="G398" s="4">
        <v>346941.98777309648</v>
      </c>
      <c r="H398" s="5">
        <f t="shared" si="4"/>
        <v>0</v>
      </c>
      <c r="I398" t="s">
        <v>180</v>
      </c>
      <c r="J398" t="s">
        <v>59</v>
      </c>
      <c r="K398" s="5">
        <f>329 / 86400</f>
        <v>3.8078703703703703E-3</v>
      </c>
      <c r="L398" s="5">
        <f>20 / 86400</f>
        <v>2.3148148148148149E-4</v>
      </c>
    </row>
    <row r="399" spans="1:12" x14ac:dyDescent="0.25">
      <c r="A399" s="3">
        <v>45696.52815972222</v>
      </c>
      <c r="B399" t="s">
        <v>362</v>
      </c>
      <c r="C399" s="3">
        <v>45696.530023148152</v>
      </c>
      <c r="D399" t="s">
        <v>280</v>
      </c>
      <c r="E399" s="4">
        <v>0.89379401201009745</v>
      </c>
      <c r="F399" s="4">
        <v>346941.99398711161</v>
      </c>
      <c r="G399" s="4">
        <v>346942.88778112363</v>
      </c>
      <c r="H399" s="5">
        <f t="shared" si="4"/>
        <v>0</v>
      </c>
      <c r="I399" t="s">
        <v>345</v>
      </c>
      <c r="J399" t="s">
        <v>175</v>
      </c>
      <c r="K399" s="5">
        <f>161 / 86400</f>
        <v>1.8634259259259259E-3</v>
      </c>
      <c r="L399" s="5">
        <f>60 / 86400</f>
        <v>6.9444444444444447E-4</v>
      </c>
    </row>
    <row r="400" spans="1:12" x14ac:dyDescent="0.25">
      <c r="A400" s="3">
        <v>45696.530717592592</v>
      </c>
      <c r="B400" t="s">
        <v>363</v>
      </c>
      <c r="C400" s="3">
        <v>45696.531180555554</v>
      </c>
      <c r="D400" t="s">
        <v>364</v>
      </c>
      <c r="E400" s="4">
        <v>8.8602967381477354E-2</v>
      </c>
      <c r="F400" s="4">
        <v>346943.20161163673</v>
      </c>
      <c r="G400" s="4">
        <v>346943.29021460412</v>
      </c>
      <c r="H400" s="5">
        <f t="shared" si="4"/>
        <v>0</v>
      </c>
      <c r="I400" t="s">
        <v>240</v>
      </c>
      <c r="J400" t="s">
        <v>151</v>
      </c>
      <c r="K400" s="5">
        <f>40 / 86400</f>
        <v>4.6296296296296298E-4</v>
      </c>
      <c r="L400" s="5">
        <f>60 / 86400</f>
        <v>6.9444444444444447E-4</v>
      </c>
    </row>
    <row r="401" spans="1:12" x14ac:dyDescent="0.25">
      <c r="A401" s="3">
        <v>45696.531875000001</v>
      </c>
      <c r="B401" t="s">
        <v>142</v>
      </c>
      <c r="C401" s="3">
        <v>45696.533032407402</v>
      </c>
      <c r="D401" t="s">
        <v>304</v>
      </c>
      <c r="E401" s="4">
        <v>0.95133304882049563</v>
      </c>
      <c r="F401" s="4">
        <v>346943.34734231897</v>
      </c>
      <c r="G401" s="4">
        <v>346944.29867536778</v>
      </c>
      <c r="H401" s="5">
        <f t="shared" si="4"/>
        <v>0</v>
      </c>
      <c r="I401" t="s">
        <v>144</v>
      </c>
      <c r="J401" t="s">
        <v>218</v>
      </c>
      <c r="K401" s="5">
        <f>100 / 86400</f>
        <v>1.1574074074074073E-3</v>
      </c>
      <c r="L401" s="5">
        <f>20 / 86400</f>
        <v>2.3148148148148149E-4</v>
      </c>
    </row>
    <row r="402" spans="1:12" x14ac:dyDescent="0.25">
      <c r="A402" s="3">
        <v>45696.533263888894</v>
      </c>
      <c r="B402" t="s">
        <v>365</v>
      </c>
      <c r="C402" s="3">
        <v>45696.533495370371</v>
      </c>
      <c r="D402" t="s">
        <v>143</v>
      </c>
      <c r="E402" s="4">
        <v>0.21877802681922912</v>
      </c>
      <c r="F402" s="4">
        <v>346944.51361582521</v>
      </c>
      <c r="G402" s="4">
        <v>346944.73239385203</v>
      </c>
      <c r="H402" s="5">
        <f t="shared" si="4"/>
        <v>0</v>
      </c>
      <c r="I402" t="s">
        <v>249</v>
      </c>
      <c r="J402" t="s">
        <v>287</v>
      </c>
      <c r="K402" s="5">
        <f>20 / 86400</f>
        <v>2.3148148148148149E-4</v>
      </c>
      <c r="L402" s="5">
        <f>7 / 86400</f>
        <v>8.1018518518518516E-5</v>
      </c>
    </row>
    <row r="403" spans="1:12" x14ac:dyDescent="0.25">
      <c r="A403" s="3">
        <v>45696.533576388887</v>
      </c>
      <c r="B403" t="s">
        <v>143</v>
      </c>
      <c r="C403" s="3">
        <v>45696.534502314811</v>
      </c>
      <c r="D403" t="s">
        <v>366</v>
      </c>
      <c r="E403" s="4">
        <v>0.56597331357002256</v>
      </c>
      <c r="F403" s="4">
        <v>346944.73548085766</v>
      </c>
      <c r="G403" s="4">
        <v>346945.30145417125</v>
      </c>
      <c r="H403" s="5">
        <f t="shared" si="4"/>
        <v>0</v>
      </c>
      <c r="I403" t="s">
        <v>194</v>
      </c>
      <c r="J403" t="s">
        <v>161</v>
      </c>
      <c r="K403" s="5">
        <f>80 / 86400</f>
        <v>9.2592592592592596E-4</v>
      </c>
      <c r="L403" s="5">
        <f>79 / 86400</f>
        <v>9.1435185185185185E-4</v>
      </c>
    </row>
    <row r="404" spans="1:12" x14ac:dyDescent="0.25">
      <c r="A404" s="3">
        <v>45696.535416666666</v>
      </c>
      <c r="B404" t="s">
        <v>366</v>
      </c>
      <c r="C404" s="3">
        <v>45696.536087962959</v>
      </c>
      <c r="D404" t="s">
        <v>367</v>
      </c>
      <c r="E404" s="4">
        <v>0.13974266785383224</v>
      </c>
      <c r="F404" s="4">
        <v>346945.33050664025</v>
      </c>
      <c r="G404" s="4">
        <v>346945.4702493081</v>
      </c>
      <c r="H404" s="5">
        <f t="shared" si="4"/>
        <v>0</v>
      </c>
      <c r="I404" t="s">
        <v>165</v>
      </c>
      <c r="J404" t="s">
        <v>162</v>
      </c>
      <c r="K404" s="5">
        <f>58 / 86400</f>
        <v>6.7129629629629625E-4</v>
      </c>
      <c r="L404" s="5">
        <f>20 / 86400</f>
        <v>2.3148148148148149E-4</v>
      </c>
    </row>
    <row r="405" spans="1:12" x14ac:dyDescent="0.25">
      <c r="A405" s="3">
        <v>45696.536319444444</v>
      </c>
      <c r="B405" t="s">
        <v>368</v>
      </c>
      <c r="C405" s="3">
        <v>45696.537083333329</v>
      </c>
      <c r="D405" t="s">
        <v>369</v>
      </c>
      <c r="E405" s="4">
        <v>9.4722727894783018E-2</v>
      </c>
      <c r="F405" s="4">
        <v>346945.50990131765</v>
      </c>
      <c r="G405" s="4">
        <v>346945.60462404555</v>
      </c>
      <c r="H405" s="5">
        <f t="shared" si="4"/>
        <v>0</v>
      </c>
      <c r="I405" t="s">
        <v>146</v>
      </c>
      <c r="J405" t="s">
        <v>136</v>
      </c>
      <c r="K405" s="5">
        <f>66 / 86400</f>
        <v>7.6388888888888893E-4</v>
      </c>
      <c r="L405" s="5">
        <f>20 / 86400</f>
        <v>2.3148148148148149E-4</v>
      </c>
    </row>
    <row r="406" spans="1:12" x14ac:dyDescent="0.25">
      <c r="A406" s="3">
        <v>45696.537314814814</v>
      </c>
      <c r="B406" t="s">
        <v>369</v>
      </c>
      <c r="C406" s="3">
        <v>45696.537546296298</v>
      </c>
      <c r="D406" t="s">
        <v>369</v>
      </c>
      <c r="E406" s="4">
        <v>1.8820157051086426E-3</v>
      </c>
      <c r="F406" s="4">
        <v>346945.61420854158</v>
      </c>
      <c r="G406" s="4">
        <v>346945.61609055731</v>
      </c>
      <c r="H406" s="5">
        <f t="shared" si="4"/>
        <v>0</v>
      </c>
      <c r="I406" t="s">
        <v>91</v>
      </c>
      <c r="J406" t="s">
        <v>133</v>
      </c>
      <c r="K406" s="5">
        <f>20 / 86400</f>
        <v>2.3148148148148149E-4</v>
      </c>
      <c r="L406" s="5">
        <f>60 / 86400</f>
        <v>6.9444444444444447E-4</v>
      </c>
    </row>
    <row r="407" spans="1:12" x14ac:dyDescent="0.25">
      <c r="A407" s="3">
        <v>45696.538240740745</v>
      </c>
      <c r="B407" t="s">
        <v>200</v>
      </c>
      <c r="C407" s="3">
        <v>45696.5387037037</v>
      </c>
      <c r="D407" t="s">
        <v>200</v>
      </c>
      <c r="E407" s="4">
        <v>3.1691381156444549E-2</v>
      </c>
      <c r="F407" s="4">
        <v>346945.64103384357</v>
      </c>
      <c r="G407" s="4">
        <v>346945.67272522475</v>
      </c>
      <c r="H407" s="5">
        <f t="shared" si="4"/>
        <v>0</v>
      </c>
      <c r="I407" t="s">
        <v>132</v>
      </c>
      <c r="J407" t="s">
        <v>188</v>
      </c>
      <c r="K407" s="5">
        <f>40 / 86400</f>
        <v>4.6296296296296298E-4</v>
      </c>
      <c r="L407" s="5">
        <f>20 / 86400</f>
        <v>2.3148148148148149E-4</v>
      </c>
    </row>
    <row r="408" spans="1:12" x14ac:dyDescent="0.25">
      <c r="A408" s="3">
        <v>45696.538935185185</v>
      </c>
      <c r="B408" t="s">
        <v>200</v>
      </c>
      <c r="C408" s="3">
        <v>45696.542314814811</v>
      </c>
      <c r="D408" t="s">
        <v>214</v>
      </c>
      <c r="E408" s="4">
        <v>1.8351972604393958</v>
      </c>
      <c r="F408" s="4">
        <v>346945.68021871691</v>
      </c>
      <c r="G408" s="4">
        <v>346947.51541597734</v>
      </c>
      <c r="H408" s="5">
        <f t="shared" si="4"/>
        <v>0</v>
      </c>
      <c r="I408" t="s">
        <v>251</v>
      </c>
      <c r="J408" t="s">
        <v>138</v>
      </c>
      <c r="K408" s="5">
        <f>292 / 86400</f>
        <v>3.3796296296296296E-3</v>
      </c>
      <c r="L408" s="5">
        <f>40 / 86400</f>
        <v>4.6296296296296298E-4</v>
      </c>
    </row>
    <row r="409" spans="1:12" x14ac:dyDescent="0.25">
      <c r="A409" s="3">
        <v>45696.54277777778</v>
      </c>
      <c r="B409" t="s">
        <v>214</v>
      </c>
      <c r="C409" s="3">
        <v>45696.543761574074</v>
      </c>
      <c r="D409" t="s">
        <v>370</v>
      </c>
      <c r="E409" s="4">
        <v>0.29977870321273803</v>
      </c>
      <c r="F409" s="4">
        <v>346947.52709018264</v>
      </c>
      <c r="G409" s="4">
        <v>346947.8268688859</v>
      </c>
      <c r="H409" s="5">
        <f t="shared" si="4"/>
        <v>0</v>
      </c>
      <c r="I409" t="s">
        <v>241</v>
      </c>
      <c r="J409" t="s">
        <v>47</v>
      </c>
      <c r="K409" s="5">
        <f>85 / 86400</f>
        <v>9.837962962962962E-4</v>
      </c>
      <c r="L409" s="5">
        <f>40 / 86400</f>
        <v>4.6296296296296298E-4</v>
      </c>
    </row>
    <row r="410" spans="1:12" x14ac:dyDescent="0.25">
      <c r="A410" s="3">
        <v>45696.544224537036</v>
      </c>
      <c r="B410" t="s">
        <v>371</v>
      </c>
      <c r="C410" s="3">
        <v>45696.544652777782</v>
      </c>
      <c r="D410" t="s">
        <v>371</v>
      </c>
      <c r="E410" s="4">
        <v>2.4759981155395509E-2</v>
      </c>
      <c r="F410" s="4">
        <v>346948.11016498267</v>
      </c>
      <c r="G410" s="4">
        <v>346948.13492496382</v>
      </c>
      <c r="H410" s="5">
        <f t="shared" si="4"/>
        <v>0</v>
      </c>
      <c r="I410" t="s">
        <v>90</v>
      </c>
      <c r="J410" t="s">
        <v>132</v>
      </c>
      <c r="K410" s="5">
        <f>37 / 86400</f>
        <v>4.2824074074074075E-4</v>
      </c>
      <c r="L410" s="5">
        <f>20 / 86400</f>
        <v>2.3148148148148149E-4</v>
      </c>
    </row>
    <row r="411" spans="1:12" x14ac:dyDescent="0.25">
      <c r="A411" s="3">
        <v>45696.54488425926</v>
      </c>
      <c r="B411" t="s">
        <v>371</v>
      </c>
      <c r="C411" s="3">
        <v>45696.546053240745</v>
      </c>
      <c r="D411" t="s">
        <v>372</v>
      </c>
      <c r="E411" s="4">
        <v>0.24511219024658204</v>
      </c>
      <c r="F411" s="4">
        <v>346948.15593388735</v>
      </c>
      <c r="G411" s="4">
        <v>346948.4010460776</v>
      </c>
      <c r="H411" s="5">
        <f t="shared" si="4"/>
        <v>0</v>
      </c>
      <c r="I411" t="s">
        <v>28</v>
      </c>
      <c r="J411" t="s">
        <v>162</v>
      </c>
      <c r="K411" s="5">
        <f>101 / 86400</f>
        <v>1.1689814814814816E-3</v>
      </c>
      <c r="L411" s="5">
        <f>40 / 86400</f>
        <v>4.6296296296296298E-4</v>
      </c>
    </row>
    <row r="412" spans="1:12" x14ac:dyDescent="0.25">
      <c r="A412" s="3">
        <v>45696.5465162037</v>
      </c>
      <c r="B412" t="s">
        <v>372</v>
      </c>
      <c r="C412" s="3">
        <v>45696.549120370371</v>
      </c>
      <c r="D412" t="s">
        <v>311</v>
      </c>
      <c r="E412" s="4">
        <v>0.63711620163917537</v>
      </c>
      <c r="F412" s="4">
        <v>346948.43144708948</v>
      </c>
      <c r="G412" s="4">
        <v>346949.0685632911</v>
      </c>
      <c r="H412" s="5">
        <f t="shared" si="4"/>
        <v>0</v>
      </c>
      <c r="I412" t="s">
        <v>165</v>
      </c>
      <c r="J412" t="s">
        <v>85</v>
      </c>
      <c r="K412" s="5">
        <f>225 / 86400</f>
        <v>2.6041666666666665E-3</v>
      </c>
      <c r="L412" s="5">
        <f>4 / 86400</f>
        <v>4.6296296296296294E-5</v>
      </c>
    </row>
    <row r="413" spans="1:12" x14ac:dyDescent="0.25">
      <c r="A413" s="3">
        <v>45696.549166666664</v>
      </c>
      <c r="B413" t="s">
        <v>192</v>
      </c>
      <c r="C413" s="3">
        <v>45696.549398148149</v>
      </c>
      <c r="D413" t="s">
        <v>192</v>
      </c>
      <c r="E413" s="4">
        <v>2.7421931564807892E-2</v>
      </c>
      <c r="F413" s="4">
        <v>346949.07166761026</v>
      </c>
      <c r="G413" s="4">
        <v>346949.09908954188</v>
      </c>
      <c r="H413" s="5">
        <f t="shared" si="4"/>
        <v>0</v>
      </c>
      <c r="I413" t="s">
        <v>136</v>
      </c>
      <c r="J413" t="s">
        <v>136</v>
      </c>
      <c r="K413" s="5">
        <f>20 / 86400</f>
        <v>2.3148148148148149E-4</v>
      </c>
      <c r="L413" s="5">
        <f>40 / 86400</f>
        <v>4.6296296296296298E-4</v>
      </c>
    </row>
    <row r="414" spans="1:12" x14ac:dyDescent="0.25">
      <c r="A414" s="3">
        <v>45696.549861111111</v>
      </c>
      <c r="B414" t="s">
        <v>122</v>
      </c>
      <c r="C414" s="3">
        <v>45696.550324074073</v>
      </c>
      <c r="D414" t="s">
        <v>122</v>
      </c>
      <c r="E414" s="4">
        <v>5.6151389479637149E-3</v>
      </c>
      <c r="F414" s="4">
        <v>346949.12022775837</v>
      </c>
      <c r="G414" s="4">
        <v>346949.12584289728</v>
      </c>
      <c r="H414" s="5">
        <f t="shared" si="4"/>
        <v>0</v>
      </c>
      <c r="I414" t="s">
        <v>136</v>
      </c>
      <c r="J414" t="s">
        <v>91</v>
      </c>
      <c r="K414" s="5">
        <f>40 / 86400</f>
        <v>4.6296296296296298E-4</v>
      </c>
      <c r="L414" s="5">
        <f>60 / 86400</f>
        <v>6.9444444444444447E-4</v>
      </c>
    </row>
    <row r="415" spans="1:12" x14ac:dyDescent="0.25">
      <c r="A415" s="3">
        <v>45696.551018518519</v>
      </c>
      <c r="B415" t="s">
        <v>122</v>
      </c>
      <c r="C415" s="3">
        <v>45696.551250000004</v>
      </c>
      <c r="D415" t="s">
        <v>360</v>
      </c>
      <c r="E415" s="4">
        <v>1.390996265411377E-2</v>
      </c>
      <c r="F415" s="4">
        <v>346949.15452092537</v>
      </c>
      <c r="G415" s="4">
        <v>346949.16843088798</v>
      </c>
      <c r="H415" s="5">
        <f t="shared" si="4"/>
        <v>0</v>
      </c>
      <c r="I415" t="s">
        <v>146</v>
      </c>
      <c r="J415" t="s">
        <v>188</v>
      </c>
      <c r="K415" s="5">
        <f>20 / 86400</f>
        <v>2.3148148148148149E-4</v>
      </c>
      <c r="L415" s="5">
        <f>16 / 86400</f>
        <v>1.8518518518518518E-4</v>
      </c>
    </row>
    <row r="416" spans="1:12" x14ac:dyDescent="0.25">
      <c r="A416" s="3">
        <v>45696.551435185189</v>
      </c>
      <c r="B416" t="s">
        <v>360</v>
      </c>
      <c r="C416" s="3">
        <v>45696.551898148144</v>
      </c>
      <c r="D416" t="s">
        <v>360</v>
      </c>
      <c r="E416" s="4">
        <v>2.1004192769527436E-2</v>
      </c>
      <c r="F416" s="4">
        <v>346949.18814447388</v>
      </c>
      <c r="G416" s="4">
        <v>346949.20914866671</v>
      </c>
      <c r="H416" s="5">
        <f t="shared" si="4"/>
        <v>0</v>
      </c>
      <c r="I416" t="s">
        <v>20</v>
      </c>
      <c r="J416" t="s">
        <v>132</v>
      </c>
      <c r="K416" s="5">
        <f>40 / 86400</f>
        <v>4.6296296296296298E-4</v>
      </c>
      <c r="L416" s="5">
        <f>9 / 86400</f>
        <v>1.0416666666666667E-4</v>
      </c>
    </row>
    <row r="417" spans="1:12" x14ac:dyDescent="0.25">
      <c r="A417" s="3">
        <v>45696.552002314813</v>
      </c>
      <c r="B417" t="s">
        <v>360</v>
      </c>
      <c r="C417" s="3">
        <v>45696.552233796298</v>
      </c>
      <c r="D417" t="s">
        <v>373</v>
      </c>
      <c r="E417" s="4">
        <v>1.3452149152755737E-2</v>
      </c>
      <c r="F417" s="4">
        <v>346949.21205813962</v>
      </c>
      <c r="G417" s="4">
        <v>346949.22551028879</v>
      </c>
      <c r="H417" s="5">
        <f t="shared" si="4"/>
        <v>0</v>
      </c>
      <c r="I417" t="s">
        <v>136</v>
      </c>
      <c r="J417" t="s">
        <v>132</v>
      </c>
      <c r="K417" s="5">
        <f>20 / 86400</f>
        <v>2.3148148148148149E-4</v>
      </c>
      <c r="L417" s="5">
        <f>260 / 86400</f>
        <v>3.0092592592592593E-3</v>
      </c>
    </row>
    <row r="418" spans="1:12" x14ac:dyDescent="0.25">
      <c r="A418" s="3">
        <v>45696.555243055554</v>
      </c>
      <c r="B418" t="s">
        <v>373</v>
      </c>
      <c r="C418" s="3">
        <v>45696.555474537032</v>
      </c>
      <c r="D418" t="s">
        <v>373</v>
      </c>
      <c r="E418" s="4">
        <v>3.2573051869869231E-2</v>
      </c>
      <c r="F418" s="4">
        <v>346949.30911198747</v>
      </c>
      <c r="G418" s="4">
        <v>346949.34168503934</v>
      </c>
      <c r="H418" s="5">
        <f t="shared" si="4"/>
        <v>0</v>
      </c>
      <c r="I418" t="s">
        <v>188</v>
      </c>
      <c r="J418" t="s">
        <v>146</v>
      </c>
      <c r="K418" s="5">
        <f>20 / 86400</f>
        <v>2.3148148148148149E-4</v>
      </c>
      <c r="L418" s="5">
        <f>16 / 86400</f>
        <v>1.8518518518518518E-4</v>
      </c>
    </row>
    <row r="419" spans="1:12" x14ac:dyDescent="0.25">
      <c r="A419" s="3">
        <v>45696.555659722224</v>
      </c>
      <c r="B419" t="s">
        <v>361</v>
      </c>
      <c r="C419" s="3">
        <v>45696.557187500002</v>
      </c>
      <c r="D419" t="s">
        <v>122</v>
      </c>
      <c r="E419" s="4">
        <v>0.29818952429294587</v>
      </c>
      <c r="F419" s="4">
        <v>346949.39212375408</v>
      </c>
      <c r="G419" s="4">
        <v>346949.69031327835</v>
      </c>
      <c r="H419" s="5">
        <f t="shared" si="4"/>
        <v>0</v>
      </c>
      <c r="I419" t="s">
        <v>47</v>
      </c>
      <c r="J419" t="s">
        <v>151</v>
      </c>
      <c r="K419" s="5">
        <f>132 / 86400</f>
        <v>1.5277777777777779E-3</v>
      </c>
      <c r="L419" s="5">
        <f>20 / 86400</f>
        <v>2.3148148148148149E-4</v>
      </c>
    </row>
    <row r="420" spans="1:12" x14ac:dyDescent="0.25">
      <c r="A420" s="3">
        <v>45696.55741898148</v>
      </c>
      <c r="B420" t="s">
        <v>122</v>
      </c>
      <c r="C420" s="3">
        <v>45696.557881944449</v>
      </c>
      <c r="D420" t="s">
        <v>122</v>
      </c>
      <c r="E420" s="4">
        <v>3.6817997455596926E-2</v>
      </c>
      <c r="F420" s="4">
        <v>346949.70296785084</v>
      </c>
      <c r="G420" s="4">
        <v>346949.7397858483</v>
      </c>
      <c r="H420" s="5">
        <f t="shared" si="4"/>
        <v>0</v>
      </c>
      <c r="I420" t="s">
        <v>85</v>
      </c>
      <c r="J420" t="s">
        <v>188</v>
      </c>
      <c r="K420" s="5">
        <f>40 / 86400</f>
        <v>4.6296296296296298E-4</v>
      </c>
      <c r="L420" s="5">
        <f>100 / 86400</f>
        <v>1.1574074074074073E-3</v>
      </c>
    </row>
    <row r="421" spans="1:12" x14ac:dyDescent="0.25">
      <c r="A421" s="3">
        <v>45696.559039351851</v>
      </c>
      <c r="B421" t="s">
        <v>122</v>
      </c>
      <c r="C421" s="3">
        <v>45696.559270833328</v>
      </c>
      <c r="D421" t="s">
        <v>360</v>
      </c>
      <c r="E421" s="4">
        <v>1.4739049434661864E-2</v>
      </c>
      <c r="F421" s="4">
        <v>346949.8044057964</v>
      </c>
      <c r="G421" s="4">
        <v>346949.81914484582</v>
      </c>
      <c r="H421" s="5">
        <f t="shared" si="4"/>
        <v>0</v>
      </c>
      <c r="I421" t="s">
        <v>146</v>
      </c>
      <c r="J421" t="s">
        <v>188</v>
      </c>
      <c r="K421" s="5">
        <f>20 / 86400</f>
        <v>2.3148148148148149E-4</v>
      </c>
      <c r="L421" s="5">
        <f>90 / 86400</f>
        <v>1.0416666666666667E-3</v>
      </c>
    </row>
    <row r="422" spans="1:12" x14ac:dyDescent="0.25">
      <c r="A422" s="3">
        <v>45696.560312500005</v>
      </c>
      <c r="B422" t="s">
        <v>312</v>
      </c>
      <c r="C422" s="3">
        <v>45696.560543981483</v>
      </c>
      <c r="D422" t="s">
        <v>312</v>
      </c>
      <c r="E422" s="4">
        <v>2.7424055576324463E-2</v>
      </c>
      <c r="F422" s="4">
        <v>346949.84086679481</v>
      </c>
      <c r="G422" s="4">
        <v>346949.86829085043</v>
      </c>
      <c r="H422" s="5">
        <f t="shared" si="4"/>
        <v>0</v>
      </c>
      <c r="I422" t="s">
        <v>136</v>
      </c>
      <c r="J422" t="s">
        <v>136</v>
      </c>
      <c r="K422" s="5">
        <f>20 / 86400</f>
        <v>2.3148148148148149E-4</v>
      </c>
      <c r="L422" s="5">
        <f>20 / 86400</f>
        <v>2.3148148148148149E-4</v>
      </c>
    </row>
    <row r="423" spans="1:12" x14ac:dyDescent="0.25">
      <c r="A423" s="3">
        <v>45696.56077546296</v>
      </c>
      <c r="B423" t="s">
        <v>374</v>
      </c>
      <c r="C423" s="3">
        <v>45696.561238425929</v>
      </c>
      <c r="D423" t="s">
        <v>358</v>
      </c>
      <c r="E423" s="4">
        <v>1.8613750696182253E-2</v>
      </c>
      <c r="F423" s="4">
        <v>346949.90125036839</v>
      </c>
      <c r="G423" s="4">
        <v>346949.91986411909</v>
      </c>
      <c r="H423" s="5">
        <f t="shared" si="4"/>
        <v>0</v>
      </c>
      <c r="I423" t="s">
        <v>90</v>
      </c>
      <c r="J423" t="s">
        <v>132</v>
      </c>
      <c r="K423" s="5">
        <f>40 / 86400</f>
        <v>4.6296296296296298E-4</v>
      </c>
      <c r="L423" s="5">
        <f>40 / 86400</f>
        <v>4.6296296296296298E-4</v>
      </c>
    </row>
    <row r="424" spans="1:12" x14ac:dyDescent="0.25">
      <c r="A424" s="3">
        <v>45696.561701388884</v>
      </c>
      <c r="B424" t="s">
        <v>358</v>
      </c>
      <c r="C424" s="3">
        <v>45696.563680555555</v>
      </c>
      <c r="D424" t="s">
        <v>65</v>
      </c>
      <c r="E424" s="4">
        <v>0.87878177398443225</v>
      </c>
      <c r="F424" s="4">
        <v>346949.92736182874</v>
      </c>
      <c r="G424" s="4">
        <v>346950.80614360271</v>
      </c>
      <c r="H424" s="5">
        <f t="shared" si="4"/>
        <v>0</v>
      </c>
      <c r="I424" t="s">
        <v>239</v>
      </c>
      <c r="J424" t="s">
        <v>94</v>
      </c>
      <c r="K424" s="5">
        <f>171 / 86400</f>
        <v>1.9791666666666668E-3</v>
      </c>
      <c r="L424" s="5">
        <f>40 / 86400</f>
        <v>4.6296296296296298E-4</v>
      </c>
    </row>
    <row r="425" spans="1:12" x14ac:dyDescent="0.25">
      <c r="A425" s="3">
        <v>45696.564143518517</v>
      </c>
      <c r="B425" t="s">
        <v>314</v>
      </c>
      <c r="C425" s="3">
        <v>45696.567129629635</v>
      </c>
      <c r="D425" t="s">
        <v>375</v>
      </c>
      <c r="E425" s="4">
        <v>1.0917103549838065</v>
      </c>
      <c r="F425" s="4">
        <v>346950.83253407408</v>
      </c>
      <c r="G425" s="4">
        <v>346951.92424442904</v>
      </c>
      <c r="H425" s="5">
        <f t="shared" si="4"/>
        <v>0</v>
      </c>
      <c r="I425" t="s">
        <v>178</v>
      </c>
      <c r="J425" t="s">
        <v>24</v>
      </c>
      <c r="K425" s="5">
        <f>258 / 86400</f>
        <v>2.9861111111111113E-3</v>
      </c>
      <c r="L425" s="5">
        <f>20 / 86400</f>
        <v>2.3148148148148149E-4</v>
      </c>
    </row>
    <row r="426" spans="1:12" x14ac:dyDescent="0.25">
      <c r="A426" s="3">
        <v>45696.567361111112</v>
      </c>
      <c r="B426" t="s">
        <v>375</v>
      </c>
      <c r="C426" s="3">
        <v>45696.56759259259</v>
      </c>
      <c r="D426" t="s">
        <v>375</v>
      </c>
      <c r="E426" s="4">
        <v>1.1005542576313018E-2</v>
      </c>
      <c r="F426" s="4">
        <v>346951.94761240989</v>
      </c>
      <c r="G426" s="4">
        <v>346951.95861795248</v>
      </c>
      <c r="H426" s="5">
        <f t="shared" si="4"/>
        <v>0</v>
      </c>
      <c r="I426" t="s">
        <v>132</v>
      </c>
      <c r="J426" t="s">
        <v>132</v>
      </c>
      <c r="K426" s="5">
        <f>20 / 86400</f>
        <v>2.3148148148148149E-4</v>
      </c>
      <c r="L426" s="5">
        <f>40 / 86400</f>
        <v>4.6296296296296298E-4</v>
      </c>
    </row>
    <row r="427" spans="1:12" x14ac:dyDescent="0.25">
      <c r="A427" s="3">
        <v>45696.568055555559</v>
      </c>
      <c r="B427" t="s">
        <v>376</v>
      </c>
      <c r="C427" s="3">
        <v>45696.569907407407</v>
      </c>
      <c r="D427" t="s">
        <v>220</v>
      </c>
      <c r="E427" s="4">
        <v>1.3568038266897202</v>
      </c>
      <c r="F427" s="4">
        <v>346951.9860065332</v>
      </c>
      <c r="G427" s="4">
        <v>346953.3428103599</v>
      </c>
      <c r="H427" s="5">
        <f t="shared" si="4"/>
        <v>0</v>
      </c>
      <c r="I427" t="s">
        <v>183</v>
      </c>
      <c r="J427" t="s">
        <v>201</v>
      </c>
      <c r="K427" s="5">
        <f>160 / 86400</f>
        <v>1.8518518518518519E-3</v>
      </c>
      <c r="L427" s="5">
        <f>49 / 86400</f>
        <v>5.6712962962962967E-4</v>
      </c>
    </row>
    <row r="428" spans="1:12" x14ac:dyDescent="0.25">
      <c r="A428" s="3">
        <v>45696.570474537039</v>
      </c>
      <c r="B428" t="s">
        <v>220</v>
      </c>
      <c r="C428" s="3">
        <v>45696.570937500001</v>
      </c>
      <c r="D428" t="s">
        <v>220</v>
      </c>
      <c r="E428" s="4">
        <v>8.9070576250553132E-2</v>
      </c>
      <c r="F428" s="4">
        <v>346953.35081157077</v>
      </c>
      <c r="G428" s="4">
        <v>346953.43988214701</v>
      </c>
      <c r="H428" s="5">
        <f t="shared" si="4"/>
        <v>0</v>
      </c>
      <c r="I428" t="s">
        <v>168</v>
      </c>
      <c r="J428" t="s">
        <v>151</v>
      </c>
      <c r="K428" s="5">
        <f>40 / 86400</f>
        <v>4.6296296296296298E-4</v>
      </c>
      <c r="L428" s="5">
        <f>20 / 86400</f>
        <v>2.3148148148148149E-4</v>
      </c>
    </row>
    <row r="429" spans="1:12" x14ac:dyDescent="0.25">
      <c r="A429" s="3">
        <v>45696.571168981478</v>
      </c>
      <c r="B429" t="s">
        <v>377</v>
      </c>
      <c r="C429" s="3">
        <v>45696.571400462963</v>
      </c>
      <c r="D429" t="s">
        <v>377</v>
      </c>
      <c r="E429" s="4">
        <v>0</v>
      </c>
      <c r="F429" s="4">
        <v>346953.9762087969</v>
      </c>
      <c r="G429" s="4">
        <v>346953.9762087969</v>
      </c>
      <c r="H429" s="5">
        <f t="shared" si="4"/>
        <v>0</v>
      </c>
      <c r="I429" t="s">
        <v>32</v>
      </c>
      <c r="J429" t="s">
        <v>133</v>
      </c>
      <c r="K429" s="5">
        <f>20 / 86400</f>
        <v>2.3148148148148149E-4</v>
      </c>
      <c r="L429" s="5">
        <f>80 / 86400</f>
        <v>9.2592592592592596E-4</v>
      </c>
    </row>
    <row r="430" spans="1:12" x14ac:dyDescent="0.25">
      <c r="A430" s="3">
        <v>45696.572326388894</v>
      </c>
      <c r="B430" t="s">
        <v>377</v>
      </c>
      <c r="C430" s="3">
        <v>45696.573425925926</v>
      </c>
      <c r="D430" t="s">
        <v>185</v>
      </c>
      <c r="E430" s="4">
        <v>0.18613666689395905</v>
      </c>
      <c r="F430" s="4">
        <v>346954.06761472486</v>
      </c>
      <c r="G430" s="4">
        <v>346954.25375139178</v>
      </c>
      <c r="H430" s="5">
        <f t="shared" si="4"/>
        <v>0</v>
      </c>
      <c r="I430" t="s">
        <v>32</v>
      </c>
      <c r="J430" t="s">
        <v>90</v>
      </c>
      <c r="K430" s="5">
        <f>95 / 86400</f>
        <v>1.0995370370370371E-3</v>
      </c>
      <c r="L430" s="5">
        <f>60 / 86400</f>
        <v>6.9444444444444447E-4</v>
      </c>
    </row>
    <row r="431" spans="1:12" x14ac:dyDescent="0.25">
      <c r="A431" s="3">
        <v>45696.574120370366</v>
      </c>
      <c r="B431" t="s">
        <v>185</v>
      </c>
      <c r="C431" s="3">
        <v>45696.578229166669</v>
      </c>
      <c r="D431" t="s">
        <v>378</v>
      </c>
      <c r="E431" s="4">
        <v>2.4261995017528535</v>
      </c>
      <c r="F431" s="4">
        <v>346954.2737537577</v>
      </c>
      <c r="G431" s="4">
        <v>346956.69995325949</v>
      </c>
      <c r="H431" s="5">
        <f t="shared" si="4"/>
        <v>0</v>
      </c>
      <c r="I431" t="s">
        <v>179</v>
      </c>
      <c r="J431" t="s">
        <v>161</v>
      </c>
      <c r="K431" s="5">
        <f>355 / 86400</f>
        <v>4.1087962962962962E-3</v>
      </c>
      <c r="L431" s="5">
        <f>25 / 86400</f>
        <v>2.8935185185185184E-4</v>
      </c>
    </row>
    <row r="432" spans="1:12" x14ac:dyDescent="0.25">
      <c r="A432" s="3">
        <v>45696.578518518523</v>
      </c>
      <c r="B432" t="s">
        <v>127</v>
      </c>
      <c r="C432" s="3">
        <v>45696.580254629633</v>
      </c>
      <c r="D432" t="s">
        <v>379</v>
      </c>
      <c r="E432" s="4">
        <v>1.1601639226675033</v>
      </c>
      <c r="F432" s="4">
        <v>346956.7128660059</v>
      </c>
      <c r="G432" s="4">
        <v>346957.87302992854</v>
      </c>
      <c r="H432" s="5">
        <f t="shared" si="4"/>
        <v>0</v>
      </c>
      <c r="I432" t="s">
        <v>240</v>
      </c>
      <c r="J432" t="s">
        <v>155</v>
      </c>
      <c r="K432" s="5">
        <f>150 / 86400</f>
        <v>1.736111111111111E-3</v>
      </c>
      <c r="L432" s="5">
        <f>2 / 86400</f>
        <v>2.3148148148148147E-5</v>
      </c>
    </row>
    <row r="433" spans="1:12" x14ac:dyDescent="0.25">
      <c r="A433" s="3">
        <v>45696.580277777779</v>
      </c>
      <c r="B433" t="s">
        <v>379</v>
      </c>
      <c r="C433" s="3">
        <v>45696.581724537042</v>
      </c>
      <c r="D433" t="s">
        <v>227</v>
      </c>
      <c r="E433" s="4">
        <v>0.72979631698131564</v>
      </c>
      <c r="F433" s="4">
        <v>346957.87680015847</v>
      </c>
      <c r="G433" s="4">
        <v>346958.60659647541</v>
      </c>
      <c r="H433" s="5">
        <f t="shared" si="4"/>
        <v>0</v>
      </c>
      <c r="I433" t="s">
        <v>287</v>
      </c>
      <c r="J433" t="s">
        <v>35</v>
      </c>
      <c r="K433" s="5">
        <f>125 / 86400</f>
        <v>1.4467592592592592E-3</v>
      </c>
      <c r="L433" s="5">
        <f>5 / 86400</f>
        <v>5.7870370370370373E-5</v>
      </c>
    </row>
    <row r="434" spans="1:12" x14ac:dyDescent="0.25">
      <c r="A434" s="3">
        <v>45696.581782407404</v>
      </c>
      <c r="B434" t="s">
        <v>227</v>
      </c>
      <c r="C434" s="3">
        <v>45696.584166666667</v>
      </c>
      <c r="D434" t="s">
        <v>227</v>
      </c>
      <c r="E434" s="4">
        <v>1.3528494193553924</v>
      </c>
      <c r="F434" s="4">
        <v>346958.60734708305</v>
      </c>
      <c r="G434" s="4">
        <v>346959.96019650239</v>
      </c>
      <c r="H434" s="5">
        <f t="shared" ref="H434:H497" si="5">0 / 86400</f>
        <v>0</v>
      </c>
      <c r="I434" t="s">
        <v>169</v>
      </c>
      <c r="J434" t="s">
        <v>140</v>
      </c>
      <c r="K434" s="5">
        <f>206 / 86400</f>
        <v>2.3842592592592591E-3</v>
      </c>
      <c r="L434" s="5">
        <f>9 / 86400</f>
        <v>1.0416666666666667E-4</v>
      </c>
    </row>
    <row r="435" spans="1:12" x14ac:dyDescent="0.25">
      <c r="A435" s="3">
        <v>45696.584270833337</v>
      </c>
      <c r="B435" t="s">
        <v>227</v>
      </c>
      <c r="C435" s="3">
        <v>45696.584965277776</v>
      </c>
      <c r="D435" t="s">
        <v>261</v>
      </c>
      <c r="E435" s="4">
        <v>0.47742567080259324</v>
      </c>
      <c r="F435" s="4">
        <v>346959.96348085697</v>
      </c>
      <c r="G435" s="4">
        <v>346960.44090652774</v>
      </c>
      <c r="H435" s="5">
        <f t="shared" si="5"/>
        <v>0</v>
      </c>
      <c r="I435" t="s">
        <v>244</v>
      </c>
      <c r="J435" t="s">
        <v>159</v>
      </c>
      <c r="K435" s="5">
        <f>60 / 86400</f>
        <v>6.9444444444444447E-4</v>
      </c>
      <c r="L435" s="5">
        <f>20 / 86400</f>
        <v>2.3148148148148149E-4</v>
      </c>
    </row>
    <row r="436" spans="1:12" x14ac:dyDescent="0.25">
      <c r="A436" s="3">
        <v>45696.585196759261</v>
      </c>
      <c r="B436" t="s">
        <v>261</v>
      </c>
      <c r="C436" s="3">
        <v>45696.586736111116</v>
      </c>
      <c r="D436" t="s">
        <v>261</v>
      </c>
      <c r="E436" s="4">
        <v>0.92387180298566818</v>
      </c>
      <c r="F436" s="4">
        <v>346960.50498543179</v>
      </c>
      <c r="G436" s="4">
        <v>346961.42885723477</v>
      </c>
      <c r="H436" s="5">
        <f t="shared" si="5"/>
        <v>0</v>
      </c>
      <c r="I436" t="s">
        <v>241</v>
      </c>
      <c r="J436" t="s">
        <v>161</v>
      </c>
      <c r="K436" s="5">
        <f>133 / 86400</f>
        <v>1.5393518518518519E-3</v>
      </c>
      <c r="L436" s="5">
        <f>20 / 86400</f>
        <v>2.3148148148148149E-4</v>
      </c>
    </row>
    <row r="437" spans="1:12" x14ac:dyDescent="0.25">
      <c r="A437" s="3">
        <v>45696.586967592593</v>
      </c>
      <c r="B437" t="s">
        <v>261</v>
      </c>
      <c r="C437" s="3">
        <v>45696.587199074071</v>
      </c>
      <c r="D437" t="s">
        <v>261</v>
      </c>
      <c r="E437" s="4">
        <v>6.0300644338130954E-2</v>
      </c>
      <c r="F437" s="4">
        <v>346961.47130320006</v>
      </c>
      <c r="G437" s="4">
        <v>346961.53160384443</v>
      </c>
      <c r="H437" s="5">
        <f t="shared" si="5"/>
        <v>0</v>
      </c>
      <c r="I437" t="s">
        <v>41</v>
      </c>
      <c r="J437" t="s">
        <v>20</v>
      </c>
      <c r="K437" s="5">
        <f>20 / 86400</f>
        <v>2.3148148148148149E-4</v>
      </c>
      <c r="L437" s="5">
        <f>20 / 86400</f>
        <v>2.3148148148148149E-4</v>
      </c>
    </row>
    <row r="438" spans="1:12" x14ac:dyDescent="0.25">
      <c r="A438" s="3">
        <v>45696.587430555555</v>
      </c>
      <c r="B438" t="s">
        <v>261</v>
      </c>
      <c r="C438" s="3">
        <v>45696.587824074071</v>
      </c>
      <c r="D438" t="s">
        <v>380</v>
      </c>
      <c r="E438" s="4">
        <v>4.6106176495552063E-2</v>
      </c>
      <c r="F438" s="4">
        <v>346961.57201859361</v>
      </c>
      <c r="G438" s="4">
        <v>346961.61812477012</v>
      </c>
      <c r="H438" s="5">
        <f t="shared" si="5"/>
        <v>0</v>
      </c>
      <c r="I438" t="s">
        <v>59</v>
      </c>
      <c r="J438" t="s">
        <v>136</v>
      </c>
      <c r="K438" s="5">
        <f>34 / 86400</f>
        <v>3.9351851851851852E-4</v>
      </c>
      <c r="L438" s="5">
        <f>19 / 86400</f>
        <v>2.199074074074074E-4</v>
      </c>
    </row>
    <row r="439" spans="1:12" x14ac:dyDescent="0.25">
      <c r="A439" s="3">
        <v>45696.588043981479</v>
      </c>
      <c r="B439" t="s">
        <v>380</v>
      </c>
      <c r="C439" s="3">
        <v>45696.588506944448</v>
      </c>
      <c r="D439" t="s">
        <v>380</v>
      </c>
      <c r="E439" s="4">
        <v>9.5695638418197629E-2</v>
      </c>
      <c r="F439" s="4">
        <v>346961.61993326794</v>
      </c>
      <c r="G439" s="4">
        <v>346961.71562890639</v>
      </c>
      <c r="H439" s="5">
        <f t="shared" si="5"/>
        <v>0</v>
      </c>
      <c r="I439" t="s">
        <v>146</v>
      </c>
      <c r="J439" t="s">
        <v>162</v>
      </c>
      <c r="K439" s="5">
        <f>40 / 86400</f>
        <v>4.6296296296296298E-4</v>
      </c>
      <c r="L439" s="5">
        <f>6 / 86400</f>
        <v>6.9444444444444444E-5</v>
      </c>
    </row>
    <row r="440" spans="1:12" x14ac:dyDescent="0.25">
      <c r="A440" s="3">
        <v>45696.588576388887</v>
      </c>
      <c r="B440" t="s">
        <v>381</v>
      </c>
      <c r="C440" s="3">
        <v>45696.590092592596</v>
      </c>
      <c r="D440" t="s">
        <v>382</v>
      </c>
      <c r="E440" s="4">
        <v>0.38775513082742691</v>
      </c>
      <c r="F440" s="4">
        <v>346961.72414119041</v>
      </c>
      <c r="G440" s="4">
        <v>346962.11189632124</v>
      </c>
      <c r="H440" s="5">
        <f t="shared" si="5"/>
        <v>0</v>
      </c>
      <c r="I440" t="s">
        <v>59</v>
      </c>
      <c r="J440" t="s">
        <v>20</v>
      </c>
      <c r="K440" s="5">
        <f>131 / 86400</f>
        <v>1.5162037037037036E-3</v>
      </c>
      <c r="L440" s="5">
        <f>60 / 86400</f>
        <v>6.9444444444444447E-4</v>
      </c>
    </row>
    <row r="441" spans="1:12" x14ac:dyDescent="0.25">
      <c r="A441" s="3">
        <v>45696.590787037036</v>
      </c>
      <c r="B441" t="s">
        <v>382</v>
      </c>
      <c r="C441" s="3">
        <v>45696.592129629629</v>
      </c>
      <c r="D441" t="s">
        <v>320</v>
      </c>
      <c r="E441" s="4">
        <v>0.25293374931812285</v>
      </c>
      <c r="F441" s="4">
        <v>346962.13527919952</v>
      </c>
      <c r="G441" s="4">
        <v>346962.38821294886</v>
      </c>
      <c r="H441" s="5">
        <f t="shared" si="5"/>
        <v>0</v>
      </c>
      <c r="I441" t="s">
        <v>138</v>
      </c>
      <c r="J441" t="s">
        <v>151</v>
      </c>
      <c r="K441" s="5">
        <f>116 / 86400</f>
        <v>1.3425925925925925E-3</v>
      </c>
      <c r="L441" s="5">
        <f>20 / 86400</f>
        <v>2.3148148148148149E-4</v>
      </c>
    </row>
    <row r="442" spans="1:12" x14ac:dyDescent="0.25">
      <c r="A442" s="3">
        <v>45696.592361111107</v>
      </c>
      <c r="B442" t="s">
        <v>320</v>
      </c>
      <c r="C442" s="3">
        <v>45696.592592592591</v>
      </c>
      <c r="D442" t="s">
        <v>320</v>
      </c>
      <c r="E442" s="4">
        <v>1.9627815663814545E-2</v>
      </c>
      <c r="F442" s="4">
        <v>346962.39771843806</v>
      </c>
      <c r="G442" s="4">
        <v>346962.41734625376</v>
      </c>
      <c r="H442" s="5">
        <f t="shared" si="5"/>
        <v>0</v>
      </c>
      <c r="I442" t="s">
        <v>181</v>
      </c>
      <c r="J442" t="s">
        <v>181</v>
      </c>
      <c r="K442" s="5">
        <f>20 / 86400</f>
        <v>2.3148148148148149E-4</v>
      </c>
      <c r="L442" s="5">
        <f>3 / 86400</f>
        <v>3.4722222222222222E-5</v>
      </c>
    </row>
    <row r="443" spans="1:12" x14ac:dyDescent="0.25">
      <c r="A443" s="3">
        <v>45696.592627314814</v>
      </c>
      <c r="B443" t="s">
        <v>320</v>
      </c>
      <c r="C443" s="3">
        <v>45696.594768518524</v>
      </c>
      <c r="D443" t="s">
        <v>18</v>
      </c>
      <c r="E443" s="4">
        <v>0.41388878089189529</v>
      </c>
      <c r="F443" s="4">
        <v>346962.42467429512</v>
      </c>
      <c r="G443" s="4">
        <v>346962.83856307605</v>
      </c>
      <c r="H443" s="5">
        <f t="shared" si="5"/>
        <v>0</v>
      </c>
      <c r="I443" t="s">
        <v>24</v>
      </c>
      <c r="J443" t="s">
        <v>151</v>
      </c>
      <c r="K443" s="5">
        <f>185 / 86400</f>
        <v>2.1412037037037038E-3</v>
      </c>
      <c r="L443" s="5">
        <f>3 / 86400</f>
        <v>3.4722222222222222E-5</v>
      </c>
    </row>
    <row r="444" spans="1:12" x14ac:dyDescent="0.25">
      <c r="A444" s="3">
        <v>45696.59480324074</v>
      </c>
      <c r="B444" t="s">
        <v>383</v>
      </c>
      <c r="C444" s="3">
        <v>45696.595497685186</v>
      </c>
      <c r="D444" t="s">
        <v>384</v>
      </c>
      <c r="E444" s="4">
        <v>0.28165729647874832</v>
      </c>
      <c r="F444" s="4">
        <v>346962.84038549551</v>
      </c>
      <c r="G444" s="4">
        <v>346963.12204279198</v>
      </c>
      <c r="H444" s="5">
        <f t="shared" si="5"/>
        <v>0</v>
      </c>
      <c r="I444" t="s">
        <v>150</v>
      </c>
      <c r="J444" t="s">
        <v>32</v>
      </c>
      <c r="K444" s="5">
        <f>60 / 86400</f>
        <v>6.9444444444444447E-4</v>
      </c>
      <c r="L444" s="5">
        <f>20 / 86400</f>
        <v>2.3148148148148149E-4</v>
      </c>
    </row>
    <row r="445" spans="1:12" x14ac:dyDescent="0.25">
      <c r="A445" s="3">
        <v>45696.595729166671</v>
      </c>
      <c r="B445" t="s">
        <v>319</v>
      </c>
      <c r="C445" s="3">
        <v>45696.595960648148</v>
      </c>
      <c r="D445" t="s">
        <v>319</v>
      </c>
      <c r="E445" s="4">
        <v>7.9269627332687383E-3</v>
      </c>
      <c r="F445" s="4">
        <v>346963.13706568885</v>
      </c>
      <c r="G445" s="4">
        <v>346963.14499265159</v>
      </c>
      <c r="H445" s="5">
        <f t="shared" si="5"/>
        <v>0</v>
      </c>
      <c r="I445" t="s">
        <v>91</v>
      </c>
      <c r="J445" t="s">
        <v>91</v>
      </c>
      <c r="K445" s="5">
        <f>20 / 86400</f>
        <v>2.3148148148148149E-4</v>
      </c>
      <c r="L445" s="5">
        <f>4 / 86400</f>
        <v>4.6296296296296294E-5</v>
      </c>
    </row>
    <row r="446" spans="1:12" x14ac:dyDescent="0.25">
      <c r="A446" s="3">
        <v>45696.596006944441</v>
      </c>
      <c r="B446" t="s">
        <v>319</v>
      </c>
      <c r="C446" s="3">
        <v>45696.596238425926</v>
      </c>
      <c r="D446" t="s">
        <v>319</v>
      </c>
      <c r="E446" s="4">
        <v>4.2600124597549437E-2</v>
      </c>
      <c r="F446" s="4">
        <v>346963.14959000883</v>
      </c>
      <c r="G446" s="4">
        <v>346963.19219013344</v>
      </c>
      <c r="H446" s="5">
        <f t="shared" si="5"/>
        <v>0</v>
      </c>
      <c r="I446" t="s">
        <v>90</v>
      </c>
      <c r="J446" t="s">
        <v>151</v>
      </c>
      <c r="K446" s="5">
        <f>20 / 86400</f>
        <v>2.3148148148148149E-4</v>
      </c>
      <c r="L446" s="5">
        <f>29 / 86400</f>
        <v>3.3564814814814812E-4</v>
      </c>
    </row>
    <row r="447" spans="1:12" x14ac:dyDescent="0.25">
      <c r="A447" s="3">
        <v>45696.596574074079</v>
      </c>
      <c r="B447" t="s">
        <v>319</v>
      </c>
      <c r="C447" s="3">
        <v>45696.597037037034</v>
      </c>
      <c r="D447" t="s">
        <v>319</v>
      </c>
      <c r="E447" s="4">
        <v>5.502336311340332E-2</v>
      </c>
      <c r="F447" s="4">
        <v>346963.21187557379</v>
      </c>
      <c r="G447" s="4">
        <v>346963.26689893694</v>
      </c>
      <c r="H447" s="5">
        <f t="shared" si="5"/>
        <v>0</v>
      </c>
      <c r="I447" t="s">
        <v>41</v>
      </c>
      <c r="J447" t="s">
        <v>136</v>
      </c>
      <c r="K447" s="5">
        <f>40 / 86400</f>
        <v>4.6296296296296298E-4</v>
      </c>
      <c r="L447" s="5">
        <f>40 / 86400</f>
        <v>4.6296296296296298E-4</v>
      </c>
    </row>
    <row r="448" spans="1:12" x14ac:dyDescent="0.25">
      <c r="A448" s="3">
        <v>45696.597500000003</v>
      </c>
      <c r="B448" t="s">
        <v>320</v>
      </c>
      <c r="C448" s="3">
        <v>45696.597731481481</v>
      </c>
      <c r="D448" t="s">
        <v>385</v>
      </c>
      <c r="E448" s="4">
        <v>6.1823373675346377E-2</v>
      </c>
      <c r="F448" s="4">
        <v>346963.34203247767</v>
      </c>
      <c r="G448" s="4">
        <v>346963.40385585133</v>
      </c>
      <c r="H448" s="5">
        <f t="shared" si="5"/>
        <v>0</v>
      </c>
      <c r="I448" t="s">
        <v>163</v>
      </c>
      <c r="J448" t="s">
        <v>20</v>
      </c>
      <c r="K448" s="5">
        <f>20 / 86400</f>
        <v>2.3148148148148149E-4</v>
      </c>
      <c r="L448" s="5">
        <f>40 / 86400</f>
        <v>4.6296296296296298E-4</v>
      </c>
    </row>
    <row r="449" spans="1:12" x14ac:dyDescent="0.25">
      <c r="A449" s="3">
        <v>45696.598194444443</v>
      </c>
      <c r="B449" t="s">
        <v>350</v>
      </c>
      <c r="C449" s="3">
        <v>45696.598657407405</v>
      </c>
      <c r="D449" t="s">
        <v>386</v>
      </c>
      <c r="E449" s="4">
        <v>0.21543300193548204</v>
      </c>
      <c r="F449" s="4">
        <v>346963.45320064772</v>
      </c>
      <c r="G449" s="4">
        <v>346963.66863364965</v>
      </c>
      <c r="H449" s="5">
        <f t="shared" si="5"/>
        <v>0</v>
      </c>
      <c r="I449" t="s">
        <v>35</v>
      </c>
      <c r="J449" t="s">
        <v>94</v>
      </c>
      <c r="K449" s="5">
        <f>40 / 86400</f>
        <v>4.6296296296296298E-4</v>
      </c>
      <c r="L449" s="5">
        <f>20 / 86400</f>
        <v>2.3148148148148149E-4</v>
      </c>
    </row>
    <row r="450" spans="1:12" x14ac:dyDescent="0.25">
      <c r="A450" s="3">
        <v>45696.59888888889</v>
      </c>
      <c r="B450" t="s">
        <v>228</v>
      </c>
      <c r="C450" s="3">
        <v>45696.599120370374</v>
      </c>
      <c r="D450" t="s">
        <v>228</v>
      </c>
      <c r="E450" s="4">
        <v>5.0654932916164401E-2</v>
      </c>
      <c r="F450" s="4">
        <v>346963.7187292517</v>
      </c>
      <c r="G450" s="4">
        <v>346963.76938418462</v>
      </c>
      <c r="H450" s="5">
        <f t="shared" si="5"/>
        <v>0</v>
      </c>
      <c r="I450" t="s">
        <v>162</v>
      </c>
      <c r="J450" t="s">
        <v>162</v>
      </c>
      <c r="K450" s="5">
        <f>20 / 86400</f>
        <v>2.3148148148148149E-4</v>
      </c>
      <c r="L450" s="5">
        <f>20 / 86400</f>
        <v>2.3148148148148149E-4</v>
      </c>
    </row>
    <row r="451" spans="1:12" x14ac:dyDescent="0.25">
      <c r="A451" s="3">
        <v>45696.599351851852</v>
      </c>
      <c r="B451" t="s">
        <v>228</v>
      </c>
      <c r="C451" s="3">
        <v>45696.599583333329</v>
      </c>
      <c r="D451" t="s">
        <v>228</v>
      </c>
      <c r="E451" s="4">
        <v>3.7765592515468599E-2</v>
      </c>
      <c r="F451" s="4">
        <v>346963.86499150173</v>
      </c>
      <c r="G451" s="4">
        <v>346963.90275709424</v>
      </c>
      <c r="H451" s="5">
        <f t="shared" si="5"/>
        <v>0</v>
      </c>
      <c r="I451" t="s">
        <v>35</v>
      </c>
      <c r="J451" t="s">
        <v>90</v>
      </c>
      <c r="K451" s="5">
        <f>20 / 86400</f>
        <v>2.3148148148148149E-4</v>
      </c>
      <c r="L451" s="5">
        <f>40 / 86400</f>
        <v>4.6296296296296298E-4</v>
      </c>
    </row>
    <row r="452" spans="1:12" x14ac:dyDescent="0.25">
      <c r="A452" s="3">
        <v>45696.600046296298</v>
      </c>
      <c r="B452" t="s">
        <v>228</v>
      </c>
      <c r="C452" s="3">
        <v>45696.600277777776</v>
      </c>
      <c r="D452" t="s">
        <v>228</v>
      </c>
      <c r="E452" s="4">
        <v>1.5143743932247163E-2</v>
      </c>
      <c r="F452" s="4">
        <v>346963.99835389707</v>
      </c>
      <c r="G452" s="4">
        <v>346964.01349764102</v>
      </c>
      <c r="H452" s="5">
        <f t="shared" si="5"/>
        <v>0</v>
      </c>
      <c r="I452" t="s">
        <v>188</v>
      </c>
      <c r="J452" t="s">
        <v>188</v>
      </c>
      <c r="K452" s="5">
        <f>20 / 86400</f>
        <v>2.3148148148148149E-4</v>
      </c>
      <c r="L452" s="5">
        <f>20 / 86400</f>
        <v>2.3148148148148149E-4</v>
      </c>
    </row>
    <row r="453" spans="1:12" x14ac:dyDescent="0.25">
      <c r="A453" s="3">
        <v>45696.60050925926</v>
      </c>
      <c r="B453" t="s">
        <v>228</v>
      </c>
      <c r="C453" s="3">
        <v>45696.600972222222</v>
      </c>
      <c r="D453" t="s">
        <v>228</v>
      </c>
      <c r="E453" s="4">
        <v>6.5143101453781133E-2</v>
      </c>
      <c r="F453" s="4">
        <v>346964.03084738762</v>
      </c>
      <c r="G453" s="4">
        <v>346964.09599048906</v>
      </c>
      <c r="H453" s="5">
        <f t="shared" si="5"/>
        <v>0</v>
      </c>
      <c r="I453" t="s">
        <v>28</v>
      </c>
      <c r="J453" t="s">
        <v>146</v>
      </c>
      <c r="K453" s="5">
        <f>40 / 86400</f>
        <v>4.6296296296296298E-4</v>
      </c>
      <c r="L453" s="5">
        <f>20 / 86400</f>
        <v>2.3148148148148149E-4</v>
      </c>
    </row>
    <row r="454" spans="1:12" x14ac:dyDescent="0.25">
      <c r="A454" s="3">
        <v>45696.6012037037</v>
      </c>
      <c r="B454" t="s">
        <v>228</v>
      </c>
      <c r="C454" s="3">
        <v>45696.602592592593</v>
      </c>
      <c r="D454" t="s">
        <v>228</v>
      </c>
      <c r="E454" s="4">
        <v>0.75810484832525249</v>
      </c>
      <c r="F454" s="4">
        <v>346964.09731581394</v>
      </c>
      <c r="G454" s="4">
        <v>346964.85542066226</v>
      </c>
      <c r="H454" s="5">
        <f t="shared" si="5"/>
        <v>0</v>
      </c>
      <c r="I454" t="s">
        <v>255</v>
      </c>
      <c r="J454" t="s">
        <v>138</v>
      </c>
      <c r="K454" s="5">
        <f>120 / 86400</f>
        <v>1.3888888888888889E-3</v>
      </c>
      <c r="L454" s="5">
        <f>20 / 86400</f>
        <v>2.3148148148148149E-4</v>
      </c>
    </row>
    <row r="455" spans="1:12" x14ac:dyDescent="0.25">
      <c r="A455" s="3">
        <v>45696.602824074071</v>
      </c>
      <c r="B455" t="s">
        <v>228</v>
      </c>
      <c r="C455" s="3">
        <v>45696.605162037042</v>
      </c>
      <c r="D455" t="s">
        <v>158</v>
      </c>
      <c r="E455" s="4">
        <v>1.1921852539777755</v>
      </c>
      <c r="F455" s="4">
        <v>346964.8594746319</v>
      </c>
      <c r="G455" s="4">
        <v>346966.05165988591</v>
      </c>
      <c r="H455" s="5">
        <f t="shared" si="5"/>
        <v>0</v>
      </c>
      <c r="I455" t="s">
        <v>144</v>
      </c>
      <c r="J455" t="s">
        <v>35</v>
      </c>
      <c r="K455" s="5">
        <f>202 / 86400</f>
        <v>2.3379629629629631E-3</v>
      </c>
      <c r="L455" s="5">
        <f>20 / 86400</f>
        <v>2.3148148148148149E-4</v>
      </c>
    </row>
    <row r="456" spans="1:12" x14ac:dyDescent="0.25">
      <c r="A456" s="3">
        <v>45696.605393518519</v>
      </c>
      <c r="B456" t="s">
        <v>158</v>
      </c>
      <c r="C456" s="3">
        <v>45696.606273148151</v>
      </c>
      <c r="D456" t="s">
        <v>158</v>
      </c>
      <c r="E456" s="4">
        <v>0.26929655110836032</v>
      </c>
      <c r="F456" s="4">
        <v>346966.10002580762</v>
      </c>
      <c r="G456" s="4">
        <v>346966.36932235875</v>
      </c>
      <c r="H456" s="5">
        <f t="shared" si="5"/>
        <v>0</v>
      </c>
      <c r="I456" t="s">
        <v>175</v>
      </c>
      <c r="J456" t="s">
        <v>47</v>
      </c>
      <c r="K456" s="5">
        <f>76 / 86400</f>
        <v>8.7962962962962962E-4</v>
      </c>
      <c r="L456" s="5">
        <f>20 / 86400</f>
        <v>2.3148148148148149E-4</v>
      </c>
    </row>
    <row r="457" spans="1:12" x14ac:dyDescent="0.25">
      <c r="A457" s="3">
        <v>45696.606504629628</v>
      </c>
      <c r="B457" t="s">
        <v>387</v>
      </c>
      <c r="C457" s="3">
        <v>45696.606967592597</v>
      </c>
      <c r="D457" t="s">
        <v>158</v>
      </c>
      <c r="E457" s="4">
        <v>9.7377450346946712E-2</v>
      </c>
      <c r="F457" s="4">
        <v>346966.48492902151</v>
      </c>
      <c r="G457" s="4">
        <v>346966.58230647183</v>
      </c>
      <c r="H457" s="5">
        <f t="shared" si="5"/>
        <v>0</v>
      </c>
      <c r="I457" t="s">
        <v>32</v>
      </c>
      <c r="J457" t="s">
        <v>162</v>
      </c>
      <c r="K457" s="5">
        <f>40 / 86400</f>
        <v>4.6296296296296298E-4</v>
      </c>
      <c r="L457" s="5">
        <f>40 / 86400</f>
        <v>4.6296296296296298E-4</v>
      </c>
    </row>
    <row r="458" spans="1:12" x14ac:dyDescent="0.25">
      <c r="A458" s="3">
        <v>45696.607430555552</v>
      </c>
      <c r="B458" t="s">
        <v>158</v>
      </c>
      <c r="C458" s="3">
        <v>45696.607986111107</v>
      </c>
      <c r="D458" t="s">
        <v>158</v>
      </c>
      <c r="E458" s="4">
        <v>9.8087688386440275E-2</v>
      </c>
      <c r="F458" s="4">
        <v>346966.60212073923</v>
      </c>
      <c r="G458" s="4">
        <v>346966.70020842762</v>
      </c>
      <c r="H458" s="5">
        <f t="shared" si="5"/>
        <v>0</v>
      </c>
      <c r="I458" t="s">
        <v>24</v>
      </c>
      <c r="J458" t="s">
        <v>90</v>
      </c>
      <c r="K458" s="5">
        <f>48 / 86400</f>
        <v>5.5555555555555556E-4</v>
      </c>
      <c r="L458" s="5">
        <f>40 / 86400</f>
        <v>4.6296296296296298E-4</v>
      </c>
    </row>
    <row r="459" spans="1:12" x14ac:dyDescent="0.25">
      <c r="A459" s="3">
        <v>45696.608449074076</v>
      </c>
      <c r="B459" t="s">
        <v>158</v>
      </c>
      <c r="C459" s="3">
        <v>45696.610069444447</v>
      </c>
      <c r="D459" t="s">
        <v>158</v>
      </c>
      <c r="E459" s="4">
        <v>0.9026210162043572</v>
      </c>
      <c r="F459" s="4">
        <v>346966.71316373337</v>
      </c>
      <c r="G459" s="4">
        <v>346967.61578474956</v>
      </c>
      <c r="H459" s="5">
        <f t="shared" si="5"/>
        <v>0</v>
      </c>
      <c r="I459" t="s">
        <v>230</v>
      </c>
      <c r="J459" t="s">
        <v>138</v>
      </c>
      <c r="K459" s="5">
        <f>140 / 86400</f>
        <v>1.6203703703703703E-3</v>
      </c>
      <c r="L459" s="5">
        <f>58 / 86400</f>
        <v>6.7129629629629625E-4</v>
      </c>
    </row>
    <row r="460" spans="1:12" x14ac:dyDescent="0.25">
      <c r="A460" s="3">
        <v>45696.61074074074</v>
      </c>
      <c r="B460" t="s">
        <v>388</v>
      </c>
      <c r="C460" s="3">
        <v>45696.612361111111</v>
      </c>
      <c r="D460" t="s">
        <v>158</v>
      </c>
      <c r="E460" s="4">
        <v>0.74164373683929441</v>
      </c>
      <c r="F460" s="4">
        <v>346967.62494012376</v>
      </c>
      <c r="G460" s="4">
        <v>346968.3665838606</v>
      </c>
      <c r="H460" s="5">
        <f t="shared" si="5"/>
        <v>0</v>
      </c>
      <c r="I460" t="s">
        <v>389</v>
      </c>
      <c r="J460" t="s">
        <v>94</v>
      </c>
      <c r="K460" s="5">
        <f>140 / 86400</f>
        <v>1.6203703703703703E-3</v>
      </c>
      <c r="L460" s="5">
        <f>20 / 86400</f>
        <v>2.3148148148148149E-4</v>
      </c>
    </row>
    <row r="461" spans="1:12" x14ac:dyDescent="0.25">
      <c r="A461" s="3">
        <v>45696.612592592588</v>
      </c>
      <c r="B461" t="s">
        <v>252</v>
      </c>
      <c r="C461" s="3">
        <v>45696.615370370375</v>
      </c>
      <c r="D461" t="s">
        <v>158</v>
      </c>
      <c r="E461" s="4">
        <v>1.7660554053783417</v>
      </c>
      <c r="F461" s="4">
        <v>346968.43652438588</v>
      </c>
      <c r="G461" s="4">
        <v>346970.20257979125</v>
      </c>
      <c r="H461" s="5">
        <f t="shared" si="5"/>
        <v>0</v>
      </c>
      <c r="I461" t="s">
        <v>269</v>
      </c>
      <c r="J461" t="s">
        <v>205</v>
      </c>
      <c r="K461" s="5">
        <f>240 / 86400</f>
        <v>2.7777777777777779E-3</v>
      </c>
      <c r="L461" s="5">
        <f>20 / 86400</f>
        <v>2.3148148148148149E-4</v>
      </c>
    </row>
    <row r="462" spans="1:12" x14ac:dyDescent="0.25">
      <c r="A462" s="3">
        <v>45696.615601851852</v>
      </c>
      <c r="B462" t="s">
        <v>158</v>
      </c>
      <c r="C462" s="3">
        <v>45696.616064814814</v>
      </c>
      <c r="D462" t="s">
        <v>158</v>
      </c>
      <c r="E462" s="4">
        <v>3.5997031927108764E-2</v>
      </c>
      <c r="F462" s="4">
        <v>346970.25525658776</v>
      </c>
      <c r="G462" s="4">
        <v>346970.29125361965</v>
      </c>
      <c r="H462" s="5">
        <f t="shared" si="5"/>
        <v>0</v>
      </c>
      <c r="I462" t="s">
        <v>59</v>
      </c>
      <c r="J462" t="s">
        <v>188</v>
      </c>
      <c r="K462" s="5">
        <f>40 / 86400</f>
        <v>4.6296296296296298E-4</v>
      </c>
      <c r="L462" s="5">
        <f>20 / 86400</f>
        <v>2.3148148148148149E-4</v>
      </c>
    </row>
    <row r="463" spans="1:12" x14ac:dyDescent="0.25">
      <c r="A463" s="3">
        <v>45696.616296296299</v>
      </c>
      <c r="B463" t="s">
        <v>390</v>
      </c>
      <c r="C463" s="3">
        <v>45696.61791666667</v>
      </c>
      <c r="D463" t="s">
        <v>391</v>
      </c>
      <c r="E463" s="4">
        <v>0.93597902369499208</v>
      </c>
      <c r="F463" s="4">
        <v>346970.33147574525</v>
      </c>
      <c r="G463" s="4">
        <v>346971.26745476894</v>
      </c>
      <c r="H463" s="5">
        <f t="shared" si="5"/>
        <v>0</v>
      </c>
      <c r="I463" t="s">
        <v>67</v>
      </c>
      <c r="J463" t="s">
        <v>140</v>
      </c>
      <c r="K463" s="5">
        <f>140 / 86400</f>
        <v>1.6203703703703703E-3</v>
      </c>
      <c r="L463" s="5">
        <f>40 / 86400</f>
        <v>4.6296296296296298E-4</v>
      </c>
    </row>
    <row r="464" spans="1:12" x14ac:dyDescent="0.25">
      <c r="A464" s="3">
        <v>45696.618379629625</v>
      </c>
      <c r="B464" t="s">
        <v>392</v>
      </c>
      <c r="C464" s="3">
        <v>45696.619317129633</v>
      </c>
      <c r="D464" t="s">
        <v>92</v>
      </c>
      <c r="E464" s="4">
        <v>0.7509337994456291</v>
      </c>
      <c r="F464" s="4">
        <v>346971.28558465472</v>
      </c>
      <c r="G464" s="4">
        <v>346972.03651845414</v>
      </c>
      <c r="H464" s="5">
        <f t="shared" si="5"/>
        <v>0</v>
      </c>
      <c r="I464" t="s">
        <v>56</v>
      </c>
      <c r="J464" t="s">
        <v>163</v>
      </c>
      <c r="K464" s="5">
        <f>81 / 86400</f>
        <v>9.3749999999999997E-4</v>
      </c>
      <c r="L464" s="5">
        <f>16 / 86400</f>
        <v>1.8518518518518518E-4</v>
      </c>
    </row>
    <row r="465" spans="1:12" x14ac:dyDescent="0.25">
      <c r="A465" s="3">
        <v>45696.619502314818</v>
      </c>
      <c r="B465" t="s">
        <v>149</v>
      </c>
      <c r="C465" s="3">
        <v>45696.619733796295</v>
      </c>
      <c r="D465" t="s">
        <v>149</v>
      </c>
      <c r="E465" s="4">
        <v>1.0223504424095154E-2</v>
      </c>
      <c r="F465" s="4">
        <v>346972.04212293873</v>
      </c>
      <c r="G465" s="4">
        <v>346972.05234644318</v>
      </c>
      <c r="H465" s="5">
        <f t="shared" si="5"/>
        <v>0</v>
      </c>
      <c r="I465" t="s">
        <v>136</v>
      </c>
      <c r="J465" t="s">
        <v>132</v>
      </c>
      <c r="K465" s="5">
        <f>20 / 86400</f>
        <v>2.3148148148148149E-4</v>
      </c>
      <c r="L465" s="5">
        <f>13 / 86400</f>
        <v>1.5046296296296297E-4</v>
      </c>
    </row>
    <row r="466" spans="1:12" x14ac:dyDescent="0.25">
      <c r="A466" s="3">
        <v>45696.619884259257</v>
      </c>
      <c r="B466" t="s">
        <v>149</v>
      </c>
      <c r="C466" s="3">
        <v>45696.620115740741</v>
      </c>
      <c r="D466" t="s">
        <v>250</v>
      </c>
      <c r="E466" s="4">
        <v>1.5158619403839111E-2</v>
      </c>
      <c r="F466" s="4">
        <v>346972.05622214224</v>
      </c>
      <c r="G466" s="4">
        <v>346972.07138076163</v>
      </c>
      <c r="H466" s="5">
        <f t="shared" si="5"/>
        <v>0</v>
      </c>
      <c r="I466" t="s">
        <v>136</v>
      </c>
      <c r="J466" t="s">
        <v>188</v>
      </c>
      <c r="K466" s="5">
        <f>20 / 86400</f>
        <v>2.3148148148148149E-4</v>
      </c>
      <c r="L466" s="5">
        <f>20 / 86400</f>
        <v>2.3148148148148149E-4</v>
      </c>
    </row>
    <row r="467" spans="1:12" x14ac:dyDescent="0.25">
      <c r="A467" s="3">
        <v>45696.620347222226</v>
      </c>
      <c r="B467" t="s">
        <v>250</v>
      </c>
      <c r="C467" s="3">
        <v>45696.620578703703</v>
      </c>
      <c r="D467" t="s">
        <v>231</v>
      </c>
      <c r="E467" s="4">
        <v>1.5682685852050782E-2</v>
      </c>
      <c r="F467" s="4">
        <v>346972.07831120078</v>
      </c>
      <c r="G467" s="4">
        <v>346972.09399388666</v>
      </c>
      <c r="H467" s="5">
        <f t="shared" si="5"/>
        <v>0</v>
      </c>
      <c r="I467" t="s">
        <v>132</v>
      </c>
      <c r="J467" t="s">
        <v>188</v>
      </c>
      <c r="K467" s="5">
        <f>20 / 86400</f>
        <v>2.3148148148148149E-4</v>
      </c>
      <c r="L467" s="5">
        <f>60 / 86400</f>
        <v>6.9444444444444447E-4</v>
      </c>
    </row>
    <row r="468" spans="1:12" x14ac:dyDescent="0.25">
      <c r="A468" s="3">
        <v>45696.62127314815</v>
      </c>
      <c r="B468" t="s">
        <v>231</v>
      </c>
      <c r="C468" s="3">
        <v>45696.621585648143</v>
      </c>
      <c r="D468" t="s">
        <v>393</v>
      </c>
      <c r="E468" s="4">
        <v>2.7132003605365752E-2</v>
      </c>
      <c r="F468" s="4">
        <v>346972.11401768099</v>
      </c>
      <c r="G468" s="4">
        <v>346972.14114968461</v>
      </c>
      <c r="H468" s="5">
        <f t="shared" si="5"/>
        <v>0</v>
      </c>
      <c r="I468" t="s">
        <v>162</v>
      </c>
      <c r="J468" t="s">
        <v>181</v>
      </c>
      <c r="K468" s="5">
        <f>27 / 86400</f>
        <v>3.1250000000000001E-4</v>
      </c>
      <c r="L468" s="5">
        <f>55 / 86400</f>
        <v>6.3657407407407413E-4</v>
      </c>
    </row>
    <row r="469" spans="1:12" x14ac:dyDescent="0.25">
      <c r="A469" s="3">
        <v>45696.62222222222</v>
      </c>
      <c r="B469" t="s">
        <v>250</v>
      </c>
      <c r="C469" s="3">
        <v>45696.625694444447</v>
      </c>
      <c r="D469" t="s">
        <v>125</v>
      </c>
      <c r="E469" s="4">
        <v>2.3025300283432006</v>
      </c>
      <c r="F469" s="4">
        <v>346972.15614348504</v>
      </c>
      <c r="G469" s="4">
        <v>346974.45867351344</v>
      </c>
      <c r="H469" s="5">
        <f t="shared" si="5"/>
        <v>0</v>
      </c>
      <c r="I469" t="s">
        <v>67</v>
      </c>
      <c r="J469" t="s">
        <v>155</v>
      </c>
      <c r="K469" s="5">
        <f>300 / 86400</f>
        <v>3.472222222222222E-3</v>
      </c>
      <c r="L469" s="5">
        <f>20 / 86400</f>
        <v>2.3148148148148149E-4</v>
      </c>
    </row>
    <row r="470" spans="1:12" x14ac:dyDescent="0.25">
      <c r="A470" s="3">
        <v>45696.625925925924</v>
      </c>
      <c r="B470" t="s">
        <v>125</v>
      </c>
      <c r="C470" s="3">
        <v>45696.627025462964</v>
      </c>
      <c r="D470" t="s">
        <v>167</v>
      </c>
      <c r="E470" s="4">
        <v>0.12159092342853546</v>
      </c>
      <c r="F470" s="4">
        <v>346974.46431653347</v>
      </c>
      <c r="G470" s="4">
        <v>346974.58590745687</v>
      </c>
      <c r="H470" s="5">
        <f t="shared" si="5"/>
        <v>0</v>
      </c>
      <c r="I470" t="s">
        <v>162</v>
      </c>
      <c r="J470" t="s">
        <v>136</v>
      </c>
      <c r="K470" s="5">
        <f>95 / 86400</f>
        <v>1.0995370370370371E-3</v>
      </c>
      <c r="L470" s="5">
        <f>34 / 86400</f>
        <v>3.9351851851851852E-4</v>
      </c>
    </row>
    <row r="471" spans="1:12" x14ac:dyDescent="0.25">
      <c r="A471" s="3">
        <v>45696.627418981487</v>
      </c>
      <c r="B471" t="s">
        <v>167</v>
      </c>
      <c r="C471" s="3">
        <v>45696.627650462964</v>
      </c>
      <c r="D471" t="s">
        <v>233</v>
      </c>
      <c r="E471" s="4">
        <v>2.7647156238555907E-2</v>
      </c>
      <c r="F471" s="4">
        <v>346974.59684767225</v>
      </c>
      <c r="G471" s="4">
        <v>346974.62449482846</v>
      </c>
      <c r="H471" s="5">
        <f t="shared" si="5"/>
        <v>0</v>
      </c>
      <c r="I471" t="s">
        <v>90</v>
      </c>
      <c r="J471" t="s">
        <v>136</v>
      </c>
      <c r="K471" s="5">
        <f>20 / 86400</f>
        <v>2.3148148148148149E-4</v>
      </c>
      <c r="L471" s="5">
        <f>40 / 86400</f>
        <v>4.6296296296296298E-4</v>
      </c>
    </row>
    <row r="472" spans="1:12" x14ac:dyDescent="0.25">
      <c r="A472" s="3">
        <v>45696.628113425926</v>
      </c>
      <c r="B472" t="s">
        <v>233</v>
      </c>
      <c r="C472" s="3">
        <v>45696.628344907411</v>
      </c>
      <c r="D472" t="s">
        <v>233</v>
      </c>
      <c r="E472" s="4">
        <v>9.8645633459091189E-3</v>
      </c>
      <c r="F472" s="4">
        <v>346974.62962797168</v>
      </c>
      <c r="G472" s="4">
        <v>346974.63949253497</v>
      </c>
      <c r="H472" s="5">
        <f t="shared" si="5"/>
        <v>0</v>
      </c>
      <c r="I472" t="s">
        <v>188</v>
      </c>
      <c r="J472" t="s">
        <v>132</v>
      </c>
      <c r="K472" s="5">
        <f>20 / 86400</f>
        <v>2.3148148148148149E-4</v>
      </c>
      <c r="L472" s="5">
        <f>60 / 86400</f>
        <v>6.9444444444444447E-4</v>
      </c>
    </row>
    <row r="473" spans="1:12" x14ac:dyDescent="0.25">
      <c r="A473" s="3">
        <v>45696.62903935185</v>
      </c>
      <c r="B473" t="s">
        <v>167</v>
      </c>
      <c r="C473" s="3">
        <v>45696.629965277782</v>
      </c>
      <c r="D473" t="s">
        <v>238</v>
      </c>
      <c r="E473" s="4">
        <v>0.80471169441938395</v>
      </c>
      <c r="F473" s="4">
        <v>346974.71932041959</v>
      </c>
      <c r="G473" s="4">
        <v>346975.52403211402</v>
      </c>
      <c r="H473" s="5">
        <f t="shared" si="5"/>
        <v>0</v>
      </c>
      <c r="I473" t="s">
        <v>251</v>
      </c>
      <c r="J473" t="s">
        <v>215</v>
      </c>
      <c r="K473" s="5">
        <f>80 / 86400</f>
        <v>9.2592592592592596E-4</v>
      </c>
      <c r="L473" s="5">
        <f t="shared" ref="L473:L478" si="6">20 / 86400</f>
        <v>2.3148148148148149E-4</v>
      </c>
    </row>
    <row r="474" spans="1:12" x14ac:dyDescent="0.25">
      <c r="A474" s="3">
        <v>45696.630196759259</v>
      </c>
      <c r="B474" t="s">
        <v>238</v>
      </c>
      <c r="C474" s="3">
        <v>45696.631585648152</v>
      </c>
      <c r="D474" t="s">
        <v>238</v>
      </c>
      <c r="E474" s="4">
        <v>1.3821337295770646</v>
      </c>
      <c r="F474" s="4">
        <v>346975.70111655694</v>
      </c>
      <c r="G474" s="4">
        <v>346977.08325028652</v>
      </c>
      <c r="H474" s="5">
        <f t="shared" si="5"/>
        <v>0</v>
      </c>
      <c r="I474" t="s">
        <v>239</v>
      </c>
      <c r="J474" t="s">
        <v>229</v>
      </c>
      <c r="K474" s="5">
        <f>120 / 86400</f>
        <v>1.3888888888888889E-3</v>
      </c>
      <c r="L474" s="5">
        <f t="shared" si="6"/>
        <v>2.3148148148148149E-4</v>
      </c>
    </row>
    <row r="475" spans="1:12" x14ac:dyDescent="0.25">
      <c r="A475" s="3">
        <v>45696.63181712963</v>
      </c>
      <c r="B475" t="s">
        <v>36</v>
      </c>
      <c r="C475" s="3">
        <v>45696.633206018523</v>
      </c>
      <c r="D475" t="s">
        <v>36</v>
      </c>
      <c r="E475" s="4">
        <v>1.4497474717497825</v>
      </c>
      <c r="F475" s="4">
        <v>346977.10126615997</v>
      </c>
      <c r="G475" s="4">
        <v>346978.55101363169</v>
      </c>
      <c r="H475" s="5">
        <f t="shared" si="5"/>
        <v>0</v>
      </c>
      <c r="I475" t="s">
        <v>263</v>
      </c>
      <c r="J475" t="s">
        <v>345</v>
      </c>
      <c r="K475" s="5">
        <f>120 / 86400</f>
        <v>1.3888888888888889E-3</v>
      </c>
      <c r="L475" s="5">
        <f t="shared" si="6"/>
        <v>2.3148148148148149E-4</v>
      </c>
    </row>
    <row r="476" spans="1:12" x14ac:dyDescent="0.25">
      <c r="A476" s="3">
        <v>45696.633437500001</v>
      </c>
      <c r="B476" t="s">
        <v>245</v>
      </c>
      <c r="C476" s="3">
        <v>45696.641273148147</v>
      </c>
      <c r="D476" t="s">
        <v>329</v>
      </c>
      <c r="E476" s="4">
        <v>6.5107862752676011</v>
      </c>
      <c r="F476" s="4">
        <v>346978.681047422</v>
      </c>
      <c r="G476" s="4">
        <v>346985.19183369726</v>
      </c>
      <c r="H476" s="5">
        <f t="shared" si="5"/>
        <v>0</v>
      </c>
      <c r="I476" t="s">
        <v>240</v>
      </c>
      <c r="J476" t="s">
        <v>157</v>
      </c>
      <c r="K476" s="5">
        <f>677 / 86400</f>
        <v>7.8356481481481489E-3</v>
      </c>
      <c r="L476" s="5">
        <f t="shared" si="6"/>
        <v>2.3148148148148149E-4</v>
      </c>
    </row>
    <row r="477" spans="1:12" x14ac:dyDescent="0.25">
      <c r="A477" s="3">
        <v>45696.641504629632</v>
      </c>
      <c r="B477" t="s">
        <v>394</v>
      </c>
      <c r="C477" s="3">
        <v>45696.644895833335</v>
      </c>
      <c r="D477" t="s">
        <v>331</v>
      </c>
      <c r="E477" s="4">
        <v>3.3209852381944658</v>
      </c>
      <c r="F477" s="4">
        <v>346985.2860041064</v>
      </c>
      <c r="G477" s="4">
        <v>346988.60698934458</v>
      </c>
      <c r="H477" s="5">
        <f t="shared" si="5"/>
        <v>0</v>
      </c>
      <c r="I477" t="s">
        <v>239</v>
      </c>
      <c r="J477" t="s">
        <v>229</v>
      </c>
      <c r="K477" s="5">
        <f>293 / 86400</f>
        <v>3.3912037037037036E-3</v>
      </c>
      <c r="L477" s="5">
        <f t="shared" si="6"/>
        <v>2.3148148148148149E-4</v>
      </c>
    </row>
    <row r="478" spans="1:12" x14ac:dyDescent="0.25">
      <c r="A478" s="3">
        <v>45696.645127314812</v>
      </c>
      <c r="B478" t="s">
        <v>341</v>
      </c>
      <c r="C478" s="3">
        <v>45696.645358796297</v>
      </c>
      <c r="D478" t="s">
        <v>341</v>
      </c>
      <c r="E478" s="4">
        <v>2.2826748311519623E-2</v>
      </c>
      <c r="F478" s="4">
        <v>346988.7240871492</v>
      </c>
      <c r="G478" s="4">
        <v>346988.74691389751</v>
      </c>
      <c r="H478" s="5">
        <f t="shared" si="5"/>
        <v>0</v>
      </c>
      <c r="I478" t="s">
        <v>151</v>
      </c>
      <c r="J478" t="s">
        <v>181</v>
      </c>
      <c r="K478" s="5">
        <f>20 / 86400</f>
        <v>2.3148148148148149E-4</v>
      </c>
      <c r="L478" s="5">
        <f t="shared" si="6"/>
        <v>2.3148148148148149E-4</v>
      </c>
    </row>
    <row r="479" spans="1:12" x14ac:dyDescent="0.25">
      <c r="A479" s="3">
        <v>45696.645590277782</v>
      </c>
      <c r="B479" t="s">
        <v>331</v>
      </c>
      <c r="C479" s="3">
        <v>45696.64644675926</v>
      </c>
      <c r="D479" t="s">
        <v>330</v>
      </c>
      <c r="E479" s="4">
        <v>0.38172529369592667</v>
      </c>
      <c r="F479" s="4">
        <v>346988.8016821121</v>
      </c>
      <c r="G479" s="4">
        <v>346989.1834074058</v>
      </c>
      <c r="H479" s="5">
        <f t="shared" si="5"/>
        <v>0</v>
      </c>
      <c r="I479" t="s">
        <v>194</v>
      </c>
      <c r="J479" t="s">
        <v>94</v>
      </c>
      <c r="K479" s="5">
        <f>74 / 86400</f>
        <v>8.564814814814815E-4</v>
      </c>
      <c r="L479" s="5">
        <f>6 / 86400</f>
        <v>6.9444444444444444E-5</v>
      </c>
    </row>
    <row r="480" spans="1:12" x14ac:dyDescent="0.25">
      <c r="A480" s="3">
        <v>45696.646516203706</v>
      </c>
      <c r="B480" t="s">
        <v>330</v>
      </c>
      <c r="C480" s="3">
        <v>45696.650196759263</v>
      </c>
      <c r="D480" t="s">
        <v>331</v>
      </c>
      <c r="E480" s="4">
        <v>1.0334906432032585</v>
      </c>
      <c r="F480" s="4">
        <v>346989.18768520869</v>
      </c>
      <c r="G480" s="4">
        <v>346990.22117585188</v>
      </c>
      <c r="H480" s="5">
        <f t="shared" si="5"/>
        <v>0</v>
      </c>
      <c r="I480" t="s">
        <v>221</v>
      </c>
      <c r="J480" t="s">
        <v>59</v>
      </c>
      <c r="K480" s="5">
        <f>318 / 86400</f>
        <v>3.6805555555555554E-3</v>
      </c>
      <c r="L480" s="5">
        <f>8 / 86400</f>
        <v>9.2592592592592588E-5</v>
      </c>
    </row>
    <row r="481" spans="1:12" x14ac:dyDescent="0.25">
      <c r="A481" s="3">
        <v>45696.650289351848</v>
      </c>
      <c r="B481" t="s">
        <v>331</v>
      </c>
      <c r="C481" s="3">
        <v>45696.650856481487</v>
      </c>
      <c r="D481" t="s">
        <v>395</v>
      </c>
      <c r="E481" s="4">
        <v>9.0129625558853149E-2</v>
      </c>
      <c r="F481" s="4">
        <v>346990.22339741472</v>
      </c>
      <c r="G481" s="4">
        <v>346990.3135270403</v>
      </c>
      <c r="H481" s="5">
        <f t="shared" si="5"/>
        <v>0</v>
      </c>
      <c r="I481" t="s">
        <v>28</v>
      </c>
      <c r="J481" t="s">
        <v>90</v>
      </c>
      <c r="K481" s="5">
        <f>49 / 86400</f>
        <v>5.6712962962962967E-4</v>
      </c>
      <c r="L481" s="5">
        <f>40 / 86400</f>
        <v>4.6296296296296298E-4</v>
      </c>
    </row>
    <row r="482" spans="1:12" x14ac:dyDescent="0.25">
      <c r="A482" s="3">
        <v>45696.651319444441</v>
      </c>
      <c r="B482" t="s">
        <v>331</v>
      </c>
      <c r="C482" s="3">
        <v>45696.656319444446</v>
      </c>
      <c r="D482" t="s">
        <v>99</v>
      </c>
      <c r="E482" s="4">
        <v>3.0010498526096345</v>
      </c>
      <c r="F482" s="4">
        <v>346990.39450647723</v>
      </c>
      <c r="G482" s="4">
        <v>346993.39555632987</v>
      </c>
      <c r="H482" s="5">
        <f t="shared" si="5"/>
        <v>0</v>
      </c>
      <c r="I482" t="s">
        <v>241</v>
      </c>
      <c r="J482" t="s">
        <v>161</v>
      </c>
      <c r="K482" s="5">
        <f>432 / 86400</f>
        <v>5.0000000000000001E-3</v>
      </c>
      <c r="L482" s="5">
        <f>3 / 86400</f>
        <v>3.4722222222222222E-5</v>
      </c>
    </row>
    <row r="483" spans="1:12" x14ac:dyDescent="0.25">
      <c r="A483" s="3">
        <v>45696.656354166669</v>
      </c>
      <c r="B483" t="s">
        <v>99</v>
      </c>
      <c r="C483" s="3">
        <v>45696.658101851848</v>
      </c>
      <c r="D483" t="s">
        <v>396</v>
      </c>
      <c r="E483" s="4">
        <v>0.97014840656518941</v>
      </c>
      <c r="F483" s="4">
        <v>346993.39882914652</v>
      </c>
      <c r="G483" s="4">
        <v>346994.36897755309</v>
      </c>
      <c r="H483" s="5">
        <f t="shared" si="5"/>
        <v>0</v>
      </c>
      <c r="I483" t="s">
        <v>287</v>
      </c>
      <c r="J483" t="s">
        <v>138</v>
      </c>
      <c r="K483" s="5">
        <f>151 / 86400</f>
        <v>1.7476851851851852E-3</v>
      </c>
      <c r="L483" s="5">
        <f>28 / 86400</f>
        <v>3.2407407407407406E-4</v>
      </c>
    </row>
    <row r="484" spans="1:12" x14ac:dyDescent="0.25">
      <c r="A484" s="3">
        <v>45696.658425925925</v>
      </c>
      <c r="B484" t="s">
        <v>396</v>
      </c>
      <c r="C484" s="3">
        <v>45696.659351851849</v>
      </c>
      <c r="D484" t="s">
        <v>397</v>
      </c>
      <c r="E484" s="4">
        <v>0.41917870986461642</v>
      </c>
      <c r="F484" s="4">
        <v>346994.37998501142</v>
      </c>
      <c r="G484" s="4">
        <v>346994.79916372127</v>
      </c>
      <c r="H484" s="5">
        <f t="shared" si="5"/>
        <v>0</v>
      </c>
      <c r="I484" t="s">
        <v>184</v>
      </c>
      <c r="J484" t="s">
        <v>94</v>
      </c>
      <c r="K484" s="5">
        <f>80 / 86400</f>
        <v>9.2592592592592596E-4</v>
      </c>
      <c r="L484" s="5">
        <f>654 / 86400</f>
        <v>7.5694444444444446E-3</v>
      </c>
    </row>
    <row r="485" spans="1:12" x14ac:dyDescent="0.25">
      <c r="A485" s="3">
        <v>45696.666921296295</v>
      </c>
      <c r="B485" t="s">
        <v>397</v>
      </c>
      <c r="C485" s="3">
        <v>45696.667384259257</v>
      </c>
      <c r="D485" t="s">
        <v>397</v>
      </c>
      <c r="E485" s="4">
        <v>9.6254330873489381E-3</v>
      </c>
      <c r="F485" s="4">
        <v>346994.81034070643</v>
      </c>
      <c r="G485" s="4">
        <v>346994.8199661395</v>
      </c>
      <c r="H485" s="5">
        <f t="shared" si="5"/>
        <v>0</v>
      </c>
      <c r="I485" t="s">
        <v>91</v>
      </c>
      <c r="J485" t="s">
        <v>91</v>
      </c>
      <c r="K485" s="5">
        <f>40 / 86400</f>
        <v>4.6296296296296298E-4</v>
      </c>
      <c r="L485" s="5">
        <f>20 / 86400</f>
        <v>2.3148148148148149E-4</v>
      </c>
    </row>
    <row r="486" spans="1:12" x14ac:dyDescent="0.25">
      <c r="A486" s="3">
        <v>45696.667615740742</v>
      </c>
      <c r="B486" t="s">
        <v>397</v>
      </c>
      <c r="C486" s="3">
        <v>45696.668460648143</v>
      </c>
      <c r="D486" t="s">
        <v>398</v>
      </c>
      <c r="E486" s="4">
        <v>0.25839952635765073</v>
      </c>
      <c r="F486" s="4">
        <v>346994.82340585376</v>
      </c>
      <c r="G486" s="4">
        <v>346995.08180538012</v>
      </c>
      <c r="H486" s="5">
        <f t="shared" si="5"/>
        <v>0</v>
      </c>
      <c r="I486" t="s">
        <v>35</v>
      </c>
      <c r="J486" t="s">
        <v>47</v>
      </c>
      <c r="K486" s="5">
        <f>73 / 86400</f>
        <v>8.4490740740740739E-4</v>
      </c>
      <c r="L486" s="5">
        <f>8 / 86400</f>
        <v>9.2592592592592588E-5</v>
      </c>
    </row>
    <row r="487" spans="1:12" x14ac:dyDescent="0.25">
      <c r="A487" s="3">
        <v>45696.668553240743</v>
      </c>
      <c r="B487" t="s">
        <v>399</v>
      </c>
      <c r="C487" s="3">
        <v>45696.66878472222</v>
      </c>
      <c r="D487" t="s">
        <v>399</v>
      </c>
      <c r="E487" s="4">
        <v>3.5140805244445799E-3</v>
      </c>
      <c r="F487" s="4">
        <v>346995.08766505087</v>
      </c>
      <c r="G487" s="4">
        <v>346995.09117913141</v>
      </c>
      <c r="H487" s="5">
        <f t="shared" si="5"/>
        <v>0</v>
      </c>
      <c r="I487" t="s">
        <v>136</v>
      </c>
      <c r="J487" t="s">
        <v>91</v>
      </c>
      <c r="K487" s="5">
        <f>20 / 86400</f>
        <v>2.3148148148148149E-4</v>
      </c>
      <c r="L487" s="5">
        <f>94 / 86400</f>
        <v>1.0879629629629629E-3</v>
      </c>
    </row>
    <row r="488" spans="1:12" x14ac:dyDescent="0.25">
      <c r="A488" s="3">
        <v>45696.66987268519</v>
      </c>
      <c r="B488" t="s">
        <v>400</v>
      </c>
      <c r="C488" s="3">
        <v>45696.670856481476</v>
      </c>
      <c r="D488" t="s">
        <v>152</v>
      </c>
      <c r="E488" s="4">
        <v>0.55491881525516507</v>
      </c>
      <c r="F488" s="4">
        <v>346995.1417359038</v>
      </c>
      <c r="G488" s="4">
        <v>346995.69665471907</v>
      </c>
      <c r="H488" s="5">
        <f t="shared" si="5"/>
        <v>0</v>
      </c>
      <c r="I488" t="s">
        <v>230</v>
      </c>
      <c r="J488" t="s">
        <v>140</v>
      </c>
      <c r="K488" s="5">
        <f>85 / 86400</f>
        <v>9.837962962962962E-4</v>
      </c>
      <c r="L488" s="5">
        <f>20 / 86400</f>
        <v>2.3148148148148149E-4</v>
      </c>
    </row>
    <row r="489" spans="1:12" x14ac:dyDescent="0.25">
      <c r="A489" s="3">
        <v>45696.671087962968</v>
      </c>
      <c r="B489" t="s">
        <v>152</v>
      </c>
      <c r="C489" s="3">
        <v>45696.67224537037</v>
      </c>
      <c r="D489" t="s">
        <v>335</v>
      </c>
      <c r="E489" s="4">
        <v>0.50068744307756419</v>
      </c>
      <c r="F489" s="4">
        <v>346995.78084349137</v>
      </c>
      <c r="G489" s="4">
        <v>346996.28153093444</v>
      </c>
      <c r="H489" s="5">
        <f t="shared" si="5"/>
        <v>0</v>
      </c>
      <c r="I489" t="s">
        <v>23</v>
      </c>
      <c r="J489" t="s">
        <v>50</v>
      </c>
      <c r="K489" s="5">
        <f>100 / 86400</f>
        <v>1.1574074074074073E-3</v>
      </c>
      <c r="L489" s="5">
        <f>60 / 86400</f>
        <v>6.9444444444444447E-4</v>
      </c>
    </row>
    <row r="490" spans="1:12" x14ac:dyDescent="0.25">
      <c r="A490" s="3">
        <v>45696.672939814816</v>
      </c>
      <c r="B490" t="s">
        <v>335</v>
      </c>
      <c r="C490" s="3">
        <v>45696.674560185187</v>
      </c>
      <c r="D490" t="s">
        <v>401</v>
      </c>
      <c r="E490" s="4">
        <v>0.82005864566564557</v>
      </c>
      <c r="F490" s="4">
        <v>346996.28781557607</v>
      </c>
      <c r="G490" s="4">
        <v>346997.10787422175</v>
      </c>
      <c r="H490" s="5">
        <f t="shared" si="5"/>
        <v>0</v>
      </c>
      <c r="I490" t="s">
        <v>150</v>
      </c>
      <c r="J490" t="s">
        <v>35</v>
      </c>
      <c r="K490" s="5">
        <f>140 / 86400</f>
        <v>1.6203703703703703E-3</v>
      </c>
      <c r="L490" s="5">
        <f>20 / 86400</f>
        <v>2.3148148148148149E-4</v>
      </c>
    </row>
    <row r="491" spans="1:12" x14ac:dyDescent="0.25">
      <c r="A491" s="3">
        <v>45696.674791666665</v>
      </c>
      <c r="B491" t="s">
        <v>401</v>
      </c>
      <c r="C491" s="3">
        <v>45696.677291666667</v>
      </c>
      <c r="D491" t="s">
        <v>333</v>
      </c>
      <c r="E491" s="4">
        <v>1.4684473313689232</v>
      </c>
      <c r="F491" s="4">
        <v>346997.12115183932</v>
      </c>
      <c r="G491" s="4">
        <v>346998.58959917066</v>
      </c>
      <c r="H491" s="5">
        <f t="shared" si="5"/>
        <v>0</v>
      </c>
      <c r="I491" t="s">
        <v>345</v>
      </c>
      <c r="J491" t="s">
        <v>140</v>
      </c>
      <c r="K491" s="5">
        <f>216 / 86400</f>
        <v>2.5000000000000001E-3</v>
      </c>
      <c r="L491" s="5">
        <f>20 / 86400</f>
        <v>2.3148148148148149E-4</v>
      </c>
    </row>
    <row r="492" spans="1:12" x14ac:dyDescent="0.25">
      <c r="A492" s="3">
        <v>45696.677523148144</v>
      </c>
      <c r="B492" t="s">
        <v>333</v>
      </c>
      <c r="C492" s="3">
        <v>45696.678449074076</v>
      </c>
      <c r="D492" t="s">
        <v>402</v>
      </c>
      <c r="E492" s="4">
        <v>0.50578209340572355</v>
      </c>
      <c r="F492" s="4">
        <v>346998.60329207941</v>
      </c>
      <c r="G492" s="4">
        <v>346999.1090741728</v>
      </c>
      <c r="H492" s="5">
        <f t="shared" si="5"/>
        <v>0</v>
      </c>
      <c r="I492" t="s">
        <v>201</v>
      </c>
      <c r="J492" t="s">
        <v>138</v>
      </c>
      <c r="K492" s="5">
        <f>80 / 86400</f>
        <v>9.2592592592592596E-4</v>
      </c>
      <c r="L492" s="5">
        <f>30 / 86400</f>
        <v>3.4722222222222224E-4</v>
      </c>
    </row>
    <row r="493" spans="1:12" x14ac:dyDescent="0.25">
      <c r="A493" s="3">
        <v>45696.678796296299</v>
      </c>
      <c r="B493" t="s">
        <v>98</v>
      </c>
      <c r="C493" s="3">
        <v>45696.681180555555</v>
      </c>
      <c r="D493" t="s">
        <v>338</v>
      </c>
      <c r="E493" s="4">
        <v>0.6444219778776169</v>
      </c>
      <c r="F493" s="4">
        <v>346999.13015638723</v>
      </c>
      <c r="G493" s="4">
        <v>346999.77457836509</v>
      </c>
      <c r="H493" s="5">
        <f t="shared" si="5"/>
        <v>0</v>
      </c>
      <c r="I493" t="s">
        <v>165</v>
      </c>
      <c r="J493" t="s">
        <v>20</v>
      </c>
      <c r="K493" s="5">
        <f>206 / 86400</f>
        <v>2.3842592592592591E-3</v>
      </c>
      <c r="L493" s="5">
        <f>120 / 86400</f>
        <v>1.3888888888888889E-3</v>
      </c>
    </row>
    <row r="494" spans="1:12" x14ac:dyDescent="0.25">
      <c r="A494" s="3">
        <v>45696.682569444441</v>
      </c>
      <c r="B494" t="s">
        <v>338</v>
      </c>
      <c r="C494" s="3">
        <v>45696.685081018513</v>
      </c>
      <c r="D494" t="s">
        <v>340</v>
      </c>
      <c r="E494" s="4">
        <v>0.81774468755722041</v>
      </c>
      <c r="F494" s="4">
        <v>346999.80424585741</v>
      </c>
      <c r="G494" s="4">
        <v>347000.62199054495</v>
      </c>
      <c r="H494" s="5">
        <f t="shared" si="5"/>
        <v>0</v>
      </c>
      <c r="I494" t="s">
        <v>150</v>
      </c>
      <c r="J494" t="s">
        <v>41</v>
      </c>
      <c r="K494" s="5">
        <f>217 / 86400</f>
        <v>2.5115740740740741E-3</v>
      </c>
      <c r="L494" s="5">
        <f>20 / 86400</f>
        <v>2.3148148148148149E-4</v>
      </c>
    </row>
    <row r="495" spans="1:12" x14ac:dyDescent="0.25">
      <c r="A495" s="3">
        <v>45696.685312500005</v>
      </c>
      <c r="B495" t="s">
        <v>403</v>
      </c>
      <c r="C495" s="3">
        <v>45696.686006944445</v>
      </c>
      <c r="D495" t="s">
        <v>331</v>
      </c>
      <c r="E495" s="4">
        <v>0.29275845783948901</v>
      </c>
      <c r="F495" s="4">
        <v>347000.74511468544</v>
      </c>
      <c r="G495" s="4">
        <v>347001.03787314327</v>
      </c>
      <c r="H495" s="5">
        <f t="shared" si="5"/>
        <v>0</v>
      </c>
      <c r="I495" t="s">
        <v>150</v>
      </c>
      <c r="J495" t="s">
        <v>50</v>
      </c>
      <c r="K495" s="5">
        <f>60 / 86400</f>
        <v>6.9444444444444447E-4</v>
      </c>
      <c r="L495" s="5">
        <f>40 / 86400</f>
        <v>4.6296296296296298E-4</v>
      </c>
    </row>
    <row r="496" spans="1:12" x14ac:dyDescent="0.25">
      <c r="A496" s="3">
        <v>45696.686469907407</v>
      </c>
      <c r="B496" t="s">
        <v>341</v>
      </c>
      <c r="C496" s="3">
        <v>45696.686701388884</v>
      </c>
      <c r="D496" t="s">
        <v>341</v>
      </c>
      <c r="E496" s="4">
        <v>1.4742839932441712E-3</v>
      </c>
      <c r="F496" s="4">
        <v>347001.05578868953</v>
      </c>
      <c r="G496" s="4">
        <v>347001.05726297357</v>
      </c>
      <c r="H496" s="5">
        <f t="shared" si="5"/>
        <v>0</v>
      </c>
      <c r="I496" t="s">
        <v>132</v>
      </c>
      <c r="J496" t="s">
        <v>133</v>
      </c>
      <c r="K496" s="5">
        <f>20 / 86400</f>
        <v>2.3148148148148149E-4</v>
      </c>
      <c r="L496" s="5">
        <f>40 / 86400</f>
        <v>4.6296296296296298E-4</v>
      </c>
    </row>
    <row r="497" spans="1:12" x14ac:dyDescent="0.25">
      <c r="A497" s="3">
        <v>45696.687164351853</v>
      </c>
      <c r="B497" t="s">
        <v>341</v>
      </c>
      <c r="C497" s="3">
        <v>45696.68855324074</v>
      </c>
      <c r="D497" t="s">
        <v>331</v>
      </c>
      <c r="E497" s="4">
        <v>0.80350229263305661</v>
      </c>
      <c r="F497" s="4">
        <v>347001.12641826761</v>
      </c>
      <c r="G497" s="4">
        <v>347001.92992056021</v>
      </c>
      <c r="H497" s="5">
        <f t="shared" si="5"/>
        <v>0</v>
      </c>
      <c r="I497" t="s">
        <v>157</v>
      </c>
      <c r="J497" t="s">
        <v>140</v>
      </c>
      <c r="K497" s="5">
        <f>120 / 86400</f>
        <v>1.3888888888888889E-3</v>
      </c>
      <c r="L497" s="5">
        <f>6 / 86400</f>
        <v>6.9444444444444444E-5</v>
      </c>
    </row>
    <row r="498" spans="1:12" x14ac:dyDescent="0.25">
      <c r="A498" s="3">
        <v>45696.688622685186</v>
      </c>
      <c r="B498" t="s">
        <v>331</v>
      </c>
      <c r="C498" s="3">
        <v>45696.690625000003</v>
      </c>
      <c r="D498" t="s">
        <v>344</v>
      </c>
      <c r="E498" s="4">
        <v>1.5227948660850525</v>
      </c>
      <c r="F498" s="4">
        <v>347001.93562310515</v>
      </c>
      <c r="G498" s="4">
        <v>347003.45841797127</v>
      </c>
      <c r="H498" s="5">
        <f t="shared" ref="H498:H561" si="7">0 / 86400</f>
        <v>0</v>
      </c>
      <c r="I498" t="s">
        <v>183</v>
      </c>
      <c r="J498" t="s">
        <v>150</v>
      </c>
      <c r="K498" s="5">
        <f>173 / 86400</f>
        <v>2.0023148148148148E-3</v>
      </c>
      <c r="L498" s="5">
        <f t="shared" ref="L498:L504" si="8">20 / 86400</f>
        <v>2.3148148148148149E-4</v>
      </c>
    </row>
    <row r="499" spans="1:12" x14ac:dyDescent="0.25">
      <c r="A499" s="3">
        <v>45696.69085648148</v>
      </c>
      <c r="B499" t="s">
        <v>344</v>
      </c>
      <c r="C499" s="3">
        <v>45696.691782407404</v>
      </c>
      <c r="D499" t="s">
        <v>329</v>
      </c>
      <c r="E499" s="4">
        <v>0.99105749660730358</v>
      </c>
      <c r="F499" s="4">
        <v>347003.46468385862</v>
      </c>
      <c r="G499" s="4">
        <v>347004.45574135525</v>
      </c>
      <c r="H499" s="5">
        <f t="shared" si="7"/>
        <v>0</v>
      </c>
      <c r="I499" t="s">
        <v>103</v>
      </c>
      <c r="J499" t="s">
        <v>23</v>
      </c>
      <c r="K499" s="5">
        <f>80 / 86400</f>
        <v>9.2592592592592596E-4</v>
      </c>
      <c r="L499" s="5">
        <f t="shared" si="8"/>
        <v>2.3148148148148149E-4</v>
      </c>
    </row>
    <row r="500" spans="1:12" x14ac:dyDescent="0.25">
      <c r="A500" s="3">
        <v>45696.692013888889</v>
      </c>
      <c r="B500" t="s">
        <v>329</v>
      </c>
      <c r="C500" s="3">
        <v>45696.692708333328</v>
      </c>
      <c r="D500" t="s">
        <v>404</v>
      </c>
      <c r="E500" s="4">
        <v>0.96084964424371722</v>
      </c>
      <c r="F500" s="4">
        <v>347004.47439112799</v>
      </c>
      <c r="G500" s="4">
        <v>347005.43524077226</v>
      </c>
      <c r="H500" s="5">
        <f t="shared" si="7"/>
        <v>0</v>
      </c>
      <c r="I500" t="s">
        <v>117</v>
      </c>
      <c r="J500" t="s">
        <v>263</v>
      </c>
      <c r="K500" s="5">
        <f>60 / 86400</f>
        <v>6.9444444444444447E-4</v>
      </c>
      <c r="L500" s="5">
        <f t="shared" si="8"/>
        <v>2.3148148148148149E-4</v>
      </c>
    </row>
    <row r="501" spans="1:12" x14ac:dyDescent="0.25">
      <c r="A501" s="3">
        <v>45696.692939814813</v>
      </c>
      <c r="B501" t="s">
        <v>394</v>
      </c>
      <c r="C501" s="3">
        <v>45696.693171296298</v>
      </c>
      <c r="D501" t="s">
        <v>328</v>
      </c>
      <c r="E501" s="4">
        <v>0.10477312767505646</v>
      </c>
      <c r="F501" s="4">
        <v>347005.57250709221</v>
      </c>
      <c r="G501" s="4">
        <v>347005.67728021985</v>
      </c>
      <c r="H501" s="5">
        <f t="shared" si="7"/>
        <v>0</v>
      </c>
      <c r="I501" t="s">
        <v>135</v>
      </c>
      <c r="J501" t="s">
        <v>94</v>
      </c>
      <c r="K501" s="5">
        <f>20 / 86400</f>
        <v>2.3148148148148149E-4</v>
      </c>
      <c r="L501" s="5">
        <f t="shared" si="8"/>
        <v>2.3148148148148149E-4</v>
      </c>
    </row>
    <row r="502" spans="1:12" x14ac:dyDescent="0.25">
      <c r="A502" s="3">
        <v>45696.693402777775</v>
      </c>
      <c r="B502" t="s">
        <v>328</v>
      </c>
      <c r="C502" s="3">
        <v>45696.695104166662</v>
      </c>
      <c r="D502" t="s">
        <v>327</v>
      </c>
      <c r="E502" s="4">
        <v>1.3271163781285287</v>
      </c>
      <c r="F502" s="4">
        <v>347005.72196582175</v>
      </c>
      <c r="G502" s="4">
        <v>347007.04908219987</v>
      </c>
      <c r="H502" s="5">
        <f t="shared" si="7"/>
        <v>0</v>
      </c>
      <c r="I502" t="s">
        <v>116</v>
      </c>
      <c r="J502" t="s">
        <v>163</v>
      </c>
      <c r="K502" s="5">
        <f>147 / 86400</f>
        <v>1.7013888888888888E-3</v>
      </c>
      <c r="L502" s="5">
        <f t="shared" si="8"/>
        <v>2.3148148148148149E-4</v>
      </c>
    </row>
    <row r="503" spans="1:12" x14ac:dyDescent="0.25">
      <c r="A503" s="3">
        <v>45696.695335648154</v>
      </c>
      <c r="B503" t="s">
        <v>327</v>
      </c>
      <c r="C503" s="3">
        <v>45696.698819444442</v>
      </c>
      <c r="D503" t="s">
        <v>243</v>
      </c>
      <c r="E503" s="4">
        <v>2.7772098743319513</v>
      </c>
      <c r="F503" s="4">
        <v>347007.20038793015</v>
      </c>
      <c r="G503" s="4">
        <v>347009.97759780451</v>
      </c>
      <c r="H503" s="5">
        <f t="shared" si="7"/>
        <v>0</v>
      </c>
      <c r="I503" t="s">
        <v>144</v>
      </c>
      <c r="J503" t="s">
        <v>163</v>
      </c>
      <c r="K503" s="5">
        <f>301 / 86400</f>
        <v>3.4837962962962965E-3</v>
      </c>
      <c r="L503" s="5">
        <f t="shared" si="8"/>
        <v>2.3148148148148149E-4</v>
      </c>
    </row>
    <row r="504" spans="1:12" x14ac:dyDescent="0.25">
      <c r="A504" s="3">
        <v>45696.699050925927</v>
      </c>
      <c r="B504" t="s">
        <v>243</v>
      </c>
      <c r="C504" s="3">
        <v>45696.700671296298</v>
      </c>
      <c r="D504" t="s">
        <v>327</v>
      </c>
      <c r="E504" s="4">
        <v>1.0079207672476769</v>
      </c>
      <c r="F504" s="4">
        <v>347010.01380815264</v>
      </c>
      <c r="G504" s="4">
        <v>347011.02172891988</v>
      </c>
      <c r="H504" s="5">
        <f t="shared" si="7"/>
        <v>0</v>
      </c>
      <c r="I504" t="s">
        <v>135</v>
      </c>
      <c r="J504" t="s">
        <v>205</v>
      </c>
      <c r="K504" s="5">
        <f>140 / 86400</f>
        <v>1.6203703703703703E-3</v>
      </c>
      <c r="L504" s="5">
        <f t="shared" si="8"/>
        <v>2.3148148148148149E-4</v>
      </c>
    </row>
    <row r="505" spans="1:12" x14ac:dyDescent="0.25">
      <c r="A505" s="3">
        <v>45696.700902777782</v>
      </c>
      <c r="B505" t="s">
        <v>327</v>
      </c>
      <c r="C505" s="3">
        <v>45696.701365740737</v>
      </c>
      <c r="D505" t="s">
        <v>36</v>
      </c>
      <c r="E505" s="4">
        <v>0.24514998781681061</v>
      </c>
      <c r="F505" s="4">
        <v>347011.02760605689</v>
      </c>
      <c r="G505" s="4">
        <v>347011.27275604469</v>
      </c>
      <c r="H505" s="5">
        <f t="shared" si="7"/>
        <v>0</v>
      </c>
      <c r="I505" t="s">
        <v>215</v>
      </c>
      <c r="J505" t="s">
        <v>221</v>
      </c>
      <c r="K505" s="5">
        <f>40 / 86400</f>
        <v>4.6296296296296298E-4</v>
      </c>
      <c r="L505" s="5">
        <f>5 / 86400</f>
        <v>5.7870370370370373E-5</v>
      </c>
    </row>
    <row r="506" spans="1:12" x14ac:dyDescent="0.25">
      <c r="A506" s="3">
        <v>45696.701423611114</v>
      </c>
      <c r="B506" t="s">
        <v>242</v>
      </c>
      <c r="C506" s="3">
        <v>45696.7028125</v>
      </c>
      <c r="D506" t="s">
        <v>242</v>
      </c>
      <c r="E506" s="4">
        <v>1.4249710597395897</v>
      </c>
      <c r="F506" s="4">
        <v>347011.27635315713</v>
      </c>
      <c r="G506" s="4">
        <v>347012.70132421685</v>
      </c>
      <c r="H506" s="5">
        <f t="shared" si="7"/>
        <v>0</v>
      </c>
      <c r="I506" t="s">
        <v>240</v>
      </c>
      <c r="J506" t="s">
        <v>345</v>
      </c>
      <c r="K506" s="5">
        <f>120 / 86400</f>
        <v>1.3888888888888889E-3</v>
      </c>
      <c r="L506" s="5">
        <f>20 / 86400</f>
        <v>2.3148148148148149E-4</v>
      </c>
    </row>
    <row r="507" spans="1:12" x14ac:dyDescent="0.25">
      <c r="A507" s="3">
        <v>45696.703043981484</v>
      </c>
      <c r="B507" t="s">
        <v>238</v>
      </c>
      <c r="C507" s="3">
        <v>45696.703969907408</v>
      </c>
      <c r="D507" t="s">
        <v>238</v>
      </c>
      <c r="E507" s="4">
        <v>1.1235608138442039</v>
      </c>
      <c r="F507" s="4">
        <v>347012.74530939793</v>
      </c>
      <c r="G507" s="4">
        <v>347013.86887021177</v>
      </c>
      <c r="H507" s="5">
        <f t="shared" si="7"/>
        <v>0</v>
      </c>
      <c r="I507" t="s">
        <v>121</v>
      </c>
      <c r="J507" t="s">
        <v>199</v>
      </c>
      <c r="K507" s="5">
        <f>80 / 86400</f>
        <v>9.2592592592592596E-4</v>
      </c>
      <c r="L507" s="5">
        <f>20 / 86400</f>
        <v>2.3148148148148149E-4</v>
      </c>
    </row>
    <row r="508" spans="1:12" x14ac:dyDescent="0.25">
      <c r="A508" s="3">
        <v>45696.704201388886</v>
      </c>
      <c r="B508" t="s">
        <v>238</v>
      </c>
      <c r="C508" s="3">
        <v>45696.706377314811</v>
      </c>
      <c r="D508" t="s">
        <v>405</v>
      </c>
      <c r="E508" s="4">
        <v>1.3076818305850029</v>
      </c>
      <c r="F508" s="4">
        <v>347013.90921103529</v>
      </c>
      <c r="G508" s="4">
        <v>347015.21689286589</v>
      </c>
      <c r="H508" s="5">
        <f t="shared" si="7"/>
        <v>0</v>
      </c>
      <c r="I508" t="s">
        <v>240</v>
      </c>
      <c r="J508" t="s">
        <v>161</v>
      </c>
      <c r="K508" s="5">
        <f>188 / 86400</f>
        <v>2.1759259259259258E-3</v>
      </c>
      <c r="L508" s="5">
        <f>26 / 86400</f>
        <v>3.0092592592592595E-4</v>
      </c>
    </row>
    <row r="509" spans="1:12" x14ac:dyDescent="0.25">
      <c r="A509" s="3">
        <v>45696.706678240742</v>
      </c>
      <c r="B509" t="s">
        <v>405</v>
      </c>
      <c r="C509" s="3">
        <v>45696.707800925928</v>
      </c>
      <c r="D509" t="s">
        <v>167</v>
      </c>
      <c r="E509" s="4">
        <v>0.80794884181022641</v>
      </c>
      <c r="F509" s="4">
        <v>347015.22048064566</v>
      </c>
      <c r="G509" s="4">
        <v>347016.02842948749</v>
      </c>
      <c r="H509" s="5">
        <f t="shared" si="7"/>
        <v>0</v>
      </c>
      <c r="I509" t="s">
        <v>67</v>
      </c>
      <c r="J509" t="s">
        <v>184</v>
      </c>
      <c r="K509" s="5">
        <f>97 / 86400</f>
        <v>1.1226851851851851E-3</v>
      </c>
      <c r="L509" s="5">
        <f>20 / 86400</f>
        <v>2.3148148148148149E-4</v>
      </c>
    </row>
    <row r="510" spans="1:12" x14ac:dyDescent="0.25">
      <c r="A510" s="3">
        <v>45696.708032407405</v>
      </c>
      <c r="B510" t="s">
        <v>167</v>
      </c>
      <c r="C510" s="3">
        <v>45696.709189814814</v>
      </c>
      <c r="D510" t="s">
        <v>149</v>
      </c>
      <c r="E510" s="4">
        <v>1.0880249421000481</v>
      </c>
      <c r="F510" s="4">
        <v>347016.07428230293</v>
      </c>
      <c r="G510" s="4">
        <v>347017.16230724502</v>
      </c>
      <c r="H510" s="5">
        <f t="shared" si="7"/>
        <v>0</v>
      </c>
      <c r="I510" t="s">
        <v>240</v>
      </c>
      <c r="J510" t="s">
        <v>287</v>
      </c>
      <c r="K510" s="5">
        <f>100 / 86400</f>
        <v>1.1574074074074073E-3</v>
      </c>
      <c r="L510" s="5">
        <f>7 / 86400</f>
        <v>8.1018518518518516E-5</v>
      </c>
    </row>
    <row r="511" spans="1:12" x14ac:dyDescent="0.25">
      <c r="A511" s="3">
        <v>45696.709270833337</v>
      </c>
      <c r="B511" t="s">
        <v>149</v>
      </c>
      <c r="C511" s="3">
        <v>45696.711122685185</v>
      </c>
      <c r="D511" t="s">
        <v>149</v>
      </c>
      <c r="E511" s="4">
        <v>1.2630255880951882</v>
      </c>
      <c r="F511" s="4">
        <v>347017.16699933697</v>
      </c>
      <c r="G511" s="4">
        <v>347018.43002492504</v>
      </c>
      <c r="H511" s="5">
        <f t="shared" si="7"/>
        <v>0</v>
      </c>
      <c r="I511" t="s">
        <v>67</v>
      </c>
      <c r="J511" t="s">
        <v>155</v>
      </c>
      <c r="K511" s="5">
        <f>160 / 86400</f>
        <v>1.8518518518518519E-3</v>
      </c>
      <c r="L511" s="5">
        <f>40 / 86400</f>
        <v>4.6296296296296298E-4</v>
      </c>
    </row>
    <row r="512" spans="1:12" x14ac:dyDescent="0.25">
      <c r="A512" s="3">
        <v>45696.711585648147</v>
      </c>
      <c r="B512" t="s">
        <v>149</v>
      </c>
      <c r="C512" s="3">
        <v>45696.712048611109</v>
      </c>
      <c r="D512" t="s">
        <v>149</v>
      </c>
      <c r="E512" s="4">
        <v>2.4053872585296631E-2</v>
      </c>
      <c r="F512" s="4">
        <v>347018.45053745038</v>
      </c>
      <c r="G512" s="4">
        <v>347018.47459132294</v>
      </c>
      <c r="H512" s="5">
        <f t="shared" si="7"/>
        <v>0</v>
      </c>
      <c r="I512" t="s">
        <v>90</v>
      </c>
      <c r="J512" t="s">
        <v>132</v>
      </c>
      <c r="K512" s="5">
        <f>40 / 86400</f>
        <v>4.6296296296296298E-4</v>
      </c>
      <c r="L512" s="5">
        <f>40 / 86400</f>
        <v>4.6296296296296298E-4</v>
      </c>
    </row>
    <row r="513" spans="1:12" x14ac:dyDescent="0.25">
      <c r="A513" s="3">
        <v>45696.712511574078</v>
      </c>
      <c r="B513" t="s">
        <v>149</v>
      </c>
      <c r="C513" s="3">
        <v>45696.712974537033</v>
      </c>
      <c r="D513" t="s">
        <v>149</v>
      </c>
      <c r="E513" s="4">
        <v>2.0401776492595673E-2</v>
      </c>
      <c r="F513" s="4">
        <v>347018.47671555885</v>
      </c>
      <c r="G513" s="4">
        <v>347018.49711733533</v>
      </c>
      <c r="H513" s="5">
        <f t="shared" si="7"/>
        <v>0</v>
      </c>
      <c r="I513" t="s">
        <v>188</v>
      </c>
      <c r="J513" t="s">
        <v>132</v>
      </c>
      <c r="K513" s="5">
        <f>40 / 86400</f>
        <v>4.6296296296296298E-4</v>
      </c>
      <c r="L513" s="5">
        <f>49 / 86400</f>
        <v>5.6712962962962967E-4</v>
      </c>
    </row>
    <row r="514" spans="1:12" x14ac:dyDescent="0.25">
      <c r="A514" s="3">
        <v>45696.713541666672</v>
      </c>
      <c r="B514" t="s">
        <v>149</v>
      </c>
      <c r="C514" s="3">
        <v>45696.714004629626</v>
      </c>
      <c r="D514" t="s">
        <v>149</v>
      </c>
      <c r="E514" s="4">
        <v>7.2473643183708192E-2</v>
      </c>
      <c r="F514" s="4">
        <v>347018.5008128591</v>
      </c>
      <c r="G514" s="4">
        <v>347018.57328650227</v>
      </c>
      <c r="H514" s="5">
        <f t="shared" si="7"/>
        <v>0</v>
      </c>
      <c r="I514" t="s">
        <v>136</v>
      </c>
      <c r="J514" t="s">
        <v>90</v>
      </c>
      <c r="K514" s="5">
        <f>40 / 86400</f>
        <v>4.6296296296296298E-4</v>
      </c>
      <c r="L514" s="5">
        <f>60 / 86400</f>
        <v>6.9444444444444447E-4</v>
      </c>
    </row>
    <row r="515" spans="1:12" x14ac:dyDescent="0.25">
      <c r="A515" s="3">
        <v>45696.714699074073</v>
      </c>
      <c r="B515" t="s">
        <v>406</v>
      </c>
      <c r="C515" s="3">
        <v>45696.715624999997</v>
      </c>
      <c r="D515" t="s">
        <v>149</v>
      </c>
      <c r="E515" s="4">
        <v>0.8029089575409889</v>
      </c>
      <c r="F515" s="4">
        <v>347018.70120522229</v>
      </c>
      <c r="G515" s="4">
        <v>347019.50411417987</v>
      </c>
      <c r="H515" s="5">
        <f t="shared" si="7"/>
        <v>0</v>
      </c>
      <c r="I515" t="s">
        <v>239</v>
      </c>
      <c r="J515" t="s">
        <v>215</v>
      </c>
      <c r="K515" s="5">
        <f>80 / 86400</f>
        <v>9.2592592592592596E-4</v>
      </c>
      <c r="L515" s="5">
        <f>31 / 86400</f>
        <v>3.5879629629629629E-4</v>
      </c>
    </row>
    <row r="516" spans="1:12" x14ac:dyDescent="0.25">
      <c r="A516" s="3">
        <v>45696.715983796297</v>
      </c>
      <c r="B516" t="s">
        <v>149</v>
      </c>
      <c r="C516" s="3">
        <v>45696.717835648145</v>
      </c>
      <c r="D516" t="s">
        <v>158</v>
      </c>
      <c r="E516" s="4">
        <v>1.5036430364847184</v>
      </c>
      <c r="F516" s="4">
        <v>347019.51394375553</v>
      </c>
      <c r="G516" s="4">
        <v>347021.017586792</v>
      </c>
      <c r="H516" s="5">
        <f t="shared" si="7"/>
        <v>0</v>
      </c>
      <c r="I516" t="s">
        <v>103</v>
      </c>
      <c r="J516" t="s">
        <v>218</v>
      </c>
      <c r="K516" s="5">
        <f>160 / 86400</f>
        <v>1.8518518518518519E-3</v>
      </c>
      <c r="L516" s="5">
        <f>20 / 86400</f>
        <v>2.3148148148148149E-4</v>
      </c>
    </row>
    <row r="517" spans="1:12" x14ac:dyDescent="0.25">
      <c r="A517" s="3">
        <v>45696.71806712963</v>
      </c>
      <c r="B517" t="s">
        <v>158</v>
      </c>
      <c r="C517" s="3">
        <v>45696.718530092592</v>
      </c>
      <c r="D517" t="s">
        <v>158</v>
      </c>
      <c r="E517" s="4">
        <v>0.22331779026985168</v>
      </c>
      <c r="F517" s="4">
        <v>347021.16992199334</v>
      </c>
      <c r="G517" s="4">
        <v>347021.39323978359</v>
      </c>
      <c r="H517" s="5">
        <f t="shared" si="7"/>
        <v>0</v>
      </c>
      <c r="I517" t="s">
        <v>269</v>
      </c>
      <c r="J517" t="s">
        <v>175</v>
      </c>
      <c r="K517" s="5">
        <f>40 / 86400</f>
        <v>4.6296296296296298E-4</v>
      </c>
      <c r="L517" s="5">
        <f>101 / 86400</f>
        <v>1.1689814814814816E-3</v>
      </c>
    </row>
    <row r="518" spans="1:12" x14ac:dyDescent="0.25">
      <c r="A518" s="3">
        <v>45696.719699074078</v>
      </c>
      <c r="B518" t="s">
        <v>158</v>
      </c>
      <c r="C518" s="3">
        <v>45696.722233796296</v>
      </c>
      <c r="D518" t="s">
        <v>253</v>
      </c>
      <c r="E518" s="4">
        <v>1.6480585802197456</v>
      </c>
      <c r="F518" s="4">
        <v>347021.4459009227</v>
      </c>
      <c r="G518" s="4">
        <v>347023.09395950293</v>
      </c>
      <c r="H518" s="5">
        <f t="shared" si="7"/>
        <v>0</v>
      </c>
      <c r="I518" t="s">
        <v>194</v>
      </c>
      <c r="J518" t="s">
        <v>165</v>
      </c>
      <c r="K518" s="5">
        <f>219 / 86400</f>
        <v>2.5347222222222221E-3</v>
      </c>
      <c r="L518" s="5">
        <f>38 / 86400</f>
        <v>4.3981481481481481E-4</v>
      </c>
    </row>
    <row r="519" spans="1:12" x14ac:dyDescent="0.25">
      <c r="A519" s="3">
        <v>45696.722673611112</v>
      </c>
      <c r="B519" t="s">
        <v>253</v>
      </c>
      <c r="C519" s="3">
        <v>45696.723136574074</v>
      </c>
      <c r="D519" t="s">
        <v>253</v>
      </c>
      <c r="E519" s="4">
        <v>2.2730616986751558E-2</v>
      </c>
      <c r="F519" s="4">
        <v>347023.10526320373</v>
      </c>
      <c r="G519" s="4">
        <v>347023.1279938207</v>
      </c>
      <c r="H519" s="5">
        <f t="shared" si="7"/>
        <v>0</v>
      </c>
      <c r="I519" t="s">
        <v>136</v>
      </c>
      <c r="J519" t="s">
        <v>132</v>
      </c>
      <c r="K519" s="5">
        <f>40 / 86400</f>
        <v>4.6296296296296298E-4</v>
      </c>
      <c r="L519" s="5">
        <f>36 / 86400</f>
        <v>4.1666666666666669E-4</v>
      </c>
    </row>
    <row r="520" spans="1:12" x14ac:dyDescent="0.25">
      <c r="A520" s="3">
        <v>45696.723553240736</v>
      </c>
      <c r="B520" t="s">
        <v>253</v>
      </c>
      <c r="C520" s="3">
        <v>45696.72378472222</v>
      </c>
      <c r="D520" t="s">
        <v>253</v>
      </c>
      <c r="E520" s="4">
        <v>1.2329621016979217E-2</v>
      </c>
      <c r="F520" s="4">
        <v>347023.1353330604</v>
      </c>
      <c r="G520" s="4">
        <v>347023.14766268141</v>
      </c>
      <c r="H520" s="5">
        <f t="shared" si="7"/>
        <v>0</v>
      </c>
      <c r="I520" t="s">
        <v>136</v>
      </c>
      <c r="J520" t="s">
        <v>132</v>
      </c>
      <c r="K520" s="5">
        <f>20 / 86400</f>
        <v>2.3148148148148149E-4</v>
      </c>
      <c r="L520" s="5">
        <f>60 / 86400</f>
        <v>6.9444444444444447E-4</v>
      </c>
    </row>
    <row r="521" spans="1:12" x14ac:dyDescent="0.25">
      <c r="A521" s="3">
        <v>45696.724479166667</v>
      </c>
      <c r="B521" t="s">
        <v>158</v>
      </c>
      <c r="C521" s="3">
        <v>45696.724710648152</v>
      </c>
      <c r="D521" t="s">
        <v>158</v>
      </c>
      <c r="E521" s="4">
        <v>5.640120089054108E-3</v>
      </c>
      <c r="F521" s="4">
        <v>347023.16471637588</v>
      </c>
      <c r="G521" s="4">
        <v>347023.170356496</v>
      </c>
      <c r="H521" s="5">
        <f t="shared" si="7"/>
        <v>0</v>
      </c>
      <c r="I521" t="s">
        <v>188</v>
      </c>
      <c r="J521" t="s">
        <v>91</v>
      </c>
      <c r="K521" s="5">
        <f>20 / 86400</f>
        <v>2.3148148148148149E-4</v>
      </c>
      <c r="L521" s="5">
        <f>80 / 86400</f>
        <v>9.2592592592592596E-4</v>
      </c>
    </row>
    <row r="522" spans="1:12" x14ac:dyDescent="0.25">
      <c r="A522" s="3">
        <v>45696.725636574076</v>
      </c>
      <c r="B522" t="s">
        <v>158</v>
      </c>
      <c r="C522" s="3">
        <v>45696.7265625</v>
      </c>
      <c r="D522" t="s">
        <v>158</v>
      </c>
      <c r="E522" s="4">
        <v>0.67849471080303192</v>
      </c>
      <c r="F522" s="4">
        <v>347023.25683002541</v>
      </c>
      <c r="G522" s="4">
        <v>347023.93532473623</v>
      </c>
      <c r="H522" s="5">
        <f t="shared" si="7"/>
        <v>0</v>
      </c>
      <c r="I522" t="s">
        <v>255</v>
      </c>
      <c r="J522" t="s">
        <v>201</v>
      </c>
      <c r="K522" s="5">
        <f>80 / 86400</f>
        <v>9.2592592592592596E-4</v>
      </c>
      <c r="L522" s="5">
        <f>10 / 86400</f>
        <v>1.1574074074074075E-4</v>
      </c>
    </row>
    <row r="523" spans="1:12" x14ac:dyDescent="0.25">
      <c r="A523" s="3">
        <v>45696.726678240739</v>
      </c>
      <c r="B523" t="s">
        <v>158</v>
      </c>
      <c r="C523" s="3">
        <v>45696.729479166665</v>
      </c>
      <c r="D523" t="s">
        <v>228</v>
      </c>
      <c r="E523" s="4">
        <v>1.6682863772511483</v>
      </c>
      <c r="F523" s="4">
        <v>347024.19911284297</v>
      </c>
      <c r="G523" s="4">
        <v>347025.86739922024</v>
      </c>
      <c r="H523" s="5">
        <f t="shared" si="7"/>
        <v>0</v>
      </c>
      <c r="I523" t="s">
        <v>258</v>
      </c>
      <c r="J523" t="s">
        <v>161</v>
      </c>
      <c r="K523" s="5">
        <f>242 / 86400</f>
        <v>2.8009259259259259E-3</v>
      </c>
      <c r="L523" s="5">
        <f>80 / 86400</f>
        <v>9.2592592592592596E-4</v>
      </c>
    </row>
    <row r="524" spans="1:12" x14ac:dyDescent="0.25">
      <c r="A524" s="3">
        <v>45696.730405092589</v>
      </c>
      <c r="B524" t="s">
        <v>228</v>
      </c>
      <c r="C524" s="3">
        <v>45696.730891203704</v>
      </c>
      <c r="D524" t="s">
        <v>228</v>
      </c>
      <c r="E524" s="4">
        <v>5.3141868114471432E-3</v>
      </c>
      <c r="F524" s="4">
        <v>347025.8921938588</v>
      </c>
      <c r="G524" s="4">
        <v>347025.8975080456</v>
      </c>
      <c r="H524" s="5">
        <f t="shared" si="7"/>
        <v>0</v>
      </c>
      <c r="I524" t="s">
        <v>132</v>
      </c>
      <c r="J524" t="s">
        <v>133</v>
      </c>
      <c r="K524" s="5">
        <f>42 / 86400</f>
        <v>4.861111111111111E-4</v>
      </c>
      <c r="L524" s="5">
        <f>12 / 86400</f>
        <v>1.3888888888888889E-4</v>
      </c>
    </row>
    <row r="525" spans="1:12" x14ac:dyDescent="0.25">
      <c r="A525" s="3">
        <v>45696.731030092589</v>
      </c>
      <c r="B525" t="s">
        <v>228</v>
      </c>
      <c r="C525" s="3">
        <v>45696.735555555555</v>
      </c>
      <c r="D525" t="s">
        <v>260</v>
      </c>
      <c r="E525" s="4">
        <v>2.2444507477879525</v>
      </c>
      <c r="F525" s="4">
        <v>347025.90227933496</v>
      </c>
      <c r="G525" s="4">
        <v>347028.14673008275</v>
      </c>
      <c r="H525" s="5">
        <f t="shared" si="7"/>
        <v>0</v>
      </c>
      <c r="I525" t="s">
        <v>249</v>
      </c>
      <c r="J525" t="s">
        <v>35</v>
      </c>
      <c r="K525" s="5">
        <f>391 / 86400</f>
        <v>4.5254629629629629E-3</v>
      </c>
      <c r="L525" s="5">
        <f>25 / 86400</f>
        <v>2.8935185185185184E-4</v>
      </c>
    </row>
    <row r="526" spans="1:12" x14ac:dyDescent="0.25">
      <c r="A526" s="3">
        <v>45696.735844907409</v>
      </c>
      <c r="B526" t="s">
        <v>260</v>
      </c>
      <c r="C526" s="3">
        <v>45696.736539351856</v>
      </c>
      <c r="D526" t="s">
        <v>262</v>
      </c>
      <c r="E526" s="4">
        <v>3.8168371260166166E-2</v>
      </c>
      <c r="F526" s="4">
        <v>347028.15578369988</v>
      </c>
      <c r="G526" s="4">
        <v>347028.19395207113</v>
      </c>
      <c r="H526" s="5">
        <f t="shared" si="7"/>
        <v>0</v>
      </c>
      <c r="I526" t="s">
        <v>151</v>
      </c>
      <c r="J526" t="s">
        <v>132</v>
      </c>
      <c r="K526" s="5">
        <f>60 / 86400</f>
        <v>6.9444444444444447E-4</v>
      </c>
      <c r="L526" s="5">
        <f>60 / 86400</f>
        <v>6.9444444444444447E-4</v>
      </c>
    </row>
    <row r="527" spans="1:12" x14ac:dyDescent="0.25">
      <c r="A527" s="3">
        <v>45696.737233796295</v>
      </c>
      <c r="B527" t="s">
        <v>262</v>
      </c>
      <c r="C527" s="3">
        <v>45696.737696759257</v>
      </c>
      <c r="D527" t="s">
        <v>262</v>
      </c>
      <c r="E527" s="4">
        <v>1.8635821878910063E-2</v>
      </c>
      <c r="F527" s="4">
        <v>347028.20534071786</v>
      </c>
      <c r="G527" s="4">
        <v>347028.22397653974</v>
      </c>
      <c r="H527" s="5">
        <f t="shared" si="7"/>
        <v>0</v>
      </c>
      <c r="I527" t="s">
        <v>188</v>
      </c>
      <c r="J527" t="s">
        <v>132</v>
      </c>
      <c r="K527" s="5">
        <f>40 / 86400</f>
        <v>4.6296296296296298E-4</v>
      </c>
      <c r="L527" s="5">
        <f>100 / 86400</f>
        <v>1.1574074074074073E-3</v>
      </c>
    </row>
    <row r="528" spans="1:12" x14ac:dyDescent="0.25">
      <c r="A528" s="3">
        <v>45696.738854166666</v>
      </c>
      <c r="B528" t="s">
        <v>261</v>
      </c>
      <c r="C528" s="3">
        <v>45696.739548611113</v>
      </c>
      <c r="D528" t="s">
        <v>261</v>
      </c>
      <c r="E528" s="4">
        <v>0.34094296973943711</v>
      </c>
      <c r="F528" s="4">
        <v>347028.28587083681</v>
      </c>
      <c r="G528" s="4">
        <v>347028.62681380654</v>
      </c>
      <c r="H528" s="5">
        <f t="shared" si="7"/>
        <v>0</v>
      </c>
      <c r="I528" t="s">
        <v>229</v>
      </c>
      <c r="J528" t="s">
        <v>175</v>
      </c>
      <c r="K528" s="5">
        <f>60 / 86400</f>
        <v>6.9444444444444447E-4</v>
      </c>
      <c r="L528" s="5">
        <f>44 / 86400</f>
        <v>5.0925925925925921E-4</v>
      </c>
    </row>
    <row r="529" spans="1:12" x14ac:dyDescent="0.25">
      <c r="A529" s="3">
        <v>45696.740057870367</v>
      </c>
      <c r="B529" t="s">
        <v>261</v>
      </c>
      <c r="C529" s="3">
        <v>45696.741678240738</v>
      </c>
      <c r="D529" t="s">
        <v>261</v>
      </c>
      <c r="E529" s="4">
        <v>1.1545816356539726</v>
      </c>
      <c r="F529" s="4">
        <v>347028.63410071348</v>
      </c>
      <c r="G529" s="4">
        <v>347029.78868234914</v>
      </c>
      <c r="H529" s="5">
        <f t="shared" si="7"/>
        <v>0</v>
      </c>
      <c r="I529" t="s">
        <v>263</v>
      </c>
      <c r="J529" t="s">
        <v>184</v>
      </c>
      <c r="K529" s="5">
        <f>140 / 86400</f>
        <v>1.6203703703703703E-3</v>
      </c>
      <c r="L529" s="5">
        <f>5 / 86400</f>
        <v>5.7870370370370373E-5</v>
      </c>
    </row>
    <row r="530" spans="1:12" x14ac:dyDescent="0.25">
      <c r="A530" s="3">
        <v>45696.741736111115</v>
      </c>
      <c r="B530" t="s">
        <v>261</v>
      </c>
      <c r="C530" s="3">
        <v>45696.74381944444</v>
      </c>
      <c r="D530" t="s">
        <v>107</v>
      </c>
      <c r="E530" s="4">
        <v>1.2082739018797874</v>
      </c>
      <c r="F530" s="4">
        <v>347029.79270589387</v>
      </c>
      <c r="G530" s="4">
        <v>347031.00097979576</v>
      </c>
      <c r="H530" s="5">
        <f t="shared" si="7"/>
        <v>0</v>
      </c>
      <c r="I530" t="s">
        <v>263</v>
      </c>
      <c r="J530" t="s">
        <v>140</v>
      </c>
      <c r="K530" s="5">
        <f>180 / 86400</f>
        <v>2.0833333333333333E-3</v>
      </c>
      <c r="L530" s="5">
        <f>20 / 86400</f>
        <v>2.3148148148148149E-4</v>
      </c>
    </row>
    <row r="531" spans="1:12" x14ac:dyDescent="0.25">
      <c r="A531" s="3">
        <v>45696.744050925925</v>
      </c>
      <c r="B531" t="s">
        <v>107</v>
      </c>
      <c r="C531" s="3">
        <v>45696.745439814811</v>
      </c>
      <c r="D531" t="s">
        <v>379</v>
      </c>
      <c r="E531" s="4">
        <v>0.88286408352851864</v>
      </c>
      <c r="F531" s="4">
        <v>347031.11305935861</v>
      </c>
      <c r="G531" s="4">
        <v>347031.99592344213</v>
      </c>
      <c r="H531" s="5">
        <f t="shared" si="7"/>
        <v>0</v>
      </c>
      <c r="I531" t="s">
        <v>169</v>
      </c>
      <c r="J531" t="s">
        <v>205</v>
      </c>
      <c r="K531" s="5">
        <f>120 / 86400</f>
        <v>1.3888888888888889E-3</v>
      </c>
      <c r="L531" s="5">
        <f>20 / 86400</f>
        <v>2.3148148148148149E-4</v>
      </c>
    </row>
    <row r="532" spans="1:12" x14ac:dyDescent="0.25">
      <c r="A532" s="3">
        <v>45696.745671296296</v>
      </c>
      <c r="B532" t="s">
        <v>379</v>
      </c>
      <c r="C532" s="3">
        <v>45696.749108796299</v>
      </c>
      <c r="D532" t="s">
        <v>266</v>
      </c>
      <c r="E532" s="4">
        <v>1.5888893995285034</v>
      </c>
      <c r="F532" s="4">
        <v>347032.00643258024</v>
      </c>
      <c r="G532" s="4">
        <v>347033.59532197978</v>
      </c>
      <c r="H532" s="5">
        <f t="shared" si="7"/>
        <v>0</v>
      </c>
      <c r="I532" t="s">
        <v>255</v>
      </c>
      <c r="J532" t="s">
        <v>94</v>
      </c>
      <c r="K532" s="5">
        <f>297 / 86400</f>
        <v>3.4375E-3</v>
      </c>
      <c r="L532" s="5">
        <f>11 / 86400</f>
        <v>1.273148148148148E-4</v>
      </c>
    </row>
    <row r="533" spans="1:12" x14ac:dyDescent="0.25">
      <c r="A533" s="3">
        <v>45696.749236111107</v>
      </c>
      <c r="B533" t="s">
        <v>127</v>
      </c>
      <c r="C533" s="3">
        <v>45696.752488425926</v>
      </c>
      <c r="D533" t="s">
        <v>407</v>
      </c>
      <c r="E533" s="4">
        <v>1.5739336896538734</v>
      </c>
      <c r="F533" s="4">
        <v>347033.62763643335</v>
      </c>
      <c r="G533" s="4">
        <v>347035.20157012303</v>
      </c>
      <c r="H533" s="5">
        <f t="shared" si="7"/>
        <v>0</v>
      </c>
      <c r="I533" t="s">
        <v>23</v>
      </c>
      <c r="J533" t="s">
        <v>175</v>
      </c>
      <c r="K533" s="5">
        <f>281 / 86400</f>
        <v>3.2523148148148147E-3</v>
      </c>
      <c r="L533" s="5">
        <f>40 / 86400</f>
        <v>4.6296296296296298E-4</v>
      </c>
    </row>
    <row r="534" spans="1:12" x14ac:dyDescent="0.25">
      <c r="A534" s="3">
        <v>45696.752951388888</v>
      </c>
      <c r="B534" t="s">
        <v>182</v>
      </c>
      <c r="C534" s="3">
        <v>45696.753182870365</v>
      </c>
      <c r="D534" t="s">
        <v>182</v>
      </c>
      <c r="E534" s="4">
        <v>1.2062336206436158E-2</v>
      </c>
      <c r="F534" s="4">
        <v>347035.25888700155</v>
      </c>
      <c r="G534" s="4">
        <v>347035.27094933781</v>
      </c>
      <c r="H534" s="5">
        <f t="shared" si="7"/>
        <v>0</v>
      </c>
      <c r="I534" t="s">
        <v>146</v>
      </c>
      <c r="J534" t="s">
        <v>132</v>
      </c>
      <c r="K534" s="5">
        <f>20 / 86400</f>
        <v>2.3148148148148149E-4</v>
      </c>
      <c r="L534" s="5">
        <f>20 / 86400</f>
        <v>2.3148148148148149E-4</v>
      </c>
    </row>
    <row r="535" spans="1:12" x14ac:dyDescent="0.25">
      <c r="A535" s="3">
        <v>45696.753414351857</v>
      </c>
      <c r="B535" t="s">
        <v>187</v>
      </c>
      <c r="C535" s="3">
        <v>45696.753935185188</v>
      </c>
      <c r="D535" t="s">
        <v>182</v>
      </c>
      <c r="E535" s="4">
        <v>2.5053513169288635E-2</v>
      </c>
      <c r="F535" s="4">
        <v>347035.29113237059</v>
      </c>
      <c r="G535" s="4">
        <v>347035.31618588377</v>
      </c>
      <c r="H535" s="5">
        <f t="shared" si="7"/>
        <v>0</v>
      </c>
      <c r="I535" t="s">
        <v>136</v>
      </c>
      <c r="J535" t="s">
        <v>132</v>
      </c>
      <c r="K535" s="5">
        <f>45 / 86400</f>
        <v>5.2083333333333333E-4</v>
      </c>
      <c r="L535" s="5">
        <f>15 / 86400</f>
        <v>1.7361111111111112E-4</v>
      </c>
    </row>
    <row r="536" spans="1:12" x14ac:dyDescent="0.25">
      <c r="A536" s="3">
        <v>45696.754108796296</v>
      </c>
      <c r="B536" t="s">
        <v>106</v>
      </c>
      <c r="C536" s="3">
        <v>45696.754340277781</v>
      </c>
      <c r="D536" t="s">
        <v>106</v>
      </c>
      <c r="E536" s="4">
        <v>1.4644148349761963E-3</v>
      </c>
      <c r="F536" s="4">
        <v>347035.33143672079</v>
      </c>
      <c r="G536" s="4">
        <v>347035.33290113561</v>
      </c>
      <c r="H536" s="5">
        <f t="shared" si="7"/>
        <v>0</v>
      </c>
      <c r="I536" t="s">
        <v>136</v>
      </c>
      <c r="J536" t="s">
        <v>133</v>
      </c>
      <c r="K536" s="5">
        <f>20 / 86400</f>
        <v>2.3148148148148149E-4</v>
      </c>
      <c r="L536" s="5">
        <f>20 / 86400</f>
        <v>2.3148148148148149E-4</v>
      </c>
    </row>
    <row r="537" spans="1:12" x14ac:dyDescent="0.25">
      <c r="A537" s="3">
        <v>45696.754571759258</v>
      </c>
      <c r="B537" t="s">
        <v>106</v>
      </c>
      <c r="C537" s="3">
        <v>45696.75503472222</v>
      </c>
      <c r="D537" t="s">
        <v>106</v>
      </c>
      <c r="E537" s="4">
        <v>1.9266879320144654E-2</v>
      </c>
      <c r="F537" s="4">
        <v>347035.35953798034</v>
      </c>
      <c r="G537" s="4">
        <v>347035.37880485965</v>
      </c>
      <c r="H537" s="5">
        <f t="shared" si="7"/>
        <v>0</v>
      </c>
      <c r="I537" t="s">
        <v>132</v>
      </c>
      <c r="J537" t="s">
        <v>132</v>
      </c>
      <c r="K537" s="5">
        <f>40 / 86400</f>
        <v>4.6296296296296298E-4</v>
      </c>
      <c r="L537" s="5">
        <f>20 / 86400</f>
        <v>2.3148148148148149E-4</v>
      </c>
    </row>
    <row r="538" spans="1:12" x14ac:dyDescent="0.25">
      <c r="A538" s="3">
        <v>45696.755266203705</v>
      </c>
      <c r="B538" t="s">
        <v>106</v>
      </c>
      <c r="C538" s="3">
        <v>45696.756192129629</v>
      </c>
      <c r="D538" t="s">
        <v>189</v>
      </c>
      <c r="E538" s="4">
        <v>0.28589020174741747</v>
      </c>
      <c r="F538" s="4">
        <v>347035.38682993886</v>
      </c>
      <c r="G538" s="4">
        <v>347035.6727201406</v>
      </c>
      <c r="H538" s="5">
        <f t="shared" si="7"/>
        <v>0</v>
      </c>
      <c r="I538" t="s">
        <v>229</v>
      </c>
      <c r="J538" t="s">
        <v>47</v>
      </c>
      <c r="K538" s="5">
        <f>80 / 86400</f>
        <v>9.2592592592592596E-4</v>
      </c>
      <c r="L538" s="5">
        <f>20 / 86400</f>
        <v>2.3148148148148149E-4</v>
      </c>
    </row>
    <row r="539" spans="1:12" x14ac:dyDescent="0.25">
      <c r="A539" s="3">
        <v>45696.756423611107</v>
      </c>
      <c r="B539" t="s">
        <v>408</v>
      </c>
      <c r="C539" s="3">
        <v>45696.758275462962</v>
      </c>
      <c r="D539" t="s">
        <v>409</v>
      </c>
      <c r="E539" s="4">
        <v>1.1470107716321944</v>
      </c>
      <c r="F539" s="4">
        <v>347035.98057994049</v>
      </c>
      <c r="G539" s="4">
        <v>347037.1275907121</v>
      </c>
      <c r="H539" s="5">
        <f t="shared" si="7"/>
        <v>0</v>
      </c>
      <c r="I539" t="s">
        <v>269</v>
      </c>
      <c r="J539" t="s">
        <v>205</v>
      </c>
      <c r="K539" s="5">
        <f>160 / 86400</f>
        <v>1.8518518518518519E-3</v>
      </c>
      <c r="L539" s="5">
        <f>20 / 86400</f>
        <v>2.3148148148148149E-4</v>
      </c>
    </row>
    <row r="540" spans="1:12" x14ac:dyDescent="0.25">
      <c r="A540" s="3">
        <v>45696.758506944447</v>
      </c>
      <c r="B540" t="s">
        <v>409</v>
      </c>
      <c r="C540" s="3">
        <v>45696.763414351852</v>
      </c>
      <c r="D540" t="s">
        <v>374</v>
      </c>
      <c r="E540" s="4">
        <v>1.9401710726618766</v>
      </c>
      <c r="F540" s="4">
        <v>347037.13573845441</v>
      </c>
      <c r="G540" s="4">
        <v>347039.07590952708</v>
      </c>
      <c r="H540" s="5">
        <f t="shared" si="7"/>
        <v>0</v>
      </c>
      <c r="I540" t="s">
        <v>155</v>
      </c>
      <c r="J540" t="s">
        <v>28</v>
      </c>
      <c r="K540" s="5">
        <f>424 / 86400</f>
        <v>4.9074074074074072E-3</v>
      </c>
      <c r="L540" s="5">
        <f>25 / 86400</f>
        <v>2.8935185185185184E-4</v>
      </c>
    </row>
    <row r="541" spans="1:12" x14ac:dyDescent="0.25">
      <c r="A541" s="3">
        <v>45696.763703703706</v>
      </c>
      <c r="B541" t="s">
        <v>410</v>
      </c>
      <c r="C541" s="3">
        <v>45696.764872685184</v>
      </c>
      <c r="D541" t="s">
        <v>122</v>
      </c>
      <c r="E541" s="4">
        <v>0.39308164370059967</v>
      </c>
      <c r="F541" s="4">
        <v>347039.09524157434</v>
      </c>
      <c r="G541" s="4">
        <v>347039.48832321807</v>
      </c>
      <c r="H541" s="5">
        <f t="shared" si="7"/>
        <v>0</v>
      </c>
      <c r="I541" t="s">
        <v>24</v>
      </c>
      <c r="J541" t="s">
        <v>41</v>
      </c>
      <c r="K541" s="5">
        <f>101 / 86400</f>
        <v>1.1689814814814816E-3</v>
      </c>
      <c r="L541" s="5">
        <f>19 / 86400</f>
        <v>2.199074074074074E-4</v>
      </c>
    </row>
    <row r="542" spans="1:12" x14ac:dyDescent="0.25">
      <c r="A542" s="3">
        <v>45696.765092592592</v>
      </c>
      <c r="B542" t="s">
        <v>122</v>
      </c>
      <c r="C542" s="3">
        <v>45696.770752314813</v>
      </c>
      <c r="D542" t="s">
        <v>274</v>
      </c>
      <c r="E542" s="4">
        <v>1.8564036451578141</v>
      </c>
      <c r="F542" s="4">
        <v>347039.5260175977</v>
      </c>
      <c r="G542" s="4">
        <v>347041.38242124283</v>
      </c>
      <c r="H542" s="5">
        <f t="shared" si="7"/>
        <v>0</v>
      </c>
      <c r="I542" t="s">
        <v>215</v>
      </c>
      <c r="J542" t="s">
        <v>41</v>
      </c>
      <c r="K542" s="5">
        <f>489 / 86400</f>
        <v>5.6597222222222222E-3</v>
      </c>
      <c r="L542" s="5">
        <f>20 / 86400</f>
        <v>2.3148148148148149E-4</v>
      </c>
    </row>
    <row r="543" spans="1:12" x14ac:dyDescent="0.25">
      <c r="A543" s="3">
        <v>45696.770983796298</v>
      </c>
      <c r="B543" t="s">
        <v>274</v>
      </c>
      <c r="C543" s="3">
        <v>45696.771215277782</v>
      </c>
      <c r="D543" t="s">
        <v>274</v>
      </c>
      <c r="E543" s="4">
        <v>5.1005682945251462E-3</v>
      </c>
      <c r="F543" s="4">
        <v>347041.38913093717</v>
      </c>
      <c r="G543" s="4">
        <v>347041.39423150546</v>
      </c>
      <c r="H543" s="5">
        <f t="shared" si="7"/>
        <v>0</v>
      </c>
      <c r="I543" t="s">
        <v>91</v>
      </c>
      <c r="J543" t="s">
        <v>91</v>
      </c>
      <c r="K543" s="5">
        <f>20 / 86400</f>
        <v>2.3148148148148149E-4</v>
      </c>
      <c r="L543" s="5">
        <f>40 / 86400</f>
        <v>4.6296296296296298E-4</v>
      </c>
    </row>
    <row r="544" spans="1:12" x14ac:dyDescent="0.25">
      <c r="A544" s="3">
        <v>45696.771678240737</v>
      </c>
      <c r="B544" t="s">
        <v>274</v>
      </c>
      <c r="C544" s="3">
        <v>45696.772280092591</v>
      </c>
      <c r="D544" t="s">
        <v>411</v>
      </c>
      <c r="E544" s="4">
        <v>0.11230767434835434</v>
      </c>
      <c r="F544" s="4">
        <v>347041.40585251612</v>
      </c>
      <c r="G544" s="4">
        <v>347041.51816019049</v>
      </c>
      <c r="H544" s="5">
        <f t="shared" si="7"/>
        <v>0</v>
      </c>
      <c r="I544" t="s">
        <v>150</v>
      </c>
      <c r="J544" t="s">
        <v>151</v>
      </c>
      <c r="K544" s="5">
        <f>52 / 86400</f>
        <v>6.018518518518519E-4</v>
      </c>
      <c r="L544" s="5">
        <f>32 / 86400</f>
        <v>3.7037037037037035E-4</v>
      </c>
    </row>
    <row r="545" spans="1:12" x14ac:dyDescent="0.25">
      <c r="A545" s="3">
        <v>45696.772650462968</v>
      </c>
      <c r="B545" t="s">
        <v>412</v>
      </c>
      <c r="C545" s="3">
        <v>45696.773946759262</v>
      </c>
      <c r="D545" t="s">
        <v>413</v>
      </c>
      <c r="E545" s="4">
        <v>0.47665750670433044</v>
      </c>
      <c r="F545" s="4">
        <v>347041.64809038548</v>
      </c>
      <c r="G545" s="4">
        <v>347042.1247478922</v>
      </c>
      <c r="H545" s="5">
        <f t="shared" si="7"/>
        <v>0</v>
      </c>
      <c r="I545" t="s">
        <v>230</v>
      </c>
      <c r="J545" t="s">
        <v>24</v>
      </c>
      <c r="K545" s="5">
        <f>112 / 86400</f>
        <v>1.2962962962962963E-3</v>
      </c>
      <c r="L545" s="5">
        <f>60 / 86400</f>
        <v>6.9444444444444447E-4</v>
      </c>
    </row>
    <row r="546" spans="1:12" x14ac:dyDescent="0.25">
      <c r="A546" s="3">
        <v>45696.774641203709</v>
      </c>
      <c r="B546" t="s">
        <v>414</v>
      </c>
      <c r="C546" s="3">
        <v>45696.776724537034</v>
      </c>
      <c r="D546" t="s">
        <v>143</v>
      </c>
      <c r="E546" s="4">
        <v>1.2840972110629081</v>
      </c>
      <c r="F546" s="4">
        <v>347042.17570471688</v>
      </c>
      <c r="G546" s="4">
        <v>347043.45980192791</v>
      </c>
      <c r="H546" s="5">
        <f t="shared" si="7"/>
        <v>0</v>
      </c>
      <c r="I546" t="s">
        <v>255</v>
      </c>
      <c r="J546" t="s">
        <v>205</v>
      </c>
      <c r="K546" s="5">
        <f>180 / 86400</f>
        <v>2.0833333333333333E-3</v>
      </c>
      <c r="L546" s="5">
        <f>6 / 86400</f>
        <v>6.9444444444444444E-5</v>
      </c>
    </row>
    <row r="547" spans="1:12" x14ac:dyDescent="0.25">
      <c r="A547" s="3">
        <v>45696.77679398148</v>
      </c>
      <c r="B547" t="s">
        <v>282</v>
      </c>
      <c r="C547" s="3">
        <v>45696.77753472222</v>
      </c>
      <c r="D547" t="s">
        <v>415</v>
      </c>
      <c r="E547" s="4">
        <v>0.52671169364452364</v>
      </c>
      <c r="F547" s="4">
        <v>347043.4719424239</v>
      </c>
      <c r="G547" s="4">
        <v>347043.99865411752</v>
      </c>
      <c r="H547" s="5">
        <f t="shared" si="7"/>
        <v>0</v>
      </c>
      <c r="I547" t="s">
        <v>241</v>
      </c>
      <c r="J547" t="s">
        <v>184</v>
      </c>
      <c r="K547" s="5">
        <f>64 / 86400</f>
        <v>7.407407407407407E-4</v>
      </c>
      <c r="L547" s="5">
        <f>20 / 86400</f>
        <v>2.3148148148148149E-4</v>
      </c>
    </row>
    <row r="548" spans="1:12" x14ac:dyDescent="0.25">
      <c r="A548" s="3">
        <v>45696.777766203704</v>
      </c>
      <c r="B548" t="s">
        <v>415</v>
      </c>
      <c r="C548" s="3">
        <v>45696.777997685189</v>
      </c>
      <c r="D548" t="s">
        <v>415</v>
      </c>
      <c r="E548" s="4">
        <v>3.9095620512962339E-3</v>
      </c>
      <c r="F548" s="4">
        <v>347044.01529901393</v>
      </c>
      <c r="G548" s="4">
        <v>347044.01920857595</v>
      </c>
      <c r="H548" s="5">
        <f t="shared" si="7"/>
        <v>0</v>
      </c>
      <c r="I548" t="s">
        <v>132</v>
      </c>
      <c r="J548" t="s">
        <v>91</v>
      </c>
      <c r="K548" s="5">
        <f>20 / 86400</f>
        <v>2.3148148148148149E-4</v>
      </c>
      <c r="L548" s="5">
        <f>20 / 86400</f>
        <v>2.3148148148148149E-4</v>
      </c>
    </row>
    <row r="549" spans="1:12" x14ac:dyDescent="0.25">
      <c r="A549" s="3">
        <v>45696.778229166666</v>
      </c>
      <c r="B549" t="s">
        <v>415</v>
      </c>
      <c r="C549" s="3">
        <v>45696.778807870374</v>
      </c>
      <c r="D549" t="s">
        <v>367</v>
      </c>
      <c r="E549" s="4">
        <v>0.13353803664445876</v>
      </c>
      <c r="F549" s="4">
        <v>347044.02935437165</v>
      </c>
      <c r="G549" s="4">
        <v>347044.16289240832</v>
      </c>
      <c r="H549" s="5">
        <f t="shared" si="7"/>
        <v>0</v>
      </c>
      <c r="I549" t="s">
        <v>140</v>
      </c>
      <c r="J549" t="s">
        <v>85</v>
      </c>
      <c r="K549" s="5">
        <f>50 / 86400</f>
        <v>5.7870370370370367E-4</v>
      </c>
      <c r="L549" s="5">
        <f>20 / 86400</f>
        <v>2.3148148148148149E-4</v>
      </c>
    </row>
    <row r="550" spans="1:12" x14ac:dyDescent="0.25">
      <c r="A550" s="3">
        <v>45696.779039351852</v>
      </c>
      <c r="B550" t="s">
        <v>367</v>
      </c>
      <c r="C550" s="3">
        <v>45696.782210648147</v>
      </c>
      <c r="D550" t="s">
        <v>416</v>
      </c>
      <c r="E550" s="4">
        <v>0.60580674713850025</v>
      </c>
      <c r="F550" s="4">
        <v>347044.17095516558</v>
      </c>
      <c r="G550" s="4">
        <v>347044.77676191268</v>
      </c>
      <c r="H550" s="5">
        <f t="shared" si="7"/>
        <v>0</v>
      </c>
      <c r="I550" t="s">
        <v>35</v>
      </c>
      <c r="J550" t="s">
        <v>151</v>
      </c>
      <c r="K550" s="5">
        <f>274 / 86400</f>
        <v>3.1712962962962962E-3</v>
      </c>
      <c r="L550" s="5">
        <f>20 / 86400</f>
        <v>2.3148148148148149E-4</v>
      </c>
    </row>
    <row r="551" spans="1:12" x14ac:dyDescent="0.25">
      <c r="A551" s="3">
        <v>45696.782442129625</v>
      </c>
      <c r="B551" t="s">
        <v>417</v>
      </c>
      <c r="C551" s="3">
        <v>45696.782673611116</v>
      </c>
      <c r="D551" t="s">
        <v>417</v>
      </c>
      <c r="E551" s="4">
        <v>1.7273790895938872E-2</v>
      </c>
      <c r="F551" s="4">
        <v>347044.78395226889</v>
      </c>
      <c r="G551" s="4">
        <v>347044.80122605979</v>
      </c>
      <c r="H551" s="5">
        <f t="shared" si="7"/>
        <v>0</v>
      </c>
      <c r="I551" t="s">
        <v>132</v>
      </c>
      <c r="J551" t="s">
        <v>188</v>
      </c>
      <c r="K551" s="5">
        <f>20 / 86400</f>
        <v>2.3148148148148149E-4</v>
      </c>
      <c r="L551" s="5">
        <f>271 / 86400</f>
        <v>3.1365740740740742E-3</v>
      </c>
    </row>
    <row r="552" spans="1:12" x14ac:dyDescent="0.25">
      <c r="A552" s="3">
        <v>45696.785810185189</v>
      </c>
      <c r="B552" t="s">
        <v>418</v>
      </c>
      <c r="C552" s="3">
        <v>45696.786655092597</v>
      </c>
      <c r="D552" t="s">
        <v>204</v>
      </c>
      <c r="E552" s="4">
        <v>0.34068186408281326</v>
      </c>
      <c r="F552" s="4">
        <v>347044.86109746603</v>
      </c>
      <c r="G552" s="4">
        <v>347045.20177933015</v>
      </c>
      <c r="H552" s="5">
        <f t="shared" si="7"/>
        <v>0</v>
      </c>
      <c r="I552" t="s">
        <v>138</v>
      </c>
      <c r="J552" t="s">
        <v>32</v>
      </c>
      <c r="K552" s="5">
        <f>73 / 86400</f>
        <v>8.4490740740740739E-4</v>
      </c>
      <c r="L552" s="5">
        <f>80 / 86400</f>
        <v>9.2592592592592596E-4</v>
      </c>
    </row>
    <row r="553" spans="1:12" x14ac:dyDescent="0.25">
      <c r="A553" s="3">
        <v>45696.787581018521</v>
      </c>
      <c r="B553" t="s">
        <v>206</v>
      </c>
      <c r="C553" s="3">
        <v>45696.788495370369</v>
      </c>
      <c r="D553" t="s">
        <v>419</v>
      </c>
      <c r="E553" s="4">
        <v>0.45984545493125917</v>
      </c>
      <c r="F553" s="4">
        <v>347045.27307838469</v>
      </c>
      <c r="G553" s="4">
        <v>347045.73292383965</v>
      </c>
      <c r="H553" s="5">
        <f t="shared" si="7"/>
        <v>0</v>
      </c>
      <c r="I553" t="s">
        <v>138</v>
      </c>
      <c r="J553" t="s">
        <v>35</v>
      </c>
      <c r="K553" s="5">
        <f>79 / 86400</f>
        <v>9.1435185185185185E-4</v>
      </c>
      <c r="L553" s="5">
        <f>40 / 86400</f>
        <v>4.6296296296296298E-4</v>
      </c>
    </row>
    <row r="554" spans="1:12" x14ac:dyDescent="0.25">
      <c r="A554" s="3">
        <v>45696.788958333331</v>
      </c>
      <c r="B554" t="s">
        <v>419</v>
      </c>
      <c r="C554" s="3">
        <v>45696.789652777778</v>
      </c>
      <c r="D554" t="s">
        <v>420</v>
      </c>
      <c r="E554" s="4">
        <v>0.34713604313135149</v>
      </c>
      <c r="F554" s="4">
        <v>347045.73599601979</v>
      </c>
      <c r="G554" s="4">
        <v>347046.08313206292</v>
      </c>
      <c r="H554" s="5">
        <f t="shared" si="7"/>
        <v>0</v>
      </c>
      <c r="I554" t="s">
        <v>135</v>
      </c>
      <c r="J554" t="s">
        <v>35</v>
      </c>
      <c r="K554" s="5">
        <f>60 / 86400</f>
        <v>6.9444444444444447E-4</v>
      </c>
      <c r="L554" s="5">
        <f>3 / 86400</f>
        <v>3.4722222222222222E-5</v>
      </c>
    </row>
    <row r="555" spans="1:12" x14ac:dyDescent="0.25">
      <c r="A555" s="3">
        <v>45696.789687500001</v>
      </c>
      <c r="B555" t="s">
        <v>420</v>
      </c>
      <c r="C555" s="3">
        <v>45696.791805555556</v>
      </c>
      <c r="D555" t="s">
        <v>145</v>
      </c>
      <c r="E555" s="4">
        <v>0.83702046370506289</v>
      </c>
      <c r="F555" s="4">
        <v>347046.08702049393</v>
      </c>
      <c r="G555" s="4">
        <v>347046.92404095765</v>
      </c>
      <c r="H555" s="5">
        <f t="shared" si="7"/>
        <v>0</v>
      </c>
      <c r="I555" t="s">
        <v>218</v>
      </c>
      <c r="J555" t="s">
        <v>28</v>
      </c>
      <c r="K555" s="5">
        <f>183 / 86400</f>
        <v>2.1180555555555558E-3</v>
      </c>
      <c r="L555" s="5">
        <f>260 / 86400</f>
        <v>3.0092592592592593E-3</v>
      </c>
    </row>
    <row r="556" spans="1:12" x14ac:dyDescent="0.25">
      <c r="A556" s="3">
        <v>45696.794814814813</v>
      </c>
      <c r="B556" t="s">
        <v>421</v>
      </c>
      <c r="C556" s="3">
        <v>45696.795046296298</v>
      </c>
      <c r="D556" t="s">
        <v>422</v>
      </c>
      <c r="E556" s="4">
        <v>7.5042260289192196E-3</v>
      </c>
      <c r="F556" s="4">
        <v>347046.95848434686</v>
      </c>
      <c r="G556" s="4">
        <v>347046.96598857292</v>
      </c>
      <c r="H556" s="5">
        <f t="shared" si="7"/>
        <v>0</v>
      </c>
      <c r="I556" t="s">
        <v>132</v>
      </c>
      <c r="J556" t="s">
        <v>91</v>
      </c>
      <c r="K556" s="5">
        <f>20 / 86400</f>
        <v>2.3148148148148149E-4</v>
      </c>
      <c r="L556" s="5">
        <f>40 / 86400</f>
        <v>4.6296296296296298E-4</v>
      </c>
    </row>
    <row r="557" spans="1:12" x14ac:dyDescent="0.25">
      <c r="A557" s="3">
        <v>45696.79550925926</v>
      </c>
      <c r="B557" t="s">
        <v>422</v>
      </c>
      <c r="C557" s="3">
        <v>45696.795740740738</v>
      </c>
      <c r="D557" t="s">
        <v>422</v>
      </c>
      <c r="E557" s="4">
        <v>9.2309546470642088E-4</v>
      </c>
      <c r="F557" s="4">
        <v>347046.9800027326</v>
      </c>
      <c r="G557" s="4">
        <v>347046.98092582804</v>
      </c>
      <c r="H557" s="5">
        <f t="shared" si="7"/>
        <v>0</v>
      </c>
      <c r="I557" t="s">
        <v>91</v>
      </c>
      <c r="J557" t="s">
        <v>133</v>
      </c>
      <c r="K557" s="5">
        <f>20 / 86400</f>
        <v>2.3148148148148149E-4</v>
      </c>
      <c r="L557" s="5">
        <f>10 / 86400</f>
        <v>1.1574074074074075E-4</v>
      </c>
    </row>
    <row r="558" spans="1:12" x14ac:dyDescent="0.25">
      <c r="A558" s="3">
        <v>45696.795856481476</v>
      </c>
      <c r="B558" t="s">
        <v>294</v>
      </c>
      <c r="C558" s="3">
        <v>45696.796319444446</v>
      </c>
      <c r="D558" t="s">
        <v>422</v>
      </c>
      <c r="E558" s="4">
        <v>9.4155635237693786E-3</v>
      </c>
      <c r="F558" s="4">
        <v>347046.98756547354</v>
      </c>
      <c r="G558" s="4">
        <v>347046.99698103708</v>
      </c>
      <c r="H558" s="5">
        <f t="shared" si="7"/>
        <v>0</v>
      </c>
      <c r="I558" t="s">
        <v>162</v>
      </c>
      <c r="J558" t="s">
        <v>91</v>
      </c>
      <c r="K558" s="5">
        <f>40 / 86400</f>
        <v>4.6296296296296298E-4</v>
      </c>
      <c r="L558" s="5">
        <f>50 / 86400</f>
        <v>5.7870370370370367E-4</v>
      </c>
    </row>
    <row r="559" spans="1:12" x14ac:dyDescent="0.25">
      <c r="A559" s="3">
        <v>45696.796898148154</v>
      </c>
      <c r="B559" t="s">
        <v>422</v>
      </c>
      <c r="C559" s="3">
        <v>45696.797824074078</v>
      </c>
      <c r="D559" t="s">
        <v>294</v>
      </c>
      <c r="E559" s="4">
        <v>6.0190025806427003E-2</v>
      </c>
      <c r="F559" s="4">
        <v>347047.0101835833</v>
      </c>
      <c r="G559" s="4">
        <v>347047.07037360914</v>
      </c>
      <c r="H559" s="5">
        <f t="shared" si="7"/>
        <v>0</v>
      </c>
      <c r="I559" t="s">
        <v>136</v>
      </c>
      <c r="J559" t="s">
        <v>188</v>
      </c>
      <c r="K559" s="5">
        <f>80 / 86400</f>
        <v>9.2592592592592596E-4</v>
      </c>
      <c r="L559" s="5">
        <f>331 / 86400</f>
        <v>3.8310185185185183E-3</v>
      </c>
    </row>
    <row r="560" spans="1:12" x14ac:dyDescent="0.25">
      <c r="A560" s="3">
        <v>45696.801655092597</v>
      </c>
      <c r="B560" t="s">
        <v>294</v>
      </c>
      <c r="C560" s="3">
        <v>45696.802604166667</v>
      </c>
      <c r="D560" t="s">
        <v>423</v>
      </c>
      <c r="E560" s="4">
        <v>0.19416655182838441</v>
      </c>
      <c r="F560" s="4">
        <v>347047.11521423608</v>
      </c>
      <c r="G560" s="4">
        <v>347047.30938078789</v>
      </c>
      <c r="H560" s="5">
        <f t="shared" si="7"/>
        <v>0</v>
      </c>
      <c r="I560" t="s">
        <v>85</v>
      </c>
      <c r="J560" t="s">
        <v>162</v>
      </c>
      <c r="K560" s="5">
        <f>82 / 86400</f>
        <v>9.4907407407407408E-4</v>
      </c>
      <c r="L560" s="5">
        <f>20 / 86400</f>
        <v>2.3148148148148149E-4</v>
      </c>
    </row>
    <row r="561" spans="1:12" x14ac:dyDescent="0.25">
      <c r="A561" s="3">
        <v>45696.802835648152</v>
      </c>
      <c r="B561" t="s">
        <v>424</v>
      </c>
      <c r="C561" s="3">
        <v>45696.804259259261</v>
      </c>
      <c r="D561" t="s">
        <v>297</v>
      </c>
      <c r="E561" s="4">
        <v>0.32763876926898955</v>
      </c>
      <c r="F561" s="4">
        <v>347047.3156832275</v>
      </c>
      <c r="G561" s="4">
        <v>347047.64332199673</v>
      </c>
      <c r="H561" s="5">
        <f t="shared" si="7"/>
        <v>0</v>
      </c>
      <c r="I561" t="s">
        <v>184</v>
      </c>
      <c r="J561" t="s">
        <v>85</v>
      </c>
      <c r="K561" s="5">
        <f>123 / 86400</f>
        <v>1.4236111111111112E-3</v>
      </c>
      <c r="L561" s="5">
        <f>60 / 86400</f>
        <v>6.9444444444444447E-4</v>
      </c>
    </row>
    <row r="562" spans="1:12" x14ac:dyDescent="0.25">
      <c r="A562" s="3">
        <v>45696.8049537037</v>
      </c>
      <c r="B562" t="s">
        <v>425</v>
      </c>
      <c r="C562" s="3">
        <v>45696.80541666667</v>
      </c>
      <c r="D562" t="s">
        <v>426</v>
      </c>
      <c r="E562" s="4">
        <v>0.13160452651977539</v>
      </c>
      <c r="F562" s="4">
        <v>347047.76712700055</v>
      </c>
      <c r="G562" s="4">
        <v>347047.89873152709</v>
      </c>
      <c r="H562" s="5">
        <f t="shared" ref="H562:H625" si="9">0 / 86400</f>
        <v>0</v>
      </c>
      <c r="I562" t="s">
        <v>155</v>
      </c>
      <c r="J562" t="s">
        <v>59</v>
      </c>
      <c r="K562" s="5">
        <f>40 / 86400</f>
        <v>4.6296296296296298E-4</v>
      </c>
      <c r="L562" s="5">
        <f>20 / 86400</f>
        <v>2.3148148148148149E-4</v>
      </c>
    </row>
    <row r="563" spans="1:12" x14ac:dyDescent="0.25">
      <c r="A563" s="3">
        <v>45696.805648148147</v>
      </c>
      <c r="B563" t="s">
        <v>426</v>
      </c>
      <c r="C563" s="3">
        <v>45696.806111111116</v>
      </c>
      <c r="D563" t="s">
        <v>427</v>
      </c>
      <c r="E563" s="4">
        <v>2.3196418344974518E-2</v>
      </c>
      <c r="F563" s="4">
        <v>347047.90962273022</v>
      </c>
      <c r="G563" s="4">
        <v>347047.93281914853</v>
      </c>
      <c r="H563" s="5">
        <f t="shared" si="9"/>
        <v>0</v>
      </c>
      <c r="I563" t="s">
        <v>151</v>
      </c>
      <c r="J563" t="s">
        <v>132</v>
      </c>
      <c r="K563" s="5">
        <f>40 / 86400</f>
        <v>4.6296296296296298E-4</v>
      </c>
      <c r="L563" s="5">
        <f>40 / 86400</f>
        <v>4.6296296296296298E-4</v>
      </c>
    </row>
    <row r="564" spans="1:12" x14ac:dyDescent="0.25">
      <c r="A564" s="3">
        <v>45696.806574074071</v>
      </c>
      <c r="B564" t="s">
        <v>427</v>
      </c>
      <c r="C564" s="3">
        <v>45696.807268518518</v>
      </c>
      <c r="D564" t="s">
        <v>428</v>
      </c>
      <c r="E564" s="4">
        <v>0.11630820113420487</v>
      </c>
      <c r="F564" s="4">
        <v>347047.94105449616</v>
      </c>
      <c r="G564" s="4">
        <v>347048.05736269732</v>
      </c>
      <c r="H564" s="5">
        <f t="shared" si="9"/>
        <v>0</v>
      </c>
      <c r="I564" t="s">
        <v>24</v>
      </c>
      <c r="J564" t="s">
        <v>90</v>
      </c>
      <c r="K564" s="5">
        <f>60 / 86400</f>
        <v>6.9444444444444447E-4</v>
      </c>
      <c r="L564" s="5">
        <f>29 / 86400</f>
        <v>3.3564814814814812E-4</v>
      </c>
    </row>
    <row r="565" spans="1:12" x14ac:dyDescent="0.25">
      <c r="A565" s="3">
        <v>45696.807604166665</v>
      </c>
      <c r="B565" t="s">
        <v>428</v>
      </c>
      <c r="C565" s="3">
        <v>45696.808449074073</v>
      </c>
      <c r="D565" t="s">
        <v>429</v>
      </c>
      <c r="E565" s="4">
        <v>0.27492116212844847</v>
      </c>
      <c r="F565" s="4">
        <v>347048.06248306722</v>
      </c>
      <c r="G565" s="4">
        <v>347048.33740422933</v>
      </c>
      <c r="H565" s="5">
        <f t="shared" si="9"/>
        <v>0</v>
      </c>
      <c r="I565" t="s">
        <v>140</v>
      </c>
      <c r="J565" t="s">
        <v>41</v>
      </c>
      <c r="K565" s="5">
        <f>73 / 86400</f>
        <v>8.4490740740740739E-4</v>
      </c>
      <c r="L565" s="5">
        <f>140 / 86400</f>
        <v>1.6203703703703703E-3</v>
      </c>
    </row>
    <row r="566" spans="1:12" x14ac:dyDescent="0.25">
      <c r="A566" s="3">
        <v>45696.810069444444</v>
      </c>
      <c r="B566" t="s">
        <v>430</v>
      </c>
      <c r="C566" s="3">
        <v>45696.810763888891</v>
      </c>
      <c r="D566" t="s">
        <v>431</v>
      </c>
      <c r="E566" s="4">
        <v>3.371545672416687E-2</v>
      </c>
      <c r="F566" s="4">
        <v>347048.37956010073</v>
      </c>
      <c r="G566" s="4">
        <v>347048.41327555745</v>
      </c>
      <c r="H566" s="5">
        <f t="shared" si="9"/>
        <v>0</v>
      </c>
      <c r="I566" t="s">
        <v>188</v>
      </c>
      <c r="J566" t="s">
        <v>132</v>
      </c>
      <c r="K566" s="5">
        <f>60 / 86400</f>
        <v>6.9444444444444447E-4</v>
      </c>
      <c r="L566" s="5">
        <f>180 / 86400</f>
        <v>2.0833333333333333E-3</v>
      </c>
    </row>
    <row r="567" spans="1:12" x14ac:dyDescent="0.25">
      <c r="A567" s="3">
        <v>45696.812847222223</v>
      </c>
      <c r="B567" t="s">
        <v>431</v>
      </c>
      <c r="C567" s="3">
        <v>45696.813344907408</v>
      </c>
      <c r="D567" t="s">
        <v>432</v>
      </c>
      <c r="E567" s="4">
        <v>3.0524415791034699E-2</v>
      </c>
      <c r="F567" s="4">
        <v>347048.44741414505</v>
      </c>
      <c r="G567" s="4">
        <v>347048.47793856083</v>
      </c>
      <c r="H567" s="5">
        <f t="shared" si="9"/>
        <v>0</v>
      </c>
      <c r="I567" t="s">
        <v>136</v>
      </c>
      <c r="J567" t="s">
        <v>188</v>
      </c>
      <c r="K567" s="5">
        <f>43 / 86400</f>
        <v>4.9768518518518521E-4</v>
      </c>
      <c r="L567" s="5">
        <f>120 / 86400</f>
        <v>1.3888888888888889E-3</v>
      </c>
    </row>
    <row r="568" spans="1:12" x14ac:dyDescent="0.25">
      <c r="A568" s="3">
        <v>45696.814733796295</v>
      </c>
      <c r="B568" t="s">
        <v>433</v>
      </c>
      <c r="C568" s="3">
        <v>45696.814965277779</v>
      </c>
      <c r="D568" t="s">
        <v>433</v>
      </c>
      <c r="E568" s="4">
        <v>2.894273340702057E-3</v>
      </c>
      <c r="F568" s="4">
        <v>347048.50895370659</v>
      </c>
      <c r="G568" s="4">
        <v>347048.51184797997</v>
      </c>
      <c r="H568" s="5">
        <f t="shared" si="9"/>
        <v>0</v>
      </c>
      <c r="I568" t="s">
        <v>91</v>
      </c>
      <c r="J568" t="s">
        <v>91</v>
      </c>
      <c r="K568" s="5">
        <f>20 / 86400</f>
        <v>2.3148148148148149E-4</v>
      </c>
      <c r="L568" s="5">
        <f>40 / 86400</f>
        <v>4.6296296296296298E-4</v>
      </c>
    </row>
    <row r="569" spans="1:12" x14ac:dyDescent="0.25">
      <c r="A569" s="3">
        <v>45696.815428240741</v>
      </c>
      <c r="B569" t="s">
        <v>433</v>
      </c>
      <c r="C569" s="3">
        <v>45696.816076388888</v>
      </c>
      <c r="D569" t="s">
        <v>432</v>
      </c>
      <c r="E569" s="4">
        <v>7.2282002747058871E-2</v>
      </c>
      <c r="F569" s="4">
        <v>347048.52103938552</v>
      </c>
      <c r="G569" s="4">
        <v>347048.59332138824</v>
      </c>
      <c r="H569" s="5">
        <f t="shared" si="9"/>
        <v>0</v>
      </c>
      <c r="I569" t="s">
        <v>90</v>
      </c>
      <c r="J569" t="s">
        <v>136</v>
      </c>
      <c r="K569" s="5">
        <f>56 / 86400</f>
        <v>6.4814814814814813E-4</v>
      </c>
      <c r="L569" s="5">
        <f>160 / 86400</f>
        <v>1.8518518518518519E-3</v>
      </c>
    </row>
    <row r="570" spans="1:12" x14ac:dyDescent="0.25">
      <c r="A570" s="3">
        <v>45696.817928240736</v>
      </c>
      <c r="B570" t="s">
        <v>432</v>
      </c>
      <c r="C570" s="3">
        <v>45696.818518518514</v>
      </c>
      <c r="D570" t="s">
        <v>434</v>
      </c>
      <c r="E570" s="4">
        <v>8.8082557499408728E-2</v>
      </c>
      <c r="F570" s="4">
        <v>347048.65024177049</v>
      </c>
      <c r="G570" s="4">
        <v>347048.73832432798</v>
      </c>
      <c r="H570" s="5">
        <f t="shared" si="9"/>
        <v>0</v>
      </c>
      <c r="I570" t="s">
        <v>90</v>
      </c>
      <c r="J570" t="s">
        <v>146</v>
      </c>
      <c r="K570" s="5">
        <f>51 / 86400</f>
        <v>5.9027777777777778E-4</v>
      </c>
      <c r="L570" s="5">
        <f>181 / 86400</f>
        <v>2.0949074074074073E-3</v>
      </c>
    </row>
    <row r="571" spans="1:12" x14ac:dyDescent="0.25">
      <c r="A571" s="3">
        <v>45696.820613425924</v>
      </c>
      <c r="B571" t="s">
        <v>434</v>
      </c>
      <c r="C571" s="3">
        <v>45696.821064814816</v>
      </c>
      <c r="D571" t="s">
        <v>435</v>
      </c>
      <c r="E571" s="4">
        <v>0.16771413350105285</v>
      </c>
      <c r="F571" s="4">
        <v>347048.77339998167</v>
      </c>
      <c r="G571" s="4">
        <v>347048.94111411518</v>
      </c>
      <c r="H571" s="5">
        <f t="shared" si="9"/>
        <v>0</v>
      </c>
      <c r="I571" t="s">
        <v>165</v>
      </c>
      <c r="J571" t="s">
        <v>24</v>
      </c>
      <c r="K571" s="5">
        <f>39 / 86400</f>
        <v>4.5138888888888887E-4</v>
      </c>
      <c r="L571" s="5">
        <f>58 / 86400</f>
        <v>6.7129629629629625E-4</v>
      </c>
    </row>
    <row r="572" spans="1:12" x14ac:dyDescent="0.25">
      <c r="A572" s="3">
        <v>45696.821736111116</v>
      </c>
      <c r="B572" t="s">
        <v>435</v>
      </c>
      <c r="C572" s="3">
        <v>45696.822418981479</v>
      </c>
      <c r="D572" t="s">
        <v>436</v>
      </c>
      <c r="E572" s="4">
        <v>0.34497255015373229</v>
      </c>
      <c r="F572" s="4">
        <v>347048.9522748554</v>
      </c>
      <c r="G572" s="4">
        <v>347049.29724740551</v>
      </c>
      <c r="H572" s="5">
        <f t="shared" si="9"/>
        <v>0</v>
      </c>
      <c r="I572" t="s">
        <v>161</v>
      </c>
      <c r="J572" t="s">
        <v>35</v>
      </c>
      <c r="K572" s="5">
        <f>59 / 86400</f>
        <v>6.8287037037037036E-4</v>
      </c>
      <c r="L572" s="5">
        <f>60 / 86400</f>
        <v>6.9444444444444447E-4</v>
      </c>
    </row>
    <row r="573" spans="1:12" x14ac:dyDescent="0.25">
      <c r="A573" s="3">
        <v>45696.823113425926</v>
      </c>
      <c r="B573" t="s">
        <v>437</v>
      </c>
      <c r="C573" s="3">
        <v>45696.824282407411</v>
      </c>
      <c r="D573" t="s">
        <v>418</v>
      </c>
      <c r="E573" s="4">
        <v>0.45906395661830901</v>
      </c>
      <c r="F573" s="4">
        <v>347049.31645261461</v>
      </c>
      <c r="G573" s="4">
        <v>347049.77551657124</v>
      </c>
      <c r="H573" s="5">
        <f t="shared" si="9"/>
        <v>0</v>
      </c>
      <c r="I573" t="s">
        <v>165</v>
      </c>
      <c r="J573" t="s">
        <v>28</v>
      </c>
      <c r="K573" s="5">
        <f>101 / 86400</f>
        <v>1.1689814814814816E-3</v>
      </c>
      <c r="L573" s="5">
        <f>35 / 86400</f>
        <v>4.0509259259259258E-4</v>
      </c>
    </row>
    <row r="574" spans="1:12" x14ac:dyDescent="0.25">
      <c r="A574" s="3">
        <v>45696.824687500004</v>
      </c>
      <c r="B574" t="s">
        <v>418</v>
      </c>
      <c r="C574" s="3">
        <v>45696.825300925921</v>
      </c>
      <c r="D574" t="s">
        <v>213</v>
      </c>
      <c r="E574" s="4">
        <v>0.20587791383266449</v>
      </c>
      <c r="F574" s="4">
        <v>347049.78260585916</v>
      </c>
      <c r="G574" s="4">
        <v>347049.98848377302</v>
      </c>
      <c r="H574" s="5">
        <f t="shared" si="9"/>
        <v>0</v>
      </c>
      <c r="I574" t="s">
        <v>140</v>
      </c>
      <c r="J574" t="s">
        <v>41</v>
      </c>
      <c r="K574" s="5">
        <f>53 / 86400</f>
        <v>6.134259259259259E-4</v>
      </c>
      <c r="L574" s="5">
        <f>20 / 86400</f>
        <v>2.3148148148148149E-4</v>
      </c>
    </row>
    <row r="575" spans="1:12" x14ac:dyDescent="0.25">
      <c r="A575" s="3">
        <v>45696.825532407413</v>
      </c>
      <c r="B575" t="s">
        <v>213</v>
      </c>
      <c r="C575" s="3">
        <v>45696.827847222223</v>
      </c>
      <c r="D575" t="s">
        <v>307</v>
      </c>
      <c r="E575" s="4">
        <v>1.7222793625593185</v>
      </c>
      <c r="F575" s="4">
        <v>347049.99718857702</v>
      </c>
      <c r="G575" s="4">
        <v>347051.71946793958</v>
      </c>
      <c r="H575" s="5">
        <f t="shared" si="9"/>
        <v>0</v>
      </c>
      <c r="I575" t="s">
        <v>247</v>
      </c>
      <c r="J575" t="s">
        <v>201</v>
      </c>
      <c r="K575" s="5">
        <f>200 / 86400</f>
        <v>2.3148148148148147E-3</v>
      </c>
      <c r="L575" s="5">
        <f>20 / 86400</f>
        <v>2.3148148148148149E-4</v>
      </c>
    </row>
    <row r="576" spans="1:12" x14ac:dyDescent="0.25">
      <c r="A576" s="3">
        <v>45696.828078703707</v>
      </c>
      <c r="B576" t="s">
        <v>308</v>
      </c>
      <c r="C576" s="3">
        <v>45696.829363425924</v>
      </c>
      <c r="D576" t="s">
        <v>371</v>
      </c>
      <c r="E576" s="4">
        <v>0.52826262527704237</v>
      </c>
      <c r="F576" s="4">
        <v>347051.80647254898</v>
      </c>
      <c r="G576" s="4">
        <v>347052.33473517426</v>
      </c>
      <c r="H576" s="5">
        <f t="shared" si="9"/>
        <v>0</v>
      </c>
      <c r="I576" t="s">
        <v>389</v>
      </c>
      <c r="J576" t="s">
        <v>32</v>
      </c>
      <c r="K576" s="5">
        <f>111 / 86400</f>
        <v>1.2847222222222223E-3</v>
      </c>
      <c r="L576" s="5">
        <f>80 / 86400</f>
        <v>9.2592592592592596E-4</v>
      </c>
    </row>
    <row r="577" spans="1:12" x14ac:dyDescent="0.25">
      <c r="A577" s="3">
        <v>45696.830289351856</v>
      </c>
      <c r="B577" t="s">
        <v>411</v>
      </c>
      <c r="C577" s="3">
        <v>45696.830983796295</v>
      </c>
      <c r="D577" t="s">
        <v>411</v>
      </c>
      <c r="E577" s="4">
        <v>0.16835782396793367</v>
      </c>
      <c r="F577" s="4">
        <v>347052.36230566032</v>
      </c>
      <c r="G577" s="4">
        <v>347052.5306634843</v>
      </c>
      <c r="H577" s="5">
        <f t="shared" si="9"/>
        <v>0</v>
      </c>
      <c r="I577" t="s">
        <v>161</v>
      </c>
      <c r="J577" t="s">
        <v>85</v>
      </c>
      <c r="K577" s="5">
        <f>60 / 86400</f>
        <v>6.9444444444444447E-4</v>
      </c>
      <c r="L577" s="5">
        <f>26 / 86400</f>
        <v>3.0092592592592595E-4</v>
      </c>
    </row>
    <row r="578" spans="1:12" x14ac:dyDescent="0.25">
      <c r="A578" s="3">
        <v>45696.831284722226</v>
      </c>
      <c r="B578" t="s">
        <v>411</v>
      </c>
      <c r="C578" s="3">
        <v>45696.831747685181</v>
      </c>
      <c r="D578" t="s">
        <v>411</v>
      </c>
      <c r="E578" s="4">
        <v>1.1740860044956208E-2</v>
      </c>
      <c r="F578" s="4">
        <v>347052.53979518468</v>
      </c>
      <c r="G578" s="4">
        <v>347052.55153604469</v>
      </c>
      <c r="H578" s="5">
        <f t="shared" si="9"/>
        <v>0</v>
      </c>
      <c r="I578" t="s">
        <v>136</v>
      </c>
      <c r="J578" t="s">
        <v>91</v>
      </c>
      <c r="K578" s="5">
        <f>40 / 86400</f>
        <v>4.6296296296296298E-4</v>
      </c>
      <c r="L578" s="5">
        <f>20 / 86400</f>
        <v>2.3148148148148149E-4</v>
      </c>
    </row>
    <row r="579" spans="1:12" x14ac:dyDescent="0.25">
      <c r="A579" s="3">
        <v>45696.831979166665</v>
      </c>
      <c r="B579" t="s">
        <v>411</v>
      </c>
      <c r="C579" s="3">
        <v>45696.834016203706</v>
      </c>
      <c r="D579" t="s">
        <v>122</v>
      </c>
      <c r="E579" s="4">
        <v>0.87817300724983216</v>
      </c>
      <c r="F579" s="4">
        <v>347052.55363236327</v>
      </c>
      <c r="G579" s="4">
        <v>347053.43180537049</v>
      </c>
      <c r="H579" s="5">
        <f t="shared" si="9"/>
        <v>0</v>
      </c>
      <c r="I579" t="s">
        <v>229</v>
      </c>
      <c r="J579" t="s">
        <v>50</v>
      </c>
      <c r="K579" s="5">
        <f>176 / 86400</f>
        <v>2.0370370370370369E-3</v>
      </c>
      <c r="L579" s="5">
        <f>7 / 86400</f>
        <v>8.1018518518518516E-5</v>
      </c>
    </row>
    <row r="580" spans="1:12" x14ac:dyDescent="0.25">
      <c r="A580" s="3">
        <v>45696.834097222221</v>
      </c>
      <c r="B580" t="s">
        <v>122</v>
      </c>
      <c r="C580" s="3">
        <v>45696.838796296295</v>
      </c>
      <c r="D580" t="s">
        <v>65</v>
      </c>
      <c r="E580" s="4">
        <v>1.6501884863972665</v>
      </c>
      <c r="F580" s="4">
        <v>347053.43760861852</v>
      </c>
      <c r="G580" s="4">
        <v>347055.0877971049</v>
      </c>
      <c r="H580" s="5">
        <f t="shared" si="9"/>
        <v>0</v>
      </c>
      <c r="I580" t="s">
        <v>23</v>
      </c>
      <c r="J580" t="s">
        <v>24</v>
      </c>
      <c r="K580" s="5">
        <f>406 / 86400</f>
        <v>4.6990740740740743E-3</v>
      </c>
      <c r="L580" s="5">
        <f>38 / 86400</f>
        <v>4.3981481481481481E-4</v>
      </c>
    </row>
    <row r="581" spans="1:12" x14ac:dyDescent="0.25">
      <c r="A581" s="3">
        <v>45696.839236111111</v>
      </c>
      <c r="B581" t="s">
        <v>217</v>
      </c>
      <c r="C581" s="3">
        <v>45696.839467592596</v>
      </c>
      <c r="D581" t="s">
        <v>217</v>
      </c>
      <c r="E581" s="4">
        <v>3.7260526418685914E-3</v>
      </c>
      <c r="F581" s="4">
        <v>347055.0934322286</v>
      </c>
      <c r="G581" s="4">
        <v>347055.09715828125</v>
      </c>
      <c r="H581" s="5">
        <f t="shared" si="9"/>
        <v>0</v>
      </c>
      <c r="I581" t="s">
        <v>136</v>
      </c>
      <c r="J581" t="s">
        <v>91</v>
      </c>
      <c r="K581" s="5">
        <f>20 / 86400</f>
        <v>2.3148148148148149E-4</v>
      </c>
      <c r="L581" s="5">
        <f>40 / 86400</f>
        <v>4.6296296296296298E-4</v>
      </c>
    </row>
    <row r="582" spans="1:12" x14ac:dyDescent="0.25">
      <c r="A582" s="3">
        <v>45696.83993055555</v>
      </c>
      <c r="B582" t="s">
        <v>65</v>
      </c>
      <c r="C582" s="3">
        <v>45696.841689814813</v>
      </c>
      <c r="D582" t="s">
        <v>438</v>
      </c>
      <c r="E582" s="4">
        <v>1.3551956350207328</v>
      </c>
      <c r="F582" s="4">
        <v>347055.17100881977</v>
      </c>
      <c r="G582" s="4">
        <v>347056.52620445477</v>
      </c>
      <c r="H582" s="5">
        <f t="shared" si="9"/>
        <v>0</v>
      </c>
      <c r="I582" t="s">
        <v>247</v>
      </c>
      <c r="J582" t="s">
        <v>150</v>
      </c>
      <c r="K582" s="5">
        <f>152 / 86400</f>
        <v>1.7592592592592592E-3</v>
      </c>
      <c r="L582" s="5">
        <f>7 / 86400</f>
        <v>8.1018518518518516E-5</v>
      </c>
    </row>
    <row r="583" spans="1:12" x14ac:dyDescent="0.25">
      <c r="A583" s="3">
        <v>45696.841770833329</v>
      </c>
      <c r="B583" t="s">
        <v>438</v>
      </c>
      <c r="C583" s="3">
        <v>45696.8433912037</v>
      </c>
      <c r="D583" t="s">
        <v>315</v>
      </c>
      <c r="E583" s="4">
        <v>1.0156589134335519</v>
      </c>
      <c r="F583" s="4">
        <v>347056.53069782577</v>
      </c>
      <c r="G583" s="4">
        <v>347057.54635673924</v>
      </c>
      <c r="H583" s="5">
        <f t="shared" si="9"/>
        <v>0</v>
      </c>
      <c r="I583" t="s">
        <v>345</v>
      </c>
      <c r="J583" t="s">
        <v>205</v>
      </c>
      <c r="K583" s="5">
        <f>140 / 86400</f>
        <v>1.6203703703703703E-3</v>
      </c>
      <c r="L583" s="5">
        <f>40 / 86400</f>
        <v>4.6296296296296298E-4</v>
      </c>
    </row>
    <row r="584" spans="1:12" x14ac:dyDescent="0.25">
      <c r="A584" s="3">
        <v>45696.843854166669</v>
      </c>
      <c r="B584" t="s">
        <v>220</v>
      </c>
      <c r="C584" s="3">
        <v>45696.845266203702</v>
      </c>
      <c r="D584" t="s">
        <v>377</v>
      </c>
      <c r="E584" s="4">
        <v>0.73267652583122256</v>
      </c>
      <c r="F584" s="4">
        <v>347057.54932701454</v>
      </c>
      <c r="G584" s="4">
        <v>347058.28200354037</v>
      </c>
      <c r="H584" s="5">
        <f t="shared" si="9"/>
        <v>0</v>
      </c>
      <c r="I584" t="s">
        <v>23</v>
      </c>
      <c r="J584" t="s">
        <v>221</v>
      </c>
      <c r="K584" s="5">
        <f>122 / 86400</f>
        <v>1.4120370370370369E-3</v>
      </c>
      <c r="L584" s="5">
        <f>20 / 86400</f>
        <v>2.3148148148148149E-4</v>
      </c>
    </row>
    <row r="585" spans="1:12" x14ac:dyDescent="0.25">
      <c r="A585" s="3">
        <v>45696.845497685186</v>
      </c>
      <c r="B585" t="s">
        <v>377</v>
      </c>
      <c r="C585" s="3">
        <v>45696.845960648148</v>
      </c>
      <c r="D585" t="s">
        <v>377</v>
      </c>
      <c r="E585" s="4">
        <v>4.2963798046112061E-3</v>
      </c>
      <c r="F585" s="4">
        <v>347058.29616866005</v>
      </c>
      <c r="G585" s="4">
        <v>347058.30046503985</v>
      </c>
      <c r="H585" s="5">
        <f t="shared" si="9"/>
        <v>0</v>
      </c>
      <c r="I585" t="s">
        <v>181</v>
      </c>
      <c r="J585" t="s">
        <v>133</v>
      </c>
      <c r="K585" s="5">
        <f>40 / 86400</f>
        <v>4.6296296296296298E-4</v>
      </c>
      <c r="L585" s="5">
        <f>20 / 86400</f>
        <v>2.3148148148148149E-4</v>
      </c>
    </row>
    <row r="586" spans="1:12" x14ac:dyDescent="0.25">
      <c r="A586" s="3">
        <v>45696.846192129626</v>
      </c>
      <c r="B586" t="s">
        <v>377</v>
      </c>
      <c r="C586" s="3">
        <v>45696.846655092595</v>
      </c>
      <c r="D586" t="s">
        <v>439</v>
      </c>
      <c r="E586" s="4">
        <v>4.8207388460636137E-2</v>
      </c>
      <c r="F586" s="4">
        <v>347058.31458083622</v>
      </c>
      <c r="G586" s="4">
        <v>347058.36278822471</v>
      </c>
      <c r="H586" s="5">
        <f t="shared" si="9"/>
        <v>0</v>
      </c>
      <c r="I586" t="s">
        <v>136</v>
      </c>
      <c r="J586" t="s">
        <v>181</v>
      </c>
      <c r="K586" s="5">
        <f>40 / 86400</f>
        <v>4.6296296296296298E-4</v>
      </c>
      <c r="L586" s="5">
        <f>8 / 86400</f>
        <v>9.2592592592592588E-5</v>
      </c>
    </row>
    <row r="587" spans="1:12" x14ac:dyDescent="0.25">
      <c r="A587" s="3">
        <v>45696.84674768518</v>
      </c>
      <c r="B587" t="s">
        <v>439</v>
      </c>
      <c r="C587" s="3">
        <v>45696.848171296297</v>
      </c>
      <c r="D587" t="s">
        <v>187</v>
      </c>
      <c r="E587" s="4">
        <v>0.63791920143365854</v>
      </c>
      <c r="F587" s="4">
        <v>347058.36891485518</v>
      </c>
      <c r="G587" s="4">
        <v>347059.00683405664</v>
      </c>
      <c r="H587" s="5">
        <f t="shared" si="9"/>
        <v>0</v>
      </c>
      <c r="I587" t="s">
        <v>287</v>
      </c>
      <c r="J587" t="s">
        <v>94</v>
      </c>
      <c r="K587" s="5">
        <f>123 / 86400</f>
        <v>1.4236111111111112E-3</v>
      </c>
      <c r="L587" s="5">
        <f>20 / 86400</f>
        <v>2.3148148148148149E-4</v>
      </c>
    </row>
    <row r="588" spans="1:12" x14ac:dyDescent="0.25">
      <c r="A588" s="3">
        <v>45696.848402777774</v>
      </c>
      <c r="B588" t="s">
        <v>440</v>
      </c>
      <c r="C588" s="3">
        <v>45696.848865740743</v>
      </c>
      <c r="D588" t="s">
        <v>440</v>
      </c>
      <c r="E588" s="4">
        <v>0.21902940529584886</v>
      </c>
      <c r="F588" s="4">
        <v>347059.16273367329</v>
      </c>
      <c r="G588" s="4">
        <v>347059.38176307856</v>
      </c>
      <c r="H588" s="5">
        <f t="shared" si="9"/>
        <v>0</v>
      </c>
      <c r="I588" t="s">
        <v>179</v>
      </c>
      <c r="J588" t="s">
        <v>175</v>
      </c>
      <c r="K588" s="5">
        <f>40 / 86400</f>
        <v>4.6296296296296298E-4</v>
      </c>
      <c r="L588" s="5">
        <f>40 / 86400</f>
        <v>4.6296296296296298E-4</v>
      </c>
    </row>
    <row r="589" spans="1:12" x14ac:dyDescent="0.25">
      <c r="A589" s="3">
        <v>45696.849328703705</v>
      </c>
      <c r="B589" t="s">
        <v>440</v>
      </c>
      <c r="C589" s="3">
        <v>45696.84956018519</v>
      </c>
      <c r="D589" t="s">
        <v>440</v>
      </c>
      <c r="E589" s="4">
        <v>8.1667612552642821E-2</v>
      </c>
      <c r="F589" s="4">
        <v>347059.38440980838</v>
      </c>
      <c r="G589" s="4">
        <v>347059.46607742098</v>
      </c>
      <c r="H589" s="5">
        <f t="shared" si="9"/>
        <v>0</v>
      </c>
      <c r="I589" t="s">
        <v>188</v>
      </c>
      <c r="J589" t="s">
        <v>24</v>
      </c>
      <c r="K589" s="5">
        <f>20 / 86400</f>
        <v>2.3148148148148149E-4</v>
      </c>
      <c r="L589" s="5">
        <f>104 / 86400</f>
        <v>1.2037037037037038E-3</v>
      </c>
    </row>
    <row r="590" spans="1:12" x14ac:dyDescent="0.25">
      <c r="A590" s="3">
        <v>45696.850763888884</v>
      </c>
      <c r="B590" t="s">
        <v>441</v>
      </c>
      <c r="C590" s="3">
        <v>45696.852476851855</v>
      </c>
      <c r="D590" t="s">
        <v>127</v>
      </c>
      <c r="E590" s="4">
        <v>0.83621289801597598</v>
      </c>
      <c r="F590" s="4">
        <v>347059.59049320139</v>
      </c>
      <c r="G590" s="4">
        <v>347060.42670609942</v>
      </c>
      <c r="H590" s="5">
        <f t="shared" si="9"/>
        <v>0</v>
      </c>
      <c r="I590" t="s">
        <v>230</v>
      </c>
      <c r="J590" t="s">
        <v>175</v>
      </c>
      <c r="K590" s="5">
        <f>148 / 86400</f>
        <v>1.712962962962963E-3</v>
      </c>
      <c r="L590" s="5">
        <f>20 / 86400</f>
        <v>2.3148148148148149E-4</v>
      </c>
    </row>
    <row r="591" spans="1:12" x14ac:dyDescent="0.25">
      <c r="A591" s="3">
        <v>45696.852708333332</v>
      </c>
      <c r="B591" t="s">
        <v>127</v>
      </c>
      <c r="C591" s="3">
        <v>45696.855196759258</v>
      </c>
      <c r="D591" t="s">
        <v>265</v>
      </c>
      <c r="E591" s="4">
        <v>1.5683643753528596</v>
      </c>
      <c r="F591" s="4">
        <v>347060.43838599272</v>
      </c>
      <c r="G591" s="4">
        <v>347062.00675036805</v>
      </c>
      <c r="H591" s="5">
        <f t="shared" si="9"/>
        <v>0</v>
      </c>
      <c r="I591" t="s">
        <v>263</v>
      </c>
      <c r="J591" t="s">
        <v>205</v>
      </c>
      <c r="K591" s="5">
        <f>215 / 86400</f>
        <v>2.488425925925926E-3</v>
      </c>
      <c r="L591" s="5">
        <f>26 / 86400</f>
        <v>3.0092592592592595E-4</v>
      </c>
    </row>
    <row r="592" spans="1:12" x14ac:dyDescent="0.25">
      <c r="A592" s="3">
        <v>45696.855497685188</v>
      </c>
      <c r="B592" t="s">
        <v>265</v>
      </c>
      <c r="C592" s="3">
        <v>45696.855729166666</v>
      </c>
      <c r="D592" t="s">
        <v>379</v>
      </c>
      <c r="E592" s="4">
        <v>6.3859223008155816E-2</v>
      </c>
      <c r="F592" s="4">
        <v>347062.01626549743</v>
      </c>
      <c r="G592" s="4">
        <v>347062.08012472047</v>
      </c>
      <c r="H592" s="5">
        <f t="shared" si="9"/>
        <v>0</v>
      </c>
      <c r="I592" t="s">
        <v>162</v>
      </c>
      <c r="J592" t="s">
        <v>20</v>
      </c>
      <c r="K592" s="5">
        <f>20 / 86400</f>
        <v>2.3148148148148149E-4</v>
      </c>
      <c r="L592" s="5">
        <f>1 / 86400</f>
        <v>1.1574074074074073E-5</v>
      </c>
    </row>
    <row r="593" spans="1:12" x14ac:dyDescent="0.25">
      <c r="A593" s="3">
        <v>45696.855740740742</v>
      </c>
      <c r="B593" t="s">
        <v>379</v>
      </c>
      <c r="C593" s="3">
        <v>45696.859444444446</v>
      </c>
      <c r="D593" t="s">
        <v>261</v>
      </c>
      <c r="E593" s="4">
        <v>2.5543938735723497</v>
      </c>
      <c r="F593" s="4">
        <v>347062.08118430007</v>
      </c>
      <c r="G593" s="4">
        <v>347064.63557817362</v>
      </c>
      <c r="H593" s="5">
        <f t="shared" si="9"/>
        <v>0</v>
      </c>
      <c r="I593" t="s">
        <v>239</v>
      </c>
      <c r="J593" t="s">
        <v>159</v>
      </c>
      <c r="K593" s="5">
        <f>320 / 86400</f>
        <v>3.7037037037037038E-3</v>
      </c>
      <c r="L593" s="5">
        <f>20 / 86400</f>
        <v>2.3148148148148149E-4</v>
      </c>
    </row>
    <row r="594" spans="1:12" x14ac:dyDescent="0.25">
      <c r="A594" s="3">
        <v>45696.859675925924</v>
      </c>
      <c r="B594" t="s">
        <v>261</v>
      </c>
      <c r="C594" s="3">
        <v>45696.860833333332</v>
      </c>
      <c r="D594" t="s">
        <v>261</v>
      </c>
      <c r="E594" s="4">
        <v>0.76491789925098419</v>
      </c>
      <c r="F594" s="4">
        <v>347064.64351502858</v>
      </c>
      <c r="G594" s="4">
        <v>347065.40843292786</v>
      </c>
      <c r="H594" s="5">
        <f t="shared" si="9"/>
        <v>0</v>
      </c>
      <c r="I594" t="s">
        <v>269</v>
      </c>
      <c r="J594" t="s">
        <v>155</v>
      </c>
      <c r="K594" s="5">
        <f>100 / 86400</f>
        <v>1.1574074074074073E-3</v>
      </c>
      <c r="L594" s="5">
        <f>7 / 86400</f>
        <v>8.1018518518518516E-5</v>
      </c>
    </row>
    <row r="595" spans="1:12" x14ac:dyDescent="0.25">
      <c r="A595" s="3">
        <v>45696.860914351855</v>
      </c>
      <c r="B595" t="s">
        <v>261</v>
      </c>
      <c r="C595" s="3">
        <v>45696.861608796295</v>
      </c>
      <c r="D595" t="s">
        <v>261</v>
      </c>
      <c r="E595" s="4">
        <v>0.27433818387985232</v>
      </c>
      <c r="F595" s="4">
        <v>347065.41415432113</v>
      </c>
      <c r="G595" s="4">
        <v>347065.688492505</v>
      </c>
      <c r="H595" s="5">
        <f t="shared" si="9"/>
        <v>0</v>
      </c>
      <c r="I595" t="s">
        <v>287</v>
      </c>
      <c r="J595" t="s">
        <v>28</v>
      </c>
      <c r="K595" s="5">
        <f>60 / 86400</f>
        <v>6.9444444444444447E-4</v>
      </c>
      <c r="L595" s="5">
        <f>20 / 86400</f>
        <v>2.3148148148148149E-4</v>
      </c>
    </row>
    <row r="596" spans="1:12" x14ac:dyDescent="0.25">
      <c r="A596" s="3">
        <v>45696.861840277779</v>
      </c>
      <c r="B596" t="s">
        <v>261</v>
      </c>
      <c r="C596" s="3">
        <v>45696.862071759257</v>
      </c>
      <c r="D596" t="s">
        <v>261</v>
      </c>
      <c r="E596" s="4">
        <v>7.0946389436721798E-3</v>
      </c>
      <c r="F596" s="4">
        <v>347065.72391708673</v>
      </c>
      <c r="G596" s="4">
        <v>347065.73101172567</v>
      </c>
      <c r="H596" s="5">
        <f t="shared" si="9"/>
        <v>0</v>
      </c>
      <c r="I596" t="s">
        <v>162</v>
      </c>
      <c r="J596" t="s">
        <v>91</v>
      </c>
      <c r="K596" s="5">
        <f>20 / 86400</f>
        <v>2.3148148148148149E-4</v>
      </c>
      <c r="L596" s="5">
        <f>140 / 86400</f>
        <v>1.6203703703703703E-3</v>
      </c>
    </row>
    <row r="597" spans="1:12" x14ac:dyDescent="0.25">
      <c r="A597" s="3">
        <v>45696.863692129627</v>
      </c>
      <c r="B597" t="s">
        <v>261</v>
      </c>
      <c r="C597" s="3">
        <v>45696.863923611112</v>
      </c>
      <c r="D597" t="s">
        <v>261</v>
      </c>
      <c r="E597" s="4">
        <v>9.1281928420066834E-3</v>
      </c>
      <c r="F597" s="4">
        <v>347065.75670962111</v>
      </c>
      <c r="G597" s="4">
        <v>347065.76583781396</v>
      </c>
      <c r="H597" s="5">
        <f t="shared" si="9"/>
        <v>0</v>
      </c>
      <c r="I597" t="s">
        <v>91</v>
      </c>
      <c r="J597" t="s">
        <v>132</v>
      </c>
      <c r="K597" s="5">
        <f>20 / 86400</f>
        <v>2.3148148148148149E-4</v>
      </c>
      <c r="L597" s="5">
        <f>20 / 86400</f>
        <v>2.3148148148148149E-4</v>
      </c>
    </row>
    <row r="598" spans="1:12" x14ac:dyDescent="0.25">
      <c r="A598" s="3">
        <v>45696.864155092597</v>
      </c>
      <c r="B598" t="s">
        <v>261</v>
      </c>
      <c r="C598" s="3">
        <v>45696.865011574075</v>
      </c>
      <c r="D598" t="s">
        <v>380</v>
      </c>
      <c r="E598" s="4">
        <v>6.8861784815788266E-2</v>
      </c>
      <c r="F598" s="4">
        <v>347065.77185317274</v>
      </c>
      <c r="G598" s="4">
        <v>347065.84071495751</v>
      </c>
      <c r="H598" s="5">
        <f t="shared" si="9"/>
        <v>0</v>
      </c>
      <c r="I598" t="s">
        <v>151</v>
      </c>
      <c r="J598" t="s">
        <v>188</v>
      </c>
      <c r="K598" s="5">
        <f>74 / 86400</f>
        <v>8.564814814814815E-4</v>
      </c>
      <c r="L598" s="5">
        <f>60 / 86400</f>
        <v>6.9444444444444447E-4</v>
      </c>
    </row>
    <row r="599" spans="1:12" x14ac:dyDescent="0.25">
      <c r="A599" s="3">
        <v>45696.865706018521</v>
      </c>
      <c r="B599" t="s">
        <v>261</v>
      </c>
      <c r="C599" s="3">
        <v>45696.866319444445</v>
      </c>
      <c r="D599" t="s">
        <v>262</v>
      </c>
      <c r="E599" s="4">
        <v>0.21864389604330062</v>
      </c>
      <c r="F599" s="4">
        <v>347065.85138583521</v>
      </c>
      <c r="G599" s="4">
        <v>347066.07002973126</v>
      </c>
      <c r="H599" s="5">
        <f t="shared" si="9"/>
        <v>0</v>
      </c>
      <c r="I599" t="s">
        <v>41</v>
      </c>
      <c r="J599" t="s">
        <v>24</v>
      </c>
      <c r="K599" s="5">
        <f>53 / 86400</f>
        <v>6.134259259259259E-4</v>
      </c>
      <c r="L599" s="5">
        <f>80 / 86400</f>
        <v>9.2592592592592596E-4</v>
      </c>
    </row>
    <row r="600" spans="1:12" x14ac:dyDescent="0.25">
      <c r="A600" s="3">
        <v>45696.867245370369</v>
      </c>
      <c r="B600" t="s">
        <v>320</v>
      </c>
      <c r="C600" s="3">
        <v>45696.867719907408</v>
      </c>
      <c r="D600" t="s">
        <v>74</v>
      </c>
      <c r="E600" s="4">
        <v>2.7628494322299958E-2</v>
      </c>
      <c r="F600" s="4">
        <v>347066.10018973931</v>
      </c>
      <c r="G600" s="4">
        <v>347066.12781823362</v>
      </c>
      <c r="H600" s="5">
        <f t="shared" si="9"/>
        <v>0</v>
      </c>
      <c r="I600" t="s">
        <v>90</v>
      </c>
      <c r="J600" t="s">
        <v>132</v>
      </c>
      <c r="K600" s="5">
        <f>41 / 86400</f>
        <v>4.7453703703703704E-4</v>
      </c>
      <c r="L600" s="5">
        <f>12 / 86400</f>
        <v>1.3888888888888889E-4</v>
      </c>
    </row>
    <row r="601" spans="1:12" x14ac:dyDescent="0.25">
      <c r="A601" s="3">
        <v>45696.867858796293</v>
      </c>
      <c r="B601" t="s">
        <v>319</v>
      </c>
      <c r="C601" s="3">
        <v>45696.868333333332</v>
      </c>
      <c r="D601" t="s">
        <v>442</v>
      </c>
      <c r="E601" s="4">
        <v>3.7081456601619718E-2</v>
      </c>
      <c r="F601" s="4">
        <v>347066.14471756812</v>
      </c>
      <c r="G601" s="4">
        <v>347066.18179902469</v>
      </c>
      <c r="H601" s="5">
        <f t="shared" si="9"/>
        <v>0</v>
      </c>
      <c r="I601" t="s">
        <v>90</v>
      </c>
      <c r="J601" t="s">
        <v>188</v>
      </c>
      <c r="K601" s="5">
        <f>41 / 86400</f>
        <v>4.7453703703703704E-4</v>
      </c>
      <c r="L601" s="5">
        <f>80 / 86400</f>
        <v>9.2592592592592596E-4</v>
      </c>
    </row>
    <row r="602" spans="1:12" x14ac:dyDescent="0.25">
      <c r="A602" s="3">
        <v>45696.869259259256</v>
      </c>
      <c r="B602" t="s">
        <v>318</v>
      </c>
      <c r="C602" s="3">
        <v>45696.872465277775</v>
      </c>
      <c r="D602" t="s">
        <v>319</v>
      </c>
      <c r="E602" s="4">
        <v>1.2363052504062653</v>
      </c>
      <c r="F602" s="4">
        <v>347066.58114950592</v>
      </c>
      <c r="G602" s="4">
        <v>347067.8174547563</v>
      </c>
      <c r="H602" s="5">
        <f t="shared" si="9"/>
        <v>0</v>
      </c>
      <c r="I602" t="s">
        <v>135</v>
      </c>
      <c r="J602" t="s">
        <v>28</v>
      </c>
      <c r="K602" s="5">
        <f>277 / 86400</f>
        <v>3.2060185185185186E-3</v>
      </c>
      <c r="L602" s="5">
        <f>20 / 86400</f>
        <v>2.3148148148148149E-4</v>
      </c>
    </row>
    <row r="603" spans="1:12" x14ac:dyDescent="0.25">
      <c r="A603" s="3">
        <v>45696.872696759259</v>
      </c>
      <c r="B603" t="s">
        <v>319</v>
      </c>
      <c r="C603" s="3">
        <v>45696.873854166668</v>
      </c>
      <c r="D603" t="s">
        <v>443</v>
      </c>
      <c r="E603" s="4">
        <v>0.75744574332237247</v>
      </c>
      <c r="F603" s="4">
        <v>347067.83019660105</v>
      </c>
      <c r="G603" s="4">
        <v>347068.58764234436</v>
      </c>
      <c r="H603" s="5">
        <f t="shared" si="9"/>
        <v>0</v>
      </c>
      <c r="I603" t="s">
        <v>287</v>
      </c>
      <c r="J603" t="s">
        <v>165</v>
      </c>
      <c r="K603" s="5">
        <f>100 / 86400</f>
        <v>1.1574074074074073E-3</v>
      </c>
      <c r="L603" s="5">
        <f>13 / 86400</f>
        <v>1.5046296296296297E-4</v>
      </c>
    </row>
    <row r="604" spans="1:12" x14ac:dyDescent="0.25">
      <c r="A604" s="3">
        <v>45696.87400462963</v>
      </c>
      <c r="B604" t="s">
        <v>443</v>
      </c>
      <c r="C604" s="3">
        <v>45696.875162037039</v>
      </c>
      <c r="D604" t="s">
        <v>228</v>
      </c>
      <c r="E604" s="4">
        <v>0.38089871579408646</v>
      </c>
      <c r="F604" s="4">
        <v>347068.58963510091</v>
      </c>
      <c r="G604" s="4">
        <v>347068.97053381667</v>
      </c>
      <c r="H604" s="5">
        <f t="shared" si="9"/>
        <v>0</v>
      </c>
      <c r="I604" t="s">
        <v>50</v>
      </c>
      <c r="J604" t="s">
        <v>41</v>
      </c>
      <c r="K604" s="5">
        <f>100 / 86400</f>
        <v>1.1574074074074073E-3</v>
      </c>
      <c r="L604" s="5">
        <f>2 / 86400</f>
        <v>2.3148148148148147E-5</v>
      </c>
    </row>
    <row r="605" spans="1:12" x14ac:dyDescent="0.25">
      <c r="A605" s="3">
        <v>45696.875185185185</v>
      </c>
      <c r="B605" t="s">
        <v>228</v>
      </c>
      <c r="C605" s="3">
        <v>45696.876574074078</v>
      </c>
      <c r="D605" t="s">
        <v>443</v>
      </c>
      <c r="E605" s="4">
        <v>0.32072636246681213</v>
      </c>
      <c r="F605" s="4">
        <v>347068.97225833783</v>
      </c>
      <c r="G605" s="4">
        <v>347069.2929847003</v>
      </c>
      <c r="H605" s="5">
        <f t="shared" si="9"/>
        <v>0</v>
      </c>
      <c r="I605" t="s">
        <v>20</v>
      </c>
      <c r="J605" t="s">
        <v>85</v>
      </c>
      <c r="K605" s="5">
        <f>120 / 86400</f>
        <v>1.3888888888888889E-3</v>
      </c>
      <c r="L605" s="5">
        <f>16 / 86400</f>
        <v>1.8518518518518518E-4</v>
      </c>
    </row>
    <row r="606" spans="1:12" x14ac:dyDescent="0.25">
      <c r="A606" s="3">
        <v>45696.876759259263</v>
      </c>
      <c r="B606" t="s">
        <v>443</v>
      </c>
      <c r="C606" s="3">
        <v>45696.877916666665</v>
      </c>
      <c r="D606" t="s">
        <v>158</v>
      </c>
      <c r="E606" s="4">
        <v>0.73448921287059787</v>
      </c>
      <c r="F606" s="4">
        <v>347069.30078211019</v>
      </c>
      <c r="G606" s="4">
        <v>347070.03527132311</v>
      </c>
      <c r="H606" s="5">
        <f t="shared" si="9"/>
        <v>0</v>
      </c>
      <c r="I606" t="s">
        <v>287</v>
      </c>
      <c r="J606" t="s">
        <v>205</v>
      </c>
      <c r="K606" s="5">
        <f>100 / 86400</f>
        <v>1.1574074074074073E-3</v>
      </c>
      <c r="L606" s="5">
        <f>20 / 86400</f>
        <v>2.3148148148148149E-4</v>
      </c>
    </row>
    <row r="607" spans="1:12" x14ac:dyDescent="0.25">
      <c r="A607" s="3">
        <v>45696.878148148149</v>
      </c>
      <c r="B607" t="s">
        <v>158</v>
      </c>
      <c r="C607" s="3">
        <v>45696.878611111111</v>
      </c>
      <c r="D607" t="s">
        <v>158</v>
      </c>
      <c r="E607" s="4">
        <v>8.0051260650157927E-2</v>
      </c>
      <c r="F607" s="4">
        <v>347070.44632196211</v>
      </c>
      <c r="G607" s="4">
        <v>347070.52637322276</v>
      </c>
      <c r="H607" s="5">
        <f t="shared" si="9"/>
        <v>0</v>
      </c>
      <c r="I607" t="s">
        <v>140</v>
      </c>
      <c r="J607" t="s">
        <v>90</v>
      </c>
      <c r="K607" s="5">
        <f>40 / 86400</f>
        <v>4.6296296296296298E-4</v>
      </c>
      <c r="L607" s="5">
        <f>20 / 86400</f>
        <v>2.3148148148148149E-4</v>
      </c>
    </row>
    <row r="608" spans="1:12" x14ac:dyDescent="0.25">
      <c r="A608" s="3">
        <v>45696.878842592589</v>
      </c>
      <c r="B608" t="s">
        <v>158</v>
      </c>
      <c r="C608" s="3">
        <v>45696.881192129629</v>
      </c>
      <c r="D608" t="s">
        <v>444</v>
      </c>
      <c r="E608" s="4">
        <v>0.3094337585568428</v>
      </c>
      <c r="F608" s="4">
        <v>347070.56455731834</v>
      </c>
      <c r="G608" s="4">
        <v>347070.87399107689</v>
      </c>
      <c r="H608" s="5">
        <f t="shared" si="9"/>
        <v>0</v>
      </c>
      <c r="I608" t="s">
        <v>47</v>
      </c>
      <c r="J608" t="s">
        <v>136</v>
      </c>
      <c r="K608" s="5">
        <f>203 / 86400</f>
        <v>2.3495370370370371E-3</v>
      </c>
      <c r="L608" s="5">
        <f>20 / 86400</f>
        <v>2.3148148148148149E-4</v>
      </c>
    </row>
    <row r="609" spans="1:12" x14ac:dyDescent="0.25">
      <c r="A609" s="3">
        <v>45696.881423611107</v>
      </c>
      <c r="B609" t="s">
        <v>387</v>
      </c>
      <c r="C609" s="3">
        <v>45696.882118055553</v>
      </c>
      <c r="D609" t="s">
        <v>158</v>
      </c>
      <c r="E609" s="4">
        <v>0.12825902670621872</v>
      </c>
      <c r="F609" s="4">
        <v>347070.8811715364</v>
      </c>
      <c r="G609" s="4">
        <v>347071.00943056308</v>
      </c>
      <c r="H609" s="5">
        <f t="shared" si="9"/>
        <v>0</v>
      </c>
      <c r="I609" t="s">
        <v>20</v>
      </c>
      <c r="J609" t="s">
        <v>151</v>
      </c>
      <c r="K609" s="5">
        <f>60 / 86400</f>
        <v>6.9444444444444447E-4</v>
      </c>
      <c r="L609" s="5">
        <f>8 / 86400</f>
        <v>9.2592592592592588E-5</v>
      </c>
    </row>
    <row r="610" spans="1:12" x14ac:dyDescent="0.25">
      <c r="A610" s="3">
        <v>45696.882210648153</v>
      </c>
      <c r="B610" t="s">
        <v>158</v>
      </c>
      <c r="C610" s="3">
        <v>45696.882673611108</v>
      </c>
      <c r="D610" t="s">
        <v>158</v>
      </c>
      <c r="E610" s="4">
        <v>2.271553409099579E-2</v>
      </c>
      <c r="F610" s="4">
        <v>347071.01408740832</v>
      </c>
      <c r="G610" s="4">
        <v>347071.0368029424</v>
      </c>
      <c r="H610" s="5">
        <f t="shared" si="9"/>
        <v>0</v>
      </c>
      <c r="I610" t="s">
        <v>136</v>
      </c>
      <c r="J610" t="s">
        <v>132</v>
      </c>
      <c r="K610" s="5">
        <f>40 / 86400</f>
        <v>4.6296296296296298E-4</v>
      </c>
      <c r="L610" s="5">
        <f>7 / 86400</f>
        <v>8.1018518518518516E-5</v>
      </c>
    </row>
    <row r="611" spans="1:12" x14ac:dyDescent="0.25">
      <c r="A611" s="3">
        <v>45696.882754629631</v>
      </c>
      <c r="B611" t="s">
        <v>158</v>
      </c>
      <c r="C611" s="3">
        <v>45696.883680555555</v>
      </c>
      <c r="D611" t="s">
        <v>158</v>
      </c>
      <c r="E611" s="4">
        <v>0.10707834750413894</v>
      </c>
      <c r="F611" s="4">
        <v>347071.04569096403</v>
      </c>
      <c r="G611" s="4">
        <v>347071.15276931156</v>
      </c>
      <c r="H611" s="5">
        <f t="shared" si="9"/>
        <v>0</v>
      </c>
      <c r="I611" t="s">
        <v>162</v>
      </c>
      <c r="J611" t="s">
        <v>136</v>
      </c>
      <c r="K611" s="5">
        <f>80 / 86400</f>
        <v>9.2592592592592596E-4</v>
      </c>
      <c r="L611" s="5">
        <f>40 / 86400</f>
        <v>4.6296296296296298E-4</v>
      </c>
    </row>
    <row r="612" spans="1:12" x14ac:dyDescent="0.25">
      <c r="A612" s="3">
        <v>45696.884143518517</v>
      </c>
      <c r="B612" t="s">
        <v>158</v>
      </c>
      <c r="C612" s="3">
        <v>45696.886689814812</v>
      </c>
      <c r="D612" t="s">
        <v>158</v>
      </c>
      <c r="E612" s="4">
        <v>1.6938820364475251</v>
      </c>
      <c r="F612" s="4">
        <v>347071.18358795275</v>
      </c>
      <c r="G612" s="4">
        <v>347072.87746998918</v>
      </c>
      <c r="H612" s="5">
        <f t="shared" si="9"/>
        <v>0</v>
      </c>
      <c r="I612" t="s">
        <v>194</v>
      </c>
      <c r="J612" t="s">
        <v>155</v>
      </c>
      <c r="K612" s="5">
        <f>220 / 86400</f>
        <v>2.5462962962962965E-3</v>
      </c>
      <c r="L612" s="5">
        <f>20 / 86400</f>
        <v>2.3148148148148149E-4</v>
      </c>
    </row>
    <row r="613" spans="1:12" x14ac:dyDescent="0.25">
      <c r="A613" s="3">
        <v>45696.886921296296</v>
      </c>
      <c r="B613" t="s">
        <v>158</v>
      </c>
      <c r="C613" s="3">
        <v>45696.88784722222</v>
      </c>
      <c r="D613" t="s">
        <v>158</v>
      </c>
      <c r="E613" s="4">
        <v>0.65068880766630177</v>
      </c>
      <c r="F613" s="4">
        <v>347072.88537939632</v>
      </c>
      <c r="G613" s="4">
        <v>347073.53606820398</v>
      </c>
      <c r="H613" s="5">
        <f t="shared" si="9"/>
        <v>0</v>
      </c>
      <c r="I613" t="s">
        <v>135</v>
      </c>
      <c r="J613" t="s">
        <v>159</v>
      </c>
      <c r="K613" s="5">
        <f>80 / 86400</f>
        <v>9.2592592592592596E-4</v>
      </c>
      <c r="L613" s="5">
        <f>20 / 86400</f>
        <v>2.3148148148148149E-4</v>
      </c>
    </row>
    <row r="614" spans="1:12" x14ac:dyDescent="0.25">
      <c r="A614" s="3">
        <v>45696.888078703705</v>
      </c>
      <c r="B614" t="s">
        <v>158</v>
      </c>
      <c r="C614" s="3">
        <v>45696.890393518523</v>
      </c>
      <c r="D614" t="s">
        <v>149</v>
      </c>
      <c r="E614" s="4">
        <v>2.0148072481751442</v>
      </c>
      <c r="F614" s="4">
        <v>347073.53853006259</v>
      </c>
      <c r="G614" s="4">
        <v>347075.55333731079</v>
      </c>
      <c r="H614" s="5">
        <f t="shared" si="9"/>
        <v>0</v>
      </c>
      <c r="I614" t="s">
        <v>251</v>
      </c>
      <c r="J614" t="s">
        <v>215</v>
      </c>
      <c r="K614" s="5">
        <f>200 / 86400</f>
        <v>2.3148148148148147E-3</v>
      </c>
      <c r="L614" s="5">
        <f>20 / 86400</f>
        <v>2.3148148148148149E-4</v>
      </c>
    </row>
    <row r="615" spans="1:12" x14ac:dyDescent="0.25">
      <c r="A615" s="3">
        <v>45696.890625</v>
      </c>
      <c r="B615" t="s">
        <v>149</v>
      </c>
      <c r="C615" s="3">
        <v>45696.891319444447</v>
      </c>
      <c r="D615" t="s">
        <v>149</v>
      </c>
      <c r="E615" s="4">
        <v>0.10203404146432876</v>
      </c>
      <c r="F615" s="4">
        <v>347075.56003493199</v>
      </c>
      <c r="G615" s="4">
        <v>347075.66206897341</v>
      </c>
      <c r="H615" s="5">
        <f t="shared" si="9"/>
        <v>0</v>
      </c>
      <c r="I615" t="s">
        <v>24</v>
      </c>
      <c r="J615" t="s">
        <v>146</v>
      </c>
      <c r="K615" s="5">
        <f>60 / 86400</f>
        <v>6.9444444444444447E-4</v>
      </c>
      <c r="L615" s="5">
        <f>33 / 86400</f>
        <v>3.8194444444444446E-4</v>
      </c>
    </row>
    <row r="616" spans="1:12" x14ac:dyDescent="0.25">
      <c r="A616" s="3">
        <v>45696.891701388886</v>
      </c>
      <c r="B616" t="s">
        <v>149</v>
      </c>
      <c r="C616" s="3">
        <v>45696.894120370373</v>
      </c>
      <c r="D616" t="s">
        <v>83</v>
      </c>
      <c r="E616" s="4">
        <v>0.96700136029720307</v>
      </c>
      <c r="F616" s="4">
        <v>347075.66621202318</v>
      </c>
      <c r="G616" s="4">
        <v>347076.63321338349</v>
      </c>
      <c r="H616" s="5">
        <f t="shared" si="9"/>
        <v>0</v>
      </c>
      <c r="I616" t="s">
        <v>194</v>
      </c>
      <c r="J616" t="s">
        <v>32</v>
      </c>
      <c r="K616" s="5">
        <f>209 / 86400</f>
        <v>2.4189814814814816E-3</v>
      </c>
      <c r="L616" s="5">
        <f>40 / 86400</f>
        <v>4.6296296296296298E-4</v>
      </c>
    </row>
    <row r="617" spans="1:12" x14ac:dyDescent="0.25">
      <c r="A617" s="3">
        <v>45696.894583333335</v>
      </c>
      <c r="B617" t="s">
        <v>83</v>
      </c>
      <c r="C617" s="3">
        <v>45696.894814814819</v>
      </c>
      <c r="D617" t="s">
        <v>83</v>
      </c>
      <c r="E617" s="4">
        <v>1.034008103609085E-2</v>
      </c>
      <c r="F617" s="4">
        <v>347076.64907763561</v>
      </c>
      <c r="G617" s="4">
        <v>347076.65941771661</v>
      </c>
      <c r="H617" s="5">
        <f t="shared" si="9"/>
        <v>0</v>
      </c>
      <c r="I617" t="s">
        <v>132</v>
      </c>
      <c r="J617" t="s">
        <v>132</v>
      </c>
      <c r="K617" s="5">
        <f>20 / 86400</f>
        <v>2.3148148148148149E-4</v>
      </c>
      <c r="L617" s="5">
        <f>20 / 86400</f>
        <v>2.3148148148148149E-4</v>
      </c>
    </row>
    <row r="618" spans="1:12" x14ac:dyDescent="0.25">
      <c r="A618" s="3">
        <v>45696.895046296297</v>
      </c>
      <c r="B618" t="s">
        <v>83</v>
      </c>
      <c r="C618" s="3">
        <v>45696.895740740743</v>
      </c>
      <c r="D618" t="s">
        <v>148</v>
      </c>
      <c r="E618" s="4">
        <v>3.3186771810054777E-2</v>
      </c>
      <c r="F618" s="4">
        <v>347076.66894910246</v>
      </c>
      <c r="G618" s="4">
        <v>347076.70213587425</v>
      </c>
      <c r="H618" s="5">
        <f t="shared" si="9"/>
        <v>0</v>
      </c>
      <c r="I618" t="s">
        <v>181</v>
      </c>
      <c r="J618" t="s">
        <v>132</v>
      </c>
      <c r="K618" s="5">
        <f>60 / 86400</f>
        <v>6.9444444444444447E-4</v>
      </c>
      <c r="L618" s="5">
        <f>20 / 86400</f>
        <v>2.3148148148148149E-4</v>
      </c>
    </row>
    <row r="619" spans="1:12" x14ac:dyDescent="0.25">
      <c r="A619" s="3">
        <v>45696.895972222221</v>
      </c>
      <c r="B619" t="s">
        <v>148</v>
      </c>
      <c r="C619" s="3">
        <v>45696.896203703705</v>
      </c>
      <c r="D619" t="s">
        <v>148</v>
      </c>
      <c r="E619" s="4">
        <v>3.9065039157867429E-3</v>
      </c>
      <c r="F619" s="4">
        <v>347076.70865591813</v>
      </c>
      <c r="G619" s="4">
        <v>347076.71256242204</v>
      </c>
      <c r="H619" s="5">
        <f t="shared" si="9"/>
        <v>0</v>
      </c>
      <c r="I619" t="s">
        <v>91</v>
      </c>
      <c r="J619" t="s">
        <v>91</v>
      </c>
      <c r="K619" s="5">
        <f>20 / 86400</f>
        <v>2.3148148148148149E-4</v>
      </c>
      <c r="L619" s="5">
        <f>60 / 86400</f>
        <v>6.9444444444444447E-4</v>
      </c>
    </row>
    <row r="620" spans="1:12" x14ac:dyDescent="0.25">
      <c r="A620" s="3">
        <v>45696.896898148145</v>
      </c>
      <c r="B620" t="s">
        <v>148</v>
      </c>
      <c r="C620" s="3">
        <v>45696.897361111114</v>
      </c>
      <c r="D620" t="s">
        <v>83</v>
      </c>
      <c r="E620" s="4">
        <v>1.8466714501380922E-2</v>
      </c>
      <c r="F620" s="4">
        <v>347076.74034159433</v>
      </c>
      <c r="G620" s="4">
        <v>347076.75880830886</v>
      </c>
      <c r="H620" s="5">
        <f t="shared" si="9"/>
        <v>0</v>
      </c>
      <c r="I620" t="s">
        <v>91</v>
      </c>
      <c r="J620" t="s">
        <v>132</v>
      </c>
      <c r="K620" s="5">
        <f>40 / 86400</f>
        <v>4.6296296296296298E-4</v>
      </c>
      <c r="L620" s="5">
        <f>20 / 86400</f>
        <v>2.3148148148148149E-4</v>
      </c>
    </row>
    <row r="621" spans="1:12" x14ac:dyDescent="0.25">
      <c r="A621" s="3">
        <v>45696.897592592592</v>
      </c>
      <c r="B621" t="s">
        <v>83</v>
      </c>
      <c r="C621" s="3">
        <v>45696.898055555561</v>
      </c>
      <c r="D621" t="s">
        <v>148</v>
      </c>
      <c r="E621" s="4">
        <v>2.2851944148540498E-2</v>
      </c>
      <c r="F621" s="4">
        <v>347076.76691352774</v>
      </c>
      <c r="G621" s="4">
        <v>347076.78976547188</v>
      </c>
      <c r="H621" s="5">
        <f t="shared" si="9"/>
        <v>0</v>
      </c>
      <c r="I621" t="s">
        <v>91</v>
      </c>
      <c r="J621" t="s">
        <v>132</v>
      </c>
      <c r="K621" s="5">
        <f>40 / 86400</f>
        <v>4.6296296296296298E-4</v>
      </c>
      <c r="L621" s="5">
        <f>40 / 86400</f>
        <v>4.6296296296296298E-4</v>
      </c>
    </row>
    <row r="622" spans="1:12" x14ac:dyDescent="0.25">
      <c r="A622" s="3">
        <v>45696.898518518516</v>
      </c>
      <c r="B622" t="s">
        <v>148</v>
      </c>
      <c r="C622" s="3">
        <v>45696.899965277778</v>
      </c>
      <c r="D622" t="s">
        <v>445</v>
      </c>
      <c r="E622" s="4">
        <v>0.46772163754701612</v>
      </c>
      <c r="F622" s="4">
        <v>347076.80501247267</v>
      </c>
      <c r="G622" s="4">
        <v>347077.27273411024</v>
      </c>
      <c r="H622" s="5">
        <f t="shared" si="9"/>
        <v>0</v>
      </c>
      <c r="I622" t="s">
        <v>201</v>
      </c>
      <c r="J622" t="s">
        <v>47</v>
      </c>
      <c r="K622" s="5">
        <f>125 / 86400</f>
        <v>1.4467592592592592E-3</v>
      </c>
      <c r="L622" s="5">
        <f>6 / 86400</f>
        <v>6.9444444444444444E-5</v>
      </c>
    </row>
    <row r="623" spans="1:12" x14ac:dyDescent="0.25">
      <c r="A623" s="3">
        <v>45696.900034722217</v>
      </c>
      <c r="B623" t="s">
        <v>445</v>
      </c>
      <c r="C623" s="3">
        <v>45696.901388888888</v>
      </c>
      <c r="D623" t="s">
        <v>392</v>
      </c>
      <c r="E623" s="4">
        <v>0.67083769541978833</v>
      </c>
      <c r="F623" s="4">
        <v>347077.27519559523</v>
      </c>
      <c r="G623" s="4">
        <v>347077.94603329065</v>
      </c>
      <c r="H623" s="5">
        <f t="shared" si="9"/>
        <v>0</v>
      </c>
      <c r="I623" t="s">
        <v>345</v>
      </c>
      <c r="J623" t="s">
        <v>35</v>
      </c>
      <c r="K623" s="5">
        <f>117 / 86400</f>
        <v>1.3541666666666667E-3</v>
      </c>
      <c r="L623" s="5">
        <f>59 / 86400</f>
        <v>6.8287037037037036E-4</v>
      </c>
    </row>
    <row r="624" spans="1:12" x14ac:dyDescent="0.25">
      <c r="A624" s="3">
        <v>45696.902071759258</v>
      </c>
      <c r="B624" t="s">
        <v>348</v>
      </c>
      <c r="C624" s="3">
        <v>45696.902997685189</v>
      </c>
      <c r="D624" t="s">
        <v>92</v>
      </c>
      <c r="E624" s="4">
        <v>0.72791968190670009</v>
      </c>
      <c r="F624" s="4">
        <v>347077.97645907034</v>
      </c>
      <c r="G624" s="4">
        <v>347078.70437875221</v>
      </c>
      <c r="H624" s="5">
        <f t="shared" si="9"/>
        <v>0</v>
      </c>
      <c r="I624" t="s">
        <v>144</v>
      </c>
      <c r="J624" t="s">
        <v>163</v>
      </c>
      <c r="K624" s="5">
        <f>80 / 86400</f>
        <v>9.2592592592592596E-4</v>
      </c>
      <c r="L624" s="5">
        <f>60 / 86400</f>
        <v>6.9444444444444447E-4</v>
      </c>
    </row>
    <row r="625" spans="1:12" x14ac:dyDescent="0.25">
      <c r="A625" s="3">
        <v>45696.903692129628</v>
      </c>
      <c r="B625" t="s">
        <v>92</v>
      </c>
      <c r="C625" s="3">
        <v>45696.90415509259</v>
      </c>
      <c r="D625" t="s">
        <v>92</v>
      </c>
      <c r="E625" s="4">
        <v>8.8625207543373101E-3</v>
      </c>
      <c r="F625" s="4">
        <v>347078.71070534759</v>
      </c>
      <c r="G625" s="4">
        <v>347078.71956786833</v>
      </c>
      <c r="H625" s="5">
        <f t="shared" si="9"/>
        <v>0</v>
      </c>
      <c r="I625" t="s">
        <v>181</v>
      </c>
      <c r="J625" t="s">
        <v>91</v>
      </c>
      <c r="K625" s="5">
        <f>40 / 86400</f>
        <v>4.6296296296296298E-4</v>
      </c>
      <c r="L625" s="5">
        <f>19 / 86400</f>
        <v>2.199074074074074E-4</v>
      </c>
    </row>
    <row r="626" spans="1:12" x14ac:dyDescent="0.25">
      <c r="A626" s="3">
        <v>45696.904374999998</v>
      </c>
      <c r="B626" t="s">
        <v>92</v>
      </c>
      <c r="C626" s="3">
        <v>45696.904606481483</v>
      </c>
      <c r="D626" t="s">
        <v>92</v>
      </c>
      <c r="E626" s="4">
        <v>2.6389479637145997E-4</v>
      </c>
      <c r="F626" s="4">
        <v>347078.7268272792</v>
      </c>
      <c r="G626" s="4">
        <v>347078.72709117399</v>
      </c>
      <c r="H626" s="5">
        <f t="shared" ref="H626:H683" si="10">0 / 86400</f>
        <v>0</v>
      </c>
      <c r="I626" t="s">
        <v>136</v>
      </c>
      <c r="J626" t="s">
        <v>133</v>
      </c>
      <c r="K626" s="5">
        <f>20 / 86400</f>
        <v>2.3148148148148149E-4</v>
      </c>
      <c r="L626" s="5">
        <f>80 / 86400</f>
        <v>9.2592592592592596E-4</v>
      </c>
    </row>
    <row r="627" spans="1:12" x14ac:dyDescent="0.25">
      <c r="A627" s="3">
        <v>45696.905532407407</v>
      </c>
      <c r="B627" t="s">
        <v>92</v>
      </c>
      <c r="C627" s="3">
        <v>45696.905775462961</v>
      </c>
      <c r="D627" t="s">
        <v>149</v>
      </c>
      <c r="E627" s="4">
        <v>1.3193584680557251E-2</v>
      </c>
      <c r="F627" s="4">
        <v>347078.73966411006</v>
      </c>
      <c r="G627" s="4">
        <v>347078.75285769475</v>
      </c>
      <c r="H627" s="5">
        <f t="shared" si="10"/>
        <v>0</v>
      </c>
      <c r="I627" t="s">
        <v>132</v>
      </c>
      <c r="J627" t="s">
        <v>132</v>
      </c>
      <c r="K627" s="5">
        <f>21 / 86400</f>
        <v>2.4305555555555555E-4</v>
      </c>
      <c r="L627" s="5">
        <f>20 / 86400</f>
        <v>2.3148148148148149E-4</v>
      </c>
    </row>
    <row r="628" spans="1:12" x14ac:dyDescent="0.25">
      <c r="A628" s="3">
        <v>45696.906006944446</v>
      </c>
      <c r="B628" t="s">
        <v>149</v>
      </c>
      <c r="C628" s="3">
        <v>45696.90623842593</v>
      </c>
      <c r="D628" t="s">
        <v>92</v>
      </c>
      <c r="E628" s="4">
        <v>8.2316098213195809E-3</v>
      </c>
      <c r="F628" s="4">
        <v>347078.75475248112</v>
      </c>
      <c r="G628" s="4">
        <v>347078.76298409095</v>
      </c>
      <c r="H628" s="5">
        <f t="shared" si="10"/>
        <v>0</v>
      </c>
      <c r="I628" t="s">
        <v>91</v>
      </c>
      <c r="J628" t="s">
        <v>91</v>
      </c>
      <c r="K628" s="5">
        <f>20 / 86400</f>
        <v>2.3148148148148149E-4</v>
      </c>
      <c r="L628" s="5">
        <f>34 / 86400</f>
        <v>3.9351851851851852E-4</v>
      </c>
    </row>
    <row r="629" spans="1:12" x14ac:dyDescent="0.25">
      <c r="A629" s="3">
        <v>45696.906631944439</v>
      </c>
      <c r="B629" t="s">
        <v>149</v>
      </c>
      <c r="C629" s="3">
        <v>45696.907094907408</v>
      </c>
      <c r="D629" t="s">
        <v>250</v>
      </c>
      <c r="E629" s="4">
        <v>3.4583869159221646E-2</v>
      </c>
      <c r="F629" s="4">
        <v>347078.7663711771</v>
      </c>
      <c r="G629" s="4">
        <v>347078.80095504626</v>
      </c>
      <c r="H629" s="5">
        <f t="shared" si="10"/>
        <v>0</v>
      </c>
      <c r="I629" t="s">
        <v>136</v>
      </c>
      <c r="J629" t="s">
        <v>188</v>
      </c>
      <c r="K629" s="5">
        <f>40 / 86400</f>
        <v>4.6296296296296298E-4</v>
      </c>
      <c r="L629" s="5">
        <f>80 / 86400</f>
        <v>9.2592592592592596E-4</v>
      </c>
    </row>
    <row r="630" spans="1:12" x14ac:dyDescent="0.25">
      <c r="A630" s="3">
        <v>45696.908020833333</v>
      </c>
      <c r="B630" t="s">
        <v>250</v>
      </c>
      <c r="C630" s="3">
        <v>45696.912719907406</v>
      </c>
      <c r="D630" t="s">
        <v>233</v>
      </c>
      <c r="E630" s="4">
        <v>2.5376658413410187</v>
      </c>
      <c r="F630" s="4">
        <v>347078.81799292745</v>
      </c>
      <c r="G630" s="4">
        <v>347081.35565876879</v>
      </c>
      <c r="H630" s="5">
        <f t="shared" si="10"/>
        <v>0</v>
      </c>
      <c r="I630" t="s">
        <v>199</v>
      </c>
      <c r="J630" t="s">
        <v>138</v>
      </c>
      <c r="K630" s="5">
        <f>406 / 86400</f>
        <v>4.6990740740740743E-3</v>
      </c>
      <c r="L630" s="5">
        <f>20 / 86400</f>
        <v>2.3148148148148149E-4</v>
      </c>
    </row>
    <row r="631" spans="1:12" x14ac:dyDescent="0.25">
      <c r="A631" s="3">
        <v>45696.912951388891</v>
      </c>
      <c r="B631" t="s">
        <v>233</v>
      </c>
      <c r="C631" s="3">
        <v>45696.913414351853</v>
      </c>
      <c r="D631" t="s">
        <v>36</v>
      </c>
      <c r="E631" s="4">
        <v>0.39716307586431504</v>
      </c>
      <c r="F631" s="4">
        <v>347081.36086363334</v>
      </c>
      <c r="G631" s="4">
        <v>347081.7580267092</v>
      </c>
      <c r="H631" s="5">
        <f t="shared" si="10"/>
        <v>0</v>
      </c>
      <c r="I631" t="s">
        <v>199</v>
      </c>
      <c r="J631" t="s">
        <v>215</v>
      </c>
      <c r="K631" s="5">
        <f>40 / 86400</f>
        <v>4.6296296296296298E-4</v>
      </c>
      <c r="L631" s="5">
        <f>80 / 86400</f>
        <v>9.2592592592592596E-4</v>
      </c>
    </row>
    <row r="632" spans="1:12" x14ac:dyDescent="0.25">
      <c r="A632" s="3">
        <v>45696.914340277777</v>
      </c>
      <c r="B632" t="s">
        <v>238</v>
      </c>
      <c r="C632" s="3">
        <v>45696.915266203709</v>
      </c>
      <c r="D632" t="s">
        <v>238</v>
      </c>
      <c r="E632" s="4">
        <v>0.74942206907272335</v>
      </c>
      <c r="F632" s="4">
        <v>347081.8936055142</v>
      </c>
      <c r="G632" s="4">
        <v>347082.64302758325</v>
      </c>
      <c r="H632" s="5">
        <f t="shared" si="10"/>
        <v>0</v>
      </c>
      <c r="I632" t="s">
        <v>241</v>
      </c>
      <c r="J632" t="s">
        <v>218</v>
      </c>
      <c r="K632" s="5">
        <f>80 / 86400</f>
        <v>9.2592592592592596E-4</v>
      </c>
      <c r="L632" s="5">
        <f>20 / 86400</f>
        <v>2.3148148148148149E-4</v>
      </c>
    </row>
    <row r="633" spans="1:12" x14ac:dyDescent="0.25">
      <c r="A633" s="3">
        <v>45696.915497685186</v>
      </c>
      <c r="B633" t="s">
        <v>238</v>
      </c>
      <c r="C633" s="3">
        <v>45696.916655092587</v>
      </c>
      <c r="D633" t="s">
        <v>238</v>
      </c>
      <c r="E633" s="4">
        <v>1.1436907372474669</v>
      </c>
      <c r="F633" s="4">
        <v>347082.68133380124</v>
      </c>
      <c r="G633" s="4">
        <v>347083.8250245385</v>
      </c>
      <c r="H633" s="5">
        <f t="shared" si="10"/>
        <v>0</v>
      </c>
      <c r="I633" t="s">
        <v>258</v>
      </c>
      <c r="J633" t="s">
        <v>229</v>
      </c>
      <c r="K633" s="5">
        <f>100 / 86400</f>
        <v>1.1574074074074073E-3</v>
      </c>
      <c r="L633" s="5">
        <f>23 / 86400</f>
        <v>2.6620370370370372E-4</v>
      </c>
    </row>
    <row r="634" spans="1:12" x14ac:dyDescent="0.25">
      <c r="A634" s="3">
        <v>45696.916921296295</v>
      </c>
      <c r="B634" t="s">
        <v>238</v>
      </c>
      <c r="C634" s="3">
        <v>45696.920775462961</v>
      </c>
      <c r="D634" t="s">
        <v>243</v>
      </c>
      <c r="E634" s="4">
        <v>3.2424797287583349</v>
      </c>
      <c r="F634" s="4">
        <v>347083.8329483252</v>
      </c>
      <c r="G634" s="4">
        <v>347087.07542805397</v>
      </c>
      <c r="H634" s="5">
        <f t="shared" si="10"/>
        <v>0</v>
      </c>
      <c r="I634" t="s">
        <v>67</v>
      </c>
      <c r="J634" t="s">
        <v>157</v>
      </c>
      <c r="K634" s="5">
        <f>333 / 86400</f>
        <v>3.8541666666666668E-3</v>
      </c>
      <c r="L634" s="5">
        <f>7 / 86400</f>
        <v>8.1018518518518516E-5</v>
      </c>
    </row>
    <row r="635" spans="1:12" x14ac:dyDescent="0.25">
      <c r="A635" s="3">
        <v>45696.920856481476</v>
      </c>
      <c r="B635" t="s">
        <v>243</v>
      </c>
      <c r="C635" s="3">
        <v>45696.921087962968</v>
      </c>
      <c r="D635" t="s">
        <v>243</v>
      </c>
      <c r="E635" s="4">
        <v>9.8294142246246344E-2</v>
      </c>
      <c r="F635" s="4">
        <v>347087.09954790084</v>
      </c>
      <c r="G635" s="4">
        <v>347087.19784204313</v>
      </c>
      <c r="H635" s="5">
        <f t="shared" si="10"/>
        <v>0</v>
      </c>
      <c r="I635" t="s">
        <v>205</v>
      </c>
      <c r="J635" t="s">
        <v>50</v>
      </c>
      <c r="K635" s="5">
        <f>20 / 86400</f>
        <v>2.3148148148148149E-4</v>
      </c>
      <c r="L635" s="5">
        <f>120 / 86400</f>
        <v>1.3888888888888889E-3</v>
      </c>
    </row>
    <row r="636" spans="1:12" x14ac:dyDescent="0.25">
      <c r="A636" s="3">
        <v>45696.922476851847</v>
      </c>
      <c r="B636" t="s">
        <v>243</v>
      </c>
      <c r="C636" s="3">
        <v>45696.922708333332</v>
      </c>
      <c r="D636" t="s">
        <v>243</v>
      </c>
      <c r="E636" s="4">
        <v>1.1522389650344849E-3</v>
      </c>
      <c r="F636" s="4">
        <v>347087.20960643375</v>
      </c>
      <c r="G636" s="4">
        <v>347087.21075867274</v>
      </c>
      <c r="H636" s="5">
        <f t="shared" si="10"/>
        <v>0</v>
      </c>
      <c r="I636" t="s">
        <v>91</v>
      </c>
      <c r="J636" t="s">
        <v>133</v>
      </c>
      <c r="K636" s="5">
        <f>20 / 86400</f>
        <v>2.3148148148148149E-4</v>
      </c>
      <c r="L636" s="5">
        <f>20 / 86400</f>
        <v>2.3148148148148149E-4</v>
      </c>
    </row>
    <row r="637" spans="1:12" x14ac:dyDescent="0.25">
      <c r="A637" s="3">
        <v>45696.922939814816</v>
      </c>
      <c r="B637" t="s">
        <v>243</v>
      </c>
      <c r="C637" s="3">
        <v>45696.923171296294</v>
      </c>
      <c r="D637" t="s">
        <v>446</v>
      </c>
      <c r="E637" s="4">
        <v>7.4515610933303831E-3</v>
      </c>
      <c r="F637" s="4">
        <v>347087.21965681942</v>
      </c>
      <c r="G637" s="4">
        <v>347087.22710838052</v>
      </c>
      <c r="H637" s="5">
        <f t="shared" si="10"/>
        <v>0</v>
      </c>
      <c r="I637" t="s">
        <v>91</v>
      </c>
      <c r="J637" t="s">
        <v>91</v>
      </c>
      <c r="K637" s="5">
        <f>20 / 86400</f>
        <v>2.3148148148148149E-4</v>
      </c>
      <c r="L637" s="5">
        <f>40 / 86400</f>
        <v>4.6296296296296298E-4</v>
      </c>
    </row>
    <row r="638" spans="1:12" x14ac:dyDescent="0.25">
      <c r="A638" s="3">
        <v>45696.923634259263</v>
      </c>
      <c r="B638" t="s">
        <v>243</v>
      </c>
      <c r="C638" s="3">
        <v>45696.92386574074</v>
      </c>
      <c r="D638" t="s">
        <v>243</v>
      </c>
      <c r="E638" s="4">
        <v>9.2201870083808892E-3</v>
      </c>
      <c r="F638" s="4">
        <v>347087.23386522086</v>
      </c>
      <c r="G638" s="4">
        <v>347087.24308540783</v>
      </c>
      <c r="H638" s="5">
        <f t="shared" si="10"/>
        <v>0</v>
      </c>
      <c r="I638" t="s">
        <v>91</v>
      </c>
      <c r="J638" t="s">
        <v>132</v>
      </c>
      <c r="K638" s="5">
        <f>20 / 86400</f>
        <v>2.3148148148148149E-4</v>
      </c>
      <c r="L638" s="5">
        <f>9 / 86400</f>
        <v>1.0416666666666667E-4</v>
      </c>
    </row>
    <row r="639" spans="1:12" x14ac:dyDescent="0.25">
      <c r="A639" s="3">
        <v>45696.92396990741</v>
      </c>
      <c r="B639" t="s">
        <v>243</v>
      </c>
      <c r="C639" s="3">
        <v>45696.925937499997</v>
      </c>
      <c r="D639" t="s">
        <v>242</v>
      </c>
      <c r="E639" s="4">
        <v>1.2852964141964913</v>
      </c>
      <c r="F639" s="4">
        <v>347087.25108497724</v>
      </c>
      <c r="G639" s="4">
        <v>347088.5363813914</v>
      </c>
      <c r="H639" s="5">
        <f t="shared" si="10"/>
        <v>0</v>
      </c>
      <c r="I639" t="s">
        <v>23</v>
      </c>
      <c r="J639" t="s">
        <v>165</v>
      </c>
      <c r="K639" s="5">
        <f>170 / 86400</f>
        <v>1.9675925925925924E-3</v>
      </c>
      <c r="L639" s="5">
        <f>20 / 86400</f>
        <v>2.3148148148148149E-4</v>
      </c>
    </row>
    <row r="640" spans="1:12" x14ac:dyDescent="0.25">
      <c r="A640" s="3">
        <v>45696.926168981481</v>
      </c>
      <c r="B640" t="s">
        <v>238</v>
      </c>
      <c r="C640" s="3">
        <v>45696.928020833337</v>
      </c>
      <c r="D640" t="s">
        <v>242</v>
      </c>
      <c r="E640" s="4">
        <v>1.3465918526649474</v>
      </c>
      <c r="F640" s="4">
        <v>347088.60286529432</v>
      </c>
      <c r="G640" s="4">
        <v>347089.94945714698</v>
      </c>
      <c r="H640" s="5">
        <f t="shared" si="10"/>
        <v>0</v>
      </c>
      <c r="I640" t="s">
        <v>169</v>
      </c>
      <c r="J640" t="s">
        <v>184</v>
      </c>
      <c r="K640" s="5">
        <f>160 / 86400</f>
        <v>1.8518518518518519E-3</v>
      </c>
      <c r="L640" s="5">
        <f>20 / 86400</f>
        <v>2.3148148148148149E-4</v>
      </c>
    </row>
    <row r="641" spans="1:12" x14ac:dyDescent="0.25">
      <c r="A641" s="3">
        <v>45696.928252314814</v>
      </c>
      <c r="B641" t="s">
        <v>242</v>
      </c>
      <c r="C641" s="3">
        <v>45696.930798611109</v>
      </c>
      <c r="D641" t="s">
        <v>167</v>
      </c>
      <c r="E641" s="4">
        <v>2.4199380965232851</v>
      </c>
      <c r="F641" s="4">
        <v>347089.97113175009</v>
      </c>
      <c r="G641" s="4">
        <v>347092.39106984664</v>
      </c>
      <c r="H641" s="5">
        <f t="shared" si="10"/>
        <v>0</v>
      </c>
      <c r="I641" t="s">
        <v>37</v>
      </c>
      <c r="J641" t="s">
        <v>135</v>
      </c>
      <c r="K641" s="5">
        <f>220 / 86400</f>
        <v>2.5462962962962965E-3</v>
      </c>
      <c r="L641" s="5">
        <f>40 / 86400</f>
        <v>4.6296296296296298E-4</v>
      </c>
    </row>
    <row r="642" spans="1:12" x14ac:dyDescent="0.25">
      <c r="A642" s="3">
        <v>45696.931261574078</v>
      </c>
      <c r="B642" t="s">
        <v>167</v>
      </c>
      <c r="C642" s="3">
        <v>45696.931724537033</v>
      </c>
      <c r="D642" t="s">
        <v>233</v>
      </c>
      <c r="E642" s="4">
        <v>3.9978613376617435E-2</v>
      </c>
      <c r="F642" s="4">
        <v>347092.40533248603</v>
      </c>
      <c r="G642" s="4">
        <v>347092.44531109941</v>
      </c>
      <c r="H642" s="5">
        <f t="shared" si="10"/>
        <v>0</v>
      </c>
      <c r="I642" t="s">
        <v>90</v>
      </c>
      <c r="J642" t="s">
        <v>181</v>
      </c>
      <c r="K642" s="5">
        <f>40 / 86400</f>
        <v>4.6296296296296298E-4</v>
      </c>
      <c r="L642" s="5">
        <f>60 / 86400</f>
        <v>6.9444444444444447E-4</v>
      </c>
    </row>
    <row r="643" spans="1:12" x14ac:dyDescent="0.25">
      <c r="A643" s="3">
        <v>45696.93241898148</v>
      </c>
      <c r="B643" t="s">
        <v>233</v>
      </c>
      <c r="C643" s="3">
        <v>45696.932650462964</v>
      </c>
      <c r="D643" t="s">
        <v>233</v>
      </c>
      <c r="E643" s="4">
        <v>2.721392333507538E-3</v>
      </c>
      <c r="F643" s="4">
        <v>347092.45057293965</v>
      </c>
      <c r="G643" s="4">
        <v>347092.45329433196</v>
      </c>
      <c r="H643" s="5">
        <f t="shared" si="10"/>
        <v>0</v>
      </c>
      <c r="I643" t="s">
        <v>91</v>
      </c>
      <c r="J643" t="s">
        <v>133</v>
      </c>
      <c r="K643" s="5">
        <f>20 / 86400</f>
        <v>2.3148148148148149E-4</v>
      </c>
      <c r="L643" s="5">
        <f>40 / 86400</f>
        <v>4.6296296296296298E-4</v>
      </c>
    </row>
    <row r="644" spans="1:12" x14ac:dyDescent="0.25">
      <c r="A644" s="3">
        <v>45696.933113425926</v>
      </c>
      <c r="B644" t="s">
        <v>233</v>
      </c>
      <c r="C644" s="3">
        <v>45696.933344907404</v>
      </c>
      <c r="D644" t="s">
        <v>233</v>
      </c>
      <c r="E644" s="4">
        <v>1.0500462949275971E-2</v>
      </c>
      <c r="F644" s="4">
        <v>347092.4568188173</v>
      </c>
      <c r="G644" s="4">
        <v>347092.46731928026</v>
      </c>
      <c r="H644" s="5">
        <f t="shared" si="10"/>
        <v>0</v>
      </c>
      <c r="I644" t="s">
        <v>91</v>
      </c>
      <c r="J644" t="s">
        <v>132</v>
      </c>
      <c r="K644" s="5">
        <f>20 / 86400</f>
        <v>2.3148148148148149E-4</v>
      </c>
      <c r="L644" s="5">
        <f>19 / 86400</f>
        <v>2.199074074074074E-4</v>
      </c>
    </row>
    <row r="645" spans="1:12" x14ac:dyDescent="0.25">
      <c r="A645" s="3">
        <v>45696.933564814812</v>
      </c>
      <c r="B645" t="s">
        <v>233</v>
      </c>
      <c r="C645" s="3">
        <v>45696.934490740736</v>
      </c>
      <c r="D645" t="s">
        <v>125</v>
      </c>
      <c r="E645" s="4">
        <v>0.44039838033914563</v>
      </c>
      <c r="F645" s="4">
        <v>347092.47308433603</v>
      </c>
      <c r="G645" s="4">
        <v>347092.91348271637</v>
      </c>
      <c r="H645" s="5">
        <f t="shared" si="10"/>
        <v>0</v>
      </c>
      <c r="I645" t="s">
        <v>163</v>
      </c>
      <c r="J645" t="s">
        <v>175</v>
      </c>
      <c r="K645" s="5">
        <f>80 / 86400</f>
        <v>9.2592592592592596E-4</v>
      </c>
      <c r="L645" s="5">
        <f>20 / 86400</f>
        <v>2.3148148148148149E-4</v>
      </c>
    </row>
    <row r="646" spans="1:12" x14ac:dyDescent="0.25">
      <c r="A646" s="3">
        <v>45696.93472222222</v>
      </c>
      <c r="B646" t="s">
        <v>125</v>
      </c>
      <c r="C646" s="3">
        <v>45696.937037037038</v>
      </c>
      <c r="D646" t="s">
        <v>250</v>
      </c>
      <c r="E646" s="4">
        <v>2.0557211773395538</v>
      </c>
      <c r="F646" s="4">
        <v>347092.914644668</v>
      </c>
      <c r="G646" s="4">
        <v>347094.97036584531</v>
      </c>
      <c r="H646" s="5">
        <f t="shared" si="10"/>
        <v>0</v>
      </c>
      <c r="I646" t="s">
        <v>178</v>
      </c>
      <c r="J646" t="s">
        <v>168</v>
      </c>
      <c r="K646" s="5">
        <f>200 / 86400</f>
        <v>2.3148148148148147E-3</v>
      </c>
      <c r="L646" s="5">
        <f>30 / 86400</f>
        <v>3.4722222222222224E-4</v>
      </c>
    </row>
    <row r="647" spans="1:12" x14ac:dyDescent="0.25">
      <c r="A647" s="3">
        <v>45696.937384259261</v>
      </c>
      <c r="B647" t="s">
        <v>250</v>
      </c>
      <c r="C647" s="3">
        <v>45696.939236111109</v>
      </c>
      <c r="D647" t="s">
        <v>149</v>
      </c>
      <c r="E647" s="4">
        <v>0.82558642429113394</v>
      </c>
      <c r="F647" s="4">
        <v>347094.97653049527</v>
      </c>
      <c r="G647" s="4">
        <v>347095.8021169196</v>
      </c>
      <c r="H647" s="5">
        <f t="shared" si="10"/>
        <v>0</v>
      </c>
      <c r="I647" t="s">
        <v>183</v>
      </c>
      <c r="J647" t="s">
        <v>94</v>
      </c>
      <c r="K647" s="5">
        <f>160 / 86400</f>
        <v>1.8518518518518519E-3</v>
      </c>
      <c r="L647" s="5">
        <f>20 / 86400</f>
        <v>2.3148148148148149E-4</v>
      </c>
    </row>
    <row r="648" spans="1:12" x14ac:dyDescent="0.25">
      <c r="A648" s="3">
        <v>45696.939467592594</v>
      </c>
      <c r="B648" t="s">
        <v>149</v>
      </c>
      <c r="C648" s="3">
        <v>45696.94085648148</v>
      </c>
      <c r="D648" t="s">
        <v>149</v>
      </c>
      <c r="E648" s="4">
        <v>0.94117376214265824</v>
      </c>
      <c r="F648" s="4">
        <v>347095.80546472932</v>
      </c>
      <c r="G648" s="4">
        <v>347096.74663849146</v>
      </c>
      <c r="H648" s="5">
        <f t="shared" si="10"/>
        <v>0</v>
      </c>
      <c r="I648" t="s">
        <v>263</v>
      </c>
      <c r="J648" t="s">
        <v>155</v>
      </c>
      <c r="K648" s="5">
        <f>120 / 86400</f>
        <v>1.3888888888888889E-3</v>
      </c>
      <c r="L648" s="5">
        <f>12 / 86400</f>
        <v>1.3888888888888889E-4</v>
      </c>
    </row>
    <row r="649" spans="1:12" x14ac:dyDescent="0.25">
      <c r="A649" s="3">
        <v>45696.940995370373</v>
      </c>
      <c r="B649" t="s">
        <v>149</v>
      </c>
      <c r="C649" s="3">
        <v>45696.942615740743</v>
      </c>
      <c r="D649" t="s">
        <v>158</v>
      </c>
      <c r="E649" s="4">
        <v>1.8470845512151719</v>
      </c>
      <c r="F649" s="4">
        <v>347096.7503398254</v>
      </c>
      <c r="G649" s="4">
        <v>347098.59742437658</v>
      </c>
      <c r="H649" s="5">
        <f t="shared" si="10"/>
        <v>0</v>
      </c>
      <c r="I649" t="s">
        <v>116</v>
      </c>
      <c r="J649" t="s">
        <v>179</v>
      </c>
      <c r="K649" s="5">
        <f>140 / 86400</f>
        <v>1.6203703703703703E-3</v>
      </c>
      <c r="L649" s="5">
        <f>20 / 86400</f>
        <v>2.3148148148148149E-4</v>
      </c>
    </row>
    <row r="650" spans="1:12" x14ac:dyDescent="0.25">
      <c r="A650" s="3">
        <v>45696.942847222221</v>
      </c>
      <c r="B650" t="s">
        <v>158</v>
      </c>
      <c r="C650" s="3">
        <v>45696.94331018519</v>
      </c>
      <c r="D650" t="s">
        <v>158</v>
      </c>
      <c r="E650" s="4">
        <v>0.47105776649713516</v>
      </c>
      <c r="F650" s="4">
        <v>347098.67657076218</v>
      </c>
      <c r="G650" s="4">
        <v>347099.14762852865</v>
      </c>
      <c r="H650" s="5">
        <f t="shared" si="10"/>
        <v>0</v>
      </c>
      <c r="I650" t="s">
        <v>249</v>
      </c>
      <c r="J650" t="s">
        <v>230</v>
      </c>
      <c r="K650" s="5">
        <f>40 / 86400</f>
        <v>4.6296296296296298E-4</v>
      </c>
      <c r="L650" s="5">
        <f>20 / 86400</f>
        <v>2.3148148148148149E-4</v>
      </c>
    </row>
    <row r="651" spans="1:12" x14ac:dyDescent="0.25">
      <c r="A651" s="3">
        <v>45696.943541666667</v>
      </c>
      <c r="B651" t="s">
        <v>158</v>
      </c>
      <c r="C651" s="3">
        <v>45696.943773148145</v>
      </c>
      <c r="D651" t="s">
        <v>158</v>
      </c>
      <c r="E651" s="4">
        <v>0.1129087684750557</v>
      </c>
      <c r="F651" s="4">
        <v>347099.33462378127</v>
      </c>
      <c r="G651" s="4">
        <v>347099.44753254973</v>
      </c>
      <c r="H651" s="5">
        <f t="shared" si="10"/>
        <v>0</v>
      </c>
      <c r="I651" t="s">
        <v>389</v>
      </c>
      <c r="J651" t="s">
        <v>175</v>
      </c>
      <c r="K651" s="5">
        <f>20 / 86400</f>
        <v>2.3148148148148149E-4</v>
      </c>
      <c r="L651" s="5">
        <f>20 / 86400</f>
        <v>2.3148148148148149E-4</v>
      </c>
    </row>
    <row r="652" spans="1:12" x14ac:dyDescent="0.25">
      <c r="A652" s="3">
        <v>45696.944004629629</v>
      </c>
      <c r="B652" t="s">
        <v>158</v>
      </c>
      <c r="C652" s="3">
        <v>45696.945625</v>
      </c>
      <c r="D652" t="s">
        <v>253</v>
      </c>
      <c r="E652" s="4">
        <v>0.84017047435045245</v>
      </c>
      <c r="F652" s="4">
        <v>347099.49605288968</v>
      </c>
      <c r="G652" s="4">
        <v>347100.33622336405</v>
      </c>
      <c r="H652" s="5">
        <f t="shared" si="10"/>
        <v>0</v>
      </c>
      <c r="I652" t="s">
        <v>258</v>
      </c>
      <c r="J652" t="s">
        <v>221</v>
      </c>
      <c r="K652" s="5">
        <f>140 / 86400</f>
        <v>1.6203703703703703E-3</v>
      </c>
      <c r="L652" s="5">
        <f>100 / 86400</f>
        <v>1.1574074074074073E-3</v>
      </c>
    </row>
    <row r="653" spans="1:12" x14ac:dyDescent="0.25">
      <c r="A653" s="3">
        <v>45696.946782407409</v>
      </c>
      <c r="B653" t="s">
        <v>253</v>
      </c>
      <c r="C653" s="3">
        <v>45696.947013888886</v>
      </c>
      <c r="D653" t="s">
        <v>253</v>
      </c>
      <c r="E653" s="4">
        <v>1.8644909024238588E-2</v>
      </c>
      <c r="F653" s="4">
        <v>347100.34970272321</v>
      </c>
      <c r="G653" s="4">
        <v>347100.36834763223</v>
      </c>
      <c r="H653" s="5">
        <f t="shared" si="10"/>
        <v>0</v>
      </c>
      <c r="I653" t="s">
        <v>136</v>
      </c>
      <c r="J653" t="s">
        <v>188</v>
      </c>
      <c r="K653" s="5">
        <f>20 / 86400</f>
        <v>2.3148148148148149E-4</v>
      </c>
      <c r="L653" s="5">
        <f>280 / 86400</f>
        <v>3.2407407407407406E-3</v>
      </c>
    </row>
    <row r="654" spans="1:12" x14ac:dyDescent="0.25">
      <c r="A654" s="3">
        <v>45696.950254629628</v>
      </c>
      <c r="B654" t="s">
        <v>158</v>
      </c>
      <c r="C654" s="3">
        <v>45696.950486111113</v>
      </c>
      <c r="D654" t="s">
        <v>158</v>
      </c>
      <c r="E654" s="4">
        <v>3.2669044733047484E-3</v>
      </c>
      <c r="F654" s="4">
        <v>347100.41608703026</v>
      </c>
      <c r="G654" s="4">
        <v>347100.4193539347</v>
      </c>
      <c r="H654" s="5">
        <f t="shared" si="10"/>
        <v>0</v>
      </c>
      <c r="I654" t="s">
        <v>136</v>
      </c>
      <c r="J654" t="s">
        <v>91</v>
      </c>
      <c r="K654" s="5">
        <f>20 / 86400</f>
        <v>2.3148148148148149E-4</v>
      </c>
      <c r="L654" s="5">
        <f>40 / 86400</f>
        <v>4.6296296296296298E-4</v>
      </c>
    </row>
    <row r="655" spans="1:12" x14ac:dyDescent="0.25">
      <c r="A655" s="3">
        <v>45696.950949074075</v>
      </c>
      <c r="B655" t="s">
        <v>158</v>
      </c>
      <c r="C655" s="3">
        <v>45696.9534837963</v>
      </c>
      <c r="D655" t="s">
        <v>228</v>
      </c>
      <c r="E655" s="4">
        <v>1.7636929250955582</v>
      </c>
      <c r="F655" s="4">
        <v>347100.42511217459</v>
      </c>
      <c r="G655" s="4">
        <v>347102.18880509969</v>
      </c>
      <c r="H655" s="5">
        <f t="shared" si="10"/>
        <v>0</v>
      </c>
      <c r="I655" t="s">
        <v>183</v>
      </c>
      <c r="J655" t="s">
        <v>159</v>
      </c>
      <c r="K655" s="5">
        <f>219 / 86400</f>
        <v>2.5347222222222221E-3</v>
      </c>
      <c r="L655" s="5">
        <f>64 / 86400</f>
        <v>7.407407407407407E-4</v>
      </c>
    </row>
    <row r="656" spans="1:12" x14ac:dyDescent="0.25">
      <c r="A656" s="3">
        <v>45696.954224537039</v>
      </c>
      <c r="B656" t="s">
        <v>228</v>
      </c>
      <c r="C656" s="3">
        <v>45696.95447916667</v>
      </c>
      <c r="D656" t="s">
        <v>228</v>
      </c>
      <c r="E656" s="4">
        <v>9.3721944093704216E-3</v>
      </c>
      <c r="F656" s="4">
        <v>347102.19896097283</v>
      </c>
      <c r="G656" s="4">
        <v>347102.20833316725</v>
      </c>
      <c r="H656" s="5">
        <f t="shared" si="10"/>
        <v>0</v>
      </c>
      <c r="I656" t="s">
        <v>146</v>
      </c>
      <c r="J656" t="s">
        <v>132</v>
      </c>
      <c r="K656" s="5">
        <f>22 / 86400</f>
        <v>2.5462962962962961E-4</v>
      </c>
      <c r="L656" s="5">
        <f>15 / 86400</f>
        <v>1.7361111111111112E-4</v>
      </c>
    </row>
    <row r="657" spans="1:12" x14ac:dyDescent="0.25">
      <c r="A657" s="3">
        <v>45696.954652777778</v>
      </c>
      <c r="B657" t="s">
        <v>228</v>
      </c>
      <c r="C657" s="3">
        <v>45696.956504629634</v>
      </c>
      <c r="D657" t="s">
        <v>228</v>
      </c>
      <c r="E657" s="4">
        <v>1.4263889545202255</v>
      </c>
      <c r="F657" s="4">
        <v>347102.21549724805</v>
      </c>
      <c r="G657" s="4">
        <v>347103.64188620256</v>
      </c>
      <c r="H657" s="5">
        <f t="shared" si="10"/>
        <v>0</v>
      </c>
      <c r="I657" t="s">
        <v>23</v>
      </c>
      <c r="J657" t="s">
        <v>150</v>
      </c>
      <c r="K657" s="5">
        <f>160 / 86400</f>
        <v>1.8518518518518519E-3</v>
      </c>
      <c r="L657" s="5">
        <f>20 / 86400</f>
        <v>2.3148148148148149E-4</v>
      </c>
    </row>
    <row r="658" spans="1:12" x14ac:dyDescent="0.25">
      <c r="A658" s="3">
        <v>45696.956736111111</v>
      </c>
      <c r="B658" t="s">
        <v>320</v>
      </c>
      <c r="C658" s="3">
        <v>45696.956967592589</v>
      </c>
      <c r="D658" t="s">
        <v>320</v>
      </c>
      <c r="E658" s="4">
        <v>6.5017904102802282E-2</v>
      </c>
      <c r="F658" s="4">
        <v>347103.75396811386</v>
      </c>
      <c r="G658" s="4">
        <v>347103.81898601796</v>
      </c>
      <c r="H658" s="5">
        <f t="shared" si="10"/>
        <v>0</v>
      </c>
      <c r="I658" t="s">
        <v>163</v>
      </c>
      <c r="J658" t="s">
        <v>59</v>
      </c>
      <c r="K658" s="5">
        <f>20 / 86400</f>
        <v>2.3148148148148149E-4</v>
      </c>
      <c r="L658" s="5">
        <f>20 / 86400</f>
        <v>2.3148148148148149E-4</v>
      </c>
    </row>
    <row r="659" spans="1:12" x14ac:dyDescent="0.25">
      <c r="A659" s="3">
        <v>45696.957199074073</v>
      </c>
      <c r="B659" t="s">
        <v>447</v>
      </c>
      <c r="C659" s="3">
        <v>45696.959050925929</v>
      </c>
      <c r="D659" t="s">
        <v>448</v>
      </c>
      <c r="E659" s="4">
        <v>0.98486766499280931</v>
      </c>
      <c r="F659" s="4">
        <v>347103.84723320376</v>
      </c>
      <c r="G659" s="4">
        <v>347104.83210086875</v>
      </c>
      <c r="H659" s="5">
        <f t="shared" si="10"/>
        <v>0</v>
      </c>
      <c r="I659" t="s">
        <v>230</v>
      </c>
      <c r="J659" t="s">
        <v>221</v>
      </c>
      <c r="K659" s="5">
        <f>160 / 86400</f>
        <v>1.8518518518518519E-3</v>
      </c>
      <c r="L659" s="5">
        <f>12 / 86400</f>
        <v>1.3888888888888889E-4</v>
      </c>
    </row>
    <row r="660" spans="1:12" x14ac:dyDescent="0.25">
      <c r="A660" s="3">
        <v>45696.959189814814</v>
      </c>
      <c r="B660" t="s">
        <v>320</v>
      </c>
      <c r="C660" s="3">
        <v>45696.960509259261</v>
      </c>
      <c r="D660" t="s">
        <v>262</v>
      </c>
      <c r="E660" s="4">
        <v>0.54493905979394908</v>
      </c>
      <c r="F660" s="4">
        <v>347104.86650494795</v>
      </c>
      <c r="G660" s="4">
        <v>347105.41144400777</v>
      </c>
      <c r="H660" s="5">
        <f t="shared" si="10"/>
        <v>0</v>
      </c>
      <c r="I660" t="s">
        <v>157</v>
      </c>
      <c r="J660" t="s">
        <v>32</v>
      </c>
      <c r="K660" s="5">
        <f>114 / 86400</f>
        <v>1.3194444444444445E-3</v>
      </c>
      <c r="L660" s="5">
        <f>35 / 86400</f>
        <v>4.0509259259259258E-4</v>
      </c>
    </row>
    <row r="661" spans="1:12" x14ac:dyDescent="0.25">
      <c r="A661" s="3">
        <v>45696.960914351846</v>
      </c>
      <c r="B661" t="s">
        <v>262</v>
      </c>
      <c r="C661" s="3">
        <v>45696.961145833338</v>
      </c>
      <c r="D661" t="s">
        <v>262</v>
      </c>
      <c r="E661" s="4">
        <v>5.0360257625579833E-3</v>
      </c>
      <c r="F661" s="4">
        <v>347105.41992104409</v>
      </c>
      <c r="G661" s="4">
        <v>347105.42495706986</v>
      </c>
      <c r="H661" s="5">
        <f t="shared" si="10"/>
        <v>0</v>
      </c>
      <c r="I661" t="s">
        <v>136</v>
      </c>
      <c r="J661" t="s">
        <v>91</v>
      </c>
      <c r="K661" s="5">
        <f>20 / 86400</f>
        <v>2.3148148148148149E-4</v>
      </c>
      <c r="L661" s="5">
        <f>160 / 86400</f>
        <v>1.8518518518518519E-3</v>
      </c>
    </row>
    <row r="662" spans="1:12" x14ac:dyDescent="0.25">
      <c r="A662" s="3">
        <v>45696.962997685187</v>
      </c>
      <c r="B662" t="s">
        <v>261</v>
      </c>
      <c r="C662" s="3">
        <v>45696.963692129633</v>
      </c>
      <c r="D662" t="s">
        <v>261</v>
      </c>
      <c r="E662" s="4">
        <v>0.34534743416309355</v>
      </c>
      <c r="F662" s="4">
        <v>347105.4455281783</v>
      </c>
      <c r="G662" s="4">
        <v>347105.79087561241</v>
      </c>
      <c r="H662" s="5">
        <f t="shared" si="10"/>
        <v>0</v>
      </c>
      <c r="I662" t="s">
        <v>163</v>
      </c>
      <c r="J662" t="s">
        <v>35</v>
      </c>
      <c r="K662" s="5">
        <f>60 / 86400</f>
        <v>6.9444444444444447E-4</v>
      </c>
      <c r="L662" s="5">
        <f>67 / 86400</f>
        <v>7.7546296296296293E-4</v>
      </c>
    </row>
    <row r="663" spans="1:12" x14ac:dyDescent="0.25">
      <c r="A663" s="3">
        <v>45696.964467592596</v>
      </c>
      <c r="B663" t="s">
        <v>261</v>
      </c>
      <c r="C663" s="3">
        <v>45696.965162037042</v>
      </c>
      <c r="D663" t="s">
        <v>261</v>
      </c>
      <c r="E663" s="4">
        <v>0.48128524172306059</v>
      </c>
      <c r="F663" s="4">
        <v>347105.84637086274</v>
      </c>
      <c r="G663" s="4">
        <v>347106.32765610446</v>
      </c>
      <c r="H663" s="5">
        <f t="shared" si="10"/>
        <v>0</v>
      </c>
      <c r="I663" t="s">
        <v>180</v>
      </c>
      <c r="J663" t="s">
        <v>159</v>
      </c>
      <c r="K663" s="5">
        <f>60 / 86400</f>
        <v>6.9444444444444447E-4</v>
      </c>
      <c r="L663" s="5">
        <f>20 / 86400</f>
        <v>2.3148148148148149E-4</v>
      </c>
    </row>
    <row r="664" spans="1:12" x14ac:dyDescent="0.25">
      <c r="A664" s="3">
        <v>45696.96539351852</v>
      </c>
      <c r="B664" t="s">
        <v>261</v>
      </c>
      <c r="C664" s="3">
        <v>45696.967245370368</v>
      </c>
      <c r="D664" t="s">
        <v>227</v>
      </c>
      <c r="E664" s="4">
        <v>1.3466315494179726</v>
      </c>
      <c r="F664" s="4">
        <v>347106.47219789779</v>
      </c>
      <c r="G664" s="4">
        <v>347107.81882944721</v>
      </c>
      <c r="H664" s="5">
        <f t="shared" si="10"/>
        <v>0</v>
      </c>
      <c r="I664" t="s">
        <v>194</v>
      </c>
      <c r="J664" t="s">
        <v>184</v>
      </c>
      <c r="K664" s="5">
        <f>160 / 86400</f>
        <v>1.8518518518518519E-3</v>
      </c>
      <c r="L664" s="5">
        <f>40 / 86400</f>
        <v>4.6296296296296298E-4</v>
      </c>
    </row>
    <row r="665" spans="1:12" x14ac:dyDescent="0.25">
      <c r="A665" s="3">
        <v>45696.967708333337</v>
      </c>
      <c r="B665" t="s">
        <v>227</v>
      </c>
      <c r="C665" s="3">
        <v>45696.967939814815</v>
      </c>
      <c r="D665" t="s">
        <v>227</v>
      </c>
      <c r="E665" s="4">
        <v>4.1359950900077816E-3</v>
      </c>
      <c r="F665" s="4">
        <v>347107.82593340753</v>
      </c>
      <c r="G665" s="4">
        <v>347107.83006940264</v>
      </c>
      <c r="H665" s="5">
        <f t="shared" si="10"/>
        <v>0</v>
      </c>
      <c r="I665" t="s">
        <v>132</v>
      </c>
      <c r="J665" t="s">
        <v>91</v>
      </c>
      <c r="K665" s="5">
        <f>20 / 86400</f>
        <v>2.3148148148148149E-4</v>
      </c>
      <c r="L665" s="5">
        <f>60 / 86400</f>
        <v>6.9444444444444447E-4</v>
      </c>
    </row>
    <row r="666" spans="1:12" x14ac:dyDescent="0.25">
      <c r="A666" s="3">
        <v>45696.968634259261</v>
      </c>
      <c r="B666" t="s">
        <v>227</v>
      </c>
      <c r="C666" s="3">
        <v>45696.970995370371</v>
      </c>
      <c r="D666" t="s">
        <v>379</v>
      </c>
      <c r="E666" s="4">
        <v>1.3714935126304626</v>
      </c>
      <c r="F666" s="4">
        <v>347107.84178984642</v>
      </c>
      <c r="G666" s="4">
        <v>347109.21328335907</v>
      </c>
      <c r="H666" s="5">
        <f t="shared" si="10"/>
        <v>0</v>
      </c>
      <c r="I666" t="s">
        <v>269</v>
      </c>
      <c r="J666" t="s">
        <v>140</v>
      </c>
      <c r="K666" s="5">
        <f>204 / 86400</f>
        <v>2.3611111111111111E-3</v>
      </c>
      <c r="L666" s="5">
        <f>15 / 86400</f>
        <v>1.7361111111111112E-4</v>
      </c>
    </row>
    <row r="667" spans="1:12" x14ac:dyDescent="0.25">
      <c r="A667" s="3">
        <v>45696.971168981487</v>
      </c>
      <c r="B667" t="s">
        <v>379</v>
      </c>
      <c r="C667" s="3">
        <v>45696.971863425926</v>
      </c>
      <c r="D667" t="s">
        <v>449</v>
      </c>
      <c r="E667" s="4">
        <v>0.54944636237621303</v>
      </c>
      <c r="F667" s="4">
        <v>347109.21988278546</v>
      </c>
      <c r="G667" s="4">
        <v>347109.76932914782</v>
      </c>
      <c r="H667" s="5">
        <f t="shared" si="10"/>
        <v>0</v>
      </c>
      <c r="I667" t="s">
        <v>199</v>
      </c>
      <c r="J667" t="s">
        <v>163</v>
      </c>
      <c r="K667" s="5">
        <f>60 / 86400</f>
        <v>6.9444444444444447E-4</v>
      </c>
      <c r="L667" s="5">
        <f>20 / 86400</f>
        <v>2.3148148148148149E-4</v>
      </c>
    </row>
    <row r="668" spans="1:12" x14ac:dyDescent="0.25">
      <c r="A668" s="3">
        <v>45696.972094907411</v>
      </c>
      <c r="B668" t="s">
        <v>265</v>
      </c>
      <c r="C668" s="3">
        <v>45696.97278935185</v>
      </c>
      <c r="D668" t="s">
        <v>450</v>
      </c>
      <c r="E668" s="4">
        <v>0.36740075284242629</v>
      </c>
      <c r="F668" s="4">
        <v>347109.91198168707</v>
      </c>
      <c r="G668" s="4">
        <v>347110.27938243991</v>
      </c>
      <c r="H668" s="5">
        <f t="shared" si="10"/>
        <v>0</v>
      </c>
      <c r="I668" t="s">
        <v>251</v>
      </c>
      <c r="J668" t="s">
        <v>221</v>
      </c>
      <c r="K668" s="5">
        <f>60 / 86400</f>
        <v>6.9444444444444447E-4</v>
      </c>
      <c r="L668" s="5">
        <f>20 / 86400</f>
        <v>2.3148148148148149E-4</v>
      </c>
    </row>
    <row r="669" spans="1:12" x14ac:dyDescent="0.25">
      <c r="A669" s="3">
        <v>45696.973020833335</v>
      </c>
      <c r="B669" t="s">
        <v>451</v>
      </c>
      <c r="C669" s="3">
        <v>45696.973252314812</v>
      </c>
      <c r="D669" t="s">
        <v>378</v>
      </c>
      <c r="E669" s="4">
        <v>3.1212667822837829E-2</v>
      </c>
      <c r="F669" s="4">
        <v>347110.30643679161</v>
      </c>
      <c r="G669" s="4">
        <v>347110.33764945943</v>
      </c>
      <c r="H669" s="5">
        <f t="shared" si="10"/>
        <v>0</v>
      </c>
      <c r="I669" t="s">
        <v>50</v>
      </c>
      <c r="J669" t="s">
        <v>146</v>
      </c>
      <c r="K669" s="5">
        <f>20 / 86400</f>
        <v>2.3148148148148149E-4</v>
      </c>
      <c r="L669" s="5">
        <f>20 / 86400</f>
        <v>2.3148148148148149E-4</v>
      </c>
    </row>
    <row r="670" spans="1:12" x14ac:dyDescent="0.25">
      <c r="A670" s="3">
        <v>45696.973483796297</v>
      </c>
      <c r="B670" t="s">
        <v>127</v>
      </c>
      <c r="C670" s="3">
        <v>45696.974108796298</v>
      </c>
      <c r="D670" t="s">
        <v>127</v>
      </c>
      <c r="E670" s="4">
        <v>0.34051502054929733</v>
      </c>
      <c r="F670" s="4">
        <v>347110.42340268305</v>
      </c>
      <c r="G670" s="4">
        <v>347110.76391770365</v>
      </c>
      <c r="H670" s="5">
        <f t="shared" si="10"/>
        <v>0</v>
      </c>
      <c r="I670" t="s">
        <v>287</v>
      </c>
      <c r="J670" t="s">
        <v>138</v>
      </c>
      <c r="K670" s="5">
        <f>54 / 86400</f>
        <v>6.2500000000000001E-4</v>
      </c>
      <c r="L670" s="5">
        <f>8 / 86400</f>
        <v>9.2592592592592588E-5</v>
      </c>
    </row>
    <row r="671" spans="1:12" x14ac:dyDescent="0.25">
      <c r="A671" s="3">
        <v>45696.97420138889</v>
      </c>
      <c r="B671" t="s">
        <v>266</v>
      </c>
      <c r="C671" s="3">
        <v>45696.977025462962</v>
      </c>
      <c r="D671" t="s">
        <v>106</v>
      </c>
      <c r="E671" s="4">
        <v>1.7205760204195977</v>
      </c>
      <c r="F671" s="4">
        <v>347110.77697783976</v>
      </c>
      <c r="G671" s="4">
        <v>347112.49755386019</v>
      </c>
      <c r="H671" s="5">
        <f t="shared" si="10"/>
        <v>0</v>
      </c>
      <c r="I671" t="s">
        <v>241</v>
      </c>
      <c r="J671" t="s">
        <v>161</v>
      </c>
      <c r="K671" s="5">
        <f>244 / 86400</f>
        <v>2.8240740740740739E-3</v>
      </c>
      <c r="L671" s="5">
        <f>20 / 86400</f>
        <v>2.3148148148148149E-4</v>
      </c>
    </row>
    <row r="672" spans="1:12" x14ac:dyDescent="0.25">
      <c r="A672" s="3">
        <v>45696.977256944447</v>
      </c>
      <c r="B672" t="s">
        <v>106</v>
      </c>
      <c r="C672" s="3">
        <v>45696.977719907409</v>
      </c>
      <c r="D672" t="s">
        <v>452</v>
      </c>
      <c r="E672" s="4">
        <v>0.21970953196287155</v>
      </c>
      <c r="F672" s="4">
        <v>347112.54183621786</v>
      </c>
      <c r="G672" s="4">
        <v>347112.76154574985</v>
      </c>
      <c r="H672" s="5">
        <f t="shared" si="10"/>
        <v>0</v>
      </c>
      <c r="I672" t="s">
        <v>165</v>
      </c>
      <c r="J672" t="s">
        <v>175</v>
      </c>
      <c r="K672" s="5">
        <f>40 / 86400</f>
        <v>4.6296296296296298E-4</v>
      </c>
      <c r="L672" s="5">
        <f>20 / 86400</f>
        <v>2.3148148148148149E-4</v>
      </c>
    </row>
    <row r="673" spans="1:12" x14ac:dyDescent="0.25">
      <c r="A673" s="3">
        <v>45696.977951388893</v>
      </c>
      <c r="B673" t="s">
        <v>452</v>
      </c>
      <c r="C673" s="3">
        <v>45696.978634259256</v>
      </c>
      <c r="D673" t="s">
        <v>220</v>
      </c>
      <c r="E673" s="4">
        <v>8.3211258888244627E-2</v>
      </c>
      <c r="F673" s="4">
        <v>347112.77683823346</v>
      </c>
      <c r="G673" s="4">
        <v>347112.86004949233</v>
      </c>
      <c r="H673" s="5">
        <f t="shared" si="10"/>
        <v>0</v>
      </c>
      <c r="I673" t="s">
        <v>20</v>
      </c>
      <c r="J673" t="s">
        <v>136</v>
      </c>
      <c r="K673" s="5">
        <f>59 / 86400</f>
        <v>6.8287037037037036E-4</v>
      </c>
      <c r="L673" s="5">
        <f>12 / 86400</f>
        <v>1.3888888888888889E-4</v>
      </c>
    </row>
    <row r="674" spans="1:12" x14ac:dyDescent="0.25">
      <c r="A674" s="3">
        <v>45696.978773148148</v>
      </c>
      <c r="B674" t="s">
        <v>452</v>
      </c>
      <c r="C674" s="3">
        <v>45696.979050925926</v>
      </c>
      <c r="D674" t="s">
        <v>452</v>
      </c>
      <c r="E674" s="4">
        <v>1.9260797739028931E-2</v>
      </c>
      <c r="F674" s="4">
        <v>347112.86873469496</v>
      </c>
      <c r="G674" s="4">
        <v>347112.88799549273</v>
      </c>
      <c r="H674" s="5">
        <f t="shared" si="10"/>
        <v>0</v>
      </c>
      <c r="I674" t="s">
        <v>59</v>
      </c>
      <c r="J674" t="s">
        <v>188</v>
      </c>
      <c r="K674" s="5">
        <f>24 / 86400</f>
        <v>2.7777777777777778E-4</v>
      </c>
      <c r="L674" s="5">
        <f>40 / 86400</f>
        <v>4.6296296296296298E-4</v>
      </c>
    </row>
    <row r="675" spans="1:12" x14ac:dyDescent="0.25">
      <c r="A675" s="3">
        <v>45696.979513888888</v>
      </c>
      <c r="B675" t="s">
        <v>377</v>
      </c>
      <c r="C675" s="3">
        <v>45696.980208333334</v>
      </c>
      <c r="D675" t="s">
        <v>377</v>
      </c>
      <c r="E675" s="4">
        <v>9.4801169037818916E-3</v>
      </c>
      <c r="F675" s="4">
        <v>347113.08344241726</v>
      </c>
      <c r="G675" s="4">
        <v>347113.09292253415</v>
      </c>
      <c r="H675" s="5">
        <f t="shared" si="10"/>
        <v>0</v>
      </c>
      <c r="I675" t="s">
        <v>188</v>
      </c>
      <c r="J675" t="s">
        <v>91</v>
      </c>
      <c r="K675" s="5">
        <f>60 / 86400</f>
        <v>6.9444444444444447E-4</v>
      </c>
      <c r="L675" s="5">
        <f>20 / 86400</f>
        <v>2.3148148148148149E-4</v>
      </c>
    </row>
    <row r="676" spans="1:12" x14ac:dyDescent="0.25">
      <c r="A676" s="3">
        <v>45696.980439814812</v>
      </c>
      <c r="B676" t="s">
        <v>377</v>
      </c>
      <c r="C676" s="3">
        <v>45696.980671296296</v>
      </c>
      <c r="D676" t="s">
        <v>377</v>
      </c>
      <c r="E676" s="4">
        <v>5.6544651389122012E-3</v>
      </c>
      <c r="F676" s="4">
        <v>347113.10136640654</v>
      </c>
      <c r="G676" s="4">
        <v>347113.10702087171</v>
      </c>
      <c r="H676" s="5">
        <f t="shared" si="10"/>
        <v>0</v>
      </c>
      <c r="I676" t="s">
        <v>188</v>
      </c>
      <c r="J676" t="s">
        <v>91</v>
      </c>
      <c r="K676" s="5">
        <f>20 / 86400</f>
        <v>2.3148148148148149E-4</v>
      </c>
      <c r="L676" s="5">
        <f>240 / 86400</f>
        <v>2.7777777777777779E-3</v>
      </c>
    </row>
    <row r="677" spans="1:12" x14ac:dyDescent="0.25">
      <c r="A677" s="3">
        <v>45696.983449074076</v>
      </c>
      <c r="B677" t="s">
        <v>377</v>
      </c>
      <c r="C677" s="3">
        <v>45696.983680555553</v>
      </c>
      <c r="D677" t="s">
        <v>377</v>
      </c>
      <c r="E677" s="4">
        <v>1.687164545059204E-3</v>
      </c>
      <c r="F677" s="4">
        <v>347113.14691306371</v>
      </c>
      <c r="G677" s="4">
        <v>347113.14860022825</v>
      </c>
      <c r="H677" s="5">
        <f t="shared" si="10"/>
        <v>0</v>
      </c>
      <c r="I677" t="s">
        <v>91</v>
      </c>
      <c r="J677" t="s">
        <v>133</v>
      </c>
      <c r="K677" s="5">
        <f>20 / 86400</f>
        <v>2.3148148148148149E-4</v>
      </c>
      <c r="L677" s="5">
        <f>20 / 86400</f>
        <v>2.3148148148148149E-4</v>
      </c>
    </row>
    <row r="678" spans="1:12" x14ac:dyDescent="0.25">
      <c r="A678" s="3">
        <v>45696.983912037038</v>
      </c>
      <c r="B678" t="s">
        <v>453</v>
      </c>
      <c r="C678" s="3">
        <v>45696.984143518523</v>
      </c>
      <c r="D678" t="s">
        <v>453</v>
      </c>
      <c r="E678" s="4">
        <v>3.7879275083541868E-3</v>
      </c>
      <c r="F678" s="4">
        <v>347113.1498885224</v>
      </c>
      <c r="G678" s="4">
        <v>347113.1536764499</v>
      </c>
      <c r="H678" s="5">
        <f t="shared" si="10"/>
        <v>0</v>
      </c>
      <c r="I678" t="s">
        <v>91</v>
      </c>
      <c r="J678" t="s">
        <v>91</v>
      </c>
      <c r="K678" s="5">
        <f>20 / 86400</f>
        <v>2.3148148148148149E-4</v>
      </c>
      <c r="L678" s="5">
        <f>240 / 86400</f>
        <v>2.7777777777777779E-3</v>
      </c>
    </row>
    <row r="679" spans="1:12" x14ac:dyDescent="0.25">
      <c r="A679" s="3">
        <v>45696.986921296295</v>
      </c>
      <c r="B679" t="s">
        <v>377</v>
      </c>
      <c r="C679" s="3">
        <v>45696.98715277778</v>
      </c>
      <c r="D679" t="s">
        <v>222</v>
      </c>
      <c r="E679" s="4">
        <v>2.1981745958328247E-3</v>
      </c>
      <c r="F679" s="4">
        <v>347113.17737150495</v>
      </c>
      <c r="G679" s="4">
        <v>347113.17956967955</v>
      </c>
      <c r="H679" s="5">
        <f t="shared" si="10"/>
        <v>0</v>
      </c>
      <c r="I679" t="s">
        <v>91</v>
      </c>
      <c r="J679" t="s">
        <v>133</v>
      </c>
      <c r="K679" s="5">
        <f>20 / 86400</f>
        <v>2.3148148148148149E-4</v>
      </c>
      <c r="L679" s="5">
        <f>100 / 86400</f>
        <v>1.1574074074074073E-3</v>
      </c>
    </row>
    <row r="680" spans="1:12" x14ac:dyDescent="0.25">
      <c r="A680" s="3">
        <v>45696.988310185188</v>
      </c>
      <c r="B680" t="s">
        <v>454</v>
      </c>
      <c r="C680" s="3">
        <v>45696.988807870366</v>
      </c>
      <c r="D680" t="s">
        <v>106</v>
      </c>
      <c r="E680" s="4">
        <v>7.9849886298179629E-2</v>
      </c>
      <c r="F680" s="4">
        <v>347113.24657123524</v>
      </c>
      <c r="G680" s="4">
        <v>347113.32642112154</v>
      </c>
      <c r="H680" s="5">
        <f t="shared" si="10"/>
        <v>0</v>
      </c>
      <c r="I680" t="s">
        <v>24</v>
      </c>
      <c r="J680" t="s">
        <v>90</v>
      </c>
      <c r="K680" s="5">
        <f>43 / 86400</f>
        <v>4.9768518518518521E-4</v>
      </c>
      <c r="L680" s="5">
        <f>20 / 86400</f>
        <v>2.3148148148148149E-4</v>
      </c>
    </row>
    <row r="681" spans="1:12" x14ac:dyDescent="0.25">
      <c r="A681" s="3">
        <v>45696.989039351851</v>
      </c>
      <c r="B681" t="s">
        <v>186</v>
      </c>
      <c r="C681" s="3">
        <v>45696.990590277783</v>
      </c>
      <c r="D681" t="s">
        <v>455</v>
      </c>
      <c r="E681" s="4">
        <v>0.90609133297204969</v>
      </c>
      <c r="F681" s="4">
        <v>347113.3379922075</v>
      </c>
      <c r="G681" s="4">
        <v>347114.24408354046</v>
      </c>
      <c r="H681" s="5">
        <f t="shared" si="10"/>
        <v>0</v>
      </c>
      <c r="I681" t="s">
        <v>157</v>
      </c>
      <c r="J681" t="s">
        <v>140</v>
      </c>
      <c r="K681" s="5">
        <f>134 / 86400</f>
        <v>1.5509259259259259E-3</v>
      </c>
      <c r="L681" s="5">
        <f>2 / 86400</f>
        <v>2.3148148148148147E-5</v>
      </c>
    </row>
    <row r="682" spans="1:12" x14ac:dyDescent="0.25">
      <c r="A682" s="3">
        <v>45696.990613425922</v>
      </c>
      <c r="B682" t="s">
        <v>455</v>
      </c>
      <c r="C682" s="3">
        <v>45696.990844907406</v>
      </c>
      <c r="D682" t="s">
        <v>455</v>
      </c>
      <c r="E682" s="4">
        <v>3.981357806921005E-2</v>
      </c>
      <c r="F682" s="4">
        <v>347114.24753287056</v>
      </c>
      <c r="G682" s="4">
        <v>347114.28734644863</v>
      </c>
      <c r="H682" s="5">
        <f t="shared" si="10"/>
        <v>0</v>
      </c>
      <c r="I682" t="s">
        <v>136</v>
      </c>
      <c r="J682" t="s">
        <v>90</v>
      </c>
      <c r="K682" s="5">
        <f>20 / 86400</f>
        <v>2.3148148148148149E-4</v>
      </c>
      <c r="L682" s="5">
        <f>47 / 86400</f>
        <v>5.4398148148148144E-4</v>
      </c>
    </row>
    <row r="683" spans="1:12" x14ac:dyDescent="0.25">
      <c r="A683" s="3">
        <v>45696.991388888884</v>
      </c>
      <c r="B683" t="s">
        <v>440</v>
      </c>
      <c r="C683" s="3">
        <v>45696.99998842593</v>
      </c>
      <c r="D683" t="s">
        <v>34</v>
      </c>
      <c r="E683" s="4">
        <v>4.7190906720757484</v>
      </c>
      <c r="F683" s="4">
        <v>347114.30187182809</v>
      </c>
      <c r="G683" s="4">
        <v>347119.02096250013</v>
      </c>
      <c r="H683" s="5">
        <f t="shared" si="10"/>
        <v>0</v>
      </c>
      <c r="I683" t="s">
        <v>67</v>
      </c>
      <c r="J683" t="s">
        <v>138</v>
      </c>
      <c r="K683" s="5">
        <f>743 / 86400</f>
        <v>8.5995370370370375E-3</v>
      </c>
      <c r="L683" s="5">
        <f>0 / 86400</f>
        <v>0</v>
      </c>
    </row>
    <row r="684" spans="1:12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</row>
    <row r="685" spans="1:12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</row>
    <row r="686" spans="1:12" s="10" customFormat="1" ht="20.100000000000001" customHeight="1" x14ac:dyDescent="0.35">
      <c r="A686" s="15" t="s">
        <v>512</v>
      </c>
      <c r="B686" s="15"/>
      <c r="C686" s="15"/>
      <c r="D686" s="15"/>
      <c r="E686" s="15"/>
      <c r="F686" s="15"/>
      <c r="G686" s="15"/>
      <c r="H686" s="15"/>
      <c r="I686" s="15"/>
      <c r="J686" s="15"/>
    </row>
    <row r="687" spans="1:12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</row>
    <row r="688" spans="1:12" ht="30" x14ac:dyDescent="0.25">
      <c r="A688" s="2" t="s">
        <v>6</v>
      </c>
      <c r="B688" s="2" t="s">
        <v>7</v>
      </c>
      <c r="C688" s="2" t="s">
        <v>8</v>
      </c>
      <c r="D688" s="2" t="s">
        <v>9</v>
      </c>
      <c r="E688" s="2" t="s">
        <v>10</v>
      </c>
      <c r="F688" s="2" t="s">
        <v>11</v>
      </c>
      <c r="G688" s="2" t="s">
        <v>12</v>
      </c>
      <c r="H688" s="2" t="s">
        <v>13</v>
      </c>
      <c r="I688" s="2" t="s">
        <v>14</v>
      </c>
      <c r="J688" s="2" t="s">
        <v>15</v>
      </c>
      <c r="K688" s="2" t="s">
        <v>16</v>
      </c>
      <c r="L688" s="2" t="s">
        <v>17</v>
      </c>
    </row>
    <row r="689" spans="1:12" x14ac:dyDescent="0.25">
      <c r="A689" s="3">
        <v>45696.168645833328</v>
      </c>
      <c r="B689" t="s">
        <v>36</v>
      </c>
      <c r="C689" s="3">
        <v>45696.358773148153</v>
      </c>
      <c r="D689" t="s">
        <v>139</v>
      </c>
      <c r="E689" s="4">
        <v>82.811999999999998</v>
      </c>
      <c r="F689" s="4">
        <v>483492.75400000002</v>
      </c>
      <c r="G689" s="4">
        <v>483575.56599999999</v>
      </c>
      <c r="H689" s="5">
        <f>4825 / 86400</f>
        <v>5.5844907407407406E-2</v>
      </c>
      <c r="I689" t="s">
        <v>116</v>
      </c>
      <c r="J689" t="s">
        <v>50</v>
      </c>
      <c r="K689" s="5">
        <f>16427 / 86400</f>
        <v>0.19012731481481482</v>
      </c>
      <c r="L689" s="5">
        <f>15668 / 86400</f>
        <v>0.18134259259259258</v>
      </c>
    </row>
    <row r="690" spans="1:12" x14ac:dyDescent="0.25">
      <c r="A690" s="3">
        <v>45696.371469907404</v>
      </c>
      <c r="B690" t="s">
        <v>139</v>
      </c>
      <c r="C690" s="3">
        <v>45696.587870370371</v>
      </c>
      <c r="D690" t="s">
        <v>36</v>
      </c>
      <c r="E690" s="4">
        <v>76.116</v>
      </c>
      <c r="F690" s="4">
        <v>483575.56599999999</v>
      </c>
      <c r="G690" s="4">
        <v>483651.68199999997</v>
      </c>
      <c r="H690" s="5">
        <f>6758 / 86400</f>
        <v>7.8217592592592589E-2</v>
      </c>
      <c r="I690" t="s">
        <v>37</v>
      </c>
      <c r="J690" t="s">
        <v>24</v>
      </c>
      <c r="K690" s="5">
        <f>18697 / 86400</f>
        <v>0.21640046296296298</v>
      </c>
      <c r="L690" s="5">
        <f>35607 / 86400</f>
        <v>0.41211805555555553</v>
      </c>
    </row>
    <row r="691" spans="1:12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2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</row>
    <row r="693" spans="1:12" s="10" customFormat="1" ht="20.100000000000001" customHeight="1" x14ac:dyDescent="0.35">
      <c r="A693" s="15" t="s">
        <v>513</v>
      </c>
      <c r="B693" s="15"/>
      <c r="C693" s="15"/>
      <c r="D693" s="15"/>
      <c r="E693" s="15"/>
      <c r="F693" s="15"/>
      <c r="G693" s="15"/>
      <c r="H693" s="15"/>
      <c r="I693" s="15"/>
      <c r="J693" s="15"/>
    </row>
    <row r="694" spans="1:12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</row>
    <row r="695" spans="1:12" ht="30" x14ac:dyDescent="0.25">
      <c r="A695" s="2" t="s">
        <v>6</v>
      </c>
      <c r="B695" s="2" t="s">
        <v>7</v>
      </c>
      <c r="C695" s="2" t="s">
        <v>8</v>
      </c>
      <c r="D695" s="2" t="s">
        <v>9</v>
      </c>
      <c r="E695" s="2" t="s">
        <v>10</v>
      </c>
      <c r="F695" s="2" t="s">
        <v>11</v>
      </c>
      <c r="G695" s="2" t="s">
        <v>12</v>
      </c>
      <c r="H695" s="2" t="s">
        <v>13</v>
      </c>
      <c r="I695" s="2" t="s">
        <v>14</v>
      </c>
      <c r="J695" s="2" t="s">
        <v>15</v>
      </c>
      <c r="K695" s="2" t="s">
        <v>16</v>
      </c>
      <c r="L695" s="2" t="s">
        <v>17</v>
      </c>
    </row>
    <row r="696" spans="1:12" x14ac:dyDescent="0.25">
      <c r="A696" s="3">
        <v>45696.291458333333</v>
      </c>
      <c r="B696" t="s">
        <v>38</v>
      </c>
      <c r="C696" s="3">
        <v>45696.300474537042</v>
      </c>
      <c r="D696" t="s">
        <v>82</v>
      </c>
      <c r="E696" s="4">
        <v>1.31</v>
      </c>
      <c r="F696" s="4">
        <v>507327.53399999999</v>
      </c>
      <c r="G696" s="4">
        <v>507328.84399999998</v>
      </c>
      <c r="H696" s="5">
        <f>419 / 86400</f>
        <v>4.8495370370370368E-3</v>
      </c>
      <c r="I696" t="s">
        <v>218</v>
      </c>
      <c r="J696" t="s">
        <v>146</v>
      </c>
      <c r="K696" s="5">
        <f>778 / 86400</f>
        <v>9.0046296296296298E-3</v>
      </c>
      <c r="L696" s="5">
        <f>25363 / 86400</f>
        <v>0.29355324074074074</v>
      </c>
    </row>
    <row r="697" spans="1:12" x14ac:dyDescent="0.25">
      <c r="A697" s="3">
        <v>45696.302569444444</v>
      </c>
      <c r="B697" t="s">
        <v>82</v>
      </c>
      <c r="C697" s="3">
        <v>45696.314085648148</v>
      </c>
      <c r="D697" t="s">
        <v>396</v>
      </c>
      <c r="E697" s="4">
        <v>2.1840000000000002</v>
      </c>
      <c r="F697" s="4">
        <v>507328.84399999998</v>
      </c>
      <c r="G697" s="4">
        <v>507331.02799999999</v>
      </c>
      <c r="H697" s="5">
        <f>479 / 86400</f>
        <v>5.5439814814814813E-3</v>
      </c>
      <c r="I697" t="s">
        <v>201</v>
      </c>
      <c r="J697" t="s">
        <v>151</v>
      </c>
      <c r="K697" s="5">
        <f>994 / 86400</f>
        <v>1.150462962962963E-2</v>
      </c>
      <c r="L697" s="5">
        <f>232 / 86400</f>
        <v>2.685185185185185E-3</v>
      </c>
    </row>
    <row r="698" spans="1:12" x14ac:dyDescent="0.25">
      <c r="A698" s="3">
        <v>45696.316770833335</v>
      </c>
      <c r="B698" t="s">
        <v>396</v>
      </c>
      <c r="C698" s="3">
        <v>45696.605231481481</v>
      </c>
      <c r="D698" t="s">
        <v>38</v>
      </c>
      <c r="E698" s="4">
        <v>100.511</v>
      </c>
      <c r="F698" s="4">
        <v>507331.02799999999</v>
      </c>
      <c r="G698" s="4">
        <v>507431.53899999999</v>
      </c>
      <c r="H698" s="5">
        <f>9458 / 86400</f>
        <v>0.10946759259259259</v>
      </c>
      <c r="I698" t="s">
        <v>56</v>
      </c>
      <c r="J698" t="s">
        <v>24</v>
      </c>
      <c r="K698" s="5">
        <f>24923 / 86400</f>
        <v>0.28846064814814815</v>
      </c>
      <c r="L698" s="5">
        <f>1974 / 86400</f>
        <v>2.2847222222222224E-2</v>
      </c>
    </row>
    <row r="699" spans="1:12" x14ac:dyDescent="0.25">
      <c r="A699" s="3">
        <v>45696.628078703703</v>
      </c>
      <c r="B699" t="s">
        <v>456</v>
      </c>
      <c r="C699" s="3">
        <v>45696.887685185182</v>
      </c>
      <c r="D699" t="s">
        <v>82</v>
      </c>
      <c r="E699" s="4">
        <v>94.265000000000001</v>
      </c>
      <c r="F699" s="4">
        <v>507431.53899999999</v>
      </c>
      <c r="G699" s="4">
        <v>507525.804</v>
      </c>
      <c r="H699" s="5">
        <f>7958 / 86400</f>
        <v>9.2106481481481484E-2</v>
      </c>
      <c r="I699" t="s">
        <v>40</v>
      </c>
      <c r="J699" t="s">
        <v>24</v>
      </c>
      <c r="K699" s="5">
        <f>22429 / 86400</f>
        <v>0.25959490740740743</v>
      </c>
      <c r="L699" s="5">
        <f>361 / 86400</f>
        <v>4.178240740740741E-3</v>
      </c>
    </row>
    <row r="700" spans="1:12" x14ac:dyDescent="0.25">
      <c r="A700" s="3">
        <v>45696.891863425924</v>
      </c>
      <c r="B700" t="s">
        <v>82</v>
      </c>
      <c r="C700" s="3">
        <v>45696.893518518518</v>
      </c>
      <c r="D700" t="s">
        <v>397</v>
      </c>
      <c r="E700" s="4">
        <v>0.21299999999999999</v>
      </c>
      <c r="F700" s="4">
        <v>507525.804</v>
      </c>
      <c r="G700" s="4">
        <v>507526.01699999999</v>
      </c>
      <c r="H700" s="5">
        <f>40 / 86400</f>
        <v>4.6296296296296298E-4</v>
      </c>
      <c r="I700" t="s">
        <v>28</v>
      </c>
      <c r="J700" t="s">
        <v>136</v>
      </c>
      <c r="K700" s="5">
        <f>142 / 86400</f>
        <v>1.6435185185185185E-3</v>
      </c>
      <c r="L700" s="5">
        <f>555 / 86400</f>
        <v>6.4236111111111108E-3</v>
      </c>
    </row>
    <row r="701" spans="1:12" x14ac:dyDescent="0.25">
      <c r="A701" s="3">
        <v>45696.899942129632</v>
      </c>
      <c r="B701" t="s">
        <v>397</v>
      </c>
      <c r="C701" s="3">
        <v>45696.911782407406</v>
      </c>
      <c r="D701" t="s">
        <v>39</v>
      </c>
      <c r="E701" s="4">
        <v>3.323</v>
      </c>
      <c r="F701" s="4">
        <v>507526.01699999999</v>
      </c>
      <c r="G701" s="4">
        <v>507529.34</v>
      </c>
      <c r="H701" s="5">
        <f>200 / 86400</f>
        <v>2.3148148148148147E-3</v>
      </c>
      <c r="I701" t="s">
        <v>165</v>
      </c>
      <c r="J701" t="s">
        <v>59</v>
      </c>
      <c r="K701" s="5">
        <f>1022 / 86400</f>
        <v>1.1828703703703704E-2</v>
      </c>
      <c r="L701" s="5">
        <f>7621 / 86400</f>
        <v>8.8206018518518517E-2</v>
      </c>
    </row>
    <row r="702" spans="1:12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</row>
    <row r="703" spans="1:12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</row>
    <row r="704" spans="1:12" s="10" customFormat="1" ht="20.100000000000001" customHeight="1" x14ac:dyDescent="0.35">
      <c r="A704" s="15" t="s">
        <v>514</v>
      </c>
      <c r="B704" s="15"/>
      <c r="C704" s="15"/>
      <c r="D704" s="15"/>
      <c r="E704" s="15"/>
      <c r="F704" s="15"/>
      <c r="G704" s="15"/>
      <c r="H704" s="15"/>
      <c r="I704" s="15"/>
      <c r="J704" s="15"/>
    </row>
    <row r="705" spans="1:12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</row>
    <row r="706" spans="1:12" ht="30" x14ac:dyDescent="0.25">
      <c r="A706" s="2" t="s">
        <v>6</v>
      </c>
      <c r="B706" s="2" t="s">
        <v>7</v>
      </c>
      <c r="C706" s="2" t="s">
        <v>8</v>
      </c>
      <c r="D706" s="2" t="s">
        <v>9</v>
      </c>
      <c r="E706" s="2" t="s">
        <v>10</v>
      </c>
      <c r="F706" s="2" t="s">
        <v>11</v>
      </c>
      <c r="G706" s="2" t="s">
        <v>12</v>
      </c>
      <c r="H706" s="2" t="s">
        <v>13</v>
      </c>
      <c r="I706" s="2" t="s">
        <v>14</v>
      </c>
      <c r="J706" s="2" t="s">
        <v>15</v>
      </c>
      <c r="K706" s="2" t="s">
        <v>16</v>
      </c>
      <c r="L706" s="2" t="s">
        <v>17</v>
      </c>
    </row>
    <row r="707" spans="1:12" x14ac:dyDescent="0.25">
      <c r="A707" s="3">
        <v>45696.243854166663</v>
      </c>
      <c r="B707" t="s">
        <v>42</v>
      </c>
      <c r="C707" s="3">
        <v>45696.258206018523</v>
      </c>
      <c r="D707" t="s">
        <v>152</v>
      </c>
      <c r="E707" s="4">
        <v>2.7949999999999999</v>
      </c>
      <c r="F707" s="4">
        <v>407172.70799999998</v>
      </c>
      <c r="G707" s="4">
        <v>407175.50300000003</v>
      </c>
      <c r="H707" s="5">
        <f>579 / 86400</f>
        <v>6.7013888888888887E-3</v>
      </c>
      <c r="I707" t="s">
        <v>155</v>
      </c>
      <c r="J707" t="s">
        <v>151</v>
      </c>
      <c r="K707" s="5">
        <f>1239 / 86400</f>
        <v>1.4340277777777778E-2</v>
      </c>
      <c r="L707" s="5">
        <f>21397 / 86400</f>
        <v>0.24765046296296298</v>
      </c>
    </row>
    <row r="708" spans="1:12" x14ac:dyDescent="0.25">
      <c r="A708" s="3">
        <v>45696.262002314819</v>
      </c>
      <c r="B708" t="s">
        <v>152</v>
      </c>
      <c r="C708" s="3">
        <v>45696.264826388884</v>
      </c>
      <c r="D708" t="s">
        <v>152</v>
      </c>
      <c r="E708" s="4">
        <v>7.3999999999999996E-2</v>
      </c>
      <c r="F708" s="4">
        <v>407175.50300000003</v>
      </c>
      <c r="G708" s="4">
        <v>407175.57699999999</v>
      </c>
      <c r="H708" s="5">
        <f>200 / 86400</f>
        <v>2.3148148148148147E-3</v>
      </c>
      <c r="I708" t="s">
        <v>85</v>
      </c>
      <c r="J708" t="s">
        <v>91</v>
      </c>
      <c r="K708" s="5">
        <f>244 / 86400</f>
        <v>2.8240740740740739E-3</v>
      </c>
      <c r="L708" s="5">
        <f>347 / 86400</f>
        <v>4.0162037037037041E-3</v>
      </c>
    </row>
    <row r="709" spans="1:12" x14ac:dyDescent="0.25">
      <c r="A709" s="3">
        <v>45696.268842592588</v>
      </c>
      <c r="B709" t="s">
        <v>152</v>
      </c>
      <c r="C709" s="3">
        <v>45696.269884259258</v>
      </c>
      <c r="D709" t="s">
        <v>152</v>
      </c>
      <c r="E709" s="4">
        <v>7.0999999999999994E-2</v>
      </c>
      <c r="F709" s="4">
        <v>407175.57699999999</v>
      </c>
      <c r="G709" s="4">
        <v>407175.64799999999</v>
      </c>
      <c r="H709" s="5">
        <f>39 / 86400</f>
        <v>4.5138888888888887E-4</v>
      </c>
      <c r="I709" t="s">
        <v>146</v>
      </c>
      <c r="J709" t="s">
        <v>188</v>
      </c>
      <c r="K709" s="5">
        <f>90 / 86400</f>
        <v>1.0416666666666667E-3</v>
      </c>
      <c r="L709" s="5">
        <f>2439 / 86400</f>
        <v>2.8229166666666666E-2</v>
      </c>
    </row>
    <row r="710" spans="1:12" x14ac:dyDescent="0.25">
      <c r="A710" s="3">
        <v>45696.298113425924</v>
      </c>
      <c r="B710" t="s">
        <v>152</v>
      </c>
      <c r="C710" s="3">
        <v>45696.29965277778</v>
      </c>
      <c r="D710" t="s">
        <v>397</v>
      </c>
      <c r="E710" s="4">
        <v>0.246</v>
      </c>
      <c r="F710" s="4">
        <v>407175.64799999999</v>
      </c>
      <c r="G710" s="4">
        <v>407175.89399999997</v>
      </c>
      <c r="H710" s="5">
        <f>39 / 86400</f>
        <v>4.5138888888888887E-4</v>
      </c>
      <c r="I710" t="s">
        <v>50</v>
      </c>
      <c r="J710" t="s">
        <v>90</v>
      </c>
      <c r="K710" s="5">
        <f>132 / 86400</f>
        <v>1.5277777777777779E-3</v>
      </c>
      <c r="L710" s="5">
        <f>727 / 86400</f>
        <v>8.4143518518518517E-3</v>
      </c>
    </row>
    <row r="711" spans="1:12" x14ac:dyDescent="0.25">
      <c r="A711" s="3">
        <v>45696.308067129634</v>
      </c>
      <c r="B711" t="s">
        <v>397</v>
      </c>
      <c r="C711" s="3">
        <v>45696.4534375</v>
      </c>
      <c r="D711" t="s">
        <v>457</v>
      </c>
      <c r="E711" s="4">
        <v>50.588999999999999</v>
      </c>
      <c r="F711" s="4">
        <v>407175.89399999997</v>
      </c>
      <c r="G711" s="4">
        <v>407226.48300000001</v>
      </c>
      <c r="H711" s="5">
        <f>4480 / 86400</f>
        <v>5.185185185185185E-2</v>
      </c>
      <c r="I711" t="s">
        <v>81</v>
      </c>
      <c r="J711" t="s">
        <v>24</v>
      </c>
      <c r="K711" s="5">
        <f>12559 / 86400</f>
        <v>0.14535879629629631</v>
      </c>
      <c r="L711" s="5">
        <f>574 / 86400</f>
        <v>6.6435185185185182E-3</v>
      </c>
    </row>
    <row r="712" spans="1:12" x14ac:dyDescent="0.25">
      <c r="A712" s="3">
        <v>45696.460081018522</v>
      </c>
      <c r="B712" t="s">
        <v>458</v>
      </c>
      <c r="C712" s="3">
        <v>45696.461851851855</v>
      </c>
      <c r="D712" t="s">
        <v>459</v>
      </c>
      <c r="E712" s="4">
        <v>5.8000000000000003E-2</v>
      </c>
      <c r="F712" s="4">
        <v>407226.48300000001</v>
      </c>
      <c r="G712" s="4">
        <v>407226.54100000003</v>
      </c>
      <c r="H712" s="5">
        <f>119 / 86400</f>
        <v>1.3773148148148147E-3</v>
      </c>
      <c r="I712" t="s">
        <v>151</v>
      </c>
      <c r="J712" t="s">
        <v>91</v>
      </c>
      <c r="K712" s="5">
        <f>153 / 86400</f>
        <v>1.7708333333333332E-3</v>
      </c>
      <c r="L712" s="5">
        <f>2053 / 86400</f>
        <v>2.3761574074074074E-2</v>
      </c>
    </row>
    <row r="713" spans="1:12" x14ac:dyDescent="0.25">
      <c r="A713" s="3">
        <v>45696.485613425924</v>
      </c>
      <c r="B713" t="s">
        <v>459</v>
      </c>
      <c r="C713" s="3">
        <v>45696.48600694444</v>
      </c>
      <c r="D713" t="s">
        <v>459</v>
      </c>
      <c r="E713" s="4">
        <v>6.0000000000000001E-3</v>
      </c>
      <c r="F713" s="4">
        <v>407226.54100000003</v>
      </c>
      <c r="G713" s="4">
        <v>407226.54700000002</v>
      </c>
      <c r="H713" s="5">
        <f>19 / 86400</f>
        <v>2.199074074074074E-4</v>
      </c>
      <c r="I713" t="s">
        <v>133</v>
      </c>
      <c r="J713" t="s">
        <v>91</v>
      </c>
      <c r="K713" s="5">
        <f>34 / 86400</f>
        <v>3.9351851851851852E-4</v>
      </c>
      <c r="L713" s="5">
        <f>680 / 86400</f>
        <v>7.8703703703703696E-3</v>
      </c>
    </row>
    <row r="714" spans="1:12" x14ac:dyDescent="0.25">
      <c r="A714" s="3">
        <v>45696.493877314817</v>
      </c>
      <c r="B714" t="s">
        <v>459</v>
      </c>
      <c r="C714" s="3">
        <v>45696.645312499997</v>
      </c>
      <c r="D714" t="s">
        <v>82</v>
      </c>
      <c r="E714" s="4">
        <v>50.554000000000002</v>
      </c>
      <c r="F714" s="4">
        <v>407226.54700000002</v>
      </c>
      <c r="G714" s="4">
        <v>407277.10100000002</v>
      </c>
      <c r="H714" s="5">
        <f>4500 / 86400</f>
        <v>5.2083333333333336E-2</v>
      </c>
      <c r="I714" t="s">
        <v>239</v>
      </c>
      <c r="J714" t="s">
        <v>41</v>
      </c>
      <c r="K714" s="5">
        <f>13084 / 86400</f>
        <v>0.15143518518518517</v>
      </c>
      <c r="L714" s="5">
        <f>387 / 86400</f>
        <v>4.4791666666666669E-3</v>
      </c>
    </row>
    <row r="715" spans="1:12" x14ac:dyDescent="0.25">
      <c r="A715" s="3">
        <v>45696.64979166667</v>
      </c>
      <c r="B715" t="s">
        <v>82</v>
      </c>
      <c r="C715" s="3">
        <v>45696.657777777778</v>
      </c>
      <c r="D715" t="s">
        <v>160</v>
      </c>
      <c r="E715" s="4">
        <v>1.51</v>
      </c>
      <c r="F715" s="4">
        <v>407277.10100000002</v>
      </c>
      <c r="G715" s="4">
        <v>407278.61099999998</v>
      </c>
      <c r="H715" s="5">
        <f>240 / 86400</f>
        <v>2.7777777777777779E-3</v>
      </c>
      <c r="I715" t="s">
        <v>35</v>
      </c>
      <c r="J715" t="s">
        <v>151</v>
      </c>
      <c r="K715" s="5">
        <f>690 / 86400</f>
        <v>7.9861111111111105E-3</v>
      </c>
      <c r="L715" s="5">
        <f>215 / 86400</f>
        <v>2.488425925925926E-3</v>
      </c>
    </row>
    <row r="716" spans="1:12" x14ac:dyDescent="0.25">
      <c r="A716" s="3">
        <v>45696.660266203704</v>
      </c>
      <c r="B716" t="s">
        <v>160</v>
      </c>
      <c r="C716" s="3">
        <v>45696.661944444444</v>
      </c>
      <c r="D716" t="s">
        <v>460</v>
      </c>
      <c r="E716" s="4">
        <v>0.47799999999999998</v>
      </c>
      <c r="F716" s="4">
        <v>407278.61099999998</v>
      </c>
      <c r="G716" s="4">
        <v>407279.08899999998</v>
      </c>
      <c r="H716" s="5">
        <f>0 / 86400</f>
        <v>0</v>
      </c>
      <c r="I716" t="s">
        <v>205</v>
      </c>
      <c r="J716" t="s">
        <v>59</v>
      </c>
      <c r="K716" s="5">
        <f>145 / 86400</f>
        <v>1.6782407407407408E-3</v>
      </c>
      <c r="L716" s="5">
        <f>2956 / 86400</f>
        <v>3.4212962962962966E-2</v>
      </c>
    </row>
    <row r="717" spans="1:12" x14ac:dyDescent="0.25">
      <c r="A717" s="3">
        <v>45696.696157407408</v>
      </c>
      <c r="B717" t="s">
        <v>460</v>
      </c>
      <c r="C717" s="3">
        <v>45696.698391203703</v>
      </c>
      <c r="D717" t="s">
        <v>160</v>
      </c>
      <c r="E717" s="4">
        <v>0.39700000000000002</v>
      </c>
      <c r="F717" s="4">
        <v>407279.08899999998</v>
      </c>
      <c r="G717" s="4">
        <v>407279.48599999998</v>
      </c>
      <c r="H717" s="5">
        <f>59 / 86400</f>
        <v>6.8287037037037036E-4</v>
      </c>
      <c r="I717" t="s">
        <v>221</v>
      </c>
      <c r="J717" t="s">
        <v>90</v>
      </c>
      <c r="K717" s="5">
        <f>192 / 86400</f>
        <v>2.2222222222222222E-3</v>
      </c>
      <c r="L717" s="5">
        <f>79 / 86400</f>
        <v>9.1435185185185185E-4</v>
      </c>
    </row>
    <row r="718" spans="1:12" x14ac:dyDescent="0.25">
      <c r="A718" s="3">
        <v>45696.69930555555</v>
      </c>
      <c r="B718" t="s">
        <v>160</v>
      </c>
      <c r="C718" s="3">
        <v>45696.844270833331</v>
      </c>
      <c r="D718" t="s">
        <v>145</v>
      </c>
      <c r="E718" s="4">
        <v>50.375</v>
      </c>
      <c r="F718" s="4">
        <v>407279.48599999998</v>
      </c>
      <c r="G718" s="4">
        <v>407329.86099999998</v>
      </c>
      <c r="H718" s="5">
        <f>4399 / 86400</f>
        <v>5.091435185185185E-2</v>
      </c>
      <c r="I718" t="s">
        <v>43</v>
      </c>
      <c r="J718" t="s">
        <v>41</v>
      </c>
      <c r="K718" s="5">
        <f>12525 / 86400</f>
        <v>0.14496527777777779</v>
      </c>
      <c r="L718" s="5">
        <f>60 / 86400</f>
        <v>6.9444444444444447E-4</v>
      </c>
    </row>
    <row r="719" spans="1:12" x14ac:dyDescent="0.25">
      <c r="A719" s="3">
        <v>45696.844965277778</v>
      </c>
      <c r="B719" t="s">
        <v>145</v>
      </c>
      <c r="C719" s="3">
        <v>45696.847858796296</v>
      </c>
      <c r="D719" t="s">
        <v>293</v>
      </c>
      <c r="E719" s="4">
        <v>0.124</v>
      </c>
      <c r="F719" s="4">
        <v>407329.86099999998</v>
      </c>
      <c r="G719" s="4">
        <v>407329.98499999999</v>
      </c>
      <c r="H719" s="5">
        <f>200 / 86400</f>
        <v>2.3148148148148147E-3</v>
      </c>
      <c r="I719" t="s">
        <v>41</v>
      </c>
      <c r="J719" t="s">
        <v>132</v>
      </c>
      <c r="K719" s="5">
        <f>250 / 86400</f>
        <v>2.8935185185185184E-3</v>
      </c>
      <c r="L719" s="5">
        <f>26 / 86400</f>
        <v>3.0092592592592595E-4</v>
      </c>
    </row>
    <row r="720" spans="1:12" x14ac:dyDescent="0.25">
      <c r="A720" s="3">
        <v>45696.848159722227</v>
      </c>
      <c r="B720" t="s">
        <v>293</v>
      </c>
      <c r="C720" s="3">
        <v>45696.978252314817</v>
      </c>
      <c r="D720" t="s">
        <v>397</v>
      </c>
      <c r="E720" s="4">
        <v>51.453000000000003</v>
      </c>
      <c r="F720" s="4">
        <v>407329.98499999999</v>
      </c>
      <c r="G720" s="4">
        <v>407381.43800000002</v>
      </c>
      <c r="H720" s="5">
        <f>3439 / 86400</f>
        <v>3.9803240740740743E-2</v>
      </c>
      <c r="I720" t="s">
        <v>249</v>
      </c>
      <c r="J720" t="s">
        <v>28</v>
      </c>
      <c r="K720" s="5">
        <f>11240 / 86400</f>
        <v>0.13009259259259259</v>
      </c>
      <c r="L720" s="5">
        <f>398 / 86400</f>
        <v>4.6064814814814814E-3</v>
      </c>
    </row>
    <row r="721" spans="1:12" x14ac:dyDescent="0.25">
      <c r="A721" s="3">
        <v>45696.982858796298</v>
      </c>
      <c r="B721" t="s">
        <v>397</v>
      </c>
      <c r="C721" s="3">
        <v>45696.983113425929</v>
      </c>
      <c r="D721" t="s">
        <v>397</v>
      </c>
      <c r="E721" s="4">
        <v>3.1E-2</v>
      </c>
      <c r="F721" s="4">
        <v>407381.43800000002</v>
      </c>
      <c r="G721" s="4">
        <v>407381.46899999998</v>
      </c>
      <c r="H721" s="5">
        <f>0 / 86400</f>
        <v>0</v>
      </c>
      <c r="I721" t="s">
        <v>90</v>
      </c>
      <c r="J721" t="s">
        <v>136</v>
      </c>
      <c r="K721" s="5">
        <f>22 / 86400</f>
        <v>2.5462962962962961E-4</v>
      </c>
      <c r="L721" s="5">
        <f>339 / 86400</f>
        <v>3.9236111111111112E-3</v>
      </c>
    </row>
    <row r="722" spans="1:12" x14ac:dyDescent="0.25">
      <c r="A722" s="3">
        <v>45696.987037037034</v>
      </c>
      <c r="B722" t="s">
        <v>397</v>
      </c>
      <c r="C722" s="3">
        <v>45696.988506944443</v>
      </c>
      <c r="D722" t="s">
        <v>137</v>
      </c>
      <c r="E722" s="4">
        <v>0.497</v>
      </c>
      <c r="F722" s="4">
        <v>407381.46899999998</v>
      </c>
      <c r="G722" s="4">
        <v>407381.96600000001</v>
      </c>
      <c r="H722" s="5">
        <f>0 / 86400</f>
        <v>0</v>
      </c>
      <c r="I722" t="s">
        <v>155</v>
      </c>
      <c r="J722" t="s">
        <v>41</v>
      </c>
      <c r="K722" s="5">
        <f>126 / 86400</f>
        <v>1.4583333333333334E-3</v>
      </c>
      <c r="L722" s="5">
        <f>540 / 86400</f>
        <v>6.2500000000000003E-3</v>
      </c>
    </row>
    <row r="723" spans="1:12" x14ac:dyDescent="0.25">
      <c r="A723" s="3">
        <v>45696.994756944448</v>
      </c>
      <c r="B723" t="s">
        <v>137</v>
      </c>
      <c r="C723" s="3">
        <v>45696.998287037037</v>
      </c>
      <c r="D723" t="s">
        <v>42</v>
      </c>
      <c r="E723" s="4">
        <v>0.76800000000000002</v>
      </c>
      <c r="F723" s="4">
        <v>407381.96600000001</v>
      </c>
      <c r="G723" s="4">
        <v>407382.734</v>
      </c>
      <c r="H723" s="5">
        <f>40 / 86400</f>
        <v>4.6296296296296298E-4</v>
      </c>
      <c r="I723" t="s">
        <v>24</v>
      </c>
      <c r="J723" t="s">
        <v>162</v>
      </c>
      <c r="K723" s="5">
        <f>305 / 86400</f>
        <v>3.5300925925925925E-3</v>
      </c>
      <c r="L723" s="5">
        <f>147 / 86400</f>
        <v>1.7013888888888888E-3</v>
      </c>
    </row>
    <row r="724" spans="1:12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</row>
    <row r="725" spans="1:12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</row>
    <row r="726" spans="1:12" s="10" customFormat="1" ht="20.100000000000001" customHeight="1" x14ac:dyDescent="0.35">
      <c r="A726" s="15" t="s">
        <v>515</v>
      </c>
      <c r="B726" s="15"/>
      <c r="C726" s="15"/>
      <c r="D726" s="15"/>
      <c r="E726" s="15"/>
      <c r="F726" s="15"/>
      <c r="G726" s="15"/>
      <c r="H726" s="15"/>
      <c r="I726" s="15"/>
      <c r="J726" s="15"/>
    </row>
    <row r="727" spans="1:12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</row>
    <row r="728" spans="1:12" ht="30" x14ac:dyDescent="0.25">
      <c r="A728" s="2" t="s">
        <v>6</v>
      </c>
      <c r="B728" s="2" t="s">
        <v>7</v>
      </c>
      <c r="C728" s="2" t="s">
        <v>8</v>
      </c>
      <c r="D728" s="2" t="s">
        <v>9</v>
      </c>
      <c r="E728" s="2" t="s">
        <v>10</v>
      </c>
      <c r="F728" s="2" t="s">
        <v>11</v>
      </c>
      <c r="G728" s="2" t="s">
        <v>12</v>
      </c>
      <c r="H728" s="2" t="s">
        <v>13</v>
      </c>
      <c r="I728" s="2" t="s">
        <v>14</v>
      </c>
      <c r="J728" s="2" t="s">
        <v>15</v>
      </c>
      <c r="K728" s="2" t="s">
        <v>16</v>
      </c>
      <c r="L728" s="2" t="s">
        <v>17</v>
      </c>
    </row>
    <row r="729" spans="1:12" x14ac:dyDescent="0.25">
      <c r="A729" s="3">
        <v>45696.287222222221</v>
      </c>
      <c r="B729" t="s">
        <v>44</v>
      </c>
      <c r="C729" s="3">
        <v>45696.294131944444</v>
      </c>
      <c r="D729" t="s">
        <v>160</v>
      </c>
      <c r="E729" s="4">
        <v>0.86599999999999999</v>
      </c>
      <c r="F729" s="4">
        <v>436702.40299999999</v>
      </c>
      <c r="G729" s="4">
        <v>436703.26899999997</v>
      </c>
      <c r="H729" s="5">
        <f>359 / 86400</f>
        <v>4.1550925925925922E-3</v>
      </c>
      <c r="I729" t="s">
        <v>138</v>
      </c>
      <c r="J729" t="s">
        <v>136</v>
      </c>
      <c r="K729" s="5">
        <f>596 / 86400</f>
        <v>6.898148148148148E-3</v>
      </c>
      <c r="L729" s="5">
        <f>28971 / 86400</f>
        <v>0.33531250000000001</v>
      </c>
    </row>
    <row r="730" spans="1:12" x14ac:dyDescent="0.25">
      <c r="A730" s="3">
        <v>45696.342222222222</v>
      </c>
      <c r="B730" t="s">
        <v>160</v>
      </c>
      <c r="C730" s="3">
        <v>45696.663090277776</v>
      </c>
      <c r="D730" t="s">
        <v>44</v>
      </c>
      <c r="E730" s="4">
        <v>107.63</v>
      </c>
      <c r="F730" s="4">
        <v>436703.26899999997</v>
      </c>
      <c r="G730" s="4">
        <v>436810.89899999998</v>
      </c>
      <c r="H730" s="5">
        <f>11199 / 86400</f>
        <v>0.12961805555555556</v>
      </c>
      <c r="I730" t="s">
        <v>46</v>
      </c>
      <c r="J730" t="s">
        <v>41</v>
      </c>
      <c r="K730" s="5">
        <f>27723 / 86400</f>
        <v>0.32086805555555553</v>
      </c>
      <c r="L730" s="5">
        <f>959 / 86400</f>
        <v>1.1099537037037036E-2</v>
      </c>
    </row>
    <row r="731" spans="1:12" x14ac:dyDescent="0.25">
      <c r="A731" s="3">
        <v>45696.674189814818</v>
      </c>
      <c r="B731" t="s">
        <v>44</v>
      </c>
      <c r="C731" s="3">
        <v>45696.679305555561</v>
      </c>
      <c r="D731" t="s">
        <v>82</v>
      </c>
      <c r="E731" s="4">
        <v>1.006</v>
      </c>
      <c r="F731" s="4">
        <v>436810.89899999998</v>
      </c>
      <c r="G731" s="4">
        <v>436811.90500000003</v>
      </c>
      <c r="H731" s="5">
        <f>200 / 86400</f>
        <v>2.3148148148148147E-3</v>
      </c>
      <c r="I731" t="s">
        <v>138</v>
      </c>
      <c r="J731" t="s">
        <v>151</v>
      </c>
      <c r="K731" s="5">
        <f>441 / 86400</f>
        <v>5.1041666666666666E-3</v>
      </c>
      <c r="L731" s="5">
        <f>4405 / 86400</f>
        <v>5.0983796296296298E-2</v>
      </c>
    </row>
    <row r="732" spans="1:12" x14ac:dyDescent="0.25">
      <c r="A732" s="3">
        <v>45696.73028935185</v>
      </c>
      <c r="B732" t="s">
        <v>82</v>
      </c>
      <c r="C732" s="3">
        <v>45696.735972222217</v>
      </c>
      <c r="D732" t="s">
        <v>82</v>
      </c>
      <c r="E732" s="4">
        <v>0.15</v>
      </c>
      <c r="F732" s="4">
        <v>436811.90500000003</v>
      </c>
      <c r="G732" s="4">
        <v>436812.05499999999</v>
      </c>
      <c r="H732" s="5">
        <f>379 / 86400</f>
        <v>4.386574074074074E-3</v>
      </c>
      <c r="I732" t="s">
        <v>90</v>
      </c>
      <c r="J732" t="s">
        <v>91</v>
      </c>
      <c r="K732" s="5">
        <f>491 / 86400</f>
        <v>5.6828703703703702E-3</v>
      </c>
      <c r="L732" s="5">
        <f>3583 / 86400</f>
        <v>4.1469907407407407E-2</v>
      </c>
    </row>
    <row r="733" spans="1:12" x14ac:dyDescent="0.25">
      <c r="A733" s="3">
        <v>45696.777442129634</v>
      </c>
      <c r="B733" t="s">
        <v>82</v>
      </c>
      <c r="C733" s="3">
        <v>45696.77825231482</v>
      </c>
      <c r="D733" t="s">
        <v>82</v>
      </c>
      <c r="E733" s="4">
        <v>8.9999999999999993E-3</v>
      </c>
      <c r="F733" s="4">
        <v>436812.05499999999</v>
      </c>
      <c r="G733" s="4">
        <v>436812.06400000001</v>
      </c>
      <c r="H733" s="5">
        <f>20 / 86400</f>
        <v>2.3148148148148149E-4</v>
      </c>
      <c r="I733" t="s">
        <v>188</v>
      </c>
      <c r="J733" t="s">
        <v>133</v>
      </c>
      <c r="K733" s="5">
        <f>70 / 86400</f>
        <v>8.1018518518518516E-4</v>
      </c>
      <c r="L733" s="5">
        <f>1367 / 86400</f>
        <v>1.5821759259259258E-2</v>
      </c>
    </row>
    <row r="734" spans="1:12" x14ac:dyDescent="0.25">
      <c r="A734" s="3">
        <v>45696.794074074074</v>
      </c>
      <c r="B734" t="s">
        <v>82</v>
      </c>
      <c r="C734" s="3">
        <v>45696.795231481483</v>
      </c>
      <c r="D734" t="s">
        <v>82</v>
      </c>
      <c r="E734" s="4">
        <v>8.7999999999999995E-2</v>
      </c>
      <c r="F734" s="4">
        <v>436812.06400000001</v>
      </c>
      <c r="G734" s="4">
        <v>436812.152</v>
      </c>
      <c r="H734" s="5">
        <f>39 / 86400</f>
        <v>4.5138888888888887E-4</v>
      </c>
      <c r="I734" t="s">
        <v>85</v>
      </c>
      <c r="J734" t="s">
        <v>188</v>
      </c>
      <c r="K734" s="5">
        <f>100 / 86400</f>
        <v>1.1574074074074073E-3</v>
      </c>
      <c r="L734" s="5">
        <f>1065 / 86400</f>
        <v>1.2326388888888888E-2</v>
      </c>
    </row>
    <row r="735" spans="1:12" x14ac:dyDescent="0.25">
      <c r="A735" s="3">
        <v>45696.807557870372</v>
      </c>
      <c r="B735" t="s">
        <v>152</v>
      </c>
      <c r="C735" s="3">
        <v>45696.808715277773</v>
      </c>
      <c r="D735" t="s">
        <v>335</v>
      </c>
      <c r="E735" s="4">
        <v>0.39700000000000002</v>
      </c>
      <c r="F735" s="4">
        <v>436812.152</v>
      </c>
      <c r="G735" s="4">
        <v>436812.549</v>
      </c>
      <c r="H735" s="5">
        <f>0 / 86400</f>
        <v>0</v>
      </c>
      <c r="I735" t="s">
        <v>205</v>
      </c>
      <c r="J735" t="s">
        <v>41</v>
      </c>
      <c r="K735" s="5">
        <f>100 / 86400</f>
        <v>1.1574074074074073E-3</v>
      </c>
      <c r="L735" s="5">
        <f>3 / 86400</f>
        <v>3.4722222222222222E-5</v>
      </c>
    </row>
    <row r="736" spans="1:12" x14ac:dyDescent="0.25">
      <c r="A736" s="3">
        <v>45696.808749999997</v>
      </c>
      <c r="B736" t="s">
        <v>335</v>
      </c>
      <c r="C736" s="3">
        <v>45696.809490740736</v>
      </c>
      <c r="D736" t="s">
        <v>22</v>
      </c>
      <c r="E736" s="4">
        <v>0.14299999999999999</v>
      </c>
      <c r="F736" s="4">
        <v>436812.549</v>
      </c>
      <c r="G736" s="4">
        <v>436812.69199999998</v>
      </c>
      <c r="H736" s="5">
        <f>21 / 86400</f>
        <v>2.4305555555555555E-4</v>
      </c>
      <c r="I736" t="s">
        <v>32</v>
      </c>
      <c r="J736" t="s">
        <v>151</v>
      </c>
      <c r="K736" s="5">
        <f>64 / 86400</f>
        <v>7.407407407407407E-4</v>
      </c>
      <c r="L736" s="5">
        <f>1025 / 86400</f>
        <v>1.1863425925925927E-2</v>
      </c>
    </row>
    <row r="737" spans="1:12" x14ac:dyDescent="0.25">
      <c r="A737" s="3">
        <v>45696.821354166663</v>
      </c>
      <c r="B737" t="s">
        <v>22</v>
      </c>
      <c r="C737" s="3">
        <v>45696.837094907409</v>
      </c>
      <c r="D737" t="s">
        <v>99</v>
      </c>
      <c r="E737" s="4">
        <v>0.16900000000000001</v>
      </c>
      <c r="F737" s="4">
        <v>436812.69199999998</v>
      </c>
      <c r="G737" s="4">
        <v>436812.86099999998</v>
      </c>
      <c r="H737" s="5">
        <f>1200 / 86400</f>
        <v>1.3888888888888888E-2</v>
      </c>
      <c r="I737" t="s">
        <v>151</v>
      </c>
      <c r="J737" t="s">
        <v>133</v>
      </c>
      <c r="K737" s="5">
        <f>1359 / 86400</f>
        <v>1.5729166666666666E-2</v>
      </c>
      <c r="L737" s="5">
        <f>581 / 86400</f>
        <v>6.7245370370370367E-3</v>
      </c>
    </row>
    <row r="738" spans="1:12" x14ac:dyDescent="0.25">
      <c r="A738" s="3">
        <v>45696.843819444446</v>
      </c>
      <c r="B738" t="s">
        <v>22</v>
      </c>
      <c r="C738" s="3">
        <v>45696.849247685182</v>
      </c>
      <c r="D738" t="s">
        <v>45</v>
      </c>
      <c r="E738" s="4">
        <v>1.37</v>
      </c>
      <c r="F738" s="4">
        <v>436812.86099999998</v>
      </c>
      <c r="G738" s="4">
        <v>436814.23100000003</v>
      </c>
      <c r="H738" s="5">
        <f>199 / 86400</f>
        <v>2.3032407407407407E-3</v>
      </c>
      <c r="I738" t="s">
        <v>287</v>
      </c>
      <c r="J738" t="s">
        <v>20</v>
      </c>
      <c r="K738" s="5">
        <f>468 / 86400</f>
        <v>5.4166666666666669E-3</v>
      </c>
      <c r="L738" s="5">
        <f>13024 / 86400</f>
        <v>0.15074074074074073</v>
      </c>
    </row>
    <row r="739" spans="1:12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</row>
    <row r="741" spans="1:12" s="10" customFormat="1" ht="20.100000000000001" customHeight="1" x14ac:dyDescent="0.35">
      <c r="A741" s="15" t="s">
        <v>516</v>
      </c>
      <c r="B741" s="15"/>
      <c r="C741" s="15"/>
      <c r="D741" s="15"/>
      <c r="E741" s="15"/>
      <c r="F741" s="15"/>
      <c r="G741" s="15"/>
      <c r="H741" s="15"/>
      <c r="I741" s="15"/>
      <c r="J741" s="15"/>
    </row>
    <row r="742" spans="1:12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</row>
    <row r="743" spans="1:12" ht="30" x14ac:dyDescent="0.25">
      <c r="A743" s="2" t="s">
        <v>6</v>
      </c>
      <c r="B743" s="2" t="s">
        <v>7</v>
      </c>
      <c r="C743" s="2" t="s">
        <v>8</v>
      </c>
      <c r="D743" s="2" t="s">
        <v>9</v>
      </c>
      <c r="E743" s="2" t="s">
        <v>10</v>
      </c>
      <c r="F743" s="2" t="s">
        <v>11</v>
      </c>
      <c r="G743" s="2" t="s">
        <v>12</v>
      </c>
      <c r="H743" s="2" t="s">
        <v>13</v>
      </c>
      <c r="I743" s="2" t="s">
        <v>14</v>
      </c>
      <c r="J743" s="2" t="s">
        <v>15</v>
      </c>
      <c r="K743" s="2" t="s">
        <v>16</v>
      </c>
      <c r="L743" s="2" t="s">
        <v>17</v>
      </c>
    </row>
    <row r="744" spans="1:12" x14ac:dyDescent="0.25">
      <c r="A744" s="3">
        <v>45696.13444444444</v>
      </c>
      <c r="B744" t="s">
        <v>22</v>
      </c>
      <c r="C744" s="3">
        <v>45696.13652777778</v>
      </c>
      <c r="D744" t="s">
        <v>397</v>
      </c>
      <c r="E744" s="4">
        <v>0.71799999999999997</v>
      </c>
      <c r="F744" s="4">
        <v>53194.201999999997</v>
      </c>
      <c r="G744" s="4">
        <v>53194.92</v>
      </c>
      <c r="H744" s="5">
        <f>19 / 86400</f>
        <v>2.199074074074074E-4</v>
      </c>
      <c r="I744" t="s">
        <v>184</v>
      </c>
      <c r="J744" t="s">
        <v>41</v>
      </c>
      <c r="K744" s="5">
        <f>180 / 86400</f>
        <v>2.0833333333333333E-3</v>
      </c>
      <c r="L744" s="5">
        <f>12014 / 86400</f>
        <v>0.13905092592592594</v>
      </c>
    </row>
    <row r="745" spans="1:12" x14ac:dyDescent="0.25">
      <c r="A745" s="3">
        <v>45696.141134259262</v>
      </c>
      <c r="B745" t="s">
        <v>397</v>
      </c>
      <c r="C745" s="3">
        <v>45696.141493055555</v>
      </c>
      <c r="D745" t="s">
        <v>397</v>
      </c>
      <c r="E745" s="4">
        <v>2.9000000000000001E-2</v>
      </c>
      <c r="F745" s="4">
        <v>53194.92</v>
      </c>
      <c r="G745" s="4">
        <v>53194.949000000001</v>
      </c>
      <c r="H745" s="5">
        <f>0 / 86400</f>
        <v>0</v>
      </c>
      <c r="I745" t="s">
        <v>146</v>
      </c>
      <c r="J745" t="s">
        <v>188</v>
      </c>
      <c r="K745" s="5">
        <f>31 / 86400</f>
        <v>3.5879629629629629E-4</v>
      </c>
      <c r="L745" s="5">
        <f>245 / 86400</f>
        <v>2.8356481481481483E-3</v>
      </c>
    </row>
    <row r="746" spans="1:12" x14ac:dyDescent="0.25">
      <c r="A746" s="3">
        <v>45696.144328703704</v>
      </c>
      <c r="B746" t="s">
        <v>397</v>
      </c>
      <c r="C746" s="3">
        <v>45696.317442129628</v>
      </c>
      <c r="D746" t="s">
        <v>397</v>
      </c>
      <c r="E746" s="4">
        <v>101.14400000000001</v>
      </c>
      <c r="F746" s="4">
        <v>53194.949000000001</v>
      </c>
      <c r="G746" s="4">
        <v>53296.093000000001</v>
      </c>
      <c r="H746" s="5">
        <f>2859 / 86400</f>
        <v>3.3090277777777781E-2</v>
      </c>
      <c r="I746" t="s">
        <v>49</v>
      </c>
      <c r="J746" t="s">
        <v>140</v>
      </c>
      <c r="K746" s="5">
        <f>14956 / 86400</f>
        <v>0.17310185185185184</v>
      </c>
      <c r="L746" s="5">
        <f>456 / 86400</f>
        <v>5.2777777777777779E-3</v>
      </c>
    </row>
    <row r="747" spans="1:12" x14ac:dyDescent="0.25">
      <c r="A747" s="3">
        <v>45696.322719907403</v>
      </c>
      <c r="B747" t="s">
        <v>397</v>
      </c>
      <c r="C747" s="3">
        <v>45696.326516203699</v>
      </c>
      <c r="D747" t="s">
        <v>460</v>
      </c>
      <c r="E747" s="4">
        <v>1.19</v>
      </c>
      <c r="F747" s="4">
        <v>53296.093000000001</v>
      </c>
      <c r="G747" s="4">
        <v>53297.283000000003</v>
      </c>
      <c r="H747" s="5">
        <f>20 / 86400</f>
        <v>2.3148148148148149E-4</v>
      </c>
      <c r="I747" t="s">
        <v>159</v>
      </c>
      <c r="J747" t="s">
        <v>47</v>
      </c>
      <c r="K747" s="5">
        <f>327 / 86400</f>
        <v>3.7847222222222223E-3</v>
      </c>
      <c r="L747" s="5">
        <f>1136 / 86400</f>
        <v>1.3148148148148148E-2</v>
      </c>
    </row>
    <row r="748" spans="1:12" x14ac:dyDescent="0.25">
      <c r="A748" s="3">
        <v>45696.33966435185</v>
      </c>
      <c r="B748" t="s">
        <v>460</v>
      </c>
      <c r="C748" s="3">
        <v>45696.467002314814</v>
      </c>
      <c r="D748" t="s">
        <v>369</v>
      </c>
      <c r="E748" s="4">
        <v>48.218000000000004</v>
      </c>
      <c r="F748" s="4">
        <v>53297.283000000003</v>
      </c>
      <c r="G748" s="4">
        <v>53345.500999999997</v>
      </c>
      <c r="H748" s="5">
        <f>3717 / 86400</f>
        <v>4.3020833333333335E-2</v>
      </c>
      <c r="I748" t="s">
        <v>26</v>
      </c>
      <c r="J748" t="s">
        <v>28</v>
      </c>
      <c r="K748" s="5">
        <f>11001 / 86400</f>
        <v>0.12732638888888889</v>
      </c>
      <c r="L748" s="5">
        <f>193 / 86400</f>
        <v>2.2337962962962962E-3</v>
      </c>
    </row>
    <row r="749" spans="1:12" x14ac:dyDescent="0.25">
      <c r="A749" s="3">
        <v>45696.469236111108</v>
      </c>
      <c r="B749" t="s">
        <v>202</v>
      </c>
      <c r="C749" s="3">
        <v>45696.470069444447</v>
      </c>
      <c r="D749" t="s">
        <v>202</v>
      </c>
      <c r="E749" s="4">
        <v>0</v>
      </c>
      <c r="F749" s="4">
        <v>53345.500999999997</v>
      </c>
      <c r="G749" s="4">
        <v>53345.500999999997</v>
      </c>
      <c r="H749" s="5">
        <f>59 / 86400</f>
        <v>6.8287037037037036E-4</v>
      </c>
      <c r="I749" t="s">
        <v>133</v>
      </c>
      <c r="J749" t="s">
        <v>133</v>
      </c>
      <c r="K749" s="5">
        <f>71 / 86400</f>
        <v>8.2175925925925927E-4</v>
      </c>
      <c r="L749" s="5">
        <f>471 / 86400</f>
        <v>5.4513888888888893E-3</v>
      </c>
    </row>
    <row r="750" spans="1:12" x14ac:dyDescent="0.25">
      <c r="A750" s="3">
        <v>45696.475520833337</v>
      </c>
      <c r="B750" t="s">
        <v>200</v>
      </c>
      <c r="C750" s="3">
        <v>45696.476435185185</v>
      </c>
      <c r="D750" t="s">
        <v>200</v>
      </c>
      <c r="E750" s="4">
        <v>0</v>
      </c>
      <c r="F750" s="4">
        <v>53345.500999999997</v>
      </c>
      <c r="G750" s="4">
        <v>53345.500999999997</v>
      </c>
      <c r="H750" s="5">
        <f>59 / 86400</f>
        <v>6.8287037037037036E-4</v>
      </c>
      <c r="I750" t="s">
        <v>133</v>
      </c>
      <c r="J750" t="s">
        <v>133</v>
      </c>
      <c r="K750" s="5">
        <f>78 / 86400</f>
        <v>9.0277777777777774E-4</v>
      </c>
      <c r="L750" s="5">
        <f>254 / 86400</f>
        <v>2.9398148148148148E-3</v>
      </c>
    </row>
    <row r="751" spans="1:12" x14ac:dyDescent="0.25">
      <c r="A751" s="3">
        <v>45696.479374999995</v>
      </c>
      <c r="B751" t="s">
        <v>202</v>
      </c>
      <c r="C751" s="3">
        <v>45696.597881944443</v>
      </c>
      <c r="D751" t="s">
        <v>87</v>
      </c>
      <c r="E751" s="4">
        <v>42.357999999999997</v>
      </c>
      <c r="F751" s="4">
        <v>53345.500999999997</v>
      </c>
      <c r="G751" s="4">
        <v>53387.858999999997</v>
      </c>
      <c r="H751" s="5">
        <f>3818 / 86400</f>
        <v>4.4189814814814814E-2</v>
      </c>
      <c r="I751" t="s">
        <v>60</v>
      </c>
      <c r="J751" t="s">
        <v>24</v>
      </c>
      <c r="K751" s="5">
        <f>10239 / 86400</f>
        <v>0.11850694444444444</v>
      </c>
      <c r="L751" s="5">
        <f>1259 / 86400</f>
        <v>1.457175925925926E-2</v>
      </c>
    </row>
    <row r="752" spans="1:12" x14ac:dyDescent="0.25">
      <c r="A752" s="3">
        <v>45696.612453703703</v>
      </c>
      <c r="B752" t="s">
        <v>87</v>
      </c>
      <c r="C752" s="3">
        <v>45696.615706018521</v>
      </c>
      <c r="D752" t="s">
        <v>87</v>
      </c>
      <c r="E752" s="4">
        <v>0.61699999999999999</v>
      </c>
      <c r="F752" s="4">
        <v>53387.858999999997</v>
      </c>
      <c r="G752" s="4">
        <v>53388.476000000002</v>
      </c>
      <c r="H752" s="5">
        <f>79 / 86400</f>
        <v>9.1435185185185185E-4</v>
      </c>
      <c r="I752" t="s">
        <v>50</v>
      </c>
      <c r="J752" t="s">
        <v>151</v>
      </c>
      <c r="K752" s="5">
        <f>281 / 86400</f>
        <v>3.2523148148148147E-3</v>
      </c>
      <c r="L752" s="5">
        <f>92 / 86400</f>
        <v>1.0648148148148149E-3</v>
      </c>
    </row>
    <row r="753" spans="1:12" x14ac:dyDescent="0.25">
      <c r="A753" s="3">
        <v>45696.616770833338</v>
      </c>
      <c r="B753" t="s">
        <v>87</v>
      </c>
      <c r="C753" s="3">
        <v>45696.724953703699</v>
      </c>
      <c r="D753" t="s">
        <v>202</v>
      </c>
      <c r="E753" s="4">
        <v>44.201999999999998</v>
      </c>
      <c r="F753" s="4">
        <v>53388.476000000002</v>
      </c>
      <c r="G753" s="4">
        <v>53432.678</v>
      </c>
      <c r="H753" s="5">
        <f>3588 / 86400</f>
        <v>4.1527777777777775E-2</v>
      </c>
      <c r="I753" t="s">
        <v>40</v>
      </c>
      <c r="J753" t="s">
        <v>32</v>
      </c>
      <c r="K753" s="5">
        <f>9347 / 86400</f>
        <v>0.10818287037037037</v>
      </c>
      <c r="L753" s="5">
        <f>11 / 86400</f>
        <v>1.273148148148148E-4</v>
      </c>
    </row>
    <row r="754" spans="1:12" x14ac:dyDescent="0.25">
      <c r="A754" s="3">
        <v>45696.725081018521</v>
      </c>
      <c r="B754" t="s">
        <v>202</v>
      </c>
      <c r="C754" s="3">
        <v>45696.725324074076</v>
      </c>
      <c r="D754" t="s">
        <v>369</v>
      </c>
      <c r="E754" s="4">
        <v>1E-3</v>
      </c>
      <c r="F754" s="4">
        <v>53432.678</v>
      </c>
      <c r="G754" s="4">
        <v>53432.678999999996</v>
      </c>
      <c r="H754" s="5">
        <f>0 / 86400</f>
        <v>0</v>
      </c>
      <c r="I754" t="s">
        <v>146</v>
      </c>
      <c r="J754" t="s">
        <v>133</v>
      </c>
      <c r="K754" s="5">
        <f>21 / 86400</f>
        <v>2.4305555555555555E-4</v>
      </c>
      <c r="L754" s="5">
        <f>8 / 86400</f>
        <v>9.2592592592592588E-5</v>
      </c>
    </row>
    <row r="755" spans="1:12" x14ac:dyDescent="0.25">
      <c r="A755" s="3">
        <v>45696.725416666668</v>
      </c>
      <c r="B755" t="s">
        <v>369</v>
      </c>
      <c r="C755" s="3">
        <v>45696.725891203707</v>
      </c>
      <c r="D755" t="s">
        <v>202</v>
      </c>
      <c r="E755" s="4">
        <v>2E-3</v>
      </c>
      <c r="F755" s="4">
        <v>53432.678999999996</v>
      </c>
      <c r="G755" s="4">
        <v>53432.680999999997</v>
      </c>
      <c r="H755" s="5">
        <f>20 / 86400</f>
        <v>2.3148148148148149E-4</v>
      </c>
      <c r="I755" t="s">
        <v>136</v>
      </c>
      <c r="J755" t="s">
        <v>133</v>
      </c>
      <c r="K755" s="5">
        <f>40 / 86400</f>
        <v>4.6296296296296298E-4</v>
      </c>
      <c r="L755" s="5">
        <f>396 / 86400</f>
        <v>4.5833333333333334E-3</v>
      </c>
    </row>
    <row r="756" spans="1:12" x14ac:dyDescent="0.25">
      <c r="A756" s="3">
        <v>45696.730474537035</v>
      </c>
      <c r="B756" t="s">
        <v>200</v>
      </c>
      <c r="C756" s="3">
        <v>45696.866145833337</v>
      </c>
      <c r="D756" t="s">
        <v>82</v>
      </c>
      <c r="E756" s="4">
        <v>46.704999999999998</v>
      </c>
      <c r="F756" s="4">
        <v>53432.680999999997</v>
      </c>
      <c r="G756" s="4">
        <v>53479.385999999999</v>
      </c>
      <c r="H756" s="5">
        <f>4359 / 86400</f>
        <v>5.0451388888888886E-2</v>
      </c>
      <c r="I756" t="s">
        <v>58</v>
      </c>
      <c r="J756" t="s">
        <v>41</v>
      </c>
      <c r="K756" s="5">
        <f>11722 / 86400</f>
        <v>0.13567129629629629</v>
      </c>
      <c r="L756" s="5">
        <f>690 / 86400</f>
        <v>7.9861111111111105E-3</v>
      </c>
    </row>
    <row r="757" spans="1:12" x14ac:dyDescent="0.25">
      <c r="A757" s="3">
        <v>45696.874131944445</v>
      </c>
      <c r="B757" t="s">
        <v>82</v>
      </c>
      <c r="C757" s="3">
        <v>45696.888865740737</v>
      </c>
      <c r="D757" t="s">
        <v>48</v>
      </c>
      <c r="E757" s="4">
        <v>5.0149999999999997</v>
      </c>
      <c r="F757" s="4">
        <v>53479.385999999999</v>
      </c>
      <c r="G757" s="4">
        <v>53484.400999999998</v>
      </c>
      <c r="H757" s="5">
        <f>160 / 86400</f>
        <v>1.8518518518518519E-3</v>
      </c>
      <c r="I757" t="s">
        <v>184</v>
      </c>
      <c r="J757" t="s">
        <v>41</v>
      </c>
      <c r="K757" s="5">
        <f>1272 / 86400</f>
        <v>1.4722222222222222E-2</v>
      </c>
      <c r="L757" s="5">
        <f>9601 / 86400</f>
        <v>0.11112268518518519</v>
      </c>
    </row>
    <row r="758" spans="1:12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</row>
    <row r="760" spans="1:12" s="10" customFormat="1" ht="20.100000000000001" customHeight="1" x14ac:dyDescent="0.35">
      <c r="A760" s="15" t="s">
        <v>517</v>
      </c>
      <c r="B760" s="15"/>
      <c r="C760" s="15"/>
      <c r="D760" s="15"/>
      <c r="E760" s="15"/>
      <c r="F760" s="15"/>
      <c r="G760" s="15"/>
      <c r="H760" s="15"/>
      <c r="I760" s="15"/>
      <c r="J760" s="15"/>
    </row>
    <row r="761" spans="1:12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</row>
    <row r="762" spans="1:12" ht="30" x14ac:dyDescent="0.25">
      <c r="A762" s="2" t="s">
        <v>6</v>
      </c>
      <c r="B762" s="2" t="s">
        <v>7</v>
      </c>
      <c r="C762" s="2" t="s">
        <v>8</v>
      </c>
      <c r="D762" s="2" t="s">
        <v>9</v>
      </c>
      <c r="E762" s="2" t="s">
        <v>10</v>
      </c>
      <c r="F762" s="2" t="s">
        <v>11</v>
      </c>
      <c r="G762" s="2" t="s">
        <v>12</v>
      </c>
      <c r="H762" s="2" t="s">
        <v>13</v>
      </c>
      <c r="I762" s="2" t="s">
        <v>14</v>
      </c>
      <c r="J762" s="2" t="s">
        <v>15</v>
      </c>
      <c r="K762" s="2" t="s">
        <v>16</v>
      </c>
      <c r="L762" s="2" t="s">
        <v>17</v>
      </c>
    </row>
    <row r="763" spans="1:12" x14ac:dyDescent="0.25">
      <c r="A763" s="3">
        <v>45696.18950231481</v>
      </c>
      <c r="B763" t="s">
        <v>51</v>
      </c>
      <c r="C763" s="3">
        <v>45696.189699074079</v>
      </c>
      <c r="D763" t="s">
        <v>51</v>
      </c>
      <c r="E763" s="4">
        <v>0</v>
      </c>
      <c r="F763" s="4">
        <v>214971.394</v>
      </c>
      <c r="G763" s="4">
        <v>214971.394</v>
      </c>
      <c r="H763" s="5">
        <f>0 / 86400</f>
        <v>0</v>
      </c>
      <c r="I763" t="s">
        <v>133</v>
      </c>
      <c r="J763" t="s">
        <v>133</v>
      </c>
      <c r="K763" s="5">
        <f>17 / 86400</f>
        <v>1.9675925925925926E-4</v>
      </c>
      <c r="L763" s="5">
        <f>22147 / 86400</f>
        <v>0.25633101851851853</v>
      </c>
    </row>
    <row r="764" spans="1:12" x14ac:dyDescent="0.25">
      <c r="A764" s="3">
        <v>45696.256527777776</v>
      </c>
      <c r="B764" t="s">
        <v>51</v>
      </c>
      <c r="C764" s="3">
        <v>45696.535983796297</v>
      </c>
      <c r="D764" t="s">
        <v>139</v>
      </c>
      <c r="E764" s="4">
        <v>101.429</v>
      </c>
      <c r="F764" s="4">
        <v>214971.394</v>
      </c>
      <c r="G764" s="4">
        <v>215072.823</v>
      </c>
      <c r="H764" s="5">
        <f>8962 / 86400</f>
        <v>0.10372685185185185</v>
      </c>
      <c r="I764" t="s">
        <v>49</v>
      </c>
      <c r="J764" t="s">
        <v>24</v>
      </c>
      <c r="K764" s="5">
        <f>24144 / 86400</f>
        <v>0.27944444444444444</v>
      </c>
      <c r="L764" s="5">
        <f>630 / 86400</f>
        <v>7.2916666666666668E-3</v>
      </c>
    </row>
    <row r="765" spans="1:12" x14ac:dyDescent="0.25">
      <c r="A765" s="3">
        <v>45696.543275462958</v>
      </c>
      <c r="B765" t="s">
        <v>139</v>
      </c>
      <c r="C765" s="3">
        <v>45696.548761574071</v>
      </c>
      <c r="D765" t="s">
        <v>137</v>
      </c>
      <c r="E765" s="4">
        <v>1.0900000000000001</v>
      </c>
      <c r="F765" s="4">
        <v>215072.823</v>
      </c>
      <c r="G765" s="4">
        <v>215073.913</v>
      </c>
      <c r="H765" s="5">
        <f>99 / 86400</f>
        <v>1.1458333333333333E-3</v>
      </c>
      <c r="I765" t="s">
        <v>24</v>
      </c>
      <c r="J765" t="s">
        <v>151</v>
      </c>
      <c r="K765" s="5">
        <f>474 / 86400</f>
        <v>5.4861111111111109E-3</v>
      </c>
      <c r="L765" s="5">
        <f>39 / 86400</f>
        <v>4.5138888888888887E-4</v>
      </c>
    </row>
    <row r="766" spans="1:12" x14ac:dyDescent="0.25">
      <c r="A766" s="3">
        <v>45696.549212962964</v>
      </c>
      <c r="B766" t="s">
        <v>45</v>
      </c>
      <c r="C766" s="3">
        <v>45696.549247685187</v>
      </c>
      <c r="D766" t="s">
        <v>45</v>
      </c>
      <c r="E766" s="4">
        <v>0</v>
      </c>
      <c r="F766" s="4">
        <v>215073.913</v>
      </c>
      <c r="G766" s="4">
        <v>215073.913</v>
      </c>
      <c r="H766" s="5">
        <f>0 / 86400</f>
        <v>0</v>
      </c>
      <c r="I766" t="s">
        <v>133</v>
      </c>
      <c r="J766" t="s">
        <v>133</v>
      </c>
      <c r="K766" s="5">
        <f>3 / 86400</f>
        <v>3.4722222222222222E-5</v>
      </c>
      <c r="L766" s="5">
        <f>876 / 86400</f>
        <v>1.0138888888888888E-2</v>
      </c>
    </row>
    <row r="767" spans="1:12" x14ac:dyDescent="0.25">
      <c r="A767" s="3">
        <v>45696.559386574074</v>
      </c>
      <c r="B767" t="s">
        <v>137</v>
      </c>
      <c r="C767" s="3">
        <v>45696.560324074075</v>
      </c>
      <c r="D767" t="s">
        <v>45</v>
      </c>
      <c r="E767" s="4">
        <v>9.8000000000000004E-2</v>
      </c>
      <c r="F767" s="4">
        <v>215073.913</v>
      </c>
      <c r="G767" s="4">
        <v>215074.011</v>
      </c>
      <c r="H767" s="5">
        <f>0 / 86400</f>
        <v>0</v>
      </c>
      <c r="I767" t="s">
        <v>59</v>
      </c>
      <c r="J767" t="s">
        <v>181</v>
      </c>
      <c r="K767" s="5">
        <f>80 / 86400</f>
        <v>9.2592592592592596E-4</v>
      </c>
      <c r="L767" s="5">
        <f>195 / 86400</f>
        <v>2.2569444444444442E-3</v>
      </c>
    </row>
    <row r="768" spans="1:12" x14ac:dyDescent="0.25">
      <c r="A768" s="3">
        <v>45696.562581018516</v>
      </c>
      <c r="B768" t="s">
        <v>45</v>
      </c>
      <c r="C768" s="3">
        <v>45696.563217592593</v>
      </c>
      <c r="D768" t="s">
        <v>45</v>
      </c>
      <c r="E768" s="4">
        <v>8.0000000000000002E-3</v>
      </c>
      <c r="F768" s="4">
        <v>215074.011</v>
      </c>
      <c r="G768" s="4">
        <v>215074.019</v>
      </c>
      <c r="H768" s="5">
        <f>39 / 86400</f>
        <v>4.5138888888888887E-4</v>
      </c>
      <c r="I768" t="s">
        <v>146</v>
      </c>
      <c r="J768" t="s">
        <v>91</v>
      </c>
      <c r="K768" s="5">
        <f>55 / 86400</f>
        <v>6.3657407407407413E-4</v>
      </c>
      <c r="L768" s="5">
        <f>808 / 86400</f>
        <v>9.3518518518518525E-3</v>
      </c>
    </row>
    <row r="769" spans="1:12" x14ac:dyDescent="0.25">
      <c r="A769" s="3">
        <v>45696.572569444441</v>
      </c>
      <c r="B769" t="s">
        <v>45</v>
      </c>
      <c r="C769" s="3">
        <v>45696.845173611116</v>
      </c>
      <c r="D769" t="s">
        <v>82</v>
      </c>
      <c r="E769" s="4">
        <v>98.69</v>
      </c>
      <c r="F769" s="4">
        <v>215074.019</v>
      </c>
      <c r="G769" s="4">
        <v>215172.709</v>
      </c>
      <c r="H769" s="5">
        <f>8683 / 86400</f>
        <v>0.10049768518518519</v>
      </c>
      <c r="I769" t="s">
        <v>84</v>
      </c>
      <c r="J769" t="s">
        <v>24</v>
      </c>
      <c r="K769" s="5">
        <f>23553 / 86400</f>
        <v>0.27260416666666665</v>
      </c>
      <c r="L769" s="5">
        <f>853 / 86400</f>
        <v>9.8726851851851857E-3</v>
      </c>
    </row>
    <row r="770" spans="1:12" x14ac:dyDescent="0.25">
      <c r="A770" s="3">
        <v>45696.855046296296</v>
      </c>
      <c r="B770" t="s">
        <v>82</v>
      </c>
      <c r="C770" s="3">
        <v>45696.860879629632</v>
      </c>
      <c r="D770" t="s">
        <v>51</v>
      </c>
      <c r="E770" s="4">
        <v>0.86799999999999999</v>
      </c>
      <c r="F770" s="4">
        <v>215172.709</v>
      </c>
      <c r="G770" s="4">
        <v>215173.57699999999</v>
      </c>
      <c r="H770" s="5">
        <f>220 / 86400</f>
        <v>2.5462962962962965E-3</v>
      </c>
      <c r="I770" t="s">
        <v>159</v>
      </c>
      <c r="J770" t="s">
        <v>146</v>
      </c>
      <c r="K770" s="5">
        <f>504 / 86400</f>
        <v>5.8333333333333336E-3</v>
      </c>
      <c r="L770" s="5">
        <f>2 / 86400</f>
        <v>2.3148148148148147E-5</v>
      </c>
    </row>
    <row r="771" spans="1:12" x14ac:dyDescent="0.25">
      <c r="A771" s="3">
        <v>45696.860902777778</v>
      </c>
      <c r="B771" t="s">
        <v>51</v>
      </c>
      <c r="C771" s="3">
        <v>45696.861018518517</v>
      </c>
      <c r="D771" t="s">
        <v>51</v>
      </c>
      <c r="E771" s="4">
        <v>0</v>
      </c>
      <c r="F771" s="4">
        <v>215173.57699999999</v>
      </c>
      <c r="G771" s="4">
        <v>215173.57699999999</v>
      </c>
      <c r="H771" s="5">
        <f>0 / 86400</f>
        <v>0</v>
      </c>
      <c r="I771" t="s">
        <v>133</v>
      </c>
      <c r="J771" t="s">
        <v>133</v>
      </c>
      <c r="K771" s="5">
        <f>10 / 86400</f>
        <v>1.1574074074074075E-4</v>
      </c>
      <c r="L771" s="5">
        <f>12007 / 86400</f>
        <v>0.13896990740740742</v>
      </c>
    </row>
    <row r="772" spans="1:12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</row>
    <row r="773" spans="1:12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</row>
    <row r="774" spans="1:12" s="10" customFormat="1" ht="20.100000000000001" customHeight="1" x14ac:dyDescent="0.35">
      <c r="A774" s="15" t="s">
        <v>518</v>
      </c>
      <c r="B774" s="15"/>
      <c r="C774" s="15"/>
      <c r="D774" s="15"/>
      <c r="E774" s="15"/>
      <c r="F774" s="15"/>
      <c r="G774" s="15"/>
      <c r="H774" s="15"/>
      <c r="I774" s="15"/>
      <c r="J774" s="15"/>
    </row>
    <row r="775" spans="1:12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</row>
    <row r="776" spans="1:12" ht="30" x14ac:dyDescent="0.25">
      <c r="A776" s="2" t="s">
        <v>6</v>
      </c>
      <c r="B776" s="2" t="s">
        <v>7</v>
      </c>
      <c r="C776" s="2" t="s">
        <v>8</v>
      </c>
      <c r="D776" s="2" t="s">
        <v>9</v>
      </c>
      <c r="E776" s="2" t="s">
        <v>10</v>
      </c>
      <c r="F776" s="2" t="s">
        <v>11</v>
      </c>
      <c r="G776" s="2" t="s">
        <v>12</v>
      </c>
      <c r="H776" s="2" t="s">
        <v>13</v>
      </c>
      <c r="I776" s="2" t="s">
        <v>14</v>
      </c>
      <c r="J776" s="2" t="s">
        <v>15</v>
      </c>
      <c r="K776" s="2" t="s">
        <v>16</v>
      </c>
      <c r="L776" s="2" t="s">
        <v>17</v>
      </c>
    </row>
    <row r="777" spans="1:12" x14ac:dyDescent="0.25">
      <c r="A777" s="3">
        <v>45696.272916666669</v>
      </c>
      <c r="B777" t="s">
        <v>52</v>
      </c>
      <c r="C777" s="3">
        <v>45696.279861111107</v>
      </c>
      <c r="D777" t="s">
        <v>238</v>
      </c>
      <c r="E777" s="4">
        <v>1.6919999999999999</v>
      </c>
      <c r="F777" s="4">
        <v>524234.87599999999</v>
      </c>
      <c r="G777" s="4">
        <v>524236.56800000003</v>
      </c>
      <c r="H777" s="5">
        <f>119 / 86400</f>
        <v>1.3773148148148147E-3</v>
      </c>
      <c r="I777" t="s">
        <v>180</v>
      </c>
      <c r="J777" t="s">
        <v>85</v>
      </c>
      <c r="K777" s="5">
        <f>600 / 86400</f>
        <v>6.9444444444444441E-3</v>
      </c>
      <c r="L777" s="5">
        <f>27306 / 86400</f>
        <v>0.31604166666666667</v>
      </c>
    </row>
    <row r="778" spans="1:12" x14ac:dyDescent="0.25">
      <c r="A778" s="3">
        <v>45696.32298611111</v>
      </c>
      <c r="B778" t="s">
        <v>238</v>
      </c>
      <c r="C778" s="3">
        <v>45696.329050925924</v>
      </c>
      <c r="D778" t="s">
        <v>238</v>
      </c>
      <c r="E778" s="4">
        <v>0.05</v>
      </c>
      <c r="F778" s="4">
        <v>524236.56800000003</v>
      </c>
      <c r="G778" s="4">
        <v>524236.61800000002</v>
      </c>
      <c r="H778" s="5">
        <f>479 / 86400</f>
        <v>5.5439814814814813E-3</v>
      </c>
      <c r="I778" t="s">
        <v>136</v>
      </c>
      <c r="J778" t="s">
        <v>133</v>
      </c>
      <c r="K778" s="5">
        <f>523 / 86400</f>
        <v>6.053240740740741E-3</v>
      </c>
      <c r="L778" s="5">
        <f>169 / 86400</f>
        <v>1.9560185185185184E-3</v>
      </c>
    </row>
    <row r="779" spans="1:12" x14ac:dyDescent="0.25">
      <c r="A779" s="3">
        <v>45696.331006944441</v>
      </c>
      <c r="B779" t="s">
        <v>238</v>
      </c>
      <c r="C779" s="3">
        <v>45696.410208333335</v>
      </c>
      <c r="D779" t="s">
        <v>461</v>
      </c>
      <c r="E779" s="4">
        <v>22.396999999999998</v>
      </c>
      <c r="F779" s="4">
        <v>524236.61800000002</v>
      </c>
      <c r="G779" s="4">
        <v>524259.01500000001</v>
      </c>
      <c r="H779" s="5">
        <f>2859 / 86400</f>
        <v>3.3090277777777781E-2</v>
      </c>
      <c r="I779" t="s">
        <v>239</v>
      </c>
      <c r="J779" t="s">
        <v>59</v>
      </c>
      <c r="K779" s="5">
        <f>6843 / 86400</f>
        <v>7.9201388888888891E-2</v>
      </c>
      <c r="L779" s="5">
        <f>603 / 86400</f>
        <v>6.9791666666666665E-3</v>
      </c>
    </row>
    <row r="780" spans="1:12" x14ac:dyDescent="0.25">
      <c r="A780" s="3">
        <v>45696.417187500003</v>
      </c>
      <c r="B780" t="s">
        <v>461</v>
      </c>
      <c r="C780" s="3">
        <v>45696.515740740739</v>
      </c>
      <c r="D780" t="s">
        <v>51</v>
      </c>
      <c r="E780" s="4">
        <v>43.569999999940393</v>
      </c>
      <c r="F780" s="4">
        <v>524259.01500000001</v>
      </c>
      <c r="G780" s="4">
        <v>524302.58499999996</v>
      </c>
      <c r="H780" s="5">
        <f>2359 / 86400</f>
        <v>2.7303240740740739E-2</v>
      </c>
      <c r="I780" t="s">
        <v>172</v>
      </c>
      <c r="J780" t="s">
        <v>50</v>
      </c>
      <c r="K780" s="5">
        <f>8514 / 86400</f>
        <v>9.8541666666666666E-2</v>
      </c>
      <c r="L780" s="5">
        <f>719 / 86400</f>
        <v>8.3217592592592596E-3</v>
      </c>
    </row>
    <row r="781" spans="1:12" x14ac:dyDescent="0.25">
      <c r="A781" s="3">
        <v>45696.524062500001</v>
      </c>
      <c r="B781" t="s">
        <v>51</v>
      </c>
      <c r="C781" s="3">
        <v>45696.525960648149</v>
      </c>
      <c r="D781" t="s">
        <v>137</v>
      </c>
      <c r="E781" s="4">
        <v>0.25300000005960466</v>
      </c>
      <c r="F781" s="4">
        <v>524302.58499999996</v>
      </c>
      <c r="G781" s="4">
        <v>524302.83799999999</v>
      </c>
      <c r="H781" s="5">
        <f>39 / 86400</f>
        <v>4.5138888888888887E-4</v>
      </c>
      <c r="I781" t="s">
        <v>20</v>
      </c>
      <c r="J781" t="s">
        <v>146</v>
      </c>
      <c r="K781" s="5">
        <f>163 / 86400</f>
        <v>1.8865740740740742E-3</v>
      </c>
      <c r="L781" s="5">
        <f>1763 / 86400</f>
        <v>2.0405092592592593E-2</v>
      </c>
    </row>
    <row r="782" spans="1:12" x14ac:dyDescent="0.25">
      <c r="A782" s="3">
        <v>45696.546365740738</v>
      </c>
      <c r="B782" t="s">
        <v>137</v>
      </c>
      <c r="C782" s="3">
        <v>45696.548611111109</v>
      </c>
      <c r="D782" t="s">
        <v>82</v>
      </c>
      <c r="E782" s="4">
        <v>0.78700000000000003</v>
      </c>
      <c r="F782" s="4">
        <v>524302.83799999999</v>
      </c>
      <c r="G782" s="4">
        <v>524303.625</v>
      </c>
      <c r="H782" s="5">
        <f>0 / 86400</f>
        <v>0</v>
      </c>
      <c r="I782" t="s">
        <v>165</v>
      </c>
      <c r="J782" t="s">
        <v>24</v>
      </c>
      <c r="K782" s="5">
        <f>194 / 86400</f>
        <v>2.2453703703703702E-3</v>
      </c>
      <c r="L782" s="5">
        <f>250 / 86400</f>
        <v>2.8935185185185184E-3</v>
      </c>
    </row>
    <row r="783" spans="1:12" x14ac:dyDescent="0.25">
      <c r="A783" s="3">
        <v>45696.551504629635</v>
      </c>
      <c r="B783" t="s">
        <v>82</v>
      </c>
      <c r="C783" s="3">
        <v>45696.552662037036</v>
      </c>
      <c r="D783" t="s">
        <v>82</v>
      </c>
      <c r="E783" s="4">
        <v>0.11199999994039536</v>
      </c>
      <c r="F783" s="4">
        <v>524303.625</v>
      </c>
      <c r="G783" s="4">
        <v>524303.73699999996</v>
      </c>
      <c r="H783" s="5">
        <f>40 / 86400</f>
        <v>4.6296296296296298E-4</v>
      </c>
      <c r="I783" t="s">
        <v>35</v>
      </c>
      <c r="J783" t="s">
        <v>181</v>
      </c>
      <c r="K783" s="5">
        <f>100 / 86400</f>
        <v>1.1574074074074073E-3</v>
      </c>
      <c r="L783" s="5">
        <f>710 / 86400</f>
        <v>8.2175925925925923E-3</v>
      </c>
    </row>
    <row r="784" spans="1:12" x14ac:dyDescent="0.25">
      <c r="A784" s="3">
        <v>45696.560879629629</v>
      </c>
      <c r="B784" t="s">
        <v>82</v>
      </c>
      <c r="C784" s="3">
        <v>45696.755486111113</v>
      </c>
      <c r="D784" t="s">
        <v>447</v>
      </c>
      <c r="E784" s="4">
        <v>68.233000000059604</v>
      </c>
      <c r="F784" s="4">
        <v>524303.73699999996</v>
      </c>
      <c r="G784" s="4">
        <v>524371.97</v>
      </c>
      <c r="H784" s="5">
        <f>6108 / 86400</f>
        <v>7.0694444444444449E-2</v>
      </c>
      <c r="I784" t="s">
        <v>43</v>
      </c>
      <c r="J784" t="s">
        <v>24</v>
      </c>
      <c r="K784" s="5">
        <f>16813 / 86400</f>
        <v>0.1945949074074074</v>
      </c>
      <c r="L784" s="5">
        <f>129 / 86400</f>
        <v>1.4930555555555556E-3</v>
      </c>
    </row>
    <row r="785" spans="1:12" x14ac:dyDescent="0.25">
      <c r="A785" s="3">
        <v>45696.756979166668</v>
      </c>
      <c r="B785" t="s">
        <v>319</v>
      </c>
      <c r="C785" s="3">
        <v>45696.909490740742</v>
      </c>
      <c r="D785" t="s">
        <v>92</v>
      </c>
      <c r="E785" s="4">
        <v>47.18</v>
      </c>
      <c r="F785" s="4">
        <v>524371.97</v>
      </c>
      <c r="G785" s="4">
        <v>524419.15</v>
      </c>
      <c r="H785" s="5">
        <f>4598 / 86400</f>
        <v>5.3217592592592594E-2</v>
      </c>
      <c r="I785" t="s">
        <v>239</v>
      </c>
      <c r="J785" t="s">
        <v>47</v>
      </c>
      <c r="K785" s="5">
        <f>13177 / 86400</f>
        <v>0.15251157407407406</v>
      </c>
      <c r="L785" s="5">
        <f>176 / 86400</f>
        <v>2.0370370370370369E-3</v>
      </c>
    </row>
    <row r="786" spans="1:12" x14ac:dyDescent="0.25">
      <c r="A786" s="3">
        <v>45696.911527777775</v>
      </c>
      <c r="B786" t="s">
        <v>92</v>
      </c>
      <c r="C786" s="3">
        <v>45696.917210648149</v>
      </c>
      <c r="D786" t="s">
        <v>53</v>
      </c>
      <c r="E786" s="4">
        <v>2.6870000000596046</v>
      </c>
      <c r="F786" s="4">
        <v>524419.15</v>
      </c>
      <c r="G786" s="4">
        <v>524421.83700000006</v>
      </c>
      <c r="H786" s="5">
        <f>80 / 86400</f>
        <v>9.2592592592592596E-4</v>
      </c>
      <c r="I786" t="s">
        <v>251</v>
      </c>
      <c r="J786" t="s">
        <v>175</v>
      </c>
      <c r="K786" s="5">
        <f>491 / 86400</f>
        <v>5.6828703703703702E-3</v>
      </c>
      <c r="L786" s="5">
        <f>7152 / 86400</f>
        <v>8.2777777777777783E-2</v>
      </c>
    </row>
    <row r="787" spans="1:12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</row>
    <row r="788" spans="1:12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</row>
    <row r="789" spans="1:12" s="10" customFormat="1" ht="20.100000000000001" customHeight="1" x14ac:dyDescent="0.35">
      <c r="A789" s="15" t="s">
        <v>519</v>
      </c>
      <c r="B789" s="15"/>
      <c r="C789" s="15"/>
      <c r="D789" s="15"/>
      <c r="E789" s="15"/>
      <c r="F789" s="15"/>
      <c r="G789" s="15"/>
      <c r="H789" s="15"/>
      <c r="I789" s="15"/>
      <c r="J789" s="15"/>
    </row>
    <row r="790" spans="1:12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</row>
    <row r="791" spans="1:12" ht="30" x14ac:dyDescent="0.25">
      <c r="A791" s="2" t="s">
        <v>6</v>
      </c>
      <c r="B791" s="2" t="s">
        <v>7</v>
      </c>
      <c r="C791" s="2" t="s">
        <v>8</v>
      </c>
      <c r="D791" s="2" t="s">
        <v>9</v>
      </c>
      <c r="E791" s="2" t="s">
        <v>10</v>
      </c>
      <c r="F791" s="2" t="s">
        <v>11</v>
      </c>
      <c r="G791" s="2" t="s">
        <v>12</v>
      </c>
      <c r="H791" s="2" t="s">
        <v>13</v>
      </c>
      <c r="I791" s="2" t="s">
        <v>14</v>
      </c>
      <c r="J791" s="2" t="s">
        <v>15</v>
      </c>
      <c r="K791" s="2" t="s">
        <v>16</v>
      </c>
      <c r="L791" s="2" t="s">
        <v>17</v>
      </c>
    </row>
    <row r="792" spans="1:12" x14ac:dyDescent="0.25">
      <c r="A792" s="3">
        <v>45696.253368055557</v>
      </c>
      <c r="B792" t="s">
        <v>54</v>
      </c>
      <c r="C792" s="3">
        <v>45696.255856481483</v>
      </c>
      <c r="D792" t="s">
        <v>462</v>
      </c>
      <c r="E792" s="4">
        <v>0.33400000000000002</v>
      </c>
      <c r="F792" s="4">
        <v>425129.652</v>
      </c>
      <c r="G792" s="4">
        <v>425129.98599999998</v>
      </c>
      <c r="H792" s="5">
        <f>100 / 86400</f>
        <v>1.1574074074074073E-3</v>
      </c>
      <c r="I792" t="s">
        <v>28</v>
      </c>
      <c r="J792" t="s">
        <v>146</v>
      </c>
      <c r="K792" s="5">
        <f>214 / 86400</f>
        <v>2.476851851851852E-3</v>
      </c>
      <c r="L792" s="5">
        <f>22189 / 86400</f>
        <v>0.2568171296296296</v>
      </c>
    </row>
    <row r="793" spans="1:12" x14ac:dyDescent="0.25">
      <c r="A793" s="3">
        <v>45696.259305555555</v>
      </c>
      <c r="B793" t="s">
        <v>462</v>
      </c>
      <c r="C793" s="3">
        <v>45696.348750000005</v>
      </c>
      <c r="D793" t="s">
        <v>82</v>
      </c>
      <c r="E793" s="4">
        <v>45.646999999999998</v>
      </c>
      <c r="F793" s="4">
        <v>425129.98599999998</v>
      </c>
      <c r="G793" s="4">
        <v>425175.63299999997</v>
      </c>
      <c r="H793" s="5">
        <f>1659 / 86400</f>
        <v>1.9201388888888889E-2</v>
      </c>
      <c r="I793" t="s">
        <v>324</v>
      </c>
      <c r="J793" t="s">
        <v>35</v>
      </c>
      <c r="K793" s="5">
        <f>7727 / 86400</f>
        <v>8.9432870370370371E-2</v>
      </c>
      <c r="L793" s="5">
        <f>1573 / 86400</f>
        <v>1.8206018518518517E-2</v>
      </c>
    </row>
    <row r="794" spans="1:12" x14ac:dyDescent="0.25">
      <c r="A794" s="3">
        <v>45696.366956018523</v>
      </c>
      <c r="B794" t="s">
        <v>82</v>
      </c>
      <c r="C794" s="3">
        <v>45696.371863425928</v>
      </c>
      <c r="D794" t="s">
        <v>139</v>
      </c>
      <c r="E794" s="4">
        <v>1.306</v>
      </c>
      <c r="F794" s="4">
        <v>425175.63299999997</v>
      </c>
      <c r="G794" s="4">
        <v>425176.93900000001</v>
      </c>
      <c r="H794" s="5">
        <f>82 / 86400</f>
        <v>9.4907407407407408E-4</v>
      </c>
      <c r="I794" t="s">
        <v>159</v>
      </c>
      <c r="J794" t="s">
        <v>20</v>
      </c>
      <c r="K794" s="5">
        <f>423 / 86400</f>
        <v>4.8958333333333336E-3</v>
      </c>
      <c r="L794" s="5">
        <f>2321 / 86400</f>
        <v>2.6863425925925926E-2</v>
      </c>
    </row>
    <row r="795" spans="1:12" x14ac:dyDescent="0.25">
      <c r="A795" s="3">
        <v>45696.398726851854</v>
      </c>
      <c r="B795" t="s">
        <v>139</v>
      </c>
      <c r="C795" s="3">
        <v>45696.403703703705</v>
      </c>
      <c r="D795" t="s">
        <v>152</v>
      </c>
      <c r="E795" s="4">
        <v>1.482</v>
      </c>
      <c r="F795" s="4">
        <v>425176.93900000001</v>
      </c>
      <c r="G795" s="4">
        <v>425178.42099999997</v>
      </c>
      <c r="H795" s="5">
        <f>60 / 86400</f>
        <v>6.9444444444444447E-4</v>
      </c>
      <c r="I795" t="s">
        <v>161</v>
      </c>
      <c r="J795" t="s">
        <v>59</v>
      </c>
      <c r="K795" s="5">
        <f>429 / 86400</f>
        <v>4.9652777777777777E-3</v>
      </c>
      <c r="L795" s="5">
        <f>206 / 86400</f>
        <v>2.3842592592592591E-3</v>
      </c>
    </row>
    <row r="796" spans="1:12" x14ac:dyDescent="0.25">
      <c r="A796" s="3">
        <v>45696.406087962961</v>
      </c>
      <c r="B796" t="s">
        <v>152</v>
      </c>
      <c r="C796" s="3">
        <v>45696.525578703702</v>
      </c>
      <c r="D796" t="s">
        <v>164</v>
      </c>
      <c r="E796" s="4">
        <v>49.658999999999999</v>
      </c>
      <c r="F796" s="4">
        <v>425178.42099999997</v>
      </c>
      <c r="G796" s="4">
        <v>425228.08</v>
      </c>
      <c r="H796" s="5">
        <f>3140 / 86400</f>
        <v>3.6342592592592593E-2</v>
      </c>
      <c r="I796" t="s">
        <v>55</v>
      </c>
      <c r="J796" t="s">
        <v>32</v>
      </c>
      <c r="K796" s="5">
        <f>10324 / 86400</f>
        <v>0.11949074074074074</v>
      </c>
      <c r="L796" s="5">
        <f>499 / 86400</f>
        <v>5.7754629629629631E-3</v>
      </c>
    </row>
    <row r="797" spans="1:12" x14ac:dyDescent="0.25">
      <c r="A797" s="3">
        <v>45696.531354166669</v>
      </c>
      <c r="B797" t="s">
        <v>164</v>
      </c>
      <c r="C797" s="3">
        <v>45696.609467592592</v>
      </c>
      <c r="D797" t="s">
        <v>462</v>
      </c>
      <c r="E797" s="4">
        <v>19.491</v>
      </c>
      <c r="F797" s="4">
        <v>425228.08</v>
      </c>
      <c r="G797" s="4">
        <v>425247.571</v>
      </c>
      <c r="H797" s="5">
        <f>2740 / 86400</f>
        <v>3.1712962962962964E-2</v>
      </c>
      <c r="I797" t="s">
        <v>263</v>
      </c>
      <c r="J797" t="s">
        <v>85</v>
      </c>
      <c r="K797" s="5">
        <f>6748 / 86400</f>
        <v>7.8101851851851853E-2</v>
      </c>
      <c r="L797" s="5">
        <f>2775 / 86400</f>
        <v>3.2118055555555552E-2</v>
      </c>
    </row>
    <row r="798" spans="1:12" x14ac:dyDescent="0.25">
      <c r="A798" s="3">
        <v>45696.641585648147</v>
      </c>
      <c r="B798" t="s">
        <v>462</v>
      </c>
      <c r="C798" s="3">
        <v>45696.641805555555</v>
      </c>
      <c r="D798" t="s">
        <v>462</v>
      </c>
      <c r="E798" s="4">
        <v>0</v>
      </c>
      <c r="F798" s="4">
        <v>425247.571</v>
      </c>
      <c r="G798" s="4">
        <v>425247.571</v>
      </c>
      <c r="H798" s="5">
        <f>0 / 86400</f>
        <v>0</v>
      </c>
      <c r="I798" t="s">
        <v>133</v>
      </c>
      <c r="J798" t="s">
        <v>133</v>
      </c>
      <c r="K798" s="5">
        <f>19 / 86400</f>
        <v>2.199074074074074E-4</v>
      </c>
      <c r="L798" s="5">
        <f>17 / 86400</f>
        <v>1.9675925925925926E-4</v>
      </c>
    </row>
    <row r="799" spans="1:12" x14ac:dyDescent="0.25">
      <c r="A799" s="3">
        <v>45696.642002314809</v>
      </c>
      <c r="B799" t="s">
        <v>462</v>
      </c>
      <c r="C799" s="3">
        <v>45696.643599537041</v>
      </c>
      <c r="D799" t="s">
        <v>462</v>
      </c>
      <c r="E799" s="4">
        <v>0.49399999999999999</v>
      </c>
      <c r="F799" s="4">
        <v>425247.571</v>
      </c>
      <c r="G799" s="4">
        <v>425248.065</v>
      </c>
      <c r="H799" s="5">
        <f>40 / 86400</f>
        <v>4.6296296296296298E-4</v>
      </c>
      <c r="I799" t="s">
        <v>163</v>
      </c>
      <c r="J799" t="s">
        <v>47</v>
      </c>
      <c r="K799" s="5">
        <f>138 / 86400</f>
        <v>1.5972222222222223E-3</v>
      </c>
      <c r="L799" s="5">
        <f>258 / 86400</f>
        <v>2.9861111111111113E-3</v>
      </c>
    </row>
    <row r="800" spans="1:12" x14ac:dyDescent="0.25">
      <c r="A800" s="3">
        <v>45696.646585648152</v>
      </c>
      <c r="B800" t="s">
        <v>462</v>
      </c>
      <c r="C800" s="3">
        <v>45696.647337962961</v>
      </c>
      <c r="D800" t="s">
        <v>462</v>
      </c>
      <c r="E800" s="4">
        <v>0.32</v>
      </c>
      <c r="F800" s="4">
        <v>425248.065</v>
      </c>
      <c r="G800" s="4">
        <v>425248.38500000001</v>
      </c>
      <c r="H800" s="5">
        <f>0 / 86400</f>
        <v>0</v>
      </c>
      <c r="I800" t="s">
        <v>35</v>
      </c>
      <c r="J800" t="s">
        <v>50</v>
      </c>
      <c r="K800" s="5">
        <f>65 / 86400</f>
        <v>7.5231481481481482E-4</v>
      </c>
      <c r="L800" s="5">
        <f>78 / 86400</f>
        <v>9.0277777777777774E-4</v>
      </c>
    </row>
    <row r="801" spans="1:12" x14ac:dyDescent="0.25">
      <c r="A801" s="3">
        <v>45696.648240740746</v>
      </c>
      <c r="B801" t="s">
        <v>462</v>
      </c>
      <c r="C801" s="3">
        <v>45696.736516203702</v>
      </c>
      <c r="D801" t="s">
        <v>82</v>
      </c>
      <c r="E801" s="4">
        <v>36.765999999999998</v>
      </c>
      <c r="F801" s="4">
        <v>425248.38500000001</v>
      </c>
      <c r="G801" s="4">
        <v>425285.15100000001</v>
      </c>
      <c r="H801" s="5">
        <f>2241 / 86400</f>
        <v>2.5937499999999999E-2</v>
      </c>
      <c r="I801" t="s">
        <v>178</v>
      </c>
      <c r="J801" t="s">
        <v>32</v>
      </c>
      <c r="K801" s="5">
        <f>7626 / 86400</f>
        <v>8.8263888888888892E-2</v>
      </c>
      <c r="L801" s="5">
        <f>736 / 86400</f>
        <v>8.518518518518519E-3</v>
      </c>
    </row>
    <row r="802" spans="1:12" x14ac:dyDescent="0.25">
      <c r="A802" s="3">
        <v>45696.745034722218</v>
      </c>
      <c r="B802" t="s">
        <v>82</v>
      </c>
      <c r="C802" s="3">
        <v>45696.745868055557</v>
      </c>
      <c r="D802" t="s">
        <v>82</v>
      </c>
      <c r="E802" s="4">
        <v>4.1000000000000002E-2</v>
      </c>
      <c r="F802" s="4">
        <v>425285.15100000001</v>
      </c>
      <c r="G802" s="4">
        <v>425285.19199999998</v>
      </c>
      <c r="H802" s="5">
        <f>0 / 86400</f>
        <v>0</v>
      </c>
      <c r="I802" t="s">
        <v>90</v>
      </c>
      <c r="J802" t="s">
        <v>132</v>
      </c>
      <c r="K802" s="5">
        <f>71 / 86400</f>
        <v>8.2175925925925927E-4</v>
      </c>
      <c r="L802" s="5">
        <f>3211 / 86400</f>
        <v>3.7164351851851851E-2</v>
      </c>
    </row>
    <row r="803" spans="1:12" x14ac:dyDescent="0.25">
      <c r="A803" s="3">
        <v>45696.783032407402</v>
      </c>
      <c r="B803" t="s">
        <v>82</v>
      </c>
      <c r="C803" s="3">
        <v>45696.845543981486</v>
      </c>
      <c r="D803" t="s">
        <v>463</v>
      </c>
      <c r="E803" s="4">
        <v>34.695</v>
      </c>
      <c r="F803" s="4">
        <v>425285.19199999998</v>
      </c>
      <c r="G803" s="4">
        <v>425319.88699999999</v>
      </c>
      <c r="H803" s="5">
        <f>1000 / 86400</f>
        <v>1.1574074074074073E-2</v>
      </c>
      <c r="I803" t="s">
        <v>239</v>
      </c>
      <c r="J803" t="s">
        <v>138</v>
      </c>
      <c r="K803" s="5">
        <f>5401 / 86400</f>
        <v>6.2511574074074081E-2</v>
      </c>
      <c r="L803" s="5">
        <f>280 / 86400</f>
        <v>3.2407407407407406E-3</v>
      </c>
    </row>
    <row r="804" spans="1:12" x14ac:dyDescent="0.25">
      <c r="A804" s="3">
        <v>45696.84878472222</v>
      </c>
      <c r="B804" t="s">
        <v>463</v>
      </c>
      <c r="C804" s="3">
        <v>45696.852314814816</v>
      </c>
      <c r="D804" t="s">
        <v>54</v>
      </c>
      <c r="E804" s="4">
        <v>0.246</v>
      </c>
      <c r="F804" s="4">
        <v>425319.88699999999</v>
      </c>
      <c r="G804" s="4">
        <v>425320.13299999997</v>
      </c>
      <c r="H804" s="5">
        <f>179 / 86400</f>
        <v>2.0717592592592593E-3</v>
      </c>
      <c r="I804" t="s">
        <v>20</v>
      </c>
      <c r="J804" t="s">
        <v>188</v>
      </c>
      <c r="K804" s="5">
        <f>305 / 86400</f>
        <v>3.5300925925925925E-3</v>
      </c>
      <c r="L804" s="5">
        <f>319 / 86400</f>
        <v>3.6921296296296298E-3</v>
      </c>
    </row>
    <row r="805" spans="1:12" x14ac:dyDescent="0.25">
      <c r="A805" s="3">
        <v>45696.856006944443</v>
      </c>
      <c r="B805" t="s">
        <v>54</v>
      </c>
      <c r="C805" s="3">
        <v>45696.857569444444</v>
      </c>
      <c r="D805" t="s">
        <v>54</v>
      </c>
      <c r="E805" s="4">
        <v>2.1999999999999999E-2</v>
      </c>
      <c r="F805" s="4">
        <v>425320.13299999997</v>
      </c>
      <c r="G805" s="4">
        <v>425320.15500000003</v>
      </c>
      <c r="H805" s="5">
        <f>100 / 86400</f>
        <v>1.1574074074074073E-3</v>
      </c>
      <c r="I805" t="s">
        <v>136</v>
      </c>
      <c r="J805" t="s">
        <v>91</v>
      </c>
      <c r="K805" s="5">
        <f>135 / 86400</f>
        <v>1.5625000000000001E-3</v>
      </c>
      <c r="L805" s="5">
        <f>12305 / 86400</f>
        <v>0.14241898148148149</v>
      </c>
    </row>
    <row r="806" spans="1:12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</row>
    <row r="807" spans="1:12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</row>
    <row r="808" spans="1:12" s="10" customFormat="1" ht="20.100000000000001" customHeight="1" x14ac:dyDescent="0.35">
      <c r="A808" s="15" t="s">
        <v>520</v>
      </c>
      <c r="B808" s="15"/>
      <c r="C808" s="15"/>
      <c r="D808" s="15"/>
      <c r="E808" s="15"/>
      <c r="F808" s="15"/>
      <c r="G808" s="15"/>
      <c r="H808" s="15"/>
      <c r="I808" s="15"/>
      <c r="J808" s="15"/>
    </row>
    <row r="809" spans="1:12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</row>
    <row r="810" spans="1:12" ht="30" x14ac:dyDescent="0.25">
      <c r="A810" s="2" t="s">
        <v>6</v>
      </c>
      <c r="B810" s="2" t="s">
        <v>7</v>
      </c>
      <c r="C810" s="2" t="s">
        <v>8</v>
      </c>
      <c r="D810" s="2" t="s">
        <v>9</v>
      </c>
      <c r="E810" s="2" t="s">
        <v>10</v>
      </c>
      <c r="F810" s="2" t="s">
        <v>11</v>
      </c>
      <c r="G810" s="2" t="s">
        <v>12</v>
      </c>
      <c r="H810" s="2" t="s">
        <v>13</v>
      </c>
      <c r="I810" s="2" t="s">
        <v>14</v>
      </c>
      <c r="J810" s="2" t="s">
        <v>15</v>
      </c>
      <c r="K810" s="2" t="s">
        <v>16</v>
      </c>
      <c r="L810" s="2" t="s">
        <v>17</v>
      </c>
    </row>
    <row r="811" spans="1:12" x14ac:dyDescent="0.25">
      <c r="A811" s="3">
        <v>45696.231238425928</v>
      </c>
      <c r="B811" t="s">
        <v>29</v>
      </c>
      <c r="C811" s="3">
        <v>45696.284733796296</v>
      </c>
      <c r="D811" t="s">
        <v>224</v>
      </c>
      <c r="E811" s="4">
        <v>18.25</v>
      </c>
      <c r="F811" s="4">
        <v>11925.174999999999</v>
      </c>
      <c r="G811" s="4">
        <v>11943.424999999999</v>
      </c>
      <c r="H811" s="5">
        <f>1819 / 86400</f>
        <v>2.105324074074074E-2</v>
      </c>
      <c r="I811" t="s">
        <v>178</v>
      </c>
      <c r="J811" t="s">
        <v>41</v>
      </c>
      <c r="K811" s="5">
        <f>4621 / 86400</f>
        <v>5.3483796296296293E-2</v>
      </c>
      <c r="L811" s="5">
        <f>20007 / 86400</f>
        <v>0.2315625</v>
      </c>
    </row>
    <row r="812" spans="1:12" x14ac:dyDescent="0.25">
      <c r="A812" s="3">
        <v>45696.285057870366</v>
      </c>
      <c r="B812" t="s">
        <v>224</v>
      </c>
      <c r="C812" s="3">
        <v>45696.296435185184</v>
      </c>
      <c r="D812" t="s">
        <v>464</v>
      </c>
      <c r="E812" s="4">
        <v>3.613</v>
      </c>
      <c r="F812" s="4">
        <v>11943.424999999999</v>
      </c>
      <c r="G812" s="4">
        <v>11947.038</v>
      </c>
      <c r="H812" s="5">
        <f>459 / 86400</f>
        <v>5.3125000000000004E-3</v>
      </c>
      <c r="I812" t="s">
        <v>241</v>
      </c>
      <c r="J812" t="s">
        <v>47</v>
      </c>
      <c r="K812" s="5">
        <f>983 / 86400</f>
        <v>1.1377314814814814E-2</v>
      </c>
      <c r="L812" s="5">
        <f>56 / 86400</f>
        <v>6.4814814814814813E-4</v>
      </c>
    </row>
    <row r="813" spans="1:12" x14ac:dyDescent="0.25">
      <c r="A813" s="3">
        <v>45696.297083333338</v>
      </c>
      <c r="B813" t="s">
        <v>464</v>
      </c>
      <c r="C813" s="3">
        <v>45696.331261574072</v>
      </c>
      <c r="D813" t="s">
        <v>421</v>
      </c>
      <c r="E813" s="4">
        <v>10.093</v>
      </c>
      <c r="F813" s="4">
        <v>11947.038</v>
      </c>
      <c r="G813" s="4">
        <v>11957.130999999999</v>
      </c>
      <c r="H813" s="5">
        <f>1120 / 86400</f>
        <v>1.2962962962962963E-2</v>
      </c>
      <c r="I813" t="s">
        <v>244</v>
      </c>
      <c r="J813" t="s">
        <v>59</v>
      </c>
      <c r="K813" s="5">
        <f>2953 / 86400</f>
        <v>3.4178240740740738E-2</v>
      </c>
      <c r="L813" s="5">
        <f>67 / 86400</f>
        <v>7.7546296296296293E-4</v>
      </c>
    </row>
    <row r="814" spans="1:12" x14ac:dyDescent="0.25">
      <c r="A814" s="3">
        <v>45696.332037037035</v>
      </c>
      <c r="B814" t="s">
        <v>421</v>
      </c>
      <c r="C814" s="3">
        <v>45696.500300925924</v>
      </c>
      <c r="D814" t="s">
        <v>82</v>
      </c>
      <c r="E814" s="4">
        <v>57.457000000000001</v>
      </c>
      <c r="F814" s="4">
        <v>11957.130999999999</v>
      </c>
      <c r="G814" s="4">
        <v>12014.588</v>
      </c>
      <c r="H814" s="5">
        <f>6397 / 86400</f>
        <v>7.4039351851851856E-2</v>
      </c>
      <c r="I814" t="s">
        <v>172</v>
      </c>
      <c r="J814" t="s">
        <v>41</v>
      </c>
      <c r="K814" s="5">
        <f>14538 / 86400</f>
        <v>0.16826388888888888</v>
      </c>
      <c r="L814" s="5">
        <f>149 / 86400</f>
        <v>1.724537037037037E-3</v>
      </c>
    </row>
    <row r="815" spans="1:12" x14ac:dyDescent="0.25">
      <c r="A815" s="3">
        <v>45696.502025462964</v>
      </c>
      <c r="B815" t="s">
        <v>82</v>
      </c>
      <c r="C815" s="3">
        <v>45696.505625000005</v>
      </c>
      <c r="D815" t="s">
        <v>51</v>
      </c>
      <c r="E815" s="4">
        <v>0.76900000000000002</v>
      </c>
      <c r="F815" s="4">
        <v>12014.588</v>
      </c>
      <c r="G815" s="4">
        <v>12015.357</v>
      </c>
      <c r="H815" s="5">
        <f>61 / 86400</f>
        <v>7.0601851851851847E-4</v>
      </c>
      <c r="I815" t="s">
        <v>94</v>
      </c>
      <c r="J815" t="s">
        <v>162</v>
      </c>
      <c r="K815" s="5">
        <f>311 / 86400</f>
        <v>3.5995370370370369E-3</v>
      </c>
      <c r="L815" s="5">
        <f>1615 / 86400</f>
        <v>1.8692129629629628E-2</v>
      </c>
    </row>
    <row r="816" spans="1:12" x14ac:dyDescent="0.25">
      <c r="A816" s="3">
        <v>45696.524317129632</v>
      </c>
      <c r="B816" t="s">
        <v>51</v>
      </c>
      <c r="C816" s="3">
        <v>45696.525011574078</v>
      </c>
      <c r="D816" t="s">
        <v>51</v>
      </c>
      <c r="E816" s="4">
        <v>0.08</v>
      </c>
      <c r="F816" s="4">
        <v>12015.357</v>
      </c>
      <c r="G816" s="4">
        <v>12015.437</v>
      </c>
      <c r="H816" s="5">
        <f>19 / 86400</f>
        <v>2.199074074074074E-4</v>
      </c>
      <c r="I816" t="s">
        <v>90</v>
      </c>
      <c r="J816" t="s">
        <v>136</v>
      </c>
      <c r="K816" s="5">
        <f>59 / 86400</f>
        <v>6.8287037037037036E-4</v>
      </c>
      <c r="L816" s="5">
        <f>75 / 86400</f>
        <v>8.6805555555555551E-4</v>
      </c>
    </row>
    <row r="817" spans="1:12" x14ac:dyDescent="0.25">
      <c r="A817" s="3">
        <v>45696.525879629626</v>
      </c>
      <c r="B817" t="s">
        <v>51</v>
      </c>
      <c r="C817" s="3">
        <v>45696.528229166666</v>
      </c>
      <c r="D817" t="s">
        <v>139</v>
      </c>
      <c r="E817" s="4">
        <v>0.86799999999999999</v>
      </c>
      <c r="F817" s="4">
        <v>12015.437</v>
      </c>
      <c r="G817" s="4">
        <v>12016.305</v>
      </c>
      <c r="H817" s="5">
        <f>0 / 86400</f>
        <v>0</v>
      </c>
      <c r="I817" t="s">
        <v>138</v>
      </c>
      <c r="J817" t="s">
        <v>24</v>
      </c>
      <c r="K817" s="5">
        <f>202 / 86400</f>
        <v>2.3379629629629631E-3</v>
      </c>
      <c r="L817" s="5">
        <f>502 / 86400</f>
        <v>5.8101851851851856E-3</v>
      </c>
    </row>
    <row r="818" spans="1:12" x14ac:dyDescent="0.25">
      <c r="A818" s="3">
        <v>45696.534039351856</v>
      </c>
      <c r="B818" t="s">
        <v>139</v>
      </c>
      <c r="C818" s="3">
        <v>45696.641504629632</v>
      </c>
      <c r="D818" t="s">
        <v>465</v>
      </c>
      <c r="E818" s="4">
        <v>49.892000000000003</v>
      </c>
      <c r="F818" s="4">
        <v>12016.305</v>
      </c>
      <c r="G818" s="4">
        <v>12066.197</v>
      </c>
      <c r="H818" s="5">
        <f>2879 / 86400</f>
        <v>3.3321759259259259E-2</v>
      </c>
      <c r="I818" t="s">
        <v>56</v>
      </c>
      <c r="J818" t="s">
        <v>94</v>
      </c>
      <c r="K818" s="5">
        <f>9285 / 86400</f>
        <v>0.10746527777777778</v>
      </c>
      <c r="L818" s="5">
        <f>53 / 86400</f>
        <v>6.134259259259259E-4</v>
      </c>
    </row>
    <row r="819" spans="1:12" x14ac:dyDescent="0.25">
      <c r="A819" s="3">
        <v>45696.642118055555</v>
      </c>
      <c r="B819" t="s">
        <v>465</v>
      </c>
      <c r="C819" s="3">
        <v>45696.737789351857</v>
      </c>
      <c r="D819" t="s">
        <v>443</v>
      </c>
      <c r="E819" s="4">
        <v>25.885000000000002</v>
      </c>
      <c r="F819" s="4">
        <v>12066.199000000001</v>
      </c>
      <c r="G819" s="4">
        <v>12092.084000000001</v>
      </c>
      <c r="H819" s="5">
        <f>4331 / 86400</f>
        <v>5.0127314814814812E-2</v>
      </c>
      <c r="I819" t="s">
        <v>240</v>
      </c>
      <c r="J819" t="s">
        <v>20</v>
      </c>
      <c r="K819" s="5">
        <f>8266 / 86400</f>
        <v>9.5671296296296296E-2</v>
      </c>
      <c r="L819" s="5">
        <f>5 / 86400</f>
        <v>5.7870370370370373E-5</v>
      </c>
    </row>
    <row r="820" spans="1:12" x14ac:dyDescent="0.25">
      <c r="A820" s="3">
        <v>45696.737847222219</v>
      </c>
      <c r="B820" t="s">
        <v>443</v>
      </c>
      <c r="C820" s="3">
        <v>45696.737986111111</v>
      </c>
      <c r="D820" t="s">
        <v>443</v>
      </c>
      <c r="E820" s="4">
        <v>0</v>
      </c>
      <c r="F820" s="4">
        <v>12092.084000000001</v>
      </c>
      <c r="G820" s="4">
        <v>12092.084000000001</v>
      </c>
      <c r="H820" s="5">
        <f>7 / 86400</f>
        <v>8.1018518518518516E-5</v>
      </c>
      <c r="I820" t="s">
        <v>133</v>
      </c>
      <c r="J820" t="s">
        <v>133</v>
      </c>
      <c r="K820" s="5">
        <f>12 / 86400</f>
        <v>1.3888888888888889E-4</v>
      </c>
      <c r="L820" s="5">
        <f>115 / 86400</f>
        <v>1.3310185185185185E-3</v>
      </c>
    </row>
    <row r="821" spans="1:12" x14ac:dyDescent="0.25">
      <c r="A821" s="3">
        <v>45696.739317129628</v>
      </c>
      <c r="B821" t="s">
        <v>228</v>
      </c>
      <c r="C821" s="3">
        <v>45696.740104166667</v>
      </c>
      <c r="D821" t="s">
        <v>228</v>
      </c>
      <c r="E821" s="4">
        <v>2.7E-2</v>
      </c>
      <c r="F821" s="4">
        <v>12092.084000000001</v>
      </c>
      <c r="G821" s="4">
        <v>12092.111000000001</v>
      </c>
      <c r="H821" s="5">
        <f>60 / 86400</f>
        <v>6.9444444444444447E-4</v>
      </c>
      <c r="I821" t="s">
        <v>136</v>
      </c>
      <c r="J821" t="s">
        <v>91</v>
      </c>
      <c r="K821" s="5">
        <f>68 / 86400</f>
        <v>7.8703703703703705E-4</v>
      </c>
      <c r="L821" s="5">
        <f>86 / 86400</f>
        <v>9.9537037037037042E-4</v>
      </c>
    </row>
    <row r="822" spans="1:12" x14ac:dyDescent="0.25">
      <c r="A822" s="3">
        <v>45696.741099537037</v>
      </c>
      <c r="B822" t="s">
        <v>228</v>
      </c>
      <c r="C822" s="3">
        <v>45696.76599537037</v>
      </c>
      <c r="D822" t="s">
        <v>92</v>
      </c>
      <c r="E822" s="4">
        <v>11.336</v>
      </c>
      <c r="F822" s="4">
        <v>12092.111000000001</v>
      </c>
      <c r="G822" s="4">
        <v>12103.447</v>
      </c>
      <c r="H822" s="5">
        <f>620 / 86400</f>
        <v>7.1759259259259259E-3</v>
      </c>
      <c r="I822" t="s">
        <v>144</v>
      </c>
      <c r="J822" t="s">
        <v>94</v>
      </c>
      <c r="K822" s="5">
        <f>2151 / 86400</f>
        <v>2.4895833333333332E-2</v>
      </c>
      <c r="L822" s="5">
        <f>294 / 86400</f>
        <v>3.4027777777777776E-3</v>
      </c>
    </row>
    <row r="823" spans="1:12" x14ac:dyDescent="0.25">
      <c r="A823" s="3">
        <v>45696.76939814815</v>
      </c>
      <c r="B823" t="s">
        <v>92</v>
      </c>
      <c r="C823" s="3">
        <v>45696.769965277781</v>
      </c>
      <c r="D823" t="s">
        <v>149</v>
      </c>
      <c r="E823" s="4">
        <v>7.4999999999999997E-2</v>
      </c>
      <c r="F823" s="4">
        <v>12103.447</v>
      </c>
      <c r="G823" s="4">
        <v>12103.522000000001</v>
      </c>
      <c r="H823" s="5">
        <f>0 / 86400</f>
        <v>0</v>
      </c>
      <c r="I823" t="s">
        <v>162</v>
      </c>
      <c r="J823" t="s">
        <v>146</v>
      </c>
      <c r="K823" s="5">
        <f>48 / 86400</f>
        <v>5.5555555555555556E-4</v>
      </c>
      <c r="L823" s="5">
        <f>175 / 86400</f>
        <v>2.0254629629629629E-3</v>
      </c>
    </row>
    <row r="824" spans="1:12" x14ac:dyDescent="0.25">
      <c r="A824" s="3">
        <v>45696.771990740745</v>
      </c>
      <c r="B824" t="s">
        <v>149</v>
      </c>
      <c r="C824" s="3">
        <v>45696.77789351852</v>
      </c>
      <c r="D824" t="s">
        <v>29</v>
      </c>
      <c r="E824" s="4">
        <v>1.99</v>
      </c>
      <c r="F824" s="4">
        <v>12103.522000000001</v>
      </c>
      <c r="G824" s="4">
        <v>12105.512000000001</v>
      </c>
      <c r="H824" s="5">
        <f>140 / 86400</f>
        <v>1.6203703703703703E-3</v>
      </c>
      <c r="I824" t="s">
        <v>168</v>
      </c>
      <c r="J824" t="s">
        <v>41</v>
      </c>
      <c r="K824" s="5">
        <f>509 / 86400</f>
        <v>5.8912037037037041E-3</v>
      </c>
      <c r="L824" s="5">
        <f>19189 / 86400</f>
        <v>0.22209490740740739</v>
      </c>
    </row>
    <row r="825" spans="1:12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</row>
    <row r="826" spans="1:12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</row>
    <row r="827" spans="1:12" s="10" customFormat="1" ht="20.100000000000001" customHeight="1" x14ac:dyDescent="0.35">
      <c r="A827" s="15" t="s">
        <v>521</v>
      </c>
      <c r="B827" s="15"/>
      <c r="C827" s="15"/>
      <c r="D827" s="15"/>
      <c r="E827" s="15"/>
      <c r="F827" s="15"/>
      <c r="G827" s="15"/>
      <c r="H827" s="15"/>
      <c r="I827" s="15"/>
      <c r="J827" s="15"/>
    </row>
    <row r="828" spans="1:12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</row>
    <row r="829" spans="1:12" ht="30" x14ac:dyDescent="0.25">
      <c r="A829" s="2" t="s">
        <v>6</v>
      </c>
      <c r="B829" s="2" t="s">
        <v>7</v>
      </c>
      <c r="C829" s="2" t="s">
        <v>8</v>
      </c>
      <c r="D829" s="2" t="s">
        <v>9</v>
      </c>
      <c r="E829" s="2" t="s">
        <v>10</v>
      </c>
      <c r="F829" s="2" t="s">
        <v>11</v>
      </c>
      <c r="G829" s="2" t="s">
        <v>12</v>
      </c>
      <c r="H829" s="2" t="s">
        <v>13</v>
      </c>
      <c r="I829" s="2" t="s">
        <v>14</v>
      </c>
      <c r="J829" s="2" t="s">
        <v>15</v>
      </c>
      <c r="K829" s="2" t="s">
        <v>16</v>
      </c>
      <c r="L829" s="2" t="s">
        <v>17</v>
      </c>
    </row>
    <row r="830" spans="1:12" x14ac:dyDescent="0.25">
      <c r="A830" s="3">
        <v>45696.25881944444</v>
      </c>
      <c r="B830" t="s">
        <v>57</v>
      </c>
      <c r="C830" s="3">
        <v>45696.293912037036</v>
      </c>
      <c r="D830" t="s">
        <v>21</v>
      </c>
      <c r="E830" s="4">
        <v>21.582000000000001</v>
      </c>
      <c r="F830" s="4">
        <v>138094.10500000001</v>
      </c>
      <c r="G830" s="4">
        <v>138115.68700000001</v>
      </c>
      <c r="H830" s="5">
        <f>579 / 86400</f>
        <v>6.7013888888888887E-3</v>
      </c>
      <c r="I830" t="s">
        <v>58</v>
      </c>
      <c r="J830" t="s">
        <v>205</v>
      </c>
      <c r="K830" s="5">
        <f>3032 / 86400</f>
        <v>3.5092592592592592E-2</v>
      </c>
      <c r="L830" s="5">
        <f>22957 / 86400</f>
        <v>0.26570601851851849</v>
      </c>
    </row>
    <row r="831" spans="1:12" x14ac:dyDescent="0.25">
      <c r="A831" s="3">
        <v>45696.300798611112</v>
      </c>
      <c r="B831" t="s">
        <v>21</v>
      </c>
      <c r="C831" s="3">
        <v>45696.301701388889</v>
      </c>
      <c r="D831" t="s">
        <v>21</v>
      </c>
      <c r="E831" s="4">
        <v>1.0999999999999999E-2</v>
      </c>
      <c r="F831" s="4">
        <v>138115.68700000001</v>
      </c>
      <c r="G831" s="4">
        <v>138115.698</v>
      </c>
      <c r="H831" s="5">
        <f>59 / 86400</f>
        <v>6.8287037037037036E-4</v>
      </c>
      <c r="I831" t="s">
        <v>136</v>
      </c>
      <c r="J831" t="s">
        <v>91</v>
      </c>
      <c r="K831" s="5">
        <f>77 / 86400</f>
        <v>8.9120370370370373E-4</v>
      </c>
      <c r="L831" s="5">
        <f>2549 / 86400</f>
        <v>2.9502314814814815E-2</v>
      </c>
    </row>
    <row r="832" spans="1:12" x14ac:dyDescent="0.25">
      <c r="A832" s="3">
        <v>45696.331203703703</v>
      </c>
      <c r="B832" t="s">
        <v>21</v>
      </c>
      <c r="C832" s="3">
        <v>45696.33221064815</v>
      </c>
      <c r="D832" t="s">
        <v>21</v>
      </c>
      <c r="E832" s="4">
        <v>5.0000000000000001E-3</v>
      </c>
      <c r="F832" s="4">
        <v>138115.698</v>
      </c>
      <c r="G832" s="4">
        <v>138115.70300000001</v>
      </c>
      <c r="H832" s="5">
        <f>59 / 86400</f>
        <v>6.8287037037037036E-4</v>
      </c>
      <c r="I832" t="s">
        <v>91</v>
      </c>
      <c r="J832" t="s">
        <v>133</v>
      </c>
      <c r="K832" s="5">
        <f>87 / 86400</f>
        <v>1.0069444444444444E-3</v>
      </c>
      <c r="L832" s="5">
        <f>22176 / 86400</f>
        <v>0.25666666666666665</v>
      </c>
    </row>
    <row r="833" spans="1:12" x14ac:dyDescent="0.25">
      <c r="A833" s="3">
        <v>45696.588877314818</v>
      </c>
      <c r="B833" t="s">
        <v>21</v>
      </c>
      <c r="C833" s="3">
        <v>45696.589942129634</v>
      </c>
      <c r="D833" t="s">
        <v>21</v>
      </c>
      <c r="E833" s="4">
        <v>0</v>
      </c>
      <c r="F833" s="4">
        <v>138115.70300000001</v>
      </c>
      <c r="G833" s="4">
        <v>138115.70300000001</v>
      </c>
      <c r="H833" s="5">
        <f>59 / 86400</f>
        <v>6.8287037037037036E-4</v>
      </c>
      <c r="I833" t="s">
        <v>91</v>
      </c>
      <c r="J833" t="s">
        <v>133</v>
      </c>
      <c r="K833" s="5">
        <f>92 / 86400</f>
        <v>1.0648148148148149E-3</v>
      </c>
      <c r="L833" s="5">
        <f>298 / 86400</f>
        <v>3.449074074074074E-3</v>
      </c>
    </row>
    <row r="834" spans="1:12" x14ac:dyDescent="0.25">
      <c r="A834" s="3">
        <v>45696.5933912037</v>
      </c>
      <c r="B834" t="s">
        <v>21</v>
      </c>
      <c r="C834" s="3">
        <v>45696.626562500001</v>
      </c>
      <c r="D834" t="s">
        <v>466</v>
      </c>
      <c r="E834" s="4">
        <v>18.859000000000002</v>
      </c>
      <c r="F834" s="4">
        <v>138115.70300000001</v>
      </c>
      <c r="G834" s="4">
        <v>138134.56200000001</v>
      </c>
      <c r="H834" s="5">
        <f>580 / 86400</f>
        <v>6.7129629629629631E-3</v>
      </c>
      <c r="I834" t="s">
        <v>178</v>
      </c>
      <c r="J834" t="s">
        <v>140</v>
      </c>
      <c r="K834" s="5">
        <f>2866 / 86400</f>
        <v>3.3171296296296296E-2</v>
      </c>
      <c r="L834" s="5">
        <f>1022 / 86400</f>
        <v>1.1828703703703704E-2</v>
      </c>
    </row>
    <row r="835" spans="1:12" x14ac:dyDescent="0.25">
      <c r="A835" s="3">
        <v>45696.638391203705</v>
      </c>
      <c r="B835" t="s">
        <v>466</v>
      </c>
      <c r="C835" s="3">
        <v>45696.668425925927</v>
      </c>
      <c r="D835" t="s">
        <v>57</v>
      </c>
      <c r="E835" s="4">
        <v>3.08</v>
      </c>
      <c r="F835" s="4">
        <v>138134.56200000001</v>
      </c>
      <c r="G835" s="4">
        <v>138137.64199999999</v>
      </c>
      <c r="H835" s="5">
        <f>2059 / 86400</f>
        <v>2.3831018518518519E-2</v>
      </c>
      <c r="I835" t="s">
        <v>251</v>
      </c>
      <c r="J835" t="s">
        <v>181</v>
      </c>
      <c r="K835" s="5">
        <f>2595 / 86400</f>
        <v>3.0034722222222223E-2</v>
      </c>
      <c r="L835" s="5">
        <f>28647 / 86400</f>
        <v>0.33156249999999998</v>
      </c>
    </row>
    <row r="836" spans="1:12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</row>
    <row r="837" spans="1:12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</row>
    <row r="838" spans="1:12" s="10" customFormat="1" ht="20.100000000000001" customHeight="1" x14ac:dyDescent="0.35">
      <c r="A838" s="15" t="s">
        <v>522</v>
      </c>
      <c r="B838" s="15"/>
      <c r="C838" s="15"/>
      <c r="D838" s="15"/>
      <c r="E838" s="15"/>
      <c r="F838" s="15"/>
      <c r="G838" s="15"/>
      <c r="H838" s="15"/>
      <c r="I838" s="15"/>
      <c r="J838" s="15"/>
    </row>
    <row r="839" spans="1:12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</row>
    <row r="840" spans="1:12" ht="30" x14ac:dyDescent="0.25">
      <c r="A840" s="2" t="s">
        <v>6</v>
      </c>
      <c r="B840" s="2" t="s">
        <v>7</v>
      </c>
      <c r="C840" s="2" t="s">
        <v>8</v>
      </c>
      <c r="D840" s="2" t="s">
        <v>9</v>
      </c>
      <c r="E840" s="2" t="s">
        <v>10</v>
      </c>
      <c r="F840" s="2" t="s">
        <v>11</v>
      </c>
      <c r="G840" s="2" t="s">
        <v>12</v>
      </c>
      <c r="H840" s="2" t="s">
        <v>13</v>
      </c>
      <c r="I840" s="2" t="s">
        <v>14</v>
      </c>
      <c r="J840" s="2" t="s">
        <v>15</v>
      </c>
      <c r="K840" s="2" t="s">
        <v>16</v>
      </c>
      <c r="L840" s="2" t="s">
        <v>17</v>
      </c>
    </row>
    <row r="841" spans="1:12" x14ac:dyDescent="0.25">
      <c r="A841" s="3">
        <v>45696.231041666666</v>
      </c>
      <c r="B841" t="s">
        <v>29</v>
      </c>
      <c r="C841" s="3">
        <v>45696.23609953704</v>
      </c>
      <c r="D841" t="s">
        <v>29</v>
      </c>
      <c r="E841" s="4">
        <v>0</v>
      </c>
      <c r="F841" s="4">
        <v>4926.1729999999998</v>
      </c>
      <c r="G841" s="4">
        <v>4926.1729999999998</v>
      </c>
      <c r="H841" s="5">
        <f>419 / 86400</f>
        <v>4.8495370370370368E-3</v>
      </c>
      <c r="I841" t="s">
        <v>133</v>
      </c>
      <c r="J841" t="s">
        <v>133</v>
      </c>
      <c r="K841" s="5">
        <f>436 / 86400</f>
        <v>5.0462962962962961E-3</v>
      </c>
      <c r="L841" s="5">
        <f>22503 / 86400</f>
        <v>0.26045138888888891</v>
      </c>
    </row>
    <row r="842" spans="1:12" x14ac:dyDescent="0.25">
      <c r="A842" s="3">
        <v>45696.265509259261</v>
      </c>
      <c r="B842" t="s">
        <v>29</v>
      </c>
      <c r="C842" s="3">
        <v>45696.498761574076</v>
      </c>
      <c r="D842" t="s">
        <v>467</v>
      </c>
      <c r="E842" s="4">
        <v>70.143000000000001</v>
      </c>
      <c r="F842" s="4">
        <v>4926.1729999999998</v>
      </c>
      <c r="G842" s="4">
        <v>4996.3159999999998</v>
      </c>
      <c r="H842" s="5">
        <f>8760 / 86400</f>
        <v>0.10138888888888889</v>
      </c>
      <c r="I842" t="s">
        <v>67</v>
      </c>
      <c r="J842" t="s">
        <v>47</v>
      </c>
      <c r="K842" s="5">
        <f>20153 / 86400</f>
        <v>0.23325231481481482</v>
      </c>
      <c r="L842" s="5">
        <f>5371 / 86400</f>
        <v>6.2164351851851853E-2</v>
      </c>
    </row>
    <row r="843" spans="1:12" x14ac:dyDescent="0.25">
      <c r="A843" s="3">
        <v>45696.560925925922</v>
      </c>
      <c r="B843" t="s">
        <v>95</v>
      </c>
      <c r="C843" s="3">
        <v>45696.56454861111</v>
      </c>
      <c r="D843" t="s">
        <v>95</v>
      </c>
      <c r="E843" s="4">
        <v>2.5000000000000001E-2</v>
      </c>
      <c r="F843" s="4">
        <v>4996.3159999999998</v>
      </c>
      <c r="G843" s="4">
        <v>4996.3410000000003</v>
      </c>
      <c r="H843" s="5">
        <f>259 / 86400</f>
        <v>2.9976851851851853E-3</v>
      </c>
      <c r="I843" t="s">
        <v>132</v>
      </c>
      <c r="J843" t="s">
        <v>133</v>
      </c>
      <c r="K843" s="5">
        <f>313 / 86400</f>
        <v>3.6226851851851854E-3</v>
      </c>
      <c r="L843" s="5">
        <f>75 / 86400</f>
        <v>8.6805555555555551E-4</v>
      </c>
    </row>
    <row r="844" spans="1:12" x14ac:dyDescent="0.25">
      <c r="A844" s="3">
        <v>45696.565416666665</v>
      </c>
      <c r="B844" t="s">
        <v>95</v>
      </c>
      <c r="C844" s="3">
        <v>45696.776493055557</v>
      </c>
      <c r="D844" t="s">
        <v>25</v>
      </c>
      <c r="E844" s="4">
        <v>66.561999999999998</v>
      </c>
      <c r="F844" s="4">
        <v>4996.3410000000003</v>
      </c>
      <c r="G844" s="4">
        <v>5062.9030000000002</v>
      </c>
      <c r="H844" s="5">
        <f>9840 / 86400</f>
        <v>0.11388888888888889</v>
      </c>
      <c r="I844" t="s">
        <v>43</v>
      </c>
      <c r="J844" t="s">
        <v>47</v>
      </c>
      <c r="K844" s="5">
        <f>18236 / 86400</f>
        <v>0.21106481481481482</v>
      </c>
      <c r="L844" s="5">
        <f>514 / 86400</f>
        <v>5.9490740740740745E-3</v>
      </c>
    </row>
    <row r="845" spans="1:12" x14ac:dyDescent="0.25">
      <c r="A845" s="3">
        <v>45696.782442129625</v>
      </c>
      <c r="B845" t="s">
        <v>25</v>
      </c>
      <c r="C845" s="3">
        <v>45696.789340277777</v>
      </c>
      <c r="D845" t="s">
        <v>29</v>
      </c>
      <c r="E845" s="4">
        <v>0.79100000000000004</v>
      </c>
      <c r="F845" s="4">
        <v>5062.9030000000002</v>
      </c>
      <c r="G845" s="4">
        <v>5063.6940000000004</v>
      </c>
      <c r="H845" s="5">
        <f>359 / 86400</f>
        <v>4.1550925925925922E-3</v>
      </c>
      <c r="I845" t="s">
        <v>161</v>
      </c>
      <c r="J845" t="s">
        <v>136</v>
      </c>
      <c r="K845" s="5">
        <f>595 / 86400</f>
        <v>6.8865740740740745E-3</v>
      </c>
      <c r="L845" s="5">
        <f>18200 / 86400</f>
        <v>0.21064814814814814</v>
      </c>
    </row>
    <row r="846" spans="1:12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</row>
    <row r="847" spans="1:12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</row>
    <row r="848" spans="1:12" s="10" customFormat="1" ht="20.100000000000001" customHeight="1" x14ac:dyDescent="0.35">
      <c r="A848" s="15" t="s">
        <v>523</v>
      </c>
      <c r="B848" s="15"/>
      <c r="C848" s="15"/>
      <c r="D848" s="15"/>
      <c r="E848" s="15"/>
      <c r="F848" s="15"/>
      <c r="G848" s="15"/>
      <c r="H848" s="15"/>
      <c r="I848" s="15"/>
      <c r="J848" s="15"/>
    </row>
    <row r="849" spans="1:12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</row>
    <row r="850" spans="1:12" ht="30" x14ac:dyDescent="0.25">
      <c r="A850" s="2" t="s">
        <v>6</v>
      </c>
      <c r="B850" s="2" t="s">
        <v>7</v>
      </c>
      <c r="C850" s="2" t="s">
        <v>8</v>
      </c>
      <c r="D850" s="2" t="s">
        <v>9</v>
      </c>
      <c r="E850" s="2" t="s">
        <v>10</v>
      </c>
      <c r="F850" s="2" t="s">
        <v>11</v>
      </c>
      <c r="G850" s="2" t="s">
        <v>12</v>
      </c>
      <c r="H850" s="2" t="s">
        <v>13</v>
      </c>
      <c r="I850" s="2" t="s">
        <v>14</v>
      </c>
      <c r="J850" s="2" t="s">
        <v>15</v>
      </c>
      <c r="K850" s="2" t="s">
        <v>16</v>
      </c>
      <c r="L850" s="2" t="s">
        <v>17</v>
      </c>
    </row>
    <row r="851" spans="1:12" x14ac:dyDescent="0.25">
      <c r="A851" s="3">
        <v>45696.207442129627</v>
      </c>
      <c r="B851" t="s">
        <v>36</v>
      </c>
      <c r="C851" s="3">
        <v>45696.454004629632</v>
      </c>
      <c r="D851" t="s">
        <v>45</v>
      </c>
      <c r="E851" s="4">
        <v>90.012</v>
      </c>
      <c r="F851" s="4">
        <v>386159.94099999999</v>
      </c>
      <c r="G851" s="4">
        <v>386249.95299999998</v>
      </c>
      <c r="H851" s="5">
        <f>7937 / 86400</f>
        <v>9.1863425925925932E-2</v>
      </c>
      <c r="I851" t="s">
        <v>60</v>
      </c>
      <c r="J851" t="s">
        <v>24</v>
      </c>
      <c r="K851" s="5">
        <f>21302 / 86400</f>
        <v>0.24655092592592592</v>
      </c>
      <c r="L851" s="5">
        <f>20279 / 86400</f>
        <v>0.23471064814814815</v>
      </c>
    </row>
    <row r="852" spans="1:12" x14ac:dyDescent="0.25">
      <c r="A852" s="3">
        <v>45696.481273148151</v>
      </c>
      <c r="B852" t="s">
        <v>45</v>
      </c>
      <c r="C852" s="3">
        <v>45696.486481481479</v>
      </c>
      <c r="D852" t="s">
        <v>460</v>
      </c>
      <c r="E852" s="4">
        <v>1.2290000000000001</v>
      </c>
      <c r="F852" s="4">
        <v>386249.95299999998</v>
      </c>
      <c r="G852" s="4">
        <v>386251.18199999997</v>
      </c>
      <c r="H852" s="5">
        <f>120 / 86400</f>
        <v>1.3888888888888889E-3</v>
      </c>
      <c r="I852" t="s">
        <v>161</v>
      </c>
      <c r="J852" t="s">
        <v>85</v>
      </c>
      <c r="K852" s="5">
        <f>449 / 86400</f>
        <v>5.1967592592592595E-3</v>
      </c>
      <c r="L852" s="5">
        <f>437 / 86400</f>
        <v>5.0578703703703706E-3</v>
      </c>
    </row>
    <row r="853" spans="1:12" x14ac:dyDescent="0.25">
      <c r="A853" s="3">
        <v>45696.491539351853</v>
      </c>
      <c r="B853" t="s">
        <v>460</v>
      </c>
      <c r="C853" s="3">
        <v>45696.763101851851</v>
      </c>
      <c r="D853" t="s">
        <v>76</v>
      </c>
      <c r="E853" s="4">
        <v>115.158</v>
      </c>
      <c r="F853" s="4">
        <v>386251.18199999997</v>
      </c>
      <c r="G853" s="4">
        <v>386366.34</v>
      </c>
      <c r="H853" s="5">
        <f>7379 / 86400</f>
        <v>8.5405092592592588E-2</v>
      </c>
      <c r="I853" t="s">
        <v>60</v>
      </c>
      <c r="J853" t="s">
        <v>50</v>
      </c>
      <c r="K853" s="5">
        <f>23462 / 86400</f>
        <v>0.27155092592592595</v>
      </c>
      <c r="L853" s="5">
        <f>778 / 86400</f>
        <v>9.0046296296296298E-3</v>
      </c>
    </row>
    <row r="854" spans="1:12" x14ac:dyDescent="0.25">
      <c r="A854" s="3">
        <v>45696.772106481483</v>
      </c>
      <c r="B854" t="s">
        <v>76</v>
      </c>
      <c r="C854" s="3">
        <v>45696.779178240744</v>
      </c>
      <c r="D854" t="s">
        <v>36</v>
      </c>
      <c r="E854" s="4">
        <v>1.387</v>
      </c>
      <c r="F854" s="4">
        <v>386366.34</v>
      </c>
      <c r="G854" s="4">
        <v>386367.72700000001</v>
      </c>
      <c r="H854" s="5">
        <f>379 / 86400</f>
        <v>4.386574074074074E-3</v>
      </c>
      <c r="I854" t="s">
        <v>184</v>
      </c>
      <c r="J854" t="s">
        <v>151</v>
      </c>
      <c r="K854" s="5">
        <f>611 / 86400</f>
        <v>7.0717592592592594E-3</v>
      </c>
      <c r="L854" s="5">
        <f>19078 / 86400</f>
        <v>0.22081018518518519</v>
      </c>
    </row>
    <row r="855" spans="1:12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</row>
    <row r="856" spans="1:12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</row>
    <row r="857" spans="1:12" s="10" customFormat="1" ht="20.100000000000001" customHeight="1" x14ac:dyDescent="0.35">
      <c r="A857" s="15" t="s">
        <v>524</v>
      </c>
      <c r="B857" s="15"/>
      <c r="C857" s="15"/>
      <c r="D857" s="15"/>
      <c r="E857" s="15"/>
      <c r="F857" s="15"/>
      <c r="G857" s="15"/>
      <c r="H857" s="15"/>
      <c r="I857" s="15"/>
      <c r="J857" s="15"/>
    </row>
    <row r="858" spans="1:12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</row>
    <row r="859" spans="1:12" ht="30" x14ac:dyDescent="0.25">
      <c r="A859" s="2" t="s">
        <v>6</v>
      </c>
      <c r="B859" s="2" t="s">
        <v>7</v>
      </c>
      <c r="C859" s="2" t="s">
        <v>8</v>
      </c>
      <c r="D859" s="2" t="s">
        <v>9</v>
      </c>
      <c r="E859" s="2" t="s">
        <v>10</v>
      </c>
      <c r="F859" s="2" t="s">
        <v>11</v>
      </c>
      <c r="G859" s="2" t="s">
        <v>12</v>
      </c>
      <c r="H859" s="2" t="s">
        <v>13</v>
      </c>
      <c r="I859" s="2" t="s">
        <v>14</v>
      </c>
      <c r="J859" s="2" t="s">
        <v>15</v>
      </c>
      <c r="K859" s="2" t="s">
        <v>16</v>
      </c>
      <c r="L859" s="2" t="s">
        <v>17</v>
      </c>
    </row>
    <row r="860" spans="1:12" x14ac:dyDescent="0.25">
      <c r="A860" s="3">
        <v>45696.300347222219</v>
      </c>
      <c r="B860" t="s">
        <v>61</v>
      </c>
      <c r="C860" s="3">
        <v>45696.372187500005</v>
      </c>
      <c r="D860" t="s">
        <v>82</v>
      </c>
      <c r="E860" s="4">
        <v>29.446999999999999</v>
      </c>
      <c r="F860" s="4">
        <v>391842.42099999997</v>
      </c>
      <c r="G860" s="4">
        <v>391871.86800000002</v>
      </c>
      <c r="H860" s="5">
        <f>2639 / 86400</f>
        <v>3.0543981481481481E-2</v>
      </c>
      <c r="I860" t="s">
        <v>71</v>
      </c>
      <c r="J860" t="s">
        <v>32</v>
      </c>
      <c r="K860" s="5">
        <f>6206 / 86400</f>
        <v>7.18287037037037E-2</v>
      </c>
      <c r="L860" s="5">
        <f>26578 / 86400</f>
        <v>0.30761574074074072</v>
      </c>
    </row>
    <row r="861" spans="1:12" x14ac:dyDescent="0.25">
      <c r="A861" s="3">
        <v>45696.37945601852</v>
      </c>
      <c r="B861" t="s">
        <v>82</v>
      </c>
      <c r="C861" s="3">
        <v>45696.381342592591</v>
      </c>
      <c r="D861" t="s">
        <v>335</v>
      </c>
      <c r="E861" s="4">
        <v>0.34</v>
      </c>
      <c r="F861" s="4">
        <v>391871.86800000002</v>
      </c>
      <c r="G861" s="4">
        <v>391872.20799999998</v>
      </c>
      <c r="H861" s="5">
        <f>79 / 86400</f>
        <v>9.1435185185185185E-4</v>
      </c>
      <c r="I861" t="s">
        <v>140</v>
      </c>
      <c r="J861" t="s">
        <v>151</v>
      </c>
      <c r="K861" s="5">
        <f>162 / 86400</f>
        <v>1.8749999999999999E-3</v>
      </c>
      <c r="L861" s="5">
        <f>165 / 86400</f>
        <v>1.9097222222222222E-3</v>
      </c>
    </row>
    <row r="862" spans="1:12" x14ac:dyDescent="0.25">
      <c r="A862" s="3">
        <v>45696.383252314816</v>
      </c>
      <c r="B862" t="s">
        <v>335</v>
      </c>
      <c r="C862" s="3">
        <v>45696.38658564815</v>
      </c>
      <c r="D862" t="s">
        <v>82</v>
      </c>
      <c r="E862" s="4">
        <v>0.46800000000000003</v>
      </c>
      <c r="F862" s="4">
        <v>391872.20799999998</v>
      </c>
      <c r="G862" s="4">
        <v>391872.67599999998</v>
      </c>
      <c r="H862" s="5">
        <f>159 / 86400</f>
        <v>1.8402777777777777E-3</v>
      </c>
      <c r="I862" t="s">
        <v>161</v>
      </c>
      <c r="J862" t="s">
        <v>146</v>
      </c>
      <c r="K862" s="5">
        <f>288 / 86400</f>
        <v>3.3333333333333335E-3</v>
      </c>
      <c r="L862" s="5">
        <f>421 / 86400</f>
        <v>4.8726851851851848E-3</v>
      </c>
    </row>
    <row r="863" spans="1:12" x14ac:dyDescent="0.25">
      <c r="A863" s="3">
        <v>45696.391458333332</v>
      </c>
      <c r="B863" t="s">
        <v>82</v>
      </c>
      <c r="C863" s="3">
        <v>45696.394965277781</v>
      </c>
      <c r="D863" t="s">
        <v>139</v>
      </c>
      <c r="E863" s="4">
        <v>1.2050000000000001</v>
      </c>
      <c r="F863" s="4">
        <v>391872.67599999998</v>
      </c>
      <c r="G863" s="4">
        <v>391873.88099999999</v>
      </c>
      <c r="H863" s="5">
        <f>40 / 86400</f>
        <v>4.6296296296296298E-4</v>
      </c>
      <c r="I863" t="s">
        <v>168</v>
      </c>
      <c r="J863" t="s">
        <v>41</v>
      </c>
      <c r="K863" s="5">
        <f>303 / 86400</f>
        <v>3.5069444444444445E-3</v>
      </c>
      <c r="L863" s="5">
        <f>4523 / 86400</f>
        <v>5.2349537037037035E-2</v>
      </c>
    </row>
    <row r="864" spans="1:12" x14ac:dyDescent="0.25">
      <c r="A864" s="3">
        <v>45696.44731481481</v>
      </c>
      <c r="B864" t="s">
        <v>139</v>
      </c>
      <c r="C864" s="3">
        <v>45696.684212962966</v>
      </c>
      <c r="D864" t="s">
        <v>152</v>
      </c>
      <c r="E864" s="4">
        <v>94.861000000000004</v>
      </c>
      <c r="F864" s="4">
        <v>391873.88099999999</v>
      </c>
      <c r="G864" s="4">
        <v>391968.74200000003</v>
      </c>
      <c r="H864" s="5">
        <f>7398 / 86400</f>
        <v>8.5625000000000007E-2</v>
      </c>
      <c r="I864" t="s">
        <v>78</v>
      </c>
      <c r="J864" t="s">
        <v>32</v>
      </c>
      <c r="K864" s="5">
        <f>20468 / 86400</f>
        <v>0.23689814814814814</v>
      </c>
      <c r="L864" s="5">
        <f>35 / 86400</f>
        <v>4.0509259259259258E-4</v>
      </c>
    </row>
    <row r="865" spans="1:12" x14ac:dyDescent="0.25">
      <c r="A865" s="3">
        <v>45696.684618055559</v>
      </c>
      <c r="B865" t="s">
        <v>152</v>
      </c>
      <c r="C865" s="3">
        <v>45696.685162037036</v>
      </c>
      <c r="D865" t="s">
        <v>82</v>
      </c>
      <c r="E865" s="4">
        <v>1.7000000000000001E-2</v>
      </c>
      <c r="F865" s="4">
        <v>391968.74200000003</v>
      </c>
      <c r="G865" s="4">
        <v>391968.75900000002</v>
      </c>
      <c r="H865" s="5">
        <f>40 / 86400</f>
        <v>4.6296296296296298E-4</v>
      </c>
      <c r="I865" t="s">
        <v>136</v>
      </c>
      <c r="J865" t="s">
        <v>91</v>
      </c>
      <c r="K865" s="5">
        <f>46 / 86400</f>
        <v>5.3240740740740744E-4</v>
      </c>
      <c r="L865" s="5">
        <f>2128 / 86400</f>
        <v>2.462962962962963E-2</v>
      </c>
    </row>
    <row r="866" spans="1:12" x14ac:dyDescent="0.25">
      <c r="A866" s="3">
        <v>45696.709791666668</v>
      </c>
      <c r="B866" t="s">
        <v>82</v>
      </c>
      <c r="C866" s="3">
        <v>45696.710358796292</v>
      </c>
      <c r="D866" t="s">
        <v>82</v>
      </c>
      <c r="E866" s="4">
        <v>1.7000000000000001E-2</v>
      </c>
      <c r="F866" s="4">
        <v>391968.75900000002</v>
      </c>
      <c r="G866" s="4">
        <v>391968.77600000001</v>
      </c>
      <c r="H866" s="5">
        <f>19 / 86400</f>
        <v>2.199074074074074E-4</v>
      </c>
      <c r="I866" t="s">
        <v>146</v>
      </c>
      <c r="J866" t="s">
        <v>91</v>
      </c>
      <c r="K866" s="5">
        <f>48 / 86400</f>
        <v>5.5555555555555556E-4</v>
      </c>
      <c r="L866" s="5">
        <f>516 / 86400</f>
        <v>5.9722222222222225E-3</v>
      </c>
    </row>
    <row r="867" spans="1:12" x14ac:dyDescent="0.25">
      <c r="A867" s="3">
        <v>45696.716331018513</v>
      </c>
      <c r="B867" t="s">
        <v>152</v>
      </c>
      <c r="C867" s="3">
        <v>45696.717187499999</v>
      </c>
      <c r="D867" t="s">
        <v>152</v>
      </c>
      <c r="E867" s="4">
        <v>0</v>
      </c>
      <c r="F867" s="4">
        <v>391968.77600000001</v>
      </c>
      <c r="G867" s="4">
        <v>391968.77600000001</v>
      </c>
      <c r="H867" s="5">
        <f>59 / 86400</f>
        <v>6.8287037037037036E-4</v>
      </c>
      <c r="I867" t="s">
        <v>133</v>
      </c>
      <c r="J867" t="s">
        <v>133</v>
      </c>
      <c r="K867" s="5">
        <f>74 / 86400</f>
        <v>8.564814814814815E-4</v>
      </c>
      <c r="L867" s="5">
        <f>47 / 86400</f>
        <v>5.4398148148148144E-4</v>
      </c>
    </row>
    <row r="868" spans="1:12" x14ac:dyDescent="0.25">
      <c r="A868" s="3">
        <v>45696.717731481476</v>
      </c>
      <c r="B868" t="s">
        <v>82</v>
      </c>
      <c r="C868" s="3">
        <v>45696.718194444446</v>
      </c>
      <c r="D868" t="s">
        <v>82</v>
      </c>
      <c r="E868" s="4">
        <v>0</v>
      </c>
      <c r="F868" s="4">
        <v>391968.77600000001</v>
      </c>
      <c r="G868" s="4">
        <v>391968.77600000001</v>
      </c>
      <c r="H868" s="5">
        <f>19 / 86400</f>
        <v>2.199074074074074E-4</v>
      </c>
      <c r="I868" t="s">
        <v>133</v>
      </c>
      <c r="J868" t="s">
        <v>133</v>
      </c>
      <c r="K868" s="5">
        <f>39 / 86400</f>
        <v>4.5138888888888887E-4</v>
      </c>
      <c r="L868" s="5">
        <f>2531 / 86400</f>
        <v>2.929398148148148E-2</v>
      </c>
    </row>
    <row r="869" spans="1:12" x14ac:dyDescent="0.25">
      <c r="A869" s="3">
        <v>45696.747488425928</v>
      </c>
      <c r="B869" t="s">
        <v>82</v>
      </c>
      <c r="C869" s="3">
        <v>45696.752152777779</v>
      </c>
      <c r="D869" t="s">
        <v>82</v>
      </c>
      <c r="E869" s="4">
        <v>0</v>
      </c>
      <c r="F869" s="4">
        <v>391968.77600000001</v>
      </c>
      <c r="G869" s="4">
        <v>391968.77600000001</v>
      </c>
      <c r="H869" s="5">
        <f>399 / 86400</f>
        <v>4.6180555555555558E-3</v>
      </c>
      <c r="I869" t="s">
        <v>133</v>
      </c>
      <c r="J869" t="s">
        <v>133</v>
      </c>
      <c r="K869" s="5">
        <f>402 / 86400</f>
        <v>4.6527777777777774E-3</v>
      </c>
      <c r="L869" s="5">
        <f>173 / 86400</f>
        <v>2.0023148148148148E-3</v>
      </c>
    </row>
    <row r="870" spans="1:12" x14ac:dyDescent="0.25">
      <c r="A870" s="3">
        <v>45696.754155092596</v>
      </c>
      <c r="B870" t="s">
        <v>82</v>
      </c>
      <c r="C870" s="3">
        <v>45696.918067129634</v>
      </c>
      <c r="D870" t="s">
        <v>338</v>
      </c>
      <c r="E870" s="4">
        <v>75.144999999999996</v>
      </c>
      <c r="F870" s="4">
        <v>391968.77600000001</v>
      </c>
      <c r="G870" s="4">
        <v>392043.92099999997</v>
      </c>
      <c r="H870" s="5">
        <f>4319 / 86400</f>
        <v>4.9988425925925929E-2</v>
      </c>
      <c r="I870" t="s">
        <v>117</v>
      </c>
      <c r="J870" t="s">
        <v>94</v>
      </c>
      <c r="K870" s="5">
        <f>14162 / 86400</f>
        <v>0.16391203703703705</v>
      </c>
      <c r="L870" s="5">
        <f>305 / 86400</f>
        <v>3.5300925925925925E-3</v>
      </c>
    </row>
    <row r="871" spans="1:12" x14ac:dyDescent="0.25">
      <c r="A871" s="3">
        <v>45696.921597222223</v>
      </c>
      <c r="B871" t="s">
        <v>338</v>
      </c>
      <c r="C871" s="3">
        <v>45696.96806712963</v>
      </c>
      <c r="D871" t="s">
        <v>61</v>
      </c>
      <c r="E871" s="4">
        <v>25.984999999999999</v>
      </c>
      <c r="F871" s="4">
        <v>392043.92099999997</v>
      </c>
      <c r="G871" s="4">
        <v>392069.90600000002</v>
      </c>
      <c r="H871" s="5">
        <f>1419 / 86400</f>
        <v>1.6423611111111111E-2</v>
      </c>
      <c r="I871" t="s">
        <v>62</v>
      </c>
      <c r="J871" t="s">
        <v>138</v>
      </c>
      <c r="K871" s="5">
        <f>4015 / 86400</f>
        <v>4.6469907407407404E-2</v>
      </c>
      <c r="L871" s="5">
        <f>2758 / 86400</f>
        <v>3.1921296296296295E-2</v>
      </c>
    </row>
    <row r="872" spans="1:12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</row>
    <row r="873" spans="1:12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</row>
    <row r="874" spans="1:12" s="10" customFormat="1" ht="20.100000000000001" customHeight="1" x14ac:dyDescent="0.35">
      <c r="A874" s="15" t="s">
        <v>525</v>
      </c>
      <c r="B874" s="15"/>
      <c r="C874" s="15"/>
      <c r="D874" s="15"/>
      <c r="E874" s="15"/>
      <c r="F874" s="15"/>
      <c r="G874" s="15"/>
      <c r="H874" s="15"/>
      <c r="I874" s="15"/>
      <c r="J874" s="15"/>
    </row>
    <row r="875" spans="1:12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</row>
    <row r="876" spans="1:12" ht="30" x14ac:dyDescent="0.25">
      <c r="A876" s="2" t="s">
        <v>6</v>
      </c>
      <c r="B876" s="2" t="s">
        <v>7</v>
      </c>
      <c r="C876" s="2" t="s">
        <v>8</v>
      </c>
      <c r="D876" s="2" t="s">
        <v>9</v>
      </c>
      <c r="E876" s="2" t="s">
        <v>10</v>
      </c>
      <c r="F876" s="2" t="s">
        <v>11</v>
      </c>
      <c r="G876" s="2" t="s">
        <v>12</v>
      </c>
      <c r="H876" s="2" t="s">
        <v>13</v>
      </c>
      <c r="I876" s="2" t="s">
        <v>14</v>
      </c>
      <c r="J876" s="2" t="s">
        <v>15</v>
      </c>
      <c r="K876" s="2" t="s">
        <v>16</v>
      </c>
      <c r="L876" s="2" t="s">
        <v>17</v>
      </c>
    </row>
    <row r="877" spans="1:12" x14ac:dyDescent="0.25">
      <c r="A877" s="3">
        <v>45696.146666666667</v>
      </c>
      <c r="B877" t="s">
        <v>63</v>
      </c>
      <c r="C877" s="3">
        <v>45696.150034722217</v>
      </c>
      <c r="D877" t="s">
        <v>149</v>
      </c>
      <c r="E877" s="4">
        <v>0.41199999999999998</v>
      </c>
      <c r="F877" s="4">
        <v>522128.679</v>
      </c>
      <c r="G877" s="4">
        <v>522129.09100000001</v>
      </c>
      <c r="H877" s="5">
        <f>179 / 86400</f>
        <v>2.0717592592592593E-3</v>
      </c>
      <c r="I877" t="s">
        <v>140</v>
      </c>
      <c r="J877" t="s">
        <v>136</v>
      </c>
      <c r="K877" s="5">
        <f>291 / 86400</f>
        <v>3.3680555555555556E-3</v>
      </c>
      <c r="L877" s="5">
        <f>12694 / 86400</f>
        <v>0.1469212962962963</v>
      </c>
    </row>
    <row r="878" spans="1:12" x14ac:dyDescent="0.25">
      <c r="A878" s="3">
        <v>45696.150289351848</v>
      </c>
      <c r="B878" t="s">
        <v>149</v>
      </c>
      <c r="C878" s="3">
        <v>45696.305671296301</v>
      </c>
      <c r="D878" t="s">
        <v>460</v>
      </c>
      <c r="E878" s="4">
        <v>81.05</v>
      </c>
      <c r="F878" s="4">
        <v>522129.09100000001</v>
      </c>
      <c r="G878" s="4">
        <v>522210.141</v>
      </c>
      <c r="H878" s="5">
        <f>3000 / 86400</f>
        <v>3.4722222222222224E-2</v>
      </c>
      <c r="I878" t="s">
        <v>116</v>
      </c>
      <c r="J878" t="s">
        <v>221</v>
      </c>
      <c r="K878" s="5">
        <f>13424 / 86400</f>
        <v>0.15537037037037038</v>
      </c>
      <c r="L878" s="5">
        <f>1410 / 86400</f>
        <v>1.6319444444444445E-2</v>
      </c>
    </row>
    <row r="879" spans="1:12" x14ac:dyDescent="0.25">
      <c r="A879" s="3">
        <v>45696.32199074074</v>
      </c>
      <c r="B879" t="s">
        <v>460</v>
      </c>
      <c r="C879" s="3">
        <v>45696.447916666672</v>
      </c>
      <c r="D879" t="s">
        <v>424</v>
      </c>
      <c r="E879" s="4">
        <v>51.58</v>
      </c>
      <c r="F879" s="4">
        <v>522210.141</v>
      </c>
      <c r="G879" s="4">
        <v>522261.72100000002</v>
      </c>
      <c r="H879" s="5">
        <f>3479 / 86400</f>
        <v>4.0266203703703707E-2</v>
      </c>
      <c r="I879" t="s">
        <v>64</v>
      </c>
      <c r="J879" t="s">
        <v>32</v>
      </c>
      <c r="K879" s="5">
        <f>10879 / 86400</f>
        <v>0.12591435185185185</v>
      </c>
      <c r="L879" s="5">
        <f>62 / 86400</f>
        <v>7.1759259259259259E-4</v>
      </c>
    </row>
    <row r="880" spans="1:12" x14ac:dyDescent="0.25">
      <c r="A880" s="3">
        <v>45696.448634259257</v>
      </c>
      <c r="B880" t="s">
        <v>424</v>
      </c>
      <c r="C880" s="3">
        <v>45696.550162037034</v>
      </c>
      <c r="D880" t="s">
        <v>468</v>
      </c>
      <c r="E880" s="4">
        <v>36.164000000000001</v>
      </c>
      <c r="F880" s="4">
        <v>522261.72100000002</v>
      </c>
      <c r="G880" s="4">
        <v>522297.88500000001</v>
      </c>
      <c r="H880" s="5">
        <f>2860 / 86400</f>
        <v>3.3101851851851855E-2</v>
      </c>
      <c r="I880" t="s">
        <v>103</v>
      </c>
      <c r="J880" t="s">
        <v>24</v>
      </c>
      <c r="K880" s="5">
        <f>8771 / 86400</f>
        <v>0.10151620370370371</v>
      </c>
      <c r="L880" s="5">
        <f>3101 / 86400</f>
        <v>3.5891203703703703E-2</v>
      </c>
    </row>
    <row r="881" spans="1:12" x14ac:dyDescent="0.25">
      <c r="A881" s="3">
        <v>45696.586053240739</v>
      </c>
      <c r="B881" t="s">
        <v>468</v>
      </c>
      <c r="C881" s="3">
        <v>45696.593773148154</v>
      </c>
      <c r="D881" t="s">
        <v>36</v>
      </c>
      <c r="E881" s="4">
        <v>4.9390000000000001</v>
      </c>
      <c r="F881" s="4">
        <v>522297.88500000001</v>
      </c>
      <c r="G881" s="4">
        <v>522302.82400000002</v>
      </c>
      <c r="H881" s="5">
        <f>38 / 86400</f>
        <v>4.3981481481481481E-4</v>
      </c>
      <c r="I881" t="s">
        <v>258</v>
      </c>
      <c r="J881" t="s">
        <v>165</v>
      </c>
      <c r="K881" s="5">
        <f>667 / 86400</f>
        <v>7.7199074074074071E-3</v>
      </c>
      <c r="L881" s="5">
        <f>229 / 86400</f>
        <v>2.650462962962963E-3</v>
      </c>
    </row>
    <row r="882" spans="1:12" x14ac:dyDescent="0.25">
      <c r="A882" s="3">
        <v>45696.59642361111</v>
      </c>
      <c r="B882" t="s">
        <v>36</v>
      </c>
      <c r="C882" s="3">
        <v>45696.619131944448</v>
      </c>
      <c r="D882" t="s">
        <v>25</v>
      </c>
      <c r="E882" s="4">
        <v>6.2359999999999998</v>
      </c>
      <c r="F882" s="4">
        <v>522302.82400000002</v>
      </c>
      <c r="G882" s="4">
        <v>522309.06</v>
      </c>
      <c r="H882" s="5">
        <f>1000 / 86400</f>
        <v>1.1574074074074073E-2</v>
      </c>
      <c r="I882" t="s">
        <v>183</v>
      </c>
      <c r="J882" t="s">
        <v>20</v>
      </c>
      <c r="K882" s="5">
        <f>1961 / 86400</f>
        <v>2.269675925925926E-2</v>
      </c>
      <c r="L882" s="5">
        <f>387 / 86400</f>
        <v>4.4791666666666669E-3</v>
      </c>
    </row>
    <row r="883" spans="1:12" x14ac:dyDescent="0.25">
      <c r="A883" s="3">
        <v>45696.623611111107</v>
      </c>
      <c r="B883" t="s">
        <v>25</v>
      </c>
      <c r="C883" s="3">
        <v>45696.628263888888</v>
      </c>
      <c r="D883" t="s">
        <v>63</v>
      </c>
      <c r="E883" s="4">
        <v>1.9590000000000001</v>
      </c>
      <c r="F883" s="4">
        <v>522309.06</v>
      </c>
      <c r="G883" s="4">
        <v>522311.01899999997</v>
      </c>
      <c r="H883" s="5">
        <f>0 / 86400</f>
        <v>0</v>
      </c>
      <c r="I883" t="s">
        <v>157</v>
      </c>
      <c r="J883" t="s">
        <v>50</v>
      </c>
      <c r="K883" s="5">
        <f>402 / 86400</f>
        <v>4.6527777777777774E-3</v>
      </c>
      <c r="L883" s="5">
        <f>7151 / 86400</f>
        <v>8.2766203703703703E-2</v>
      </c>
    </row>
    <row r="884" spans="1:12" x14ac:dyDescent="0.25">
      <c r="A884" s="3">
        <v>45696.711030092592</v>
      </c>
      <c r="B884" t="s">
        <v>63</v>
      </c>
      <c r="C884" s="3">
        <v>45696.812557870369</v>
      </c>
      <c r="D884" t="s">
        <v>63</v>
      </c>
      <c r="E884" s="4">
        <v>47.027999999999999</v>
      </c>
      <c r="F884" s="4">
        <v>522311.01899999997</v>
      </c>
      <c r="G884" s="4">
        <v>522358.04700000002</v>
      </c>
      <c r="H884" s="5">
        <f>2640 / 86400</f>
        <v>3.0555555555555555E-2</v>
      </c>
      <c r="I884" t="s">
        <v>247</v>
      </c>
      <c r="J884" t="s">
        <v>94</v>
      </c>
      <c r="K884" s="5">
        <f>8771 / 86400</f>
        <v>0.10151620370370371</v>
      </c>
      <c r="L884" s="5">
        <f>16194 / 86400</f>
        <v>0.18743055555555554</v>
      </c>
    </row>
    <row r="885" spans="1:12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</row>
    <row r="886" spans="1:12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</row>
    <row r="887" spans="1:12" s="10" customFormat="1" ht="20.100000000000001" customHeight="1" x14ac:dyDescent="0.35">
      <c r="A887" s="15" t="s">
        <v>526</v>
      </c>
      <c r="B887" s="15"/>
      <c r="C887" s="15"/>
      <c r="D887" s="15"/>
      <c r="E887" s="15"/>
      <c r="F887" s="15"/>
      <c r="G887" s="15"/>
      <c r="H887" s="15"/>
      <c r="I887" s="15"/>
      <c r="J887" s="15"/>
    </row>
    <row r="888" spans="1:12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</row>
    <row r="889" spans="1:12" ht="30" x14ac:dyDescent="0.25">
      <c r="A889" s="2" t="s">
        <v>6</v>
      </c>
      <c r="B889" s="2" t="s">
        <v>7</v>
      </c>
      <c r="C889" s="2" t="s">
        <v>8</v>
      </c>
      <c r="D889" s="2" t="s">
        <v>9</v>
      </c>
      <c r="E889" s="2" t="s">
        <v>10</v>
      </c>
      <c r="F889" s="2" t="s">
        <v>11</v>
      </c>
      <c r="G889" s="2" t="s">
        <v>12</v>
      </c>
      <c r="H889" s="2" t="s">
        <v>13</v>
      </c>
      <c r="I889" s="2" t="s">
        <v>14</v>
      </c>
      <c r="J889" s="2" t="s">
        <v>15</v>
      </c>
      <c r="K889" s="2" t="s">
        <v>16</v>
      </c>
      <c r="L889" s="2" t="s">
        <v>17</v>
      </c>
    </row>
    <row r="890" spans="1:12" x14ac:dyDescent="0.25">
      <c r="A890" s="3">
        <v>45696</v>
      </c>
      <c r="B890" t="s">
        <v>65</v>
      </c>
      <c r="C890" s="3">
        <v>45696.050104166672</v>
      </c>
      <c r="D890" t="s">
        <v>36</v>
      </c>
      <c r="E890" s="4">
        <v>23.712</v>
      </c>
      <c r="F890" s="4">
        <v>410877.09100000001</v>
      </c>
      <c r="G890" s="4">
        <v>410900.80300000001</v>
      </c>
      <c r="H890" s="5">
        <f>1180 / 86400</f>
        <v>1.3657407407407408E-2</v>
      </c>
      <c r="I890" t="s">
        <v>144</v>
      </c>
      <c r="J890" t="s">
        <v>175</v>
      </c>
      <c r="K890" s="5">
        <f>4329 / 86400</f>
        <v>5.0104166666666665E-2</v>
      </c>
      <c r="L890" s="5">
        <f>716 / 86400</f>
        <v>8.2870370370370372E-3</v>
      </c>
    </row>
    <row r="891" spans="1:12" x14ac:dyDescent="0.25">
      <c r="A891" s="3">
        <v>45696.058391203704</v>
      </c>
      <c r="B891" t="s">
        <v>36</v>
      </c>
      <c r="C891" s="3">
        <v>45696.063668981486</v>
      </c>
      <c r="D891" t="s">
        <v>125</v>
      </c>
      <c r="E891" s="4">
        <v>2.202</v>
      </c>
      <c r="F891" s="4">
        <v>410900.80300000001</v>
      </c>
      <c r="G891" s="4">
        <v>410903.005</v>
      </c>
      <c r="H891" s="5">
        <f>60 / 86400</f>
        <v>6.9444444444444447E-4</v>
      </c>
      <c r="I891" t="s">
        <v>215</v>
      </c>
      <c r="J891" t="s">
        <v>32</v>
      </c>
      <c r="K891" s="5">
        <f>455 / 86400</f>
        <v>5.2662037037037035E-3</v>
      </c>
      <c r="L891" s="5">
        <f>1845 / 86400</f>
        <v>2.1354166666666667E-2</v>
      </c>
    </row>
    <row r="892" spans="1:12" x14ac:dyDescent="0.25">
      <c r="A892" s="3">
        <v>45696.085023148145</v>
      </c>
      <c r="B892" t="s">
        <v>125</v>
      </c>
      <c r="C892" s="3">
        <v>45696.089224537034</v>
      </c>
      <c r="D892" t="s">
        <v>66</v>
      </c>
      <c r="E892" s="4">
        <v>0.83199999999999996</v>
      </c>
      <c r="F892" s="4">
        <v>410903.005</v>
      </c>
      <c r="G892" s="4">
        <v>410903.837</v>
      </c>
      <c r="H892" s="5">
        <f>39 / 86400</f>
        <v>4.5138888888888887E-4</v>
      </c>
      <c r="I892" t="s">
        <v>24</v>
      </c>
      <c r="J892" t="s">
        <v>151</v>
      </c>
      <c r="K892" s="5">
        <f>363 / 86400</f>
        <v>4.2013888888888891E-3</v>
      </c>
      <c r="L892" s="5">
        <f>28762 / 86400</f>
        <v>0.33289351851851851</v>
      </c>
    </row>
    <row r="893" spans="1:12" x14ac:dyDescent="0.25">
      <c r="A893" s="3">
        <v>45696.422118055554</v>
      </c>
      <c r="B893" t="s">
        <v>66</v>
      </c>
      <c r="C893" s="3">
        <v>45696.495856481481</v>
      </c>
      <c r="D893" t="s">
        <v>173</v>
      </c>
      <c r="E893" s="4">
        <v>26.954000000000001</v>
      </c>
      <c r="F893" s="4">
        <v>410903.837</v>
      </c>
      <c r="G893" s="4">
        <v>410930.79100000003</v>
      </c>
      <c r="H893" s="5">
        <f>2219 / 86400</f>
        <v>2.568287037037037E-2</v>
      </c>
      <c r="I893" t="s">
        <v>258</v>
      </c>
      <c r="J893" t="s">
        <v>24</v>
      </c>
      <c r="K893" s="5">
        <f>6370 / 86400</f>
        <v>7.3726851851851849E-2</v>
      </c>
      <c r="L893" s="5">
        <f>3258 / 86400</f>
        <v>3.7708333333333337E-2</v>
      </c>
    </row>
    <row r="894" spans="1:12" x14ac:dyDescent="0.25">
      <c r="A894" s="3">
        <v>45696.533564814818</v>
      </c>
      <c r="B894" t="s">
        <v>173</v>
      </c>
      <c r="C894" s="3">
        <v>45696.540659722217</v>
      </c>
      <c r="D894" t="s">
        <v>139</v>
      </c>
      <c r="E894" s="4">
        <v>1.0780000000000001</v>
      </c>
      <c r="F894" s="4">
        <v>410930.79100000003</v>
      </c>
      <c r="G894" s="4">
        <v>410931.86900000001</v>
      </c>
      <c r="H894" s="5">
        <f>279 / 86400</f>
        <v>3.2291666666666666E-3</v>
      </c>
      <c r="I894" t="s">
        <v>205</v>
      </c>
      <c r="J894" t="s">
        <v>146</v>
      </c>
      <c r="K894" s="5">
        <f>613 / 86400</f>
        <v>7.0949074074074074E-3</v>
      </c>
      <c r="L894" s="5">
        <f>598 / 86400</f>
        <v>6.9212962962962961E-3</v>
      </c>
    </row>
    <row r="895" spans="1:12" x14ac:dyDescent="0.25">
      <c r="A895" s="3">
        <v>45696.547581018516</v>
      </c>
      <c r="B895" t="s">
        <v>139</v>
      </c>
      <c r="C895" s="3">
        <v>45696.549525462964</v>
      </c>
      <c r="D895" t="s">
        <v>469</v>
      </c>
      <c r="E895" s="4">
        <v>0.63</v>
      </c>
      <c r="F895" s="4">
        <v>410931.86900000001</v>
      </c>
      <c r="G895" s="4">
        <v>410932.49900000001</v>
      </c>
      <c r="H895" s="5">
        <f>0 / 86400</f>
        <v>0</v>
      </c>
      <c r="I895" t="s">
        <v>221</v>
      </c>
      <c r="J895" t="s">
        <v>41</v>
      </c>
      <c r="K895" s="5">
        <f>168 / 86400</f>
        <v>1.9444444444444444E-3</v>
      </c>
      <c r="L895" s="5">
        <f>601 / 86400</f>
        <v>6.9560185185185185E-3</v>
      </c>
    </row>
    <row r="896" spans="1:12" x14ac:dyDescent="0.25">
      <c r="A896" s="3">
        <v>45696.556481481486</v>
      </c>
      <c r="B896" t="s">
        <v>469</v>
      </c>
      <c r="C896" s="3">
        <v>45696.677048611113</v>
      </c>
      <c r="D896" t="s">
        <v>145</v>
      </c>
      <c r="E896" s="4">
        <v>49.466999999999999</v>
      </c>
      <c r="F896" s="4">
        <v>410932.49900000001</v>
      </c>
      <c r="G896" s="4">
        <v>410981.96600000001</v>
      </c>
      <c r="H896" s="5">
        <f>2940 / 86400</f>
        <v>3.4027777777777775E-2</v>
      </c>
      <c r="I896" t="s">
        <v>67</v>
      </c>
      <c r="J896" t="s">
        <v>32</v>
      </c>
      <c r="K896" s="5">
        <f>10416 / 86400</f>
        <v>0.12055555555555555</v>
      </c>
      <c r="L896" s="5">
        <f>616 / 86400</f>
        <v>7.1296296296296299E-3</v>
      </c>
    </row>
    <row r="897" spans="1:12" x14ac:dyDescent="0.25">
      <c r="A897" s="3">
        <v>45696.684178240743</v>
      </c>
      <c r="B897" t="s">
        <v>145</v>
      </c>
      <c r="C897" s="3">
        <v>45696.837500000001</v>
      </c>
      <c r="D897" t="s">
        <v>469</v>
      </c>
      <c r="E897" s="4">
        <v>49.445</v>
      </c>
      <c r="F897" s="4">
        <v>410981.96600000001</v>
      </c>
      <c r="G897" s="4">
        <v>411031.41100000002</v>
      </c>
      <c r="H897" s="5">
        <f>4398 / 86400</f>
        <v>5.0902777777777776E-2</v>
      </c>
      <c r="I897" t="s">
        <v>194</v>
      </c>
      <c r="J897" t="s">
        <v>47</v>
      </c>
      <c r="K897" s="5">
        <f>13247 / 86400</f>
        <v>0.15332175925925925</v>
      </c>
      <c r="L897" s="5">
        <f>963 / 86400</f>
        <v>1.1145833333333334E-2</v>
      </c>
    </row>
    <row r="898" spans="1:12" x14ac:dyDescent="0.25">
      <c r="A898" s="3">
        <v>45696.848645833335</v>
      </c>
      <c r="B898" t="s">
        <v>469</v>
      </c>
      <c r="C898" s="3">
        <v>45696.851967592593</v>
      </c>
      <c r="D898" t="s">
        <v>152</v>
      </c>
      <c r="E898" s="4">
        <v>0.373</v>
      </c>
      <c r="F898" s="4">
        <v>411031.41100000002</v>
      </c>
      <c r="G898" s="4">
        <v>411031.78399999999</v>
      </c>
      <c r="H898" s="5">
        <f>120 / 86400</f>
        <v>1.3888888888888889E-3</v>
      </c>
      <c r="I898" t="s">
        <v>138</v>
      </c>
      <c r="J898" t="s">
        <v>136</v>
      </c>
      <c r="K898" s="5">
        <f>286 / 86400</f>
        <v>3.3101851851851851E-3</v>
      </c>
      <c r="L898" s="5">
        <f>2520 / 86400</f>
        <v>2.9166666666666667E-2</v>
      </c>
    </row>
    <row r="899" spans="1:12" x14ac:dyDescent="0.25">
      <c r="A899" s="3">
        <v>45696.88113425926</v>
      </c>
      <c r="B899" t="s">
        <v>399</v>
      </c>
      <c r="C899" s="3">
        <v>45696.882256944446</v>
      </c>
      <c r="D899" t="s">
        <v>82</v>
      </c>
      <c r="E899" s="4">
        <v>0.253</v>
      </c>
      <c r="F899" s="4">
        <v>411031.78399999999</v>
      </c>
      <c r="G899" s="4">
        <v>411032.03700000001</v>
      </c>
      <c r="H899" s="5">
        <f>25 / 86400</f>
        <v>2.8935185185185184E-4</v>
      </c>
      <c r="I899" t="s">
        <v>221</v>
      </c>
      <c r="J899" t="s">
        <v>162</v>
      </c>
      <c r="K899" s="5">
        <f>97 / 86400</f>
        <v>1.1226851851851851E-3</v>
      </c>
      <c r="L899" s="5">
        <f>367 / 86400</f>
        <v>4.2476851851851851E-3</v>
      </c>
    </row>
    <row r="900" spans="1:12" x14ac:dyDescent="0.25">
      <c r="A900" s="3">
        <v>45696.886504629627</v>
      </c>
      <c r="B900" t="s">
        <v>82</v>
      </c>
      <c r="C900" s="3">
        <v>45696.888749999998</v>
      </c>
      <c r="D900" t="s">
        <v>470</v>
      </c>
      <c r="E900" s="4">
        <v>0.56699999999999995</v>
      </c>
      <c r="F900" s="4">
        <v>411032.03700000001</v>
      </c>
      <c r="G900" s="4">
        <v>411032.60399999999</v>
      </c>
      <c r="H900" s="5">
        <f>19 / 86400</f>
        <v>2.199074074074074E-4</v>
      </c>
      <c r="I900" t="s">
        <v>175</v>
      </c>
      <c r="J900" t="s">
        <v>20</v>
      </c>
      <c r="K900" s="5">
        <f>194 / 86400</f>
        <v>2.2453703703703702E-3</v>
      </c>
      <c r="L900" s="5">
        <f>230 / 86400</f>
        <v>2.662037037037037E-3</v>
      </c>
    </row>
    <row r="901" spans="1:12" x14ac:dyDescent="0.25">
      <c r="A901" s="3">
        <v>45696.891412037032</v>
      </c>
      <c r="B901" t="s">
        <v>160</v>
      </c>
      <c r="C901" s="3">
        <v>45696.931504629625</v>
      </c>
      <c r="D901" t="s">
        <v>396</v>
      </c>
      <c r="E901" s="4">
        <v>11.052</v>
      </c>
      <c r="F901" s="4">
        <v>411032.60399999999</v>
      </c>
      <c r="G901" s="4">
        <v>411043.65600000002</v>
      </c>
      <c r="H901" s="5">
        <f>1159 / 86400</f>
        <v>1.3414351851851853E-2</v>
      </c>
      <c r="I901" t="s">
        <v>168</v>
      </c>
      <c r="J901" t="s">
        <v>20</v>
      </c>
      <c r="K901" s="5">
        <f>3464 / 86400</f>
        <v>4.0092592592592589E-2</v>
      </c>
      <c r="L901" s="5">
        <f>333 / 86400</f>
        <v>3.8541666666666668E-3</v>
      </c>
    </row>
    <row r="902" spans="1:12" x14ac:dyDescent="0.25">
      <c r="A902" s="3">
        <v>45696.935358796298</v>
      </c>
      <c r="B902" t="s">
        <v>396</v>
      </c>
      <c r="C902" s="3">
        <v>45696.982905092591</v>
      </c>
      <c r="D902" t="s">
        <v>66</v>
      </c>
      <c r="E902" s="4">
        <v>24.077000000000002</v>
      </c>
      <c r="F902" s="4">
        <v>411043.65600000002</v>
      </c>
      <c r="G902" s="4">
        <v>411067.73300000001</v>
      </c>
      <c r="H902" s="5">
        <f>860 / 86400</f>
        <v>9.9537037037037042E-3</v>
      </c>
      <c r="I902" t="s">
        <v>244</v>
      </c>
      <c r="J902" t="s">
        <v>35</v>
      </c>
      <c r="K902" s="5">
        <f>4107 / 86400</f>
        <v>4.7534722222222221E-2</v>
      </c>
      <c r="L902" s="5">
        <f>1476 / 86400</f>
        <v>1.7083333333333332E-2</v>
      </c>
    </row>
    <row r="903" spans="1:12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</row>
    <row r="904" spans="1:12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</row>
    <row r="905" spans="1:12" s="10" customFormat="1" ht="20.100000000000001" customHeight="1" x14ac:dyDescent="0.35">
      <c r="A905" s="15" t="s">
        <v>527</v>
      </c>
      <c r="B905" s="15"/>
      <c r="C905" s="15"/>
      <c r="D905" s="15"/>
      <c r="E905" s="15"/>
      <c r="F905" s="15"/>
      <c r="G905" s="15"/>
      <c r="H905" s="15"/>
      <c r="I905" s="15"/>
      <c r="J905" s="15"/>
    </row>
    <row r="906" spans="1:12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</row>
    <row r="907" spans="1:12" ht="30" x14ac:dyDescent="0.25">
      <c r="A907" s="2" t="s">
        <v>6</v>
      </c>
      <c r="B907" s="2" t="s">
        <v>7</v>
      </c>
      <c r="C907" s="2" t="s">
        <v>8</v>
      </c>
      <c r="D907" s="2" t="s">
        <v>9</v>
      </c>
      <c r="E907" s="2" t="s">
        <v>10</v>
      </c>
      <c r="F907" s="2" t="s">
        <v>11</v>
      </c>
      <c r="G907" s="2" t="s">
        <v>12</v>
      </c>
      <c r="H907" s="2" t="s">
        <v>13</v>
      </c>
      <c r="I907" s="2" t="s">
        <v>14</v>
      </c>
      <c r="J907" s="2" t="s">
        <v>15</v>
      </c>
      <c r="K907" s="2" t="s">
        <v>16</v>
      </c>
      <c r="L907" s="2" t="s">
        <v>17</v>
      </c>
    </row>
    <row r="908" spans="1:12" x14ac:dyDescent="0.25">
      <c r="A908" s="3">
        <v>45696.293206018519</v>
      </c>
      <c r="B908" t="s">
        <v>68</v>
      </c>
      <c r="C908" s="3">
        <v>45696.295046296298</v>
      </c>
      <c r="D908" t="s">
        <v>69</v>
      </c>
      <c r="E908" s="4">
        <v>2.9000000000000001E-2</v>
      </c>
      <c r="F908" s="4">
        <v>401784.45</v>
      </c>
      <c r="G908" s="4">
        <v>401784.47899999999</v>
      </c>
      <c r="H908" s="5">
        <f>119 / 86400</f>
        <v>1.3773148148148147E-3</v>
      </c>
      <c r="I908" t="s">
        <v>91</v>
      </c>
      <c r="J908" t="s">
        <v>91</v>
      </c>
      <c r="K908" s="5">
        <f>158 / 86400</f>
        <v>1.8287037037037037E-3</v>
      </c>
      <c r="L908" s="5">
        <f>27163 / 86400</f>
        <v>0.31438657407407405</v>
      </c>
    </row>
    <row r="909" spans="1:12" x14ac:dyDescent="0.25">
      <c r="A909" s="3">
        <v>45696.31622685185</v>
      </c>
      <c r="B909" t="s">
        <v>69</v>
      </c>
      <c r="C909" s="3">
        <v>45696.31863425926</v>
      </c>
      <c r="D909" t="s">
        <v>21</v>
      </c>
      <c r="E909" s="4">
        <v>0.28899999999999998</v>
      </c>
      <c r="F909" s="4">
        <v>401784.47899999999</v>
      </c>
      <c r="G909" s="4">
        <v>401784.76799999998</v>
      </c>
      <c r="H909" s="5">
        <f>119 / 86400</f>
        <v>1.3773148148148147E-3</v>
      </c>
      <c r="I909" t="s">
        <v>138</v>
      </c>
      <c r="J909" t="s">
        <v>136</v>
      </c>
      <c r="K909" s="5">
        <f>208 / 86400</f>
        <v>2.4074074074074076E-3</v>
      </c>
      <c r="L909" s="5">
        <f>584 / 86400</f>
        <v>6.7592592592592591E-3</v>
      </c>
    </row>
    <row r="910" spans="1:12" x14ac:dyDescent="0.25">
      <c r="A910" s="3">
        <v>45696.32539351852</v>
      </c>
      <c r="B910" t="s">
        <v>21</v>
      </c>
      <c r="C910" s="3">
        <v>45696.45003472222</v>
      </c>
      <c r="D910" t="s">
        <v>471</v>
      </c>
      <c r="E910" s="4">
        <v>50.776000000000003</v>
      </c>
      <c r="F910" s="4">
        <v>401784.76799999998</v>
      </c>
      <c r="G910" s="4">
        <v>401835.54399999999</v>
      </c>
      <c r="H910" s="5">
        <f>3518 / 86400</f>
        <v>4.071759259259259E-2</v>
      </c>
      <c r="I910" t="s">
        <v>40</v>
      </c>
      <c r="J910" t="s">
        <v>32</v>
      </c>
      <c r="K910" s="5">
        <f>10769 / 86400</f>
        <v>0.1246412037037037</v>
      </c>
      <c r="L910" s="5">
        <f>4747 / 86400</f>
        <v>5.4942129629629632E-2</v>
      </c>
    </row>
    <row r="911" spans="1:12" x14ac:dyDescent="0.25">
      <c r="A911" s="3">
        <v>45696.504976851851</v>
      </c>
      <c r="B911" t="s">
        <v>471</v>
      </c>
      <c r="C911" s="3">
        <v>45696.630127314813</v>
      </c>
      <c r="D911" t="s">
        <v>338</v>
      </c>
      <c r="E911" s="4">
        <v>46.268999999999998</v>
      </c>
      <c r="F911" s="4">
        <v>401835.54399999999</v>
      </c>
      <c r="G911" s="4">
        <v>401881.81300000002</v>
      </c>
      <c r="H911" s="5">
        <f>4000 / 86400</f>
        <v>4.6296296296296294E-2</v>
      </c>
      <c r="I911" t="s">
        <v>58</v>
      </c>
      <c r="J911" t="s">
        <v>24</v>
      </c>
      <c r="K911" s="5">
        <f>10812 / 86400</f>
        <v>0.12513888888888888</v>
      </c>
      <c r="L911" s="5">
        <f>64 / 86400</f>
        <v>7.407407407407407E-4</v>
      </c>
    </row>
    <row r="912" spans="1:12" x14ac:dyDescent="0.25">
      <c r="A912" s="3">
        <v>45696.630868055552</v>
      </c>
      <c r="B912" t="s">
        <v>338</v>
      </c>
      <c r="C912" s="3">
        <v>45696.673391203702</v>
      </c>
      <c r="D912" t="s">
        <v>158</v>
      </c>
      <c r="E912" s="4">
        <v>24.283000000000001</v>
      </c>
      <c r="F912" s="4">
        <v>401881.81300000002</v>
      </c>
      <c r="G912" s="4">
        <v>401906.09600000002</v>
      </c>
      <c r="H912" s="5">
        <f>1261 / 86400</f>
        <v>1.4594907407407407E-2</v>
      </c>
      <c r="I912" t="s">
        <v>40</v>
      </c>
      <c r="J912" t="s">
        <v>140</v>
      </c>
      <c r="K912" s="5">
        <f>3673 / 86400</f>
        <v>4.2511574074074077E-2</v>
      </c>
      <c r="L912" s="5">
        <f>52 / 86400</f>
        <v>6.018518518518519E-4</v>
      </c>
    </row>
    <row r="913" spans="1:12" x14ac:dyDescent="0.25">
      <c r="A913" s="3">
        <v>45696.673993055556</v>
      </c>
      <c r="B913" t="s">
        <v>158</v>
      </c>
      <c r="C913" s="3">
        <v>45696.756412037037</v>
      </c>
      <c r="D913" t="s">
        <v>472</v>
      </c>
      <c r="E913" s="4">
        <v>29.64</v>
      </c>
      <c r="F913" s="4">
        <v>401906.09600000002</v>
      </c>
      <c r="G913" s="4">
        <v>401935.73599999998</v>
      </c>
      <c r="H913" s="5">
        <f>2860 / 86400</f>
        <v>3.3101851851851855E-2</v>
      </c>
      <c r="I913" t="s">
        <v>58</v>
      </c>
      <c r="J913" t="s">
        <v>24</v>
      </c>
      <c r="K913" s="5">
        <f>7120 / 86400</f>
        <v>8.2407407407407401E-2</v>
      </c>
      <c r="L913" s="5">
        <f>53 / 86400</f>
        <v>6.134259259259259E-4</v>
      </c>
    </row>
    <row r="914" spans="1:12" x14ac:dyDescent="0.25">
      <c r="A914" s="3">
        <v>45696.757025462968</v>
      </c>
      <c r="B914" t="s">
        <v>472</v>
      </c>
      <c r="C914" s="3">
        <v>45696.760706018518</v>
      </c>
      <c r="D914" t="s">
        <v>319</v>
      </c>
      <c r="E914" s="4">
        <v>1.677</v>
      </c>
      <c r="F914" s="4">
        <v>401935.73599999998</v>
      </c>
      <c r="G914" s="4">
        <v>401937.413</v>
      </c>
      <c r="H914" s="5">
        <f>100 / 86400</f>
        <v>1.1574074074074073E-3</v>
      </c>
      <c r="I914" t="s">
        <v>269</v>
      </c>
      <c r="J914" t="s">
        <v>94</v>
      </c>
      <c r="K914" s="5">
        <f>318 / 86400</f>
        <v>3.6805555555555554E-3</v>
      </c>
      <c r="L914" s="5">
        <f>121 / 86400</f>
        <v>1.4004629629629629E-3</v>
      </c>
    </row>
    <row r="915" spans="1:12" x14ac:dyDescent="0.25">
      <c r="A915" s="3">
        <v>45696.762106481481</v>
      </c>
      <c r="B915" t="s">
        <v>319</v>
      </c>
      <c r="C915" s="3">
        <v>45696.85456018518</v>
      </c>
      <c r="D915" t="s">
        <v>82</v>
      </c>
      <c r="E915" s="4">
        <v>35.835999999999999</v>
      </c>
      <c r="F915" s="4">
        <v>401937.413</v>
      </c>
      <c r="G915" s="4">
        <v>401973.24900000001</v>
      </c>
      <c r="H915" s="5">
        <f>2539 / 86400</f>
        <v>2.9386574074074075E-2</v>
      </c>
      <c r="I915" t="s">
        <v>37</v>
      </c>
      <c r="J915" t="s">
        <v>28</v>
      </c>
      <c r="K915" s="5">
        <f>7987 / 86400</f>
        <v>9.2442129629629624E-2</v>
      </c>
      <c r="L915" s="5">
        <f>397 / 86400</f>
        <v>4.5949074074074078E-3</v>
      </c>
    </row>
    <row r="916" spans="1:12" x14ac:dyDescent="0.25">
      <c r="A916" s="3">
        <v>45696.859155092592</v>
      </c>
      <c r="B916" t="s">
        <v>82</v>
      </c>
      <c r="C916" s="3">
        <v>45696.861655092594</v>
      </c>
      <c r="D916" t="s">
        <v>473</v>
      </c>
      <c r="E916" s="4">
        <v>0.26500000000000001</v>
      </c>
      <c r="F916" s="4">
        <v>401973.24900000001</v>
      </c>
      <c r="G916" s="4">
        <v>401973.51400000002</v>
      </c>
      <c r="H916" s="5">
        <f>139 / 86400</f>
        <v>1.6087962962962963E-3</v>
      </c>
      <c r="I916" t="s">
        <v>50</v>
      </c>
      <c r="J916" t="s">
        <v>181</v>
      </c>
      <c r="K916" s="5">
        <f>215 / 86400</f>
        <v>2.488425925925926E-3</v>
      </c>
      <c r="L916" s="5">
        <f>264 / 86400</f>
        <v>3.0555555555555557E-3</v>
      </c>
    </row>
    <row r="917" spans="1:12" x14ac:dyDescent="0.25">
      <c r="A917" s="3">
        <v>45696.864710648151</v>
      </c>
      <c r="B917" t="s">
        <v>335</v>
      </c>
      <c r="C917" s="3">
        <v>45696.865011574075</v>
      </c>
      <c r="D917" t="s">
        <v>474</v>
      </c>
      <c r="E917" s="4">
        <v>2.5000000000000001E-2</v>
      </c>
      <c r="F917" s="4">
        <v>401973.51400000002</v>
      </c>
      <c r="G917" s="4">
        <v>401973.53899999999</v>
      </c>
      <c r="H917" s="5">
        <f>0 / 86400</f>
        <v>0</v>
      </c>
      <c r="I917" t="s">
        <v>90</v>
      </c>
      <c r="J917" t="s">
        <v>181</v>
      </c>
      <c r="K917" s="5">
        <f>25 / 86400</f>
        <v>2.8935185185185184E-4</v>
      </c>
      <c r="L917" s="5">
        <f>269 / 86400</f>
        <v>3.1134259259259257E-3</v>
      </c>
    </row>
    <row r="918" spans="1:12" x14ac:dyDescent="0.25">
      <c r="A918" s="3">
        <v>45696.868125000001</v>
      </c>
      <c r="B918" t="s">
        <v>474</v>
      </c>
      <c r="C918" s="3">
        <v>45696.871817129635</v>
      </c>
      <c r="D918" t="s">
        <v>69</v>
      </c>
      <c r="E918" s="4">
        <v>0.29499999999999998</v>
      </c>
      <c r="F918" s="4">
        <v>401973.53899999999</v>
      </c>
      <c r="G918" s="4">
        <v>401973.83399999997</v>
      </c>
      <c r="H918" s="5">
        <f>179 / 86400</f>
        <v>2.0717592592592593E-3</v>
      </c>
      <c r="I918" t="s">
        <v>28</v>
      </c>
      <c r="J918" t="s">
        <v>188</v>
      </c>
      <c r="K918" s="5">
        <f>318 / 86400</f>
        <v>3.6805555555555554E-3</v>
      </c>
      <c r="L918" s="5">
        <f>11074 / 86400</f>
        <v>0.12817129629629628</v>
      </c>
    </row>
    <row r="919" spans="1:12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</row>
    <row r="920" spans="1:12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</row>
    <row r="921" spans="1:12" s="10" customFormat="1" ht="20.100000000000001" customHeight="1" x14ac:dyDescent="0.35">
      <c r="A921" s="15" t="s">
        <v>528</v>
      </c>
      <c r="B921" s="15"/>
      <c r="C921" s="15"/>
      <c r="D921" s="15"/>
      <c r="E921" s="15"/>
      <c r="F921" s="15"/>
      <c r="G921" s="15"/>
      <c r="H921" s="15"/>
      <c r="I921" s="15"/>
      <c r="J921" s="15"/>
    </row>
    <row r="922" spans="1:12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</row>
    <row r="923" spans="1:12" ht="30" x14ac:dyDescent="0.25">
      <c r="A923" s="2" t="s">
        <v>6</v>
      </c>
      <c r="B923" s="2" t="s">
        <v>7</v>
      </c>
      <c r="C923" s="2" t="s">
        <v>8</v>
      </c>
      <c r="D923" s="2" t="s">
        <v>9</v>
      </c>
      <c r="E923" s="2" t="s">
        <v>10</v>
      </c>
      <c r="F923" s="2" t="s">
        <v>11</v>
      </c>
      <c r="G923" s="2" t="s">
        <v>12</v>
      </c>
      <c r="H923" s="2" t="s">
        <v>13</v>
      </c>
      <c r="I923" s="2" t="s">
        <v>14</v>
      </c>
      <c r="J923" s="2" t="s">
        <v>15</v>
      </c>
      <c r="K923" s="2" t="s">
        <v>16</v>
      </c>
      <c r="L923" s="2" t="s">
        <v>17</v>
      </c>
    </row>
    <row r="924" spans="1:12" x14ac:dyDescent="0.25">
      <c r="A924" s="3">
        <v>45696.266886574071</v>
      </c>
      <c r="B924" t="s">
        <v>70</v>
      </c>
      <c r="C924" s="3">
        <v>45696.267812499995</v>
      </c>
      <c r="D924" t="s">
        <v>70</v>
      </c>
      <c r="E924" s="4">
        <v>0</v>
      </c>
      <c r="F924" s="4">
        <v>407208.83500000002</v>
      </c>
      <c r="G924" s="4">
        <v>407208.83500000002</v>
      </c>
      <c r="H924" s="5">
        <f>59 / 86400</f>
        <v>6.8287037037037036E-4</v>
      </c>
      <c r="I924" t="s">
        <v>133</v>
      </c>
      <c r="J924" t="s">
        <v>133</v>
      </c>
      <c r="K924" s="5">
        <f>80 / 86400</f>
        <v>9.2592592592592596E-4</v>
      </c>
      <c r="L924" s="5">
        <f>24195 / 86400</f>
        <v>0.2800347222222222</v>
      </c>
    </row>
    <row r="925" spans="1:12" x14ac:dyDescent="0.25">
      <c r="A925" s="3">
        <v>45696.280960648146</v>
      </c>
      <c r="B925" t="s">
        <v>70</v>
      </c>
      <c r="C925" s="3">
        <v>45696.351400462961</v>
      </c>
      <c r="D925" t="s">
        <v>460</v>
      </c>
      <c r="E925" s="4">
        <v>35.058999999999997</v>
      </c>
      <c r="F925" s="4">
        <v>407208.83500000002</v>
      </c>
      <c r="G925" s="4">
        <v>407243.89399999997</v>
      </c>
      <c r="H925" s="5">
        <f>1522 / 86400</f>
        <v>1.7615740740740741E-2</v>
      </c>
      <c r="I925" t="s">
        <v>37</v>
      </c>
      <c r="J925" t="s">
        <v>35</v>
      </c>
      <c r="K925" s="5">
        <f>6086 / 86400</f>
        <v>7.0439814814814816E-2</v>
      </c>
      <c r="L925" s="5">
        <f>407 / 86400</f>
        <v>4.7106481481481478E-3</v>
      </c>
    </row>
    <row r="926" spans="1:12" x14ac:dyDescent="0.25">
      <c r="A926" s="3">
        <v>45696.356111111112</v>
      </c>
      <c r="B926" t="s">
        <v>460</v>
      </c>
      <c r="C926" s="3">
        <v>45696.359189814815</v>
      </c>
      <c r="D926" t="s">
        <v>139</v>
      </c>
      <c r="E926" s="4">
        <v>5.5E-2</v>
      </c>
      <c r="F926" s="4">
        <v>407243.89399999997</v>
      </c>
      <c r="G926" s="4">
        <v>407243.94900000002</v>
      </c>
      <c r="H926" s="5">
        <f>200 / 86400</f>
        <v>2.3148148148148147E-3</v>
      </c>
      <c r="I926" t="s">
        <v>146</v>
      </c>
      <c r="J926" t="s">
        <v>91</v>
      </c>
      <c r="K926" s="5">
        <f>265 / 86400</f>
        <v>3.0671296296296297E-3</v>
      </c>
      <c r="L926" s="5">
        <f>220 / 86400</f>
        <v>2.5462962962962965E-3</v>
      </c>
    </row>
    <row r="927" spans="1:12" x14ac:dyDescent="0.25">
      <c r="A927" s="3">
        <v>45696.36173611111</v>
      </c>
      <c r="B927" t="s">
        <v>139</v>
      </c>
      <c r="C927" s="3">
        <v>45696.364375000005</v>
      </c>
      <c r="D927" t="s">
        <v>173</v>
      </c>
      <c r="E927" s="4">
        <v>0.91300000000000003</v>
      </c>
      <c r="F927" s="4">
        <v>407243.94900000002</v>
      </c>
      <c r="G927" s="4">
        <v>407244.86200000002</v>
      </c>
      <c r="H927" s="5">
        <f>0 / 86400</f>
        <v>0</v>
      </c>
      <c r="I927" t="s">
        <v>140</v>
      </c>
      <c r="J927" t="s">
        <v>41</v>
      </c>
      <c r="K927" s="5">
        <f>227 / 86400</f>
        <v>2.627314814814815E-3</v>
      </c>
      <c r="L927" s="5">
        <f>2595 / 86400</f>
        <v>3.0034722222222223E-2</v>
      </c>
    </row>
    <row r="928" spans="1:12" x14ac:dyDescent="0.25">
      <c r="A928" s="3">
        <v>45696.394409722227</v>
      </c>
      <c r="B928" t="s">
        <v>173</v>
      </c>
      <c r="C928" s="3">
        <v>45696.395115740743</v>
      </c>
      <c r="D928" t="s">
        <v>173</v>
      </c>
      <c r="E928" s="4">
        <v>2.1999999999999999E-2</v>
      </c>
      <c r="F928" s="4">
        <v>407244.86200000002</v>
      </c>
      <c r="G928" s="4">
        <v>407244.88400000002</v>
      </c>
      <c r="H928" s="5">
        <f>39 / 86400</f>
        <v>4.5138888888888887E-4</v>
      </c>
      <c r="I928" t="s">
        <v>91</v>
      </c>
      <c r="J928" t="s">
        <v>91</v>
      </c>
      <c r="K928" s="5">
        <f>60 / 86400</f>
        <v>6.9444444444444447E-4</v>
      </c>
      <c r="L928" s="5">
        <f>352 / 86400</f>
        <v>4.0740740740740737E-3</v>
      </c>
    </row>
    <row r="929" spans="1:12" x14ac:dyDescent="0.25">
      <c r="A929" s="3">
        <v>45696.399189814816</v>
      </c>
      <c r="B929" t="s">
        <v>173</v>
      </c>
      <c r="C929" s="3">
        <v>45696.665902777779</v>
      </c>
      <c r="D929" t="s">
        <v>397</v>
      </c>
      <c r="E929" s="4">
        <v>100.773</v>
      </c>
      <c r="F929" s="4">
        <v>407244.88400000002</v>
      </c>
      <c r="G929" s="4">
        <v>407345.65700000001</v>
      </c>
      <c r="H929" s="5">
        <f>8261 / 86400</f>
        <v>9.5613425925925921E-2</v>
      </c>
      <c r="I929" t="s">
        <v>117</v>
      </c>
      <c r="J929" t="s">
        <v>28</v>
      </c>
      <c r="K929" s="5">
        <f>23044 / 86400</f>
        <v>0.26671296296296299</v>
      </c>
      <c r="L929" s="5">
        <f>1735 / 86400</f>
        <v>2.0081018518518519E-2</v>
      </c>
    </row>
    <row r="930" spans="1:12" x14ac:dyDescent="0.25">
      <c r="A930" s="3">
        <v>45696.685983796298</v>
      </c>
      <c r="B930" t="s">
        <v>397</v>
      </c>
      <c r="C930" s="3">
        <v>45696.687939814816</v>
      </c>
      <c r="D930" t="s">
        <v>82</v>
      </c>
      <c r="E930" s="4">
        <v>0.16</v>
      </c>
      <c r="F930" s="4">
        <v>407345.65700000001</v>
      </c>
      <c r="G930" s="4">
        <v>407345.81699999998</v>
      </c>
      <c r="H930" s="5">
        <f>119 / 86400</f>
        <v>1.3773148148148147E-3</v>
      </c>
      <c r="I930" t="s">
        <v>59</v>
      </c>
      <c r="J930" t="s">
        <v>188</v>
      </c>
      <c r="K930" s="5">
        <f>168 / 86400</f>
        <v>1.9444444444444444E-3</v>
      </c>
      <c r="L930" s="5">
        <f>340 / 86400</f>
        <v>3.9351851851851848E-3</v>
      </c>
    </row>
    <row r="931" spans="1:12" x14ac:dyDescent="0.25">
      <c r="A931" s="3">
        <v>45696.691875000004</v>
      </c>
      <c r="B931" t="s">
        <v>82</v>
      </c>
      <c r="C931" s="3">
        <v>45696.694189814814</v>
      </c>
      <c r="D931" t="s">
        <v>470</v>
      </c>
      <c r="E931" s="4">
        <v>0.84799999999999998</v>
      </c>
      <c r="F931" s="4">
        <v>407345.81699999998</v>
      </c>
      <c r="G931" s="4">
        <v>407346.66499999998</v>
      </c>
      <c r="H931" s="5">
        <f>0 / 86400</f>
        <v>0</v>
      </c>
      <c r="I931" t="s">
        <v>159</v>
      </c>
      <c r="J931" t="s">
        <v>24</v>
      </c>
      <c r="K931" s="5">
        <f>199 / 86400</f>
        <v>2.3032407407407407E-3</v>
      </c>
      <c r="L931" s="5">
        <f>257 / 86400</f>
        <v>2.9745370370370373E-3</v>
      </c>
    </row>
    <row r="932" spans="1:12" x14ac:dyDescent="0.25">
      <c r="A932" s="3">
        <v>45696.697164351848</v>
      </c>
      <c r="B932" t="s">
        <v>470</v>
      </c>
      <c r="C932" s="3">
        <v>45696.697268518517</v>
      </c>
      <c r="D932" t="s">
        <v>396</v>
      </c>
      <c r="E932" s="4">
        <v>4.0000000000000001E-3</v>
      </c>
      <c r="F932" s="4">
        <v>407346.66499999998</v>
      </c>
      <c r="G932" s="4">
        <v>407346.66899999999</v>
      </c>
      <c r="H932" s="5">
        <f>0 / 86400</f>
        <v>0</v>
      </c>
      <c r="I932" t="s">
        <v>133</v>
      </c>
      <c r="J932" t="s">
        <v>132</v>
      </c>
      <c r="K932" s="5">
        <f>8 / 86400</f>
        <v>9.2592592592592588E-5</v>
      </c>
      <c r="L932" s="5">
        <f>601 / 86400</f>
        <v>6.9560185185185185E-3</v>
      </c>
    </row>
    <row r="933" spans="1:12" x14ac:dyDescent="0.25">
      <c r="A933" s="3">
        <v>45696.704224537039</v>
      </c>
      <c r="B933" t="s">
        <v>396</v>
      </c>
      <c r="C933" s="3">
        <v>45696.704444444447</v>
      </c>
      <c r="D933" t="s">
        <v>396</v>
      </c>
      <c r="E933" s="4">
        <v>8.0000000000000002E-3</v>
      </c>
      <c r="F933" s="4">
        <v>407346.66899999999</v>
      </c>
      <c r="G933" s="4">
        <v>407346.67700000003</v>
      </c>
      <c r="H933" s="5">
        <f>0 / 86400</f>
        <v>0</v>
      </c>
      <c r="I933" t="s">
        <v>133</v>
      </c>
      <c r="J933" t="s">
        <v>132</v>
      </c>
      <c r="K933" s="5">
        <f>18 / 86400</f>
        <v>2.0833333333333335E-4</v>
      </c>
      <c r="L933" s="5">
        <f>19 / 86400</f>
        <v>2.199074074074074E-4</v>
      </c>
    </row>
    <row r="934" spans="1:12" x14ac:dyDescent="0.25">
      <c r="A934" s="3">
        <v>45696.704664351855</v>
      </c>
      <c r="B934" t="s">
        <v>396</v>
      </c>
      <c r="C934" s="3">
        <v>45696.704733796301</v>
      </c>
      <c r="D934" t="s">
        <v>396</v>
      </c>
      <c r="E934" s="4">
        <v>1E-3</v>
      </c>
      <c r="F934" s="4">
        <v>407346.67700000003</v>
      </c>
      <c r="G934" s="4">
        <v>407346.67800000001</v>
      </c>
      <c r="H934" s="5">
        <f>0 / 86400</f>
        <v>0</v>
      </c>
      <c r="I934" t="s">
        <v>133</v>
      </c>
      <c r="J934" t="s">
        <v>91</v>
      </c>
      <c r="K934" s="5">
        <f>6 / 86400</f>
        <v>6.9444444444444444E-5</v>
      </c>
      <c r="L934" s="5">
        <f>375 / 86400</f>
        <v>4.340277777777778E-3</v>
      </c>
    </row>
    <row r="935" spans="1:12" x14ac:dyDescent="0.25">
      <c r="A935" s="3">
        <v>45696.709074074075</v>
      </c>
      <c r="B935" t="s">
        <v>396</v>
      </c>
      <c r="C935" s="3">
        <v>45696.709363425922</v>
      </c>
      <c r="D935" t="s">
        <v>396</v>
      </c>
      <c r="E935" s="4">
        <v>2E-3</v>
      </c>
      <c r="F935" s="4">
        <v>407346.67800000001</v>
      </c>
      <c r="G935" s="4">
        <v>407346.68</v>
      </c>
      <c r="H935" s="5">
        <f>19 / 86400</f>
        <v>2.199074074074074E-4</v>
      </c>
      <c r="I935" t="s">
        <v>133</v>
      </c>
      <c r="J935" t="s">
        <v>133</v>
      </c>
      <c r="K935" s="5">
        <f>24 / 86400</f>
        <v>2.7777777777777778E-4</v>
      </c>
      <c r="L935" s="5">
        <f>216 / 86400</f>
        <v>2.5000000000000001E-3</v>
      </c>
    </row>
    <row r="936" spans="1:12" x14ac:dyDescent="0.25">
      <c r="A936" s="3">
        <v>45696.711863425924</v>
      </c>
      <c r="B936" t="s">
        <v>396</v>
      </c>
      <c r="C936" s="3">
        <v>45696.780844907407</v>
      </c>
      <c r="D936" t="s">
        <v>475</v>
      </c>
      <c r="E936" s="4">
        <v>33.445999999999998</v>
      </c>
      <c r="F936" s="4">
        <v>407346.68</v>
      </c>
      <c r="G936" s="4">
        <v>407380.12599999999</v>
      </c>
      <c r="H936" s="5">
        <f>1798 / 86400</f>
        <v>2.0810185185185185E-2</v>
      </c>
      <c r="I936" t="s">
        <v>71</v>
      </c>
      <c r="J936" t="s">
        <v>175</v>
      </c>
      <c r="K936" s="5">
        <f>5959 / 86400</f>
        <v>6.896990740740741E-2</v>
      </c>
      <c r="L936" s="5">
        <f>362 / 86400</f>
        <v>4.1898148148148146E-3</v>
      </c>
    </row>
    <row r="937" spans="1:12" x14ac:dyDescent="0.25">
      <c r="A937" s="3">
        <v>45696.785034722227</v>
      </c>
      <c r="B937" t="s">
        <v>475</v>
      </c>
      <c r="C937" s="3">
        <v>45696.790358796294</v>
      </c>
      <c r="D937" t="s">
        <v>70</v>
      </c>
      <c r="E937" s="4">
        <v>1.0629999999999999</v>
      </c>
      <c r="F937" s="4">
        <v>407380.12599999999</v>
      </c>
      <c r="G937" s="4">
        <v>407381.18900000001</v>
      </c>
      <c r="H937" s="5">
        <f>0 / 86400</f>
        <v>0</v>
      </c>
      <c r="I937" t="s">
        <v>41</v>
      </c>
      <c r="J937" t="s">
        <v>151</v>
      </c>
      <c r="K937" s="5">
        <f>460 / 86400</f>
        <v>5.324074074074074E-3</v>
      </c>
      <c r="L937" s="5">
        <f>282 / 86400</f>
        <v>3.2638888888888891E-3</v>
      </c>
    </row>
    <row r="938" spans="1:12" x14ac:dyDescent="0.25">
      <c r="A938" s="3">
        <v>45696.793622685189</v>
      </c>
      <c r="B938" t="s">
        <v>70</v>
      </c>
      <c r="C938" s="3">
        <v>45696.794189814813</v>
      </c>
      <c r="D938" t="s">
        <v>70</v>
      </c>
      <c r="E938" s="4">
        <v>0.01</v>
      </c>
      <c r="F938" s="4">
        <v>407381.18900000001</v>
      </c>
      <c r="G938" s="4">
        <v>407381.19900000002</v>
      </c>
      <c r="H938" s="5">
        <f>39 / 86400</f>
        <v>4.5138888888888887E-4</v>
      </c>
      <c r="I938" t="s">
        <v>133</v>
      </c>
      <c r="J938" t="s">
        <v>91</v>
      </c>
      <c r="K938" s="5">
        <f>48 / 86400</f>
        <v>5.5555555555555556E-4</v>
      </c>
      <c r="L938" s="5">
        <f>665 / 86400</f>
        <v>7.6967592592592591E-3</v>
      </c>
    </row>
    <row r="939" spans="1:12" x14ac:dyDescent="0.25">
      <c r="A939" s="3">
        <v>45696.801886574074</v>
      </c>
      <c r="B939" t="s">
        <v>70</v>
      </c>
      <c r="C939" s="3">
        <v>45696.802314814813</v>
      </c>
      <c r="D939" t="s">
        <v>70</v>
      </c>
      <c r="E939" s="4">
        <v>1.7999999999999999E-2</v>
      </c>
      <c r="F939" s="4">
        <v>407381.19900000002</v>
      </c>
      <c r="G939" s="4">
        <v>407381.217</v>
      </c>
      <c r="H939" s="5">
        <f>19 / 86400</f>
        <v>2.199074074074074E-4</v>
      </c>
      <c r="I939" t="s">
        <v>133</v>
      </c>
      <c r="J939" t="s">
        <v>132</v>
      </c>
      <c r="K939" s="5">
        <f>36 / 86400</f>
        <v>4.1666666666666669E-4</v>
      </c>
      <c r="L939" s="5">
        <f>17079 / 86400</f>
        <v>0.19767361111111112</v>
      </c>
    </row>
    <row r="940" spans="1:12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</row>
    <row r="941" spans="1:12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</row>
    <row r="942" spans="1:12" s="10" customFormat="1" ht="20.100000000000001" customHeight="1" x14ac:dyDescent="0.35">
      <c r="A942" s="15" t="s">
        <v>529</v>
      </c>
      <c r="B942" s="15"/>
      <c r="C942" s="15"/>
      <c r="D942" s="15"/>
      <c r="E942" s="15"/>
      <c r="F942" s="15"/>
      <c r="G942" s="15"/>
      <c r="H942" s="15"/>
      <c r="I942" s="15"/>
      <c r="J942" s="15"/>
    </row>
    <row r="943" spans="1:12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</row>
    <row r="944" spans="1:12" ht="30" x14ac:dyDescent="0.25">
      <c r="A944" s="2" t="s">
        <v>6</v>
      </c>
      <c r="B944" s="2" t="s">
        <v>7</v>
      </c>
      <c r="C944" s="2" t="s">
        <v>8</v>
      </c>
      <c r="D944" s="2" t="s">
        <v>9</v>
      </c>
      <c r="E944" s="2" t="s">
        <v>10</v>
      </c>
      <c r="F944" s="2" t="s">
        <v>11</v>
      </c>
      <c r="G944" s="2" t="s">
        <v>12</v>
      </c>
      <c r="H944" s="2" t="s">
        <v>13</v>
      </c>
      <c r="I944" s="2" t="s">
        <v>14</v>
      </c>
      <c r="J944" s="2" t="s">
        <v>15</v>
      </c>
      <c r="K944" s="2" t="s">
        <v>16</v>
      </c>
      <c r="L944" s="2" t="s">
        <v>17</v>
      </c>
    </row>
    <row r="945" spans="1:12" x14ac:dyDescent="0.25">
      <c r="A945" s="3">
        <v>45696.301550925928</v>
      </c>
      <c r="B945" t="s">
        <v>72</v>
      </c>
      <c r="C945" s="3">
        <v>45696.405763888892</v>
      </c>
      <c r="D945" t="s">
        <v>82</v>
      </c>
      <c r="E945" s="4">
        <v>44.465000000000003</v>
      </c>
      <c r="F945" s="4">
        <v>347639.85399999999</v>
      </c>
      <c r="G945" s="4">
        <v>347684.31900000002</v>
      </c>
      <c r="H945" s="5">
        <f>2478 / 86400</f>
        <v>2.8680555555555556E-2</v>
      </c>
      <c r="I945" t="s">
        <v>103</v>
      </c>
      <c r="J945" t="s">
        <v>50</v>
      </c>
      <c r="K945" s="5">
        <f>9003 / 86400</f>
        <v>0.10420138888888889</v>
      </c>
      <c r="L945" s="5">
        <f>27328 / 86400</f>
        <v>0.3162962962962963</v>
      </c>
    </row>
    <row r="946" spans="1:12" x14ac:dyDescent="0.25">
      <c r="A946" s="3">
        <v>45696.42050925926</v>
      </c>
      <c r="B946" t="s">
        <v>82</v>
      </c>
      <c r="C946" s="3">
        <v>45696.420694444445</v>
      </c>
      <c r="D946" t="s">
        <v>82</v>
      </c>
      <c r="E946" s="4">
        <v>8.0000000000000002E-3</v>
      </c>
      <c r="F946" s="4">
        <v>347684.31900000002</v>
      </c>
      <c r="G946" s="4">
        <v>347684.32699999999</v>
      </c>
      <c r="H946" s="5">
        <f>0 / 86400</f>
        <v>0</v>
      </c>
      <c r="I946" t="s">
        <v>136</v>
      </c>
      <c r="J946" t="s">
        <v>132</v>
      </c>
      <c r="K946" s="5">
        <f>16 / 86400</f>
        <v>1.8518518518518518E-4</v>
      </c>
      <c r="L946" s="5">
        <f>636 / 86400</f>
        <v>7.3611111111111108E-3</v>
      </c>
    </row>
    <row r="947" spans="1:12" x14ac:dyDescent="0.25">
      <c r="A947" s="3">
        <v>45696.42805555556</v>
      </c>
      <c r="B947" t="s">
        <v>82</v>
      </c>
      <c r="C947" s="3">
        <v>45696.432511574079</v>
      </c>
      <c r="D947" t="s">
        <v>139</v>
      </c>
      <c r="E947" s="4">
        <v>1.3169999999999999</v>
      </c>
      <c r="F947" s="4">
        <v>347684.32699999999</v>
      </c>
      <c r="G947" s="4">
        <v>347685.64399999997</v>
      </c>
      <c r="H947" s="5">
        <f>40 / 86400</f>
        <v>4.6296296296296298E-4</v>
      </c>
      <c r="I947" t="s">
        <v>201</v>
      </c>
      <c r="J947" t="s">
        <v>59</v>
      </c>
      <c r="K947" s="5">
        <f>385 / 86400</f>
        <v>4.4560185185185189E-3</v>
      </c>
      <c r="L947" s="5">
        <f>816 / 86400</f>
        <v>9.4444444444444445E-3</v>
      </c>
    </row>
    <row r="948" spans="1:12" x14ac:dyDescent="0.25">
      <c r="A948" s="3">
        <v>45696.44195601852</v>
      </c>
      <c r="B948" t="s">
        <v>139</v>
      </c>
      <c r="C948" s="3">
        <v>45696.643136574072</v>
      </c>
      <c r="D948" t="s">
        <v>261</v>
      </c>
      <c r="E948" s="4">
        <v>69.376999999999995</v>
      </c>
      <c r="F948" s="4">
        <v>347685.64399999997</v>
      </c>
      <c r="G948" s="4">
        <v>347755.02100000001</v>
      </c>
      <c r="H948" s="5">
        <f>6180 / 86400</f>
        <v>7.1527777777777773E-2</v>
      </c>
      <c r="I948" t="s">
        <v>60</v>
      </c>
      <c r="J948" t="s">
        <v>41</v>
      </c>
      <c r="K948" s="5">
        <f>17382 / 86400</f>
        <v>0.20118055555555556</v>
      </c>
      <c r="L948" s="5">
        <f>28 / 86400</f>
        <v>3.2407407407407406E-4</v>
      </c>
    </row>
    <row r="949" spans="1:12" x14ac:dyDescent="0.25">
      <c r="A949" s="3">
        <v>45696.643460648149</v>
      </c>
      <c r="B949" t="s">
        <v>261</v>
      </c>
      <c r="C949" s="3">
        <v>45696.656122685185</v>
      </c>
      <c r="D949" t="s">
        <v>72</v>
      </c>
      <c r="E949" s="4">
        <v>5.7190000000000003</v>
      </c>
      <c r="F949" s="4">
        <v>347755.02100000001</v>
      </c>
      <c r="G949" s="4">
        <v>347760.74</v>
      </c>
      <c r="H949" s="5">
        <f>100 / 86400</f>
        <v>1.1574074074074073E-3</v>
      </c>
      <c r="I949" t="s">
        <v>194</v>
      </c>
      <c r="J949" t="s">
        <v>94</v>
      </c>
      <c r="K949" s="5">
        <f>1093 / 86400</f>
        <v>1.2650462962962962E-2</v>
      </c>
      <c r="L949" s="5">
        <f>29710 / 86400</f>
        <v>0.34386574074074072</v>
      </c>
    </row>
    <row r="950" spans="1:12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</row>
    <row r="951" spans="1:12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</row>
    <row r="952" spans="1:12" s="10" customFormat="1" ht="20.100000000000001" customHeight="1" x14ac:dyDescent="0.35">
      <c r="A952" s="15" t="s">
        <v>530</v>
      </c>
      <c r="B952" s="15"/>
      <c r="C952" s="15"/>
      <c r="D952" s="15"/>
      <c r="E952" s="15"/>
      <c r="F952" s="15"/>
      <c r="G952" s="15"/>
      <c r="H952" s="15"/>
      <c r="I952" s="15"/>
      <c r="J952" s="15"/>
    </row>
    <row r="953" spans="1:12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</row>
    <row r="954" spans="1:12" ht="30" x14ac:dyDescent="0.25">
      <c r="A954" s="2" t="s">
        <v>6</v>
      </c>
      <c r="B954" s="2" t="s">
        <v>7</v>
      </c>
      <c r="C954" s="2" t="s">
        <v>8</v>
      </c>
      <c r="D954" s="2" t="s">
        <v>9</v>
      </c>
      <c r="E954" s="2" t="s">
        <v>10</v>
      </c>
      <c r="F954" s="2" t="s">
        <v>11</v>
      </c>
      <c r="G954" s="2" t="s">
        <v>12</v>
      </c>
      <c r="H954" s="2" t="s">
        <v>13</v>
      </c>
      <c r="I954" s="2" t="s">
        <v>14</v>
      </c>
      <c r="J954" s="2" t="s">
        <v>15</v>
      </c>
      <c r="K954" s="2" t="s">
        <v>16</v>
      </c>
      <c r="L954" s="2" t="s">
        <v>17</v>
      </c>
    </row>
    <row r="955" spans="1:12" x14ac:dyDescent="0.25">
      <c r="A955" s="3">
        <v>45696.161423611113</v>
      </c>
      <c r="B955" t="s">
        <v>73</v>
      </c>
      <c r="C955" s="3">
        <v>45696.379699074074</v>
      </c>
      <c r="D955" t="s">
        <v>469</v>
      </c>
      <c r="E955" s="4">
        <v>90.332999999999998</v>
      </c>
      <c r="F955" s="4">
        <v>40003.563000000002</v>
      </c>
      <c r="G955" s="4">
        <v>40093.896000000001</v>
      </c>
      <c r="H955" s="5">
        <f>6600 / 86400</f>
        <v>7.6388888888888895E-2</v>
      </c>
      <c r="I955" t="s">
        <v>64</v>
      </c>
      <c r="J955" t="s">
        <v>32</v>
      </c>
      <c r="K955" s="5">
        <f>18859 / 86400</f>
        <v>0.21827546296296296</v>
      </c>
      <c r="L955" s="5">
        <f>14108 / 86400</f>
        <v>0.16328703703703704</v>
      </c>
    </row>
    <row r="956" spans="1:12" x14ac:dyDescent="0.25">
      <c r="A956" s="3">
        <v>45696.381562499999</v>
      </c>
      <c r="B956" t="s">
        <v>469</v>
      </c>
      <c r="C956" s="3">
        <v>45696.381828703699</v>
      </c>
      <c r="D956" t="s">
        <v>469</v>
      </c>
      <c r="E956" s="4">
        <v>0</v>
      </c>
      <c r="F956" s="4">
        <v>40093.896000000001</v>
      </c>
      <c r="G956" s="4">
        <v>40093.896000000001</v>
      </c>
      <c r="H956" s="5">
        <f>19 / 86400</f>
        <v>2.199074074074074E-4</v>
      </c>
      <c r="I956" t="s">
        <v>133</v>
      </c>
      <c r="J956" t="s">
        <v>133</v>
      </c>
      <c r="K956" s="5">
        <f>23 / 86400</f>
        <v>2.6620370370370372E-4</v>
      </c>
      <c r="L956" s="5">
        <f>609 / 86400</f>
        <v>7.0486111111111114E-3</v>
      </c>
    </row>
    <row r="957" spans="1:12" x14ac:dyDescent="0.25">
      <c r="A957" s="3">
        <v>45696.388877314814</v>
      </c>
      <c r="B957" t="s">
        <v>469</v>
      </c>
      <c r="C957" s="3">
        <v>45696.391284722224</v>
      </c>
      <c r="D957" t="s">
        <v>152</v>
      </c>
      <c r="E957" s="4">
        <v>0.26400000000000001</v>
      </c>
      <c r="F957" s="4">
        <v>40093.896000000001</v>
      </c>
      <c r="G957" s="4">
        <v>40094.160000000003</v>
      </c>
      <c r="H957" s="5">
        <f>119 / 86400</f>
        <v>1.3773148148148147E-3</v>
      </c>
      <c r="I957" t="s">
        <v>175</v>
      </c>
      <c r="J957" t="s">
        <v>136</v>
      </c>
      <c r="K957" s="5">
        <f>208 / 86400</f>
        <v>2.4074074074074076E-3</v>
      </c>
      <c r="L957" s="5">
        <f>487 / 86400</f>
        <v>5.6365740740740742E-3</v>
      </c>
    </row>
    <row r="958" spans="1:12" x14ac:dyDescent="0.25">
      <c r="A958" s="3">
        <v>45696.396921296298</v>
      </c>
      <c r="B958" t="s">
        <v>152</v>
      </c>
      <c r="C958" s="3">
        <v>45696.658900462964</v>
      </c>
      <c r="D958" t="s">
        <v>82</v>
      </c>
      <c r="E958" s="4">
        <v>99.697999999999993</v>
      </c>
      <c r="F958" s="4">
        <v>40094.160000000003</v>
      </c>
      <c r="G958" s="4">
        <v>40193.858</v>
      </c>
      <c r="H958" s="5">
        <f>6941 / 86400</f>
        <v>8.0335648148148142E-2</v>
      </c>
      <c r="I958" t="s">
        <v>78</v>
      </c>
      <c r="J958" t="s">
        <v>28</v>
      </c>
      <c r="K958" s="5">
        <f>22635 / 86400</f>
        <v>0.26197916666666665</v>
      </c>
      <c r="L958" s="5">
        <f>424 / 86400</f>
        <v>4.9074074074074072E-3</v>
      </c>
    </row>
    <row r="959" spans="1:12" x14ac:dyDescent="0.25">
      <c r="A959" s="3">
        <v>45696.663807870369</v>
      </c>
      <c r="B959" t="s">
        <v>82</v>
      </c>
      <c r="C959" s="3">
        <v>45696.66511574074</v>
      </c>
      <c r="D959" t="s">
        <v>152</v>
      </c>
      <c r="E959" s="4">
        <v>2.1000000000000001E-2</v>
      </c>
      <c r="F959" s="4">
        <v>40193.858</v>
      </c>
      <c r="G959" s="4">
        <v>40193.879000000001</v>
      </c>
      <c r="H959" s="5">
        <f>79 / 86400</f>
        <v>9.1435185185185185E-4</v>
      </c>
      <c r="I959" t="s">
        <v>146</v>
      </c>
      <c r="J959" t="s">
        <v>91</v>
      </c>
      <c r="K959" s="5">
        <f>113 / 86400</f>
        <v>1.3078703703703703E-3</v>
      </c>
      <c r="L959" s="5">
        <f>449 / 86400</f>
        <v>5.1967592592592595E-3</v>
      </c>
    </row>
    <row r="960" spans="1:12" x14ac:dyDescent="0.25">
      <c r="A960" s="3">
        <v>45696.670312499999</v>
      </c>
      <c r="B960" t="s">
        <v>152</v>
      </c>
      <c r="C960" s="3">
        <v>45696.674988425926</v>
      </c>
      <c r="D960" t="s">
        <v>82</v>
      </c>
      <c r="E960" s="4">
        <v>6.8000000000000005E-2</v>
      </c>
      <c r="F960" s="4">
        <v>40193.879000000001</v>
      </c>
      <c r="G960" s="4">
        <v>40193.947</v>
      </c>
      <c r="H960" s="5">
        <f>299 / 86400</f>
        <v>3.460648148148148E-3</v>
      </c>
      <c r="I960" t="s">
        <v>90</v>
      </c>
      <c r="J960" t="s">
        <v>91</v>
      </c>
      <c r="K960" s="5">
        <f>404 / 86400</f>
        <v>4.6759259259259263E-3</v>
      </c>
      <c r="L960" s="5">
        <f>716 / 86400</f>
        <v>8.2870370370370372E-3</v>
      </c>
    </row>
    <row r="961" spans="1:12" x14ac:dyDescent="0.25">
      <c r="A961" s="3">
        <v>45696.683275462958</v>
      </c>
      <c r="B961" t="s">
        <v>82</v>
      </c>
      <c r="C961" s="3">
        <v>45696.709293981483</v>
      </c>
      <c r="D961" t="s">
        <v>468</v>
      </c>
      <c r="E961" s="4">
        <v>13.234</v>
      </c>
      <c r="F961" s="4">
        <v>40193.947</v>
      </c>
      <c r="G961" s="4">
        <v>40207.180999999997</v>
      </c>
      <c r="H961" s="5">
        <f>480 / 86400</f>
        <v>5.5555555555555558E-3</v>
      </c>
      <c r="I961" t="s">
        <v>239</v>
      </c>
      <c r="J961" t="s">
        <v>35</v>
      </c>
      <c r="K961" s="5">
        <f>2247 / 86400</f>
        <v>2.6006944444444444E-2</v>
      </c>
      <c r="L961" s="5">
        <f>2776 / 86400</f>
        <v>3.2129629629629633E-2</v>
      </c>
    </row>
    <row r="962" spans="1:12" x14ac:dyDescent="0.25">
      <c r="A962" s="3">
        <v>45696.741423611107</v>
      </c>
      <c r="B962" t="s">
        <v>468</v>
      </c>
      <c r="C962" s="3">
        <v>45696.981111111112</v>
      </c>
      <c r="D962" t="s">
        <v>36</v>
      </c>
      <c r="E962" s="4">
        <v>105.322</v>
      </c>
      <c r="F962" s="4">
        <v>40207.180999999997</v>
      </c>
      <c r="G962" s="4">
        <v>40312.502999999997</v>
      </c>
      <c r="H962" s="5">
        <f>6859 / 86400</f>
        <v>7.9386574074074068E-2</v>
      </c>
      <c r="I962" t="s">
        <v>56</v>
      </c>
      <c r="J962" t="s">
        <v>50</v>
      </c>
      <c r="K962" s="5">
        <f>20709 / 86400</f>
        <v>0.2396875</v>
      </c>
      <c r="L962" s="5">
        <f>430 / 86400</f>
        <v>4.9768518518518521E-3</v>
      </c>
    </row>
    <row r="963" spans="1:12" x14ac:dyDescent="0.25">
      <c r="A963" s="3">
        <v>45696.986087962963</v>
      </c>
      <c r="B963" t="s">
        <v>36</v>
      </c>
      <c r="C963" s="3">
        <v>45696.986527777779</v>
      </c>
      <c r="D963" t="s">
        <v>36</v>
      </c>
      <c r="E963" s="4">
        <v>1.4999999999999999E-2</v>
      </c>
      <c r="F963" s="4">
        <v>40312.502999999997</v>
      </c>
      <c r="G963" s="4">
        <v>40312.517999999996</v>
      </c>
      <c r="H963" s="5">
        <f>20 / 86400</f>
        <v>2.3148148148148149E-4</v>
      </c>
      <c r="I963" t="s">
        <v>136</v>
      </c>
      <c r="J963" t="s">
        <v>91</v>
      </c>
      <c r="K963" s="5">
        <f>37 / 86400</f>
        <v>4.2824074074074075E-4</v>
      </c>
      <c r="L963" s="5">
        <f>229 / 86400</f>
        <v>2.650462962962963E-3</v>
      </c>
    </row>
    <row r="964" spans="1:12" x14ac:dyDescent="0.25">
      <c r="A964" s="3">
        <v>45696.989178240736</v>
      </c>
      <c r="B964" t="s">
        <v>36</v>
      </c>
      <c r="C964" s="3">
        <v>45696.998356481483</v>
      </c>
      <c r="D964" t="s">
        <v>73</v>
      </c>
      <c r="E964" s="4">
        <v>3.4510000000000001</v>
      </c>
      <c r="F964" s="4">
        <v>40312.517999999996</v>
      </c>
      <c r="G964" s="4">
        <v>40315.968999999997</v>
      </c>
      <c r="H964" s="5">
        <f>20 / 86400</f>
        <v>2.3148148148148149E-4</v>
      </c>
      <c r="I964" t="s">
        <v>230</v>
      </c>
      <c r="J964" t="s">
        <v>28</v>
      </c>
      <c r="K964" s="5">
        <f>793 / 86400</f>
        <v>9.1782407407407403E-3</v>
      </c>
      <c r="L964" s="5">
        <f>141 / 86400</f>
        <v>1.6319444444444445E-3</v>
      </c>
    </row>
    <row r="965" spans="1:12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</row>
    <row r="966" spans="1:12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</row>
    <row r="967" spans="1:12" s="10" customFormat="1" ht="20.100000000000001" customHeight="1" x14ac:dyDescent="0.35">
      <c r="A967" s="15" t="s">
        <v>531</v>
      </c>
      <c r="B967" s="15"/>
      <c r="C967" s="15"/>
      <c r="D967" s="15"/>
      <c r="E967" s="15"/>
      <c r="F967" s="15"/>
      <c r="G967" s="15"/>
      <c r="H967" s="15"/>
      <c r="I967" s="15"/>
      <c r="J967" s="15"/>
    </row>
    <row r="968" spans="1:12" x14ac:dyDescent="0.25">
      <c r="A968" s="12"/>
      <c r="B968" s="12"/>
      <c r="C968" s="12"/>
      <c r="D968" s="12"/>
      <c r="E968" s="12"/>
      <c r="F968" s="12"/>
      <c r="G968" s="12"/>
      <c r="H968" s="12"/>
      <c r="I968" s="12"/>
      <c r="J968" s="12"/>
    </row>
    <row r="969" spans="1:12" ht="30" x14ac:dyDescent="0.25">
      <c r="A969" s="2" t="s">
        <v>6</v>
      </c>
      <c r="B969" s="2" t="s">
        <v>7</v>
      </c>
      <c r="C969" s="2" t="s">
        <v>8</v>
      </c>
      <c r="D969" s="2" t="s">
        <v>9</v>
      </c>
      <c r="E969" s="2" t="s">
        <v>10</v>
      </c>
      <c r="F969" s="2" t="s">
        <v>11</v>
      </c>
      <c r="G969" s="2" t="s">
        <v>12</v>
      </c>
      <c r="H969" s="2" t="s">
        <v>13</v>
      </c>
      <c r="I969" s="2" t="s">
        <v>14</v>
      </c>
      <c r="J969" s="2" t="s">
        <v>15</v>
      </c>
      <c r="K969" s="2" t="s">
        <v>16</v>
      </c>
      <c r="L969" s="2" t="s">
        <v>17</v>
      </c>
    </row>
    <row r="970" spans="1:12" x14ac:dyDescent="0.25">
      <c r="A970" s="3">
        <v>45696</v>
      </c>
      <c r="B970" t="s">
        <v>74</v>
      </c>
      <c r="C970" s="3">
        <v>45696.028275462959</v>
      </c>
      <c r="D970" t="s">
        <v>76</v>
      </c>
      <c r="E970" s="4">
        <v>14.539</v>
      </c>
      <c r="F970" s="4">
        <v>45130.084999999999</v>
      </c>
      <c r="G970" s="4">
        <v>45144.624000000003</v>
      </c>
      <c r="H970" s="5">
        <f>700 / 86400</f>
        <v>8.1018518518518514E-3</v>
      </c>
      <c r="I970" t="s">
        <v>241</v>
      </c>
      <c r="J970" t="s">
        <v>35</v>
      </c>
      <c r="K970" s="5">
        <f>2443 / 86400</f>
        <v>2.8275462962962964E-2</v>
      </c>
      <c r="L970" s="5">
        <f>641 / 86400</f>
        <v>7.4189814814814813E-3</v>
      </c>
    </row>
    <row r="971" spans="1:12" x14ac:dyDescent="0.25">
      <c r="A971" s="3">
        <v>45696.035694444443</v>
      </c>
      <c r="B971" t="s">
        <v>76</v>
      </c>
      <c r="C971" s="3">
        <v>45696.036805555559</v>
      </c>
      <c r="D971" t="s">
        <v>476</v>
      </c>
      <c r="E971" s="4">
        <v>4.9000000000000002E-2</v>
      </c>
      <c r="F971" s="4">
        <v>45144.624000000003</v>
      </c>
      <c r="G971" s="4">
        <v>45144.673000000003</v>
      </c>
      <c r="H971" s="5">
        <f>58 / 86400</f>
        <v>6.7129629629629625E-4</v>
      </c>
      <c r="I971" t="s">
        <v>146</v>
      </c>
      <c r="J971" t="s">
        <v>132</v>
      </c>
      <c r="K971" s="5">
        <f>96 / 86400</f>
        <v>1.1111111111111111E-3</v>
      </c>
      <c r="L971" s="5">
        <f>204 / 86400</f>
        <v>2.3611111111111111E-3</v>
      </c>
    </row>
    <row r="972" spans="1:12" x14ac:dyDescent="0.25">
      <c r="A972" s="3">
        <v>45696.039166666669</v>
      </c>
      <c r="B972" t="s">
        <v>476</v>
      </c>
      <c r="C972" s="3">
        <v>45696.039178240739</v>
      </c>
      <c r="D972" t="s">
        <v>476</v>
      </c>
      <c r="E972" s="4">
        <v>0</v>
      </c>
      <c r="F972" s="4">
        <v>45144.673000000003</v>
      </c>
      <c r="G972" s="4">
        <v>45144.673000000003</v>
      </c>
      <c r="H972" s="5">
        <f>0 / 86400</f>
        <v>0</v>
      </c>
      <c r="I972" t="s">
        <v>133</v>
      </c>
      <c r="J972" t="s">
        <v>133</v>
      </c>
      <c r="K972" s="5">
        <f>0 / 86400</f>
        <v>0</v>
      </c>
      <c r="L972" s="5">
        <f>647 / 86400</f>
        <v>7.4884259259259262E-3</v>
      </c>
    </row>
    <row r="973" spans="1:12" x14ac:dyDescent="0.25">
      <c r="A973" s="3">
        <v>45696.046666666662</v>
      </c>
      <c r="B973" t="s">
        <v>476</v>
      </c>
      <c r="C973" s="3">
        <v>45696.052418981482</v>
      </c>
      <c r="D973" t="s">
        <v>113</v>
      </c>
      <c r="E973" s="4">
        <v>1.2170000000000001</v>
      </c>
      <c r="F973" s="4">
        <v>45144.673000000003</v>
      </c>
      <c r="G973" s="4">
        <v>45145.89</v>
      </c>
      <c r="H973" s="5">
        <f>220 / 86400</f>
        <v>2.5462962962962965E-3</v>
      </c>
      <c r="I973" t="s">
        <v>157</v>
      </c>
      <c r="J973" t="s">
        <v>162</v>
      </c>
      <c r="K973" s="5">
        <f>496 / 86400</f>
        <v>5.7407407407407407E-3</v>
      </c>
      <c r="L973" s="5">
        <f>12290 / 86400</f>
        <v>0.14224537037037038</v>
      </c>
    </row>
    <row r="974" spans="1:12" x14ac:dyDescent="0.25">
      <c r="A974" s="3">
        <v>45696.194664351853</v>
      </c>
      <c r="B974" t="s">
        <v>113</v>
      </c>
      <c r="C974" s="3">
        <v>45696.205034722225</v>
      </c>
      <c r="D974" t="s">
        <v>92</v>
      </c>
      <c r="E974" s="4">
        <v>4.16</v>
      </c>
      <c r="F974" s="4">
        <v>45145.89</v>
      </c>
      <c r="G974" s="4">
        <v>45150.05</v>
      </c>
      <c r="H974" s="5">
        <f>319 / 86400</f>
        <v>3.6921296296296298E-3</v>
      </c>
      <c r="I974" t="s">
        <v>178</v>
      </c>
      <c r="J974" t="s">
        <v>32</v>
      </c>
      <c r="K974" s="5">
        <f>895 / 86400</f>
        <v>1.0358796296296297E-2</v>
      </c>
      <c r="L974" s="5">
        <f>3530 / 86400</f>
        <v>4.085648148148148E-2</v>
      </c>
    </row>
    <row r="975" spans="1:12" x14ac:dyDescent="0.25">
      <c r="A975" s="3">
        <v>45696.245891203704</v>
      </c>
      <c r="B975" t="s">
        <v>92</v>
      </c>
      <c r="C975" s="3">
        <v>45696.283958333333</v>
      </c>
      <c r="D975" t="s">
        <v>152</v>
      </c>
      <c r="E975" s="4">
        <v>21.712</v>
      </c>
      <c r="F975" s="4">
        <v>45150.05</v>
      </c>
      <c r="G975" s="4">
        <v>45171.762000000002</v>
      </c>
      <c r="H975" s="5">
        <f>800 / 86400</f>
        <v>9.2592592592592587E-3</v>
      </c>
      <c r="I975" t="s">
        <v>178</v>
      </c>
      <c r="J975" t="s">
        <v>140</v>
      </c>
      <c r="K975" s="5">
        <f>3289 / 86400</f>
        <v>3.8067129629629631E-2</v>
      </c>
      <c r="L975" s="5">
        <f>296 / 86400</f>
        <v>3.425925925925926E-3</v>
      </c>
    </row>
    <row r="976" spans="1:12" x14ac:dyDescent="0.25">
      <c r="A976" s="3">
        <v>45696.28738425926</v>
      </c>
      <c r="B976" t="s">
        <v>152</v>
      </c>
      <c r="C976" s="3">
        <v>45696.287812499999</v>
      </c>
      <c r="D976" t="s">
        <v>82</v>
      </c>
      <c r="E976" s="4">
        <v>5.3999999999999999E-2</v>
      </c>
      <c r="F976" s="4">
        <v>45171.762000000002</v>
      </c>
      <c r="G976" s="4">
        <v>45171.815999999999</v>
      </c>
      <c r="H976" s="5">
        <f>0 / 86400</f>
        <v>0</v>
      </c>
      <c r="I976" t="s">
        <v>151</v>
      </c>
      <c r="J976" t="s">
        <v>136</v>
      </c>
      <c r="K976" s="5">
        <f>36 / 86400</f>
        <v>4.1666666666666669E-4</v>
      </c>
      <c r="L976" s="5">
        <f>3564 / 86400</f>
        <v>4.1250000000000002E-2</v>
      </c>
    </row>
    <row r="977" spans="1:12" x14ac:dyDescent="0.25">
      <c r="A977" s="3">
        <v>45696.329062500001</v>
      </c>
      <c r="B977" t="s">
        <v>82</v>
      </c>
      <c r="C977" s="3">
        <v>45696.329375000001</v>
      </c>
      <c r="D977" t="s">
        <v>82</v>
      </c>
      <c r="E977" s="4">
        <v>0</v>
      </c>
      <c r="F977" s="4">
        <v>45171.815999999999</v>
      </c>
      <c r="G977" s="4">
        <v>45171.815999999999</v>
      </c>
      <c r="H977" s="5">
        <f>19 / 86400</f>
        <v>2.199074074074074E-4</v>
      </c>
      <c r="I977" t="s">
        <v>133</v>
      </c>
      <c r="J977" t="s">
        <v>133</v>
      </c>
      <c r="K977" s="5">
        <f>27 / 86400</f>
        <v>3.1250000000000001E-4</v>
      </c>
      <c r="L977" s="5">
        <f>6980 / 86400</f>
        <v>8.0787037037037032E-2</v>
      </c>
    </row>
    <row r="978" spans="1:12" x14ac:dyDescent="0.25">
      <c r="A978" s="3">
        <v>45696.410162037035</v>
      </c>
      <c r="B978" t="s">
        <v>82</v>
      </c>
      <c r="C978" s="3">
        <v>45696.410266203704</v>
      </c>
      <c r="D978" t="s">
        <v>82</v>
      </c>
      <c r="E978" s="4">
        <v>0</v>
      </c>
      <c r="F978" s="4">
        <v>45171.815999999999</v>
      </c>
      <c r="G978" s="4">
        <v>45171.815999999999</v>
      </c>
      <c r="H978" s="5">
        <f>0 / 86400</f>
        <v>0</v>
      </c>
      <c r="I978" t="s">
        <v>133</v>
      </c>
      <c r="J978" t="s">
        <v>133</v>
      </c>
      <c r="K978" s="5">
        <f>8 / 86400</f>
        <v>9.2592592592592588E-5</v>
      </c>
      <c r="L978" s="5">
        <f>719 / 86400</f>
        <v>8.3217592592592596E-3</v>
      </c>
    </row>
    <row r="979" spans="1:12" x14ac:dyDescent="0.25">
      <c r="A979" s="3">
        <v>45696.418587962966</v>
      </c>
      <c r="B979" t="s">
        <v>82</v>
      </c>
      <c r="C979" s="3">
        <v>45696.614837962959</v>
      </c>
      <c r="D979" t="s">
        <v>36</v>
      </c>
      <c r="E979" s="4">
        <v>75.363</v>
      </c>
      <c r="F979" s="4">
        <v>45171.815999999999</v>
      </c>
      <c r="G979" s="4">
        <v>45247.178999999996</v>
      </c>
      <c r="H979" s="5">
        <f>6017 / 86400</f>
        <v>6.9641203703703705E-2</v>
      </c>
      <c r="I979" t="s">
        <v>64</v>
      </c>
      <c r="J979" t="s">
        <v>28</v>
      </c>
      <c r="K979" s="5">
        <f>16955 / 86400</f>
        <v>0.19623842592592591</v>
      </c>
      <c r="L979" s="5">
        <f>499 / 86400</f>
        <v>5.7754629629629631E-3</v>
      </c>
    </row>
    <row r="980" spans="1:12" x14ac:dyDescent="0.25">
      <c r="A980" s="3">
        <v>45696.620613425926</v>
      </c>
      <c r="B980" t="s">
        <v>36</v>
      </c>
      <c r="C980" s="3">
        <v>45696.624189814815</v>
      </c>
      <c r="D980" t="s">
        <v>36</v>
      </c>
      <c r="E980" s="4">
        <v>1.369</v>
      </c>
      <c r="F980" s="4">
        <v>45247.178999999996</v>
      </c>
      <c r="G980" s="4">
        <v>45248.548000000003</v>
      </c>
      <c r="H980" s="5">
        <f>40 / 86400</f>
        <v>4.6296296296296298E-4</v>
      </c>
      <c r="I980" t="s">
        <v>135</v>
      </c>
      <c r="J980" t="s">
        <v>28</v>
      </c>
      <c r="K980" s="5">
        <f>308 / 86400</f>
        <v>3.5648148148148149E-3</v>
      </c>
      <c r="L980" s="5">
        <f>24777 / 86400</f>
        <v>0.28677083333333331</v>
      </c>
    </row>
    <row r="981" spans="1:12" x14ac:dyDescent="0.25">
      <c r="A981" s="3">
        <v>45696.910960648151</v>
      </c>
      <c r="B981" t="s">
        <v>36</v>
      </c>
      <c r="C981" s="3">
        <v>45696.914513888885</v>
      </c>
      <c r="D981" t="s">
        <v>477</v>
      </c>
      <c r="E981" s="4">
        <v>0.88</v>
      </c>
      <c r="F981" s="4">
        <v>45248.548000000003</v>
      </c>
      <c r="G981" s="4">
        <v>45249.428</v>
      </c>
      <c r="H981" s="5">
        <f>19 / 86400</f>
        <v>2.199074074074074E-4</v>
      </c>
      <c r="I981" t="s">
        <v>218</v>
      </c>
      <c r="J981" t="s">
        <v>85</v>
      </c>
      <c r="K981" s="5">
        <f>307 / 86400</f>
        <v>3.5532407407407409E-3</v>
      </c>
      <c r="L981" s="5">
        <f>1580 / 86400</f>
        <v>1.8287037037037036E-2</v>
      </c>
    </row>
    <row r="982" spans="1:12" x14ac:dyDescent="0.25">
      <c r="A982" s="3">
        <v>45696.932800925926</v>
      </c>
      <c r="B982" t="s">
        <v>477</v>
      </c>
      <c r="C982" s="3">
        <v>45696.996423611112</v>
      </c>
      <c r="D982" t="s">
        <v>478</v>
      </c>
      <c r="E982" s="4">
        <v>28.439</v>
      </c>
      <c r="F982" s="4">
        <v>45249.428</v>
      </c>
      <c r="G982" s="4">
        <v>45277.866999999998</v>
      </c>
      <c r="H982" s="5">
        <f>2598 / 86400</f>
        <v>3.0069444444444444E-2</v>
      </c>
      <c r="I982" t="s">
        <v>117</v>
      </c>
      <c r="J982" t="s">
        <v>94</v>
      </c>
      <c r="K982" s="5">
        <f>5496 / 86400</f>
        <v>6.3611111111111104E-2</v>
      </c>
      <c r="L982" s="5">
        <f>219 / 86400</f>
        <v>2.5347222222222221E-3</v>
      </c>
    </row>
    <row r="983" spans="1:12" x14ac:dyDescent="0.25">
      <c r="A983" s="3">
        <v>45696.998958333337</v>
      </c>
      <c r="B983" t="s">
        <v>478</v>
      </c>
      <c r="C983" s="3">
        <v>45696.99998842593</v>
      </c>
      <c r="D983" t="s">
        <v>75</v>
      </c>
      <c r="E983" s="4">
        <v>1.0149999999999999</v>
      </c>
      <c r="F983" s="4">
        <v>45277.866999999998</v>
      </c>
      <c r="G983" s="4">
        <v>45278.881999999998</v>
      </c>
      <c r="H983" s="5">
        <f>11 / 86400</f>
        <v>1.273148148148148E-4</v>
      </c>
      <c r="I983" t="s">
        <v>240</v>
      </c>
      <c r="J983" t="s">
        <v>229</v>
      </c>
      <c r="K983" s="5">
        <f>89 / 86400</f>
        <v>1.0300925925925926E-3</v>
      </c>
      <c r="L983" s="5">
        <f>0 / 86400</f>
        <v>0</v>
      </c>
    </row>
    <row r="984" spans="1:12" x14ac:dyDescent="0.25">
      <c r="A984" s="12"/>
      <c r="B984" s="12"/>
      <c r="C984" s="12"/>
      <c r="D984" s="12"/>
      <c r="E984" s="12"/>
      <c r="F984" s="12"/>
      <c r="G984" s="12"/>
      <c r="H984" s="12"/>
      <c r="I984" s="12"/>
      <c r="J984" s="12"/>
    </row>
    <row r="985" spans="1:12" x14ac:dyDescent="0.25">
      <c r="A985" s="12"/>
      <c r="B985" s="12"/>
      <c r="C985" s="12"/>
      <c r="D985" s="12"/>
      <c r="E985" s="12"/>
      <c r="F985" s="12"/>
      <c r="G985" s="12"/>
      <c r="H985" s="12"/>
      <c r="I985" s="12"/>
      <c r="J985" s="12"/>
    </row>
    <row r="986" spans="1:12" s="10" customFormat="1" ht="20.100000000000001" customHeight="1" x14ac:dyDescent="0.35">
      <c r="A986" s="15" t="s">
        <v>532</v>
      </c>
      <c r="B986" s="15"/>
      <c r="C986" s="15"/>
      <c r="D986" s="15"/>
      <c r="E986" s="15"/>
      <c r="F986" s="15"/>
      <c r="G986" s="15"/>
      <c r="H986" s="15"/>
      <c r="I986" s="15"/>
      <c r="J986" s="15"/>
    </row>
    <row r="987" spans="1:12" x14ac:dyDescent="0.25">
      <c r="A987" s="12"/>
      <c r="B987" s="12"/>
      <c r="C987" s="12"/>
      <c r="D987" s="12"/>
      <c r="E987" s="12"/>
      <c r="F987" s="12"/>
      <c r="G987" s="12"/>
      <c r="H987" s="12"/>
      <c r="I987" s="12"/>
      <c r="J987" s="12"/>
    </row>
    <row r="988" spans="1:12" ht="30" x14ac:dyDescent="0.25">
      <c r="A988" s="2" t="s">
        <v>6</v>
      </c>
      <c r="B988" s="2" t="s">
        <v>7</v>
      </c>
      <c r="C988" s="2" t="s">
        <v>8</v>
      </c>
      <c r="D988" s="2" t="s">
        <v>9</v>
      </c>
      <c r="E988" s="2" t="s">
        <v>10</v>
      </c>
      <c r="F988" s="2" t="s">
        <v>11</v>
      </c>
      <c r="G988" s="2" t="s">
        <v>12</v>
      </c>
      <c r="H988" s="2" t="s">
        <v>13</v>
      </c>
      <c r="I988" s="2" t="s">
        <v>14</v>
      </c>
      <c r="J988" s="2" t="s">
        <v>15</v>
      </c>
      <c r="K988" s="2" t="s">
        <v>16</v>
      </c>
      <c r="L988" s="2" t="s">
        <v>17</v>
      </c>
    </row>
    <row r="989" spans="1:12" x14ac:dyDescent="0.25">
      <c r="A989" s="3">
        <v>45696.250162037039</v>
      </c>
      <c r="B989" t="s">
        <v>76</v>
      </c>
      <c r="C989" s="3">
        <v>45696.254837962959</v>
      </c>
      <c r="D989" t="s">
        <v>76</v>
      </c>
      <c r="E989" s="4">
        <v>0.03</v>
      </c>
      <c r="F989" s="4">
        <v>526464.21799999999</v>
      </c>
      <c r="G989" s="4">
        <v>526464.24800000002</v>
      </c>
      <c r="H989" s="5">
        <f>359 / 86400</f>
        <v>4.1550925925925922E-3</v>
      </c>
      <c r="I989" t="s">
        <v>132</v>
      </c>
      <c r="J989" t="s">
        <v>133</v>
      </c>
      <c r="K989" s="5">
        <f>404 / 86400</f>
        <v>4.6759259259259263E-3</v>
      </c>
      <c r="L989" s="5">
        <f>54483 / 86400</f>
        <v>0.63059027777777776</v>
      </c>
    </row>
    <row r="990" spans="1:12" x14ac:dyDescent="0.25">
      <c r="A990" s="3">
        <v>45696.635266203702</v>
      </c>
      <c r="B990" t="s">
        <v>76</v>
      </c>
      <c r="C990" s="3">
        <v>45696.659490740742</v>
      </c>
      <c r="D990" t="s">
        <v>476</v>
      </c>
      <c r="E990" s="4">
        <v>1.407</v>
      </c>
      <c r="F990" s="4">
        <v>526464.24800000002</v>
      </c>
      <c r="G990" s="4">
        <v>526465.65500000003</v>
      </c>
      <c r="H990" s="5">
        <f>1859 / 86400</f>
        <v>2.1516203703703704E-2</v>
      </c>
      <c r="I990" t="s">
        <v>179</v>
      </c>
      <c r="J990" t="s">
        <v>132</v>
      </c>
      <c r="K990" s="5">
        <f>2093 / 86400</f>
        <v>2.4224537037037037E-2</v>
      </c>
      <c r="L990" s="5">
        <f>1073 / 86400</f>
        <v>1.2418981481481482E-2</v>
      </c>
    </row>
    <row r="991" spans="1:12" x14ac:dyDescent="0.25">
      <c r="A991" s="3">
        <v>45696.671909722223</v>
      </c>
      <c r="B991" t="s">
        <v>476</v>
      </c>
      <c r="C991" s="3">
        <v>45696.794525462959</v>
      </c>
      <c r="D991" t="s">
        <v>319</v>
      </c>
      <c r="E991" s="4">
        <v>55.578000000000003</v>
      </c>
      <c r="F991" s="4">
        <v>526465.65500000003</v>
      </c>
      <c r="G991" s="4">
        <v>526521.23300000001</v>
      </c>
      <c r="H991" s="5">
        <f>4061 / 86400</f>
        <v>4.7002314814814816E-2</v>
      </c>
      <c r="I991" t="s">
        <v>19</v>
      </c>
      <c r="J991" t="s">
        <v>94</v>
      </c>
      <c r="K991" s="5">
        <f>10594 / 86400</f>
        <v>0.12261574074074075</v>
      </c>
      <c r="L991" s="5">
        <f>636 / 86400</f>
        <v>7.3611111111111108E-3</v>
      </c>
    </row>
    <row r="992" spans="1:12" x14ac:dyDescent="0.25">
      <c r="A992" s="3">
        <v>45696.801886574074</v>
      </c>
      <c r="B992" t="s">
        <v>319</v>
      </c>
      <c r="C992" s="3">
        <v>45696.882511574076</v>
      </c>
      <c r="D992" t="s">
        <v>118</v>
      </c>
      <c r="E992" s="4">
        <v>29.606999999940395</v>
      </c>
      <c r="F992" s="4">
        <v>526521.23300000001</v>
      </c>
      <c r="G992" s="4">
        <v>526550.84</v>
      </c>
      <c r="H992" s="5">
        <f>2961 / 86400</f>
        <v>3.4270833333333334E-2</v>
      </c>
      <c r="I992" t="s">
        <v>60</v>
      </c>
      <c r="J992" t="s">
        <v>24</v>
      </c>
      <c r="K992" s="5">
        <f>6965 / 86400</f>
        <v>8.0613425925925922E-2</v>
      </c>
      <c r="L992" s="5">
        <f>110 / 86400</f>
        <v>1.2731481481481483E-3</v>
      </c>
    </row>
    <row r="993" spans="1:12" x14ac:dyDescent="0.25">
      <c r="A993" s="3">
        <v>45696.883784722224</v>
      </c>
      <c r="B993" t="s">
        <v>118</v>
      </c>
      <c r="C993" s="3">
        <v>45696.883946759262</v>
      </c>
      <c r="D993" t="s">
        <v>118</v>
      </c>
      <c r="E993" s="4">
        <v>0</v>
      </c>
      <c r="F993" s="4">
        <v>526550.84</v>
      </c>
      <c r="G993" s="4">
        <v>526550.84</v>
      </c>
      <c r="H993" s="5">
        <f>0 / 86400</f>
        <v>0</v>
      </c>
      <c r="I993" t="s">
        <v>133</v>
      </c>
      <c r="J993" t="s">
        <v>133</v>
      </c>
      <c r="K993" s="5">
        <f>14 / 86400</f>
        <v>1.6203703703703703E-4</v>
      </c>
      <c r="L993" s="5">
        <f>1230 / 86400</f>
        <v>1.4236111111111111E-2</v>
      </c>
    </row>
    <row r="994" spans="1:12" x14ac:dyDescent="0.25">
      <c r="A994" s="3">
        <v>45696.898182870369</v>
      </c>
      <c r="B994" t="s">
        <v>339</v>
      </c>
      <c r="C994" s="3">
        <v>45696.898252314815</v>
      </c>
      <c r="D994" t="s">
        <v>339</v>
      </c>
      <c r="E994" s="4">
        <v>2E-3</v>
      </c>
      <c r="F994" s="4">
        <v>526550.84</v>
      </c>
      <c r="G994" s="4">
        <v>526550.84199999995</v>
      </c>
      <c r="H994" s="5">
        <f>0 / 86400</f>
        <v>0</v>
      </c>
      <c r="I994" t="s">
        <v>91</v>
      </c>
      <c r="J994" t="s">
        <v>91</v>
      </c>
      <c r="K994" s="5">
        <f>5 / 86400</f>
        <v>5.7870370370370373E-5</v>
      </c>
      <c r="L994" s="5">
        <f>2005 / 86400</f>
        <v>2.3206018518518518E-2</v>
      </c>
    </row>
    <row r="995" spans="1:12" x14ac:dyDescent="0.25">
      <c r="A995" s="3">
        <v>45696.921458333338</v>
      </c>
      <c r="B995" t="s">
        <v>118</v>
      </c>
      <c r="C995" s="3">
        <v>45696.99998842593</v>
      </c>
      <c r="D995" t="s">
        <v>77</v>
      </c>
      <c r="E995" s="4">
        <v>35.754000000059605</v>
      </c>
      <c r="F995" s="4">
        <v>526550.84199999995</v>
      </c>
      <c r="G995" s="4">
        <v>526586.59600000002</v>
      </c>
      <c r="H995" s="5">
        <f>3160 / 86400</f>
        <v>3.6574074074074071E-2</v>
      </c>
      <c r="I995" t="s">
        <v>46</v>
      </c>
      <c r="J995" t="s">
        <v>94</v>
      </c>
      <c r="K995" s="5">
        <f>6785 / 86400</f>
        <v>7.8530092592592596E-2</v>
      </c>
      <c r="L995" s="5">
        <f>0 / 86400</f>
        <v>0</v>
      </c>
    </row>
    <row r="996" spans="1:12" x14ac:dyDescent="0.25">
      <c r="A996" s="12"/>
      <c r="B996" s="12"/>
      <c r="C996" s="12"/>
      <c r="D996" s="12"/>
      <c r="E996" s="12"/>
      <c r="F996" s="12"/>
      <c r="G996" s="12"/>
      <c r="H996" s="12"/>
      <c r="I996" s="12"/>
      <c r="J996" s="12"/>
    </row>
    <row r="997" spans="1:12" x14ac:dyDescent="0.25">
      <c r="A997" s="12"/>
      <c r="B997" s="12"/>
      <c r="C997" s="12"/>
      <c r="D997" s="12"/>
      <c r="E997" s="12"/>
      <c r="F997" s="12"/>
      <c r="G997" s="12"/>
      <c r="H997" s="12"/>
      <c r="I997" s="12"/>
      <c r="J997" s="12"/>
    </row>
    <row r="998" spans="1:12" s="10" customFormat="1" ht="20.100000000000001" customHeight="1" x14ac:dyDescent="0.35">
      <c r="A998" s="15" t="s">
        <v>533</v>
      </c>
      <c r="B998" s="15"/>
      <c r="C998" s="15"/>
      <c r="D998" s="15"/>
      <c r="E998" s="15"/>
      <c r="F998" s="15"/>
      <c r="G998" s="15"/>
      <c r="H998" s="15"/>
      <c r="I998" s="15"/>
      <c r="J998" s="15"/>
    </row>
    <row r="999" spans="1:12" x14ac:dyDescent="0.25">
      <c r="A999" s="12"/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2" ht="30" x14ac:dyDescent="0.25">
      <c r="A1000" s="2" t="s">
        <v>6</v>
      </c>
      <c r="B1000" s="2" t="s">
        <v>7</v>
      </c>
      <c r="C1000" s="2" t="s">
        <v>8</v>
      </c>
      <c r="D1000" s="2" t="s">
        <v>9</v>
      </c>
      <c r="E1000" s="2" t="s">
        <v>10</v>
      </c>
      <c r="F1000" s="2" t="s">
        <v>11</v>
      </c>
      <c r="G1000" s="2" t="s">
        <v>12</v>
      </c>
      <c r="H1000" s="2" t="s">
        <v>13</v>
      </c>
      <c r="I1000" s="2" t="s">
        <v>14</v>
      </c>
      <c r="J1000" s="2" t="s">
        <v>15</v>
      </c>
      <c r="K1000" s="2" t="s">
        <v>16</v>
      </c>
      <c r="L1000" s="2" t="s">
        <v>17</v>
      </c>
    </row>
    <row r="1001" spans="1:12" x14ac:dyDescent="0.25">
      <c r="A1001" s="3">
        <v>45696.216527777782</v>
      </c>
      <c r="B1001" t="s">
        <v>36</v>
      </c>
      <c r="C1001" s="3">
        <v>45696.445648148147</v>
      </c>
      <c r="D1001" t="s">
        <v>45</v>
      </c>
      <c r="E1001" s="4">
        <v>81.899000000000001</v>
      </c>
      <c r="F1001" s="4">
        <v>566880.51300000004</v>
      </c>
      <c r="G1001" s="4">
        <v>566962.41200000001</v>
      </c>
      <c r="H1001" s="5">
        <f>6939 / 86400</f>
        <v>8.0312499999999995E-2</v>
      </c>
      <c r="I1001" t="s">
        <v>239</v>
      </c>
      <c r="J1001" t="s">
        <v>24</v>
      </c>
      <c r="K1001" s="5">
        <f>19796 / 86400</f>
        <v>0.22912037037037036</v>
      </c>
      <c r="L1001" s="5">
        <f>21382 / 86400</f>
        <v>0.24747685185185186</v>
      </c>
    </row>
    <row r="1002" spans="1:12" x14ac:dyDescent="0.25">
      <c r="A1002" s="3">
        <v>45696.476597222223</v>
      </c>
      <c r="B1002" t="s">
        <v>45</v>
      </c>
      <c r="C1002" s="3">
        <v>45696.630937499998</v>
      </c>
      <c r="D1002" t="s">
        <v>338</v>
      </c>
      <c r="E1002" s="4">
        <v>65.986000000000004</v>
      </c>
      <c r="F1002" s="4">
        <v>566962.41200000001</v>
      </c>
      <c r="G1002" s="4">
        <v>567028.39800000004</v>
      </c>
      <c r="H1002" s="5">
        <f>4099 / 86400</f>
        <v>4.7442129629629633E-2</v>
      </c>
      <c r="I1002" t="s">
        <v>78</v>
      </c>
      <c r="J1002" t="s">
        <v>50</v>
      </c>
      <c r="K1002" s="5">
        <f>13335 / 86400</f>
        <v>0.15434027777777778</v>
      </c>
      <c r="L1002" s="5">
        <f>65 / 86400</f>
        <v>7.5231481481481482E-4</v>
      </c>
    </row>
    <row r="1003" spans="1:12" x14ac:dyDescent="0.25">
      <c r="A1003" s="3">
        <v>45696.631689814814</v>
      </c>
      <c r="B1003" t="s">
        <v>338</v>
      </c>
      <c r="C1003" s="3">
        <v>45696.696377314816</v>
      </c>
      <c r="D1003" t="s">
        <v>319</v>
      </c>
      <c r="E1003" s="4">
        <v>30.395</v>
      </c>
      <c r="F1003" s="4">
        <v>567028.39800000004</v>
      </c>
      <c r="G1003" s="4">
        <v>567058.79299999995</v>
      </c>
      <c r="H1003" s="5">
        <f>2260 / 86400</f>
        <v>2.6157407407407407E-2</v>
      </c>
      <c r="I1003" t="s">
        <v>121</v>
      </c>
      <c r="J1003" t="s">
        <v>175</v>
      </c>
      <c r="K1003" s="5">
        <f>5589 / 86400</f>
        <v>6.4687499999999995E-2</v>
      </c>
      <c r="L1003" s="5">
        <f>425 / 86400</f>
        <v>4.9189814814814816E-3</v>
      </c>
    </row>
    <row r="1004" spans="1:12" x14ac:dyDescent="0.25">
      <c r="A1004" s="3">
        <v>45696.701296296298</v>
      </c>
      <c r="B1004" t="s">
        <v>319</v>
      </c>
      <c r="C1004" s="3">
        <v>45696.805439814816</v>
      </c>
      <c r="D1004" t="s">
        <v>95</v>
      </c>
      <c r="E1004" s="4">
        <v>32.234000000000002</v>
      </c>
      <c r="F1004" s="4">
        <v>567058.79299999995</v>
      </c>
      <c r="G1004" s="4">
        <v>567091.027</v>
      </c>
      <c r="H1004" s="5">
        <f>4319 / 86400</f>
        <v>4.9988425925925929E-2</v>
      </c>
      <c r="I1004" t="s">
        <v>60</v>
      </c>
      <c r="J1004" t="s">
        <v>47</v>
      </c>
      <c r="K1004" s="5">
        <f>8998 / 86400</f>
        <v>0.10414351851851852</v>
      </c>
      <c r="L1004" s="5">
        <f>326 / 86400</f>
        <v>3.7731481481481483E-3</v>
      </c>
    </row>
    <row r="1005" spans="1:12" x14ac:dyDescent="0.25">
      <c r="A1005" s="3">
        <v>45696.809212962966</v>
      </c>
      <c r="B1005" t="s">
        <v>95</v>
      </c>
      <c r="C1005" s="3">
        <v>45696.809421296297</v>
      </c>
      <c r="D1005" t="s">
        <v>95</v>
      </c>
      <c r="E1005" s="4">
        <v>8.9999999999999993E-3</v>
      </c>
      <c r="F1005" s="4">
        <v>567091.027</v>
      </c>
      <c r="G1005" s="4">
        <v>567091.03599999996</v>
      </c>
      <c r="H1005" s="5">
        <f>0 / 86400</f>
        <v>0</v>
      </c>
      <c r="I1005" t="s">
        <v>133</v>
      </c>
      <c r="J1005" t="s">
        <v>132</v>
      </c>
      <c r="K1005" s="5">
        <f>18 / 86400</f>
        <v>2.0833333333333335E-4</v>
      </c>
      <c r="L1005" s="5">
        <f>220 / 86400</f>
        <v>2.5462962962962965E-3</v>
      </c>
    </row>
    <row r="1006" spans="1:12" x14ac:dyDescent="0.25">
      <c r="A1006" s="3">
        <v>45696.811967592592</v>
      </c>
      <c r="B1006" t="s">
        <v>95</v>
      </c>
      <c r="C1006" s="3">
        <v>45696.812465277777</v>
      </c>
      <c r="D1006" t="s">
        <v>95</v>
      </c>
      <c r="E1006" s="4">
        <v>0.14399999999999999</v>
      </c>
      <c r="F1006" s="4">
        <v>567091.03599999996</v>
      </c>
      <c r="G1006" s="4">
        <v>567091.18000000005</v>
      </c>
      <c r="H1006" s="5">
        <f>0 / 86400</f>
        <v>0</v>
      </c>
      <c r="I1006" t="s">
        <v>94</v>
      </c>
      <c r="J1006" t="s">
        <v>59</v>
      </c>
      <c r="K1006" s="5">
        <f>43 / 86400</f>
        <v>4.9768518518518521E-4</v>
      </c>
      <c r="L1006" s="5">
        <f>367 / 86400</f>
        <v>4.2476851851851851E-3</v>
      </c>
    </row>
    <row r="1007" spans="1:12" x14ac:dyDescent="0.25">
      <c r="A1007" s="3">
        <v>45696.816712962958</v>
      </c>
      <c r="B1007" t="s">
        <v>95</v>
      </c>
      <c r="C1007" s="3">
        <v>45696.827962962961</v>
      </c>
      <c r="D1007" t="s">
        <v>29</v>
      </c>
      <c r="E1007" s="4">
        <v>2.7069999999999999</v>
      </c>
      <c r="F1007" s="4">
        <v>567091.18000000005</v>
      </c>
      <c r="G1007" s="4">
        <v>567093.88699999999</v>
      </c>
      <c r="H1007" s="5">
        <f>439 / 86400</f>
        <v>5.0810185185185186E-3</v>
      </c>
      <c r="I1007" t="s">
        <v>157</v>
      </c>
      <c r="J1007" t="s">
        <v>85</v>
      </c>
      <c r="K1007" s="5">
        <f>972 / 86400</f>
        <v>1.125E-2</v>
      </c>
      <c r="L1007" s="5">
        <f>2173 / 86400</f>
        <v>2.5150462962962961E-2</v>
      </c>
    </row>
    <row r="1008" spans="1:12" x14ac:dyDescent="0.25">
      <c r="A1008" s="3">
        <v>45696.853113425925</v>
      </c>
      <c r="B1008" t="s">
        <v>29</v>
      </c>
      <c r="C1008" s="3">
        <v>45696.853946759264</v>
      </c>
      <c r="D1008" t="s">
        <v>29</v>
      </c>
      <c r="E1008" s="4">
        <v>4.1000000000000002E-2</v>
      </c>
      <c r="F1008" s="4">
        <v>567093.88699999999</v>
      </c>
      <c r="G1008" s="4">
        <v>567093.92799999996</v>
      </c>
      <c r="H1008" s="5">
        <f>40 / 86400</f>
        <v>4.6296296296296298E-4</v>
      </c>
      <c r="I1008" t="s">
        <v>146</v>
      </c>
      <c r="J1008" t="s">
        <v>132</v>
      </c>
      <c r="K1008" s="5">
        <f>71 / 86400</f>
        <v>8.2175925925925927E-4</v>
      </c>
      <c r="L1008" s="5">
        <f>12618 / 86400</f>
        <v>0.14604166666666665</v>
      </c>
    </row>
    <row r="1009" spans="1:12" x14ac:dyDescent="0.25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</row>
    <row r="1010" spans="1:12" x14ac:dyDescent="0.25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</row>
    <row r="1011" spans="1:12" s="10" customFormat="1" ht="20.100000000000001" customHeight="1" x14ac:dyDescent="0.35">
      <c r="A1011" s="15" t="s">
        <v>534</v>
      </c>
      <c r="B1011" s="15"/>
      <c r="C1011" s="15"/>
      <c r="D1011" s="15"/>
      <c r="E1011" s="15"/>
      <c r="F1011" s="15"/>
      <c r="G1011" s="15"/>
      <c r="H1011" s="15"/>
      <c r="I1011" s="15"/>
      <c r="J1011" s="15"/>
    </row>
    <row r="1012" spans="1:12" x14ac:dyDescent="0.25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</row>
    <row r="1013" spans="1:12" ht="30" x14ac:dyDescent="0.25">
      <c r="A1013" s="2" t="s">
        <v>6</v>
      </c>
      <c r="B1013" s="2" t="s">
        <v>7</v>
      </c>
      <c r="C1013" s="2" t="s">
        <v>8</v>
      </c>
      <c r="D1013" s="2" t="s">
        <v>9</v>
      </c>
      <c r="E1013" s="2" t="s">
        <v>10</v>
      </c>
      <c r="F1013" s="2" t="s">
        <v>11</v>
      </c>
      <c r="G1013" s="2" t="s">
        <v>12</v>
      </c>
      <c r="H1013" s="2" t="s">
        <v>13</v>
      </c>
      <c r="I1013" s="2" t="s">
        <v>14</v>
      </c>
      <c r="J1013" s="2" t="s">
        <v>15</v>
      </c>
      <c r="K1013" s="2" t="s">
        <v>16</v>
      </c>
      <c r="L1013" s="2" t="s">
        <v>17</v>
      </c>
    </row>
    <row r="1014" spans="1:12" x14ac:dyDescent="0.25">
      <c r="A1014" s="3">
        <v>45696.235960648148</v>
      </c>
      <c r="B1014" t="s">
        <v>79</v>
      </c>
      <c r="C1014" s="3">
        <v>45696.240324074075</v>
      </c>
      <c r="D1014" t="s">
        <v>107</v>
      </c>
      <c r="E1014" s="4">
        <v>1.19</v>
      </c>
      <c r="F1014" s="4">
        <v>434552.01400000002</v>
      </c>
      <c r="G1014" s="4">
        <v>434553.20400000003</v>
      </c>
      <c r="H1014" s="5">
        <f>99 / 86400</f>
        <v>1.1458333333333333E-3</v>
      </c>
      <c r="I1014" t="s">
        <v>218</v>
      </c>
      <c r="J1014" t="s">
        <v>20</v>
      </c>
      <c r="K1014" s="5">
        <f>377 / 86400</f>
        <v>4.363425925925926E-3</v>
      </c>
      <c r="L1014" s="5">
        <f>22686 / 86400</f>
        <v>0.26256944444444447</v>
      </c>
    </row>
    <row r="1015" spans="1:12" x14ac:dyDescent="0.25">
      <c r="A1015" s="3">
        <v>45696.266932870371</v>
      </c>
      <c r="B1015" t="s">
        <v>107</v>
      </c>
      <c r="C1015" s="3">
        <v>45696.340844907405</v>
      </c>
      <c r="D1015" t="s">
        <v>139</v>
      </c>
      <c r="E1015" s="4">
        <v>38.119</v>
      </c>
      <c r="F1015" s="4">
        <v>434553.20400000003</v>
      </c>
      <c r="G1015" s="4">
        <v>434591.32299999997</v>
      </c>
      <c r="H1015" s="5">
        <f>1159 / 86400</f>
        <v>1.3414351851851853E-2</v>
      </c>
      <c r="I1015" t="s">
        <v>183</v>
      </c>
      <c r="J1015" t="s">
        <v>35</v>
      </c>
      <c r="K1015" s="5">
        <f>6386 / 86400</f>
        <v>7.391203703703704E-2</v>
      </c>
      <c r="L1015" s="5">
        <f>1413 / 86400</f>
        <v>1.6354166666666666E-2</v>
      </c>
    </row>
    <row r="1016" spans="1:12" x14ac:dyDescent="0.25">
      <c r="A1016" s="3">
        <v>45696.357199074075</v>
      </c>
      <c r="B1016" t="s">
        <v>139</v>
      </c>
      <c r="C1016" s="3">
        <v>45696.361678240741</v>
      </c>
      <c r="D1016" t="s">
        <v>152</v>
      </c>
      <c r="E1016" s="4">
        <v>1.2649999999999999</v>
      </c>
      <c r="F1016" s="4">
        <v>434591.32299999997</v>
      </c>
      <c r="G1016" s="4">
        <v>434592.58799999999</v>
      </c>
      <c r="H1016" s="5">
        <f>80 / 86400</f>
        <v>9.2592592592592596E-4</v>
      </c>
      <c r="I1016" t="s">
        <v>165</v>
      </c>
      <c r="J1016" t="s">
        <v>59</v>
      </c>
      <c r="K1016" s="5">
        <f>387 / 86400</f>
        <v>4.4791666666666669E-3</v>
      </c>
      <c r="L1016" s="5">
        <f>1354 / 86400</f>
        <v>1.5671296296296298E-2</v>
      </c>
    </row>
    <row r="1017" spans="1:12" x14ac:dyDescent="0.25">
      <c r="A1017" s="3">
        <v>45696.377349537041</v>
      </c>
      <c r="B1017" t="s">
        <v>152</v>
      </c>
      <c r="C1017" s="3">
        <v>45696.37835648148</v>
      </c>
      <c r="D1017" t="s">
        <v>82</v>
      </c>
      <c r="E1017" s="4">
        <v>0.14899999999999999</v>
      </c>
      <c r="F1017" s="4">
        <v>434592.58799999999</v>
      </c>
      <c r="G1017" s="4">
        <v>434592.73700000002</v>
      </c>
      <c r="H1017" s="5">
        <f>0 / 86400</f>
        <v>0</v>
      </c>
      <c r="I1017" t="s">
        <v>24</v>
      </c>
      <c r="J1017" t="s">
        <v>146</v>
      </c>
      <c r="K1017" s="5">
        <f>86 / 86400</f>
        <v>9.9537037037037042E-4</v>
      </c>
      <c r="L1017" s="5">
        <f>1569 / 86400</f>
        <v>1.8159722222222223E-2</v>
      </c>
    </row>
    <row r="1018" spans="1:12" x14ac:dyDescent="0.25">
      <c r="A1018" s="3">
        <v>45696.396516203706</v>
      </c>
      <c r="B1018" t="s">
        <v>82</v>
      </c>
      <c r="C1018" s="3">
        <v>45696.526493055557</v>
      </c>
      <c r="D1018" t="s">
        <v>293</v>
      </c>
      <c r="E1018" s="4">
        <v>50.143999999999998</v>
      </c>
      <c r="F1018" s="4">
        <v>434592.73700000002</v>
      </c>
      <c r="G1018" s="4">
        <v>434642.88099999999</v>
      </c>
      <c r="H1018" s="5">
        <f>3559 / 86400</f>
        <v>4.1192129629629627E-2</v>
      </c>
      <c r="I1018" t="s">
        <v>56</v>
      </c>
      <c r="J1018" t="s">
        <v>28</v>
      </c>
      <c r="K1018" s="5">
        <f>11229 / 86400</f>
        <v>0.12996527777777778</v>
      </c>
      <c r="L1018" s="5">
        <f>74 / 86400</f>
        <v>8.564814814814815E-4</v>
      </c>
    </row>
    <row r="1019" spans="1:12" x14ac:dyDescent="0.25">
      <c r="A1019" s="3">
        <v>45696.527349537035</v>
      </c>
      <c r="B1019" t="s">
        <v>421</v>
      </c>
      <c r="C1019" s="3">
        <v>45696.621192129634</v>
      </c>
      <c r="D1019" t="s">
        <v>158</v>
      </c>
      <c r="E1019" s="4">
        <v>24.558</v>
      </c>
      <c r="F1019" s="4">
        <v>434642.88099999999</v>
      </c>
      <c r="G1019" s="4">
        <v>434667.43900000001</v>
      </c>
      <c r="H1019" s="5">
        <f>2941 / 86400</f>
        <v>3.4039351851851848E-2</v>
      </c>
      <c r="I1019" t="s">
        <v>178</v>
      </c>
      <c r="J1019" t="s">
        <v>20</v>
      </c>
      <c r="K1019" s="5">
        <f>8108 / 86400</f>
        <v>9.3842592592592589E-2</v>
      </c>
      <c r="L1019" s="5">
        <f>6 / 86400</f>
        <v>6.9444444444444444E-5</v>
      </c>
    </row>
    <row r="1020" spans="1:12" x14ac:dyDescent="0.25">
      <c r="A1020" s="3">
        <v>45696.621261574073</v>
      </c>
      <c r="B1020" t="s">
        <v>158</v>
      </c>
      <c r="C1020" s="3">
        <v>45696.67386574074</v>
      </c>
      <c r="D1020" t="s">
        <v>82</v>
      </c>
      <c r="E1020" s="4">
        <v>26.050999999999998</v>
      </c>
      <c r="F1020" s="4">
        <v>434667.43900000001</v>
      </c>
      <c r="G1020" s="4">
        <v>434693.49</v>
      </c>
      <c r="H1020" s="5">
        <f>945 / 86400</f>
        <v>1.0937499999999999E-2</v>
      </c>
      <c r="I1020" t="s">
        <v>60</v>
      </c>
      <c r="J1020" t="s">
        <v>35</v>
      </c>
      <c r="K1020" s="5">
        <f>4545 / 86400</f>
        <v>5.2604166666666667E-2</v>
      </c>
      <c r="L1020" s="5">
        <f>2754 / 86400</f>
        <v>3.1875000000000001E-2</v>
      </c>
    </row>
    <row r="1021" spans="1:12" x14ac:dyDescent="0.25">
      <c r="A1021" s="3">
        <v>45696.705740740741</v>
      </c>
      <c r="B1021" t="s">
        <v>82</v>
      </c>
      <c r="C1021" s="3">
        <v>45696.706446759257</v>
      </c>
      <c r="D1021" t="s">
        <v>82</v>
      </c>
      <c r="E1021" s="4">
        <v>3.3000000000000002E-2</v>
      </c>
      <c r="F1021" s="4">
        <v>434693.49</v>
      </c>
      <c r="G1021" s="4">
        <v>434693.52299999999</v>
      </c>
      <c r="H1021" s="5">
        <f>19 / 86400</f>
        <v>2.199074074074074E-4</v>
      </c>
      <c r="I1021" t="s">
        <v>151</v>
      </c>
      <c r="J1021" t="s">
        <v>132</v>
      </c>
      <c r="K1021" s="5">
        <f>61 / 86400</f>
        <v>7.0601851851851847E-4</v>
      </c>
      <c r="L1021" s="5">
        <f>705 / 86400</f>
        <v>8.1597222222222227E-3</v>
      </c>
    </row>
    <row r="1022" spans="1:12" x14ac:dyDescent="0.25">
      <c r="A1022" s="3">
        <v>45696.714606481481</v>
      </c>
      <c r="B1022" t="s">
        <v>82</v>
      </c>
      <c r="C1022" s="3">
        <v>45696.714988425927</v>
      </c>
      <c r="D1022" t="s">
        <v>82</v>
      </c>
      <c r="E1022" s="4">
        <v>1.4E-2</v>
      </c>
      <c r="F1022" s="4">
        <v>434693.52299999999</v>
      </c>
      <c r="G1022" s="4">
        <v>434693.53700000001</v>
      </c>
      <c r="H1022" s="5">
        <f>0 / 86400</f>
        <v>0</v>
      </c>
      <c r="I1022" t="s">
        <v>132</v>
      </c>
      <c r="J1022" t="s">
        <v>132</v>
      </c>
      <c r="K1022" s="5">
        <f>32 / 86400</f>
        <v>3.7037037037037035E-4</v>
      </c>
      <c r="L1022" s="5">
        <f>7192 / 86400</f>
        <v>8.324074074074074E-2</v>
      </c>
    </row>
    <row r="1023" spans="1:12" x14ac:dyDescent="0.25">
      <c r="A1023" s="3">
        <v>45696.79822916667</v>
      </c>
      <c r="B1023" t="s">
        <v>82</v>
      </c>
      <c r="C1023" s="3">
        <v>45696.798402777778</v>
      </c>
      <c r="D1023" t="s">
        <v>82</v>
      </c>
      <c r="E1023" s="4">
        <v>0</v>
      </c>
      <c r="F1023" s="4">
        <v>434693.53700000001</v>
      </c>
      <c r="G1023" s="4">
        <v>434693.53700000001</v>
      </c>
      <c r="H1023" s="5">
        <f>0 / 86400</f>
        <v>0</v>
      </c>
      <c r="I1023" t="s">
        <v>133</v>
      </c>
      <c r="J1023" t="s">
        <v>133</v>
      </c>
      <c r="K1023" s="5">
        <f>15 / 86400</f>
        <v>1.7361111111111112E-4</v>
      </c>
      <c r="L1023" s="5">
        <f>394 / 86400</f>
        <v>4.5601851851851853E-3</v>
      </c>
    </row>
    <row r="1024" spans="1:12" x14ac:dyDescent="0.25">
      <c r="A1024" s="3">
        <v>45696.80296296296</v>
      </c>
      <c r="B1024" t="s">
        <v>82</v>
      </c>
      <c r="C1024" s="3">
        <v>45696.80604166667</v>
      </c>
      <c r="D1024" t="s">
        <v>82</v>
      </c>
      <c r="E1024" s="4">
        <v>1.4E-2</v>
      </c>
      <c r="F1024" s="4">
        <v>434693.53700000001</v>
      </c>
      <c r="G1024" s="4">
        <v>434693.55099999998</v>
      </c>
      <c r="H1024" s="5">
        <f>239 / 86400</f>
        <v>2.7662037037037039E-3</v>
      </c>
      <c r="I1024" t="s">
        <v>136</v>
      </c>
      <c r="J1024" t="s">
        <v>133</v>
      </c>
      <c r="K1024" s="5">
        <f>266 / 86400</f>
        <v>3.0787037037037037E-3</v>
      </c>
      <c r="L1024" s="5">
        <f>337 / 86400</f>
        <v>3.9004629629629628E-3</v>
      </c>
    </row>
    <row r="1025" spans="1:12" x14ac:dyDescent="0.25">
      <c r="A1025" s="3">
        <v>45696.809942129628</v>
      </c>
      <c r="B1025" t="s">
        <v>82</v>
      </c>
      <c r="C1025" s="3">
        <v>45696.904456018514</v>
      </c>
      <c r="D1025" t="s">
        <v>33</v>
      </c>
      <c r="E1025" s="4">
        <v>43.978000000000002</v>
      </c>
      <c r="F1025" s="4">
        <v>434693.55099999998</v>
      </c>
      <c r="G1025" s="4">
        <v>434737.52899999998</v>
      </c>
      <c r="H1025" s="5">
        <f>2381 / 86400</f>
        <v>2.7557870370370371E-2</v>
      </c>
      <c r="I1025" t="s">
        <v>81</v>
      </c>
      <c r="J1025" t="s">
        <v>94</v>
      </c>
      <c r="K1025" s="5">
        <f>8166 / 86400</f>
        <v>9.4513888888888883E-2</v>
      </c>
      <c r="L1025" s="5">
        <f>457 / 86400</f>
        <v>5.2893518518518515E-3</v>
      </c>
    </row>
    <row r="1026" spans="1:12" x14ac:dyDescent="0.25">
      <c r="A1026" s="3">
        <v>45696.909745370373</v>
      </c>
      <c r="B1026" t="s">
        <v>33</v>
      </c>
      <c r="C1026" s="3">
        <v>45696.910416666666</v>
      </c>
      <c r="D1026" t="s">
        <v>107</v>
      </c>
      <c r="E1026" s="4">
        <v>4.1000000000000002E-2</v>
      </c>
      <c r="F1026" s="4">
        <v>434737.52899999998</v>
      </c>
      <c r="G1026" s="4">
        <v>434737.57</v>
      </c>
      <c r="H1026" s="5">
        <f>40 / 86400</f>
        <v>4.6296296296296298E-4</v>
      </c>
      <c r="I1026" t="s">
        <v>151</v>
      </c>
      <c r="J1026" t="s">
        <v>188</v>
      </c>
      <c r="K1026" s="5">
        <f>58 / 86400</f>
        <v>6.7129629629629625E-4</v>
      </c>
      <c r="L1026" s="5">
        <f>90 / 86400</f>
        <v>1.0416666666666667E-3</v>
      </c>
    </row>
    <row r="1027" spans="1:12" x14ac:dyDescent="0.25">
      <c r="A1027" s="3">
        <v>45696.911458333328</v>
      </c>
      <c r="B1027" t="s">
        <v>107</v>
      </c>
      <c r="C1027" s="3">
        <v>45696.915590277778</v>
      </c>
      <c r="D1027" t="s">
        <v>107</v>
      </c>
      <c r="E1027" s="4">
        <v>0</v>
      </c>
      <c r="F1027" s="4">
        <v>434737.57</v>
      </c>
      <c r="G1027" s="4">
        <v>434737.57</v>
      </c>
      <c r="H1027" s="5">
        <f>339 / 86400</f>
        <v>3.9236111111111112E-3</v>
      </c>
      <c r="I1027" t="s">
        <v>133</v>
      </c>
      <c r="J1027" t="s">
        <v>133</v>
      </c>
      <c r="K1027" s="5">
        <f>356 / 86400</f>
        <v>4.1203703703703706E-3</v>
      </c>
      <c r="L1027" s="5">
        <f>2288 / 86400</f>
        <v>2.6481481481481481E-2</v>
      </c>
    </row>
    <row r="1028" spans="1:12" x14ac:dyDescent="0.25">
      <c r="A1028" s="3">
        <v>45696.942071759258</v>
      </c>
      <c r="B1028" t="s">
        <v>107</v>
      </c>
      <c r="C1028" s="3">
        <v>45696.942141203705</v>
      </c>
      <c r="D1028" t="s">
        <v>107</v>
      </c>
      <c r="E1028" s="4">
        <v>0</v>
      </c>
      <c r="F1028" s="4">
        <v>434737.57</v>
      </c>
      <c r="G1028" s="4">
        <v>434737.57</v>
      </c>
      <c r="H1028" s="5">
        <f>0 / 86400</f>
        <v>0</v>
      </c>
      <c r="I1028" t="s">
        <v>133</v>
      </c>
      <c r="J1028" t="s">
        <v>133</v>
      </c>
      <c r="K1028" s="5">
        <f>5 / 86400</f>
        <v>5.7870370370370373E-5</v>
      </c>
      <c r="L1028" s="5">
        <f>29 / 86400</f>
        <v>3.3564814814814812E-4</v>
      </c>
    </row>
    <row r="1029" spans="1:12" x14ac:dyDescent="0.25">
      <c r="A1029" s="3">
        <v>45696.942476851851</v>
      </c>
      <c r="B1029" t="s">
        <v>107</v>
      </c>
      <c r="C1029" s="3">
        <v>45696.947997685187</v>
      </c>
      <c r="D1029" t="s">
        <v>80</v>
      </c>
      <c r="E1029" s="4">
        <v>0.88700000000000001</v>
      </c>
      <c r="F1029" s="4">
        <v>434737.57</v>
      </c>
      <c r="G1029" s="4">
        <v>434738.45699999999</v>
      </c>
      <c r="H1029" s="5">
        <f>259 / 86400</f>
        <v>2.9976851851851853E-3</v>
      </c>
      <c r="I1029" t="s">
        <v>201</v>
      </c>
      <c r="J1029" t="s">
        <v>90</v>
      </c>
      <c r="K1029" s="5">
        <f>477 / 86400</f>
        <v>5.5208333333333333E-3</v>
      </c>
      <c r="L1029" s="5">
        <f>4492 / 86400</f>
        <v>5.199074074074074E-2</v>
      </c>
    </row>
    <row r="1030" spans="1:12" x14ac:dyDescent="0.25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</row>
    <row r="1031" spans="1:12" x14ac:dyDescent="0.25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</row>
    <row r="1032" spans="1:12" s="10" customFormat="1" ht="20.100000000000001" customHeight="1" x14ac:dyDescent="0.35">
      <c r="A1032" s="15" t="s">
        <v>535</v>
      </c>
      <c r="B1032" s="15"/>
      <c r="C1032" s="15"/>
      <c r="D1032" s="15"/>
      <c r="E1032" s="15"/>
      <c r="F1032" s="15"/>
      <c r="G1032" s="15"/>
      <c r="H1032" s="15"/>
      <c r="I1032" s="15"/>
      <c r="J1032" s="15"/>
    </row>
    <row r="1033" spans="1:12" x14ac:dyDescent="0.25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</row>
    <row r="1034" spans="1:12" ht="30" x14ac:dyDescent="0.25">
      <c r="A1034" s="2" t="s">
        <v>6</v>
      </c>
      <c r="B1034" s="2" t="s">
        <v>7</v>
      </c>
      <c r="C1034" s="2" t="s">
        <v>8</v>
      </c>
      <c r="D1034" s="2" t="s">
        <v>9</v>
      </c>
      <c r="E1034" s="2" t="s">
        <v>10</v>
      </c>
      <c r="F1034" s="2" t="s">
        <v>11</v>
      </c>
      <c r="G1034" s="2" t="s">
        <v>12</v>
      </c>
      <c r="H1034" s="2" t="s">
        <v>13</v>
      </c>
      <c r="I1034" s="2" t="s">
        <v>14</v>
      </c>
      <c r="J1034" s="2" t="s">
        <v>15</v>
      </c>
      <c r="K1034" s="2" t="s">
        <v>16</v>
      </c>
      <c r="L1034" s="2" t="s">
        <v>17</v>
      </c>
    </row>
    <row r="1035" spans="1:12" x14ac:dyDescent="0.25">
      <c r="A1035" s="3">
        <v>45696.231886574074</v>
      </c>
      <c r="B1035" t="s">
        <v>51</v>
      </c>
      <c r="C1035" s="3">
        <v>45696.238182870366</v>
      </c>
      <c r="D1035" t="s">
        <v>160</v>
      </c>
      <c r="E1035" s="4">
        <v>0.94699999999999995</v>
      </c>
      <c r="F1035" s="4">
        <v>514380.86700000003</v>
      </c>
      <c r="G1035" s="4">
        <v>514381.81400000001</v>
      </c>
      <c r="H1035" s="5">
        <f>211 / 86400</f>
        <v>2.4421296296296296E-3</v>
      </c>
      <c r="I1035" t="s">
        <v>94</v>
      </c>
      <c r="J1035" t="s">
        <v>146</v>
      </c>
      <c r="K1035" s="5">
        <f>544 / 86400</f>
        <v>6.2962962962962964E-3</v>
      </c>
      <c r="L1035" s="5">
        <f>22042 / 86400</f>
        <v>0.25511574074074073</v>
      </c>
    </row>
    <row r="1036" spans="1:12" x14ac:dyDescent="0.25">
      <c r="A1036" s="3">
        <v>45696.261412037042</v>
      </c>
      <c r="B1036" t="s">
        <v>469</v>
      </c>
      <c r="C1036" s="3">
        <v>45696.26262731482</v>
      </c>
      <c r="D1036" t="s">
        <v>396</v>
      </c>
      <c r="E1036" s="4">
        <v>2.8000000000000001E-2</v>
      </c>
      <c r="F1036" s="4">
        <v>514381.81400000001</v>
      </c>
      <c r="G1036" s="4">
        <v>514381.842</v>
      </c>
      <c r="H1036" s="5">
        <f>90 / 86400</f>
        <v>1.0416666666666667E-3</v>
      </c>
      <c r="I1036" t="s">
        <v>136</v>
      </c>
      <c r="J1036" t="s">
        <v>91</v>
      </c>
      <c r="K1036" s="5">
        <f>105 / 86400</f>
        <v>1.2152777777777778E-3</v>
      </c>
      <c r="L1036" s="5">
        <f>187 / 86400</f>
        <v>2.1643518518518518E-3</v>
      </c>
    </row>
    <row r="1037" spans="1:12" x14ac:dyDescent="0.25">
      <c r="A1037" s="3">
        <v>45696.264791666668</v>
      </c>
      <c r="B1037" t="s">
        <v>396</v>
      </c>
      <c r="C1037" s="3">
        <v>45696.265347222223</v>
      </c>
      <c r="D1037" t="s">
        <v>396</v>
      </c>
      <c r="E1037" s="4">
        <v>0.01</v>
      </c>
      <c r="F1037" s="4">
        <v>514381.842</v>
      </c>
      <c r="G1037" s="4">
        <v>514381.85200000001</v>
      </c>
      <c r="H1037" s="5">
        <f>1 / 86400</f>
        <v>1.1574074074074073E-5</v>
      </c>
      <c r="I1037" t="s">
        <v>136</v>
      </c>
      <c r="J1037" t="s">
        <v>91</v>
      </c>
      <c r="K1037" s="5">
        <f>48 / 86400</f>
        <v>5.5555555555555556E-4</v>
      </c>
      <c r="L1037" s="5">
        <f>79 / 86400</f>
        <v>9.1435185185185185E-4</v>
      </c>
    </row>
    <row r="1038" spans="1:12" x14ac:dyDescent="0.25">
      <c r="A1038" s="3">
        <v>45696.26626157407</v>
      </c>
      <c r="B1038" t="s">
        <v>396</v>
      </c>
      <c r="C1038" s="3">
        <v>45696.26662037037</v>
      </c>
      <c r="D1038" t="s">
        <v>396</v>
      </c>
      <c r="E1038" s="4">
        <v>7.0000000000000001E-3</v>
      </c>
      <c r="F1038" s="4">
        <v>514381.85200000001</v>
      </c>
      <c r="G1038" s="4">
        <v>514381.859</v>
      </c>
      <c r="H1038" s="5">
        <f>11 / 86400</f>
        <v>1.273148148148148E-4</v>
      </c>
      <c r="I1038" t="s">
        <v>91</v>
      </c>
      <c r="J1038" t="s">
        <v>91</v>
      </c>
      <c r="K1038" s="5">
        <f>31 / 86400</f>
        <v>3.5879629629629629E-4</v>
      </c>
      <c r="L1038" s="5">
        <f>110 / 86400</f>
        <v>1.2731481481481483E-3</v>
      </c>
    </row>
    <row r="1039" spans="1:12" x14ac:dyDescent="0.25">
      <c r="A1039" s="3">
        <v>45696.267893518518</v>
      </c>
      <c r="B1039" t="s">
        <v>396</v>
      </c>
      <c r="C1039" s="3">
        <v>45696.268310185187</v>
      </c>
      <c r="D1039" t="s">
        <v>396</v>
      </c>
      <c r="E1039" s="4">
        <v>6.0000000000000001E-3</v>
      </c>
      <c r="F1039" s="4">
        <v>514381.859</v>
      </c>
      <c r="G1039" s="4">
        <v>514381.86499999999</v>
      </c>
      <c r="H1039" s="5">
        <f>0 / 86400</f>
        <v>0</v>
      </c>
      <c r="I1039" t="s">
        <v>136</v>
      </c>
      <c r="J1039" t="s">
        <v>91</v>
      </c>
      <c r="K1039" s="5">
        <f>36 / 86400</f>
        <v>4.1666666666666669E-4</v>
      </c>
      <c r="L1039" s="5">
        <f>186 / 86400</f>
        <v>2.1527777777777778E-3</v>
      </c>
    </row>
    <row r="1040" spans="1:12" x14ac:dyDescent="0.25">
      <c r="A1040" s="3">
        <v>45696.270462962959</v>
      </c>
      <c r="B1040" t="s">
        <v>396</v>
      </c>
      <c r="C1040" s="3">
        <v>45696.546006944445</v>
      </c>
      <c r="D1040" t="s">
        <v>344</v>
      </c>
      <c r="E1040" s="4">
        <v>94.025000000000006</v>
      </c>
      <c r="F1040" s="4">
        <v>514381.86499999999</v>
      </c>
      <c r="G1040" s="4">
        <v>514475.89</v>
      </c>
      <c r="H1040" s="5">
        <f>9657 / 86400</f>
        <v>0.11177083333333333</v>
      </c>
      <c r="I1040" t="s">
        <v>56</v>
      </c>
      <c r="J1040" t="s">
        <v>41</v>
      </c>
      <c r="K1040" s="5">
        <f>23807 / 86400</f>
        <v>0.27554398148148146</v>
      </c>
      <c r="L1040" s="5">
        <f>30 / 86400</f>
        <v>3.4722222222222224E-4</v>
      </c>
    </row>
    <row r="1041" spans="1:12" x14ac:dyDescent="0.25">
      <c r="A1041" s="3">
        <v>45696.546354166669</v>
      </c>
      <c r="B1041" t="s">
        <v>344</v>
      </c>
      <c r="C1041" s="3">
        <v>45696.569884259261</v>
      </c>
      <c r="D1041" t="s">
        <v>51</v>
      </c>
      <c r="E1041" s="4">
        <v>8.3620000000000001</v>
      </c>
      <c r="F1041" s="4">
        <v>514476.24200000003</v>
      </c>
      <c r="G1041" s="4">
        <v>514484.60399999999</v>
      </c>
      <c r="H1041" s="5">
        <f>689 / 86400</f>
        <v>7.9745370370370369E-3</v>
      </c>
      <c r="I1041" t="s">
        <v>263</v>
      </c>
      <c r="J1041" t="s">
        <v>24</v>
      </c>
      <c r="K1041" s="5">
        <f>2033 / 86400</f>
        <v>2.3530092592592592E-2</v>
      </c>
      <c r="L1041" s="5">
        <f>2419 / 86400</f>
        <v>2.7997685185185184E-2</v>
      </c>
    </row>
    <row r="1042" spans="1:12" x14ac:dyDescent="0.25">
      <c r="A1042" s="3">
        <v>45696.597881944443</v>
      </c>
      <c r="B1042" t="s">
        <v>51</v>
      </c>
      <c r="C1042" s="3">
        <v>45696.601006944446</v>
      </c>
      <c r="D1042" t="s">
        <v>396</v>
      </c>
      <c r="E1042" s="4">
        <v>0.7</v>
      </c>
      <c r="F1042" s="4">
        <v>514484.60399999999</v>
      </c>
      <c r="G1042" s="4">
        <v>514485.304</v>
      </c>
      <c r="H1042" s="5">
        <f>90 / 86400</f>
        <v>1.0416666666666667E-3</v>
      </c>
      <c r="I1042" t="s">
        <v>140</v>
      </c>
      <c r="J1042" t="s">
        <v>162</v>
      </c>
      <c r="K1042" s="5">
        <f>270 / 86400</f>
        <v>3.1250000000000002E-3</v>
      </c>
      <c r="L1042" s="5">
        <f>210 / 86400</f>
        <v>2.4305555555555556E-3</v>
      </c>
    </row>
    <row r="1043" spans="1:12" x14ac:dyDescent="0.25">
      <c r="A1043" s="3">
        <v>45696.603437500002</v>
      </c>
      <c r="B1043" t="s">
        <v>396</v>
      </c>
      <c r="C1043" s="3">
        <v>45696.603692129633</v>
      </c>
      <c r="D1043" t="s">
        <v>396</v>
      </c>
      <c r="E1043" s="4">
        <v>6.0000000000000001E-3</v>
      </c>
      <c r="F1043" s="4">
        <v>514485.304</v>
      </c>
      <c r="G1043" s="4">
        <v>514485.31</v>
      </c>
      <c r="H1043" s="5">
        <f>0 / 86400</f>
        <v>0</v>
      </c>
      <c r="I1043" t="s">
        <v>133</v>
      </c>
      <c r="J1043" t="s">
        <v>91</v>
      </c>
      <c r="K1043" s="5">
        <f>22 / 86400</f>
        <v>2.5462962962962961E-4</v>
      </c>
      <c r="L1043" s="5">
        <f>236 / 86400</f>
        <v>2.7314814814814814E-3</v>
      </c>
    </row>
    <row r="1044" spans="1:12" x14ac:dyDescent="0.25">
      <c r="A1044" s="3">
        <v>45696.606423611112</v>
      </c>
      <c r="B1044" t="s">
        <v>396</v>
      </c>
      <c r="C1044" s="3">
        <v>45696.606782407413</v>
      </c>
      <c r="D1044" t="s">
        <v>396</v>
      </c>
      <c r="E1044" s="4">
        <v>8.0000000000000002E-3</v>
      </c>
      <c r="F1044" s="4">
        <v>514485.31</v>
      </c>
      <c r="G1044" s="4">
        <v>514485.31800000003</v>
      </c>
      <c r="H1044" s="5">
        <f>29 / 86400</f>
        <v>3.3564814814814812E-4</v>
      </c>
      <c r="I1044" t="s">
        <v>133</v>
      </c>
      <c r="J1044" t="s">
        <v>91</v>
      </c>
      <c r="K1044" s="5">
        <f>31 / 86400</f>
        <v>3.5879629629629629E-4</v>
      </c>
      <c r="L1044" s="5">
        <f>451 / 86400</f>
        <v>5.2199074074074075E-3</v>
      </c>
    </row>
    <row r="1045" spans="1:12" x14ac:dyDescent="0.25">
      <c r="A1045" s="3">
        <v>45696.612002314811</v>
      </c>
      <c r="B1045" t="s">
        <v>396</v>
      </c>
      <c r="C1045" s="3">
        <v>45696.726863425924</v>
      </c>
      <c r="D1045" t="s">
        <v>479</v>
      </c>
      <c r="E1045" s="4">
        <v>45.38</v>
      </c>
      <c r="F1045" s="4">
        <v>514485.31800000003</v>
      </c>
      <c r="G1045" s="4">
        <v>514530.69799999997</v>
      </c>
      <c r="H1045" s="5">
        <f>4050 / 86400</f>
        <v>4.6875E-2</v>
      </c>
      <c r="I1045" t="s">
        <v>55</v>
      </c>
      <c r="J1045" t="s">
        <v>28</v>
      </c>
      <c r="K1045" s="5">
        <f>9924 / 86400</f>
        <v>0.11486111111111111</v>
      </c>
      <c r="L1045" s="5">
        <f>2 / 86400</f>
        <v>2.3148148148148147E-5</v>
      </c>
    </row>
    <row r="1046" spans="1:12" x14ac:dyDescent="0.25">
      <c r="A1046" s="3">
        <v>45696.726886574077</v>
      </c>
      <c r="B1046" t="s">
        <v>306</v>
      </c>
      <c r="C1046" s="3">
        <v>45696.897905092592</v>
      </c>
      <c r="D1046" t="s">
        <v>82</v>
      </c>
      <c r="E1046" s="4">
        <v>55.649000000000001</v>
      </c>
      <c r="F1046" s="4">
        <v>514530.717</v>
      </c>
      <c r="G1046" s="4">
        <v>514586.36599999998</v>
      </c>
      <c r="H1046" s="5">
        <f>5932 / 86400</f>
        <v>6.8657407407407403E-2</v>
      </c>
      <c r="I1046" t="s">
        <v>60</v>
      </c>
      <c r="J1046" t="s">
        <v>41</v>
      </c>
      <c r="K1046" s="5">
        <f>14776 / 86400</f>
        <v>0.17101851851851851</v>
      </c>
      <c r="L1046" s="5">
        <f>576 / 86400</f>
        <v>6.6666666666666671E-3</v>
      </c>
    </row>
    <row r="1047" spans="1:12" x14ac:dyDescent="0.25">
      <c r="A1047" s="3">
        <v>45696.90457175926</v>
      </c>
      <c r="B1047" t="s">
        <v>82</v>
      </c>
      <c r="C1047" s="3">
        <v>45696.905763888892</v>
      </c>
      <c r="D1047" t="s">
        <v>82</v>
      </c>
      <c r="E1047" s="4">
        <v>3.5999999999999997E-2</v>
      </c>
      <c r="F1047" s="4">
        <v>514586.36599999998</v>
      </c>
      <c r="G1047" s="4">
        <v>514586.402</v>
      </c>
      <c r="H1047" s="5">
        <f>29 / 86400</f>
        <v>3.3564814814814812E-4</v>
      </c>
      <c r="I1047" t="s">
        <v>181</v>
      </c>
      <c r="J1047" t="s">
        <v>91</v>
      </c>
      <c r="K1047" s="5">
        <f>103 / 86400</f>
        <v>1.1921296296296296E-3</v>
      </c>
      <c r="L1047" s="5">
        <f>8141 / 86400</f>
        <v>9.4224537037037037E-2</v>
      </c>
    </row>
    <row r="1048" spans="1:12" x14ac:dyDescent="0.25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</row>
    <row r="1049" spans="1:12" x14ac:dyDescent="0.25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</row>
    <row r="1050" spans="1:12" s="10" customFormat="1" ht="20.100000000000001" customHeight="1" x14ac:dyDescent="0.35">
      <c r="A1050" s="15" t="s">
        <v>536</v>
      </c>
      <c r="B1050" s="15"/>
      <c r="C1050" s="15"/>
      <c r="D1050" s="15"/>
      <c r="E1050" s="15"/>
      <c r="F1050" s="15"/>
      <c r="G1050" s="15"/>
      <c r="H1050" s="15"/>
      <c r="I1050" s="15"/>
      <c r="J1050" s="15"/>
    </row>
    <row r="1051" spans="1:12" x14ac:dyDescent="0.25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</row>
    <row r="1052" spans="1:12" ht="30" x14ac:dyDescent="0.25">
      <c r="A1052" s="2" t="s">
        <v>6</v>
      </c>
      <c r="B1052" s="2" t="s">
        <v>7</v>
      </c>
      <c r="C1052" s="2" t="s">
        <v>8</v>
      </c>
      <c r="D1052" s="2" t="s">
        <v>9</v>
      </c>
      <c r="E1052" s="2" t="s">
        <v>10</v>
      </c>
      <c r="F1052" s="2" t="s">
        <v>11</v>
      </c>
      <c r="G1052" s="2" t="s">
        <v>12</v>
      </c>
      <c r="H1052" s="2" t="s">
        <v>13</v>
      </c>
      <c r="I1052" s="2" t="s">
        <v>14</v>
      </c>
      <c r="J1052" s="2" t="s">
        <v>15</v>
      </c>
      <c r="K1052" s="2" t="s">
        <v>16</v>
      </c>
      <c r="L1052" s="2" t="s">
        <v>17</v>
      </c>
    </row>
    <row r="1053" spans="1:12" x14ac:dyDescent="0.25">
      <c r="A1053" s="3">
        <v>45696</v>
      </c>
      <c r="B1053" t="s">
        <v>83</v>
      </c>
      <c r="C1053" s="3">
        <v>45696.85055555556</v>
      </c>
      <c r="D1053" t="s">
        <v>83</v>
      </c>
      <c r="E1053" s="4">
        <v>211.63499999999999</v>
      </c>
      <c r="F1053" s="4">
        <v>504453.44500000001</v>
      </c>
      <c r="G1053" s="4">
        <v>504665.08</v>
      </c>
      <c r="H1053" s="5">
        <f>42944 / 86400</f>
        <v>0.49703703703703705</v>
      </c>
      <c r="I1053" t="s">
        <v>84</v>
      </c>
      <c r="J1053" t="s">
        <v>85</v>
      </c>
      <c r="K1053" s="5">
        <f>73488 / 86400</f>
        <v>0.85055555555555551</v>
      </c>
      <c r="L1053" s="5">
        <f>12911 / 86400</f>
        <v>0.14943287037037037</v>
      </c>
    </row>
    <row r="1054" spans="1:12" x14ac:dyDescent="0.25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</row>
    <row r="1055" spans="1:12" x14ac:dyDescent="0.2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</row>
    <row r="1056" spans="1:12" s="10" customFormat="1" ht="20.100000000000001" customHeight="1" x14ac:dyDescent="0.35">
      <c r="A1056" s="15" t="s">
        <v>537</v>
      </c>
      <c r="B1056" s="15"/>
      <c r="C1056" s="15"/>
      <c r="D1056" s="15"/>
      <c r="E1056" s="15"/>
      <c r="F1056" s="15"/>
      <c r="G1056" s="15"/>
      <c r="H1056" s="15"/>
      <c r="I1056" s="15"/>
      <c r="J1056" s="15"/>
    </row>
    <row r="1057" spans="1:12" x14ac:dyDescent="0.25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</row>
    <row r="1058" spans="1:12" ht="30" x14ac:dyDescent="0.25">
      <c r="A1058" s="2" t="s">
        <v>6</v>
      </c>
      <c r="B1058" s="2" t="s">
        <v>7</v>
      </c>
      <c r="C1058" s="2" t="s">
        <v>8</v>
      </c>
      <c r="D1058" s="2" t="s">
        <v>9</v>
      </c>
      <c r="E1058" s="2" t="s">
        <v>10</v>
      </c>
      <c r="F1058" s="2" t="s">
        <v>11</v>
      </c>
      <c r="G1058" s="2" t="s">
        <v>12</v>
      </c>
      <c r="H1058" s="2" t="s">
        <v>13</v>
      </c>
      <c r="I1058" s="2" t="s">
        <v>14</v>
      </c>
      <c r="J1058" s="2" t="s">
        <v>15</v>
      </c>
      <c r="K1058" s="2" t="s">
        <v>16</v>
      </c>
      <c r="L1058" s="2" t="s">
        <v>17</v>
      </c>
    </row>
    <row r="1059" spans="1:12" x14ac:dyDescent="0.25">
      <c r="A1059" s="3">
        <v>45696.247986111106</v>
      </c>
      <c r="B1059" t="s">
        <v>86</v>
      </c>
      <c r="C1059" s="3">
        <v>45696.260150462964</v>
      </c>
      <c r="D1059" t="s">
        <v>396</v>
      </c>
      <c r="E1059" s="4">
        <v>5.91</v>
      </c>
      <c r="F1059" s="4">
        <v>351328.61700000003</v>
      </c>
      <c r="G1059" s="4">
        <v>351334.527</v>
      </c>
      <c r="H1059" s="5">
        <f>80 / 86400</f>
        <v>9.2592592592592596E-4</v>
      </c>
      <c r="I1059" t="s">
        <v>229</v>
      </c>
      <c r="J1059" t="s">
        <v>175</v>
      </c>
      <c r="K1059" s="5">
        <f>1051 / 86400</f>
        <v>1.2164351851851852E-2</v>
      </c>
      <c r="L1059" s="5">
        <f>21452 / 86400</f>
        <v>0.24828703703703703</v>
      </c>
    </row>
    <row r="1060" spans="1:12" x14ac:dyDescent="0.25">
      <c r="A1060" s="3">
        <v>45696.260451388887</v>
      </c>
      <c r="B1060" t="s">
        <v>396</v>
      </c>
      <c r="C1060" s="3">
        <v>45696.260636574079</v>
      </c>
      <c r="D1060" t="s">
        <v>396</v>
      </c>
      <c r="E1060" s="4">
        <v>6.0000000000000001E-3</v>
      </c>
      <c r="F1060" s="4">
        <v>351334.527</v>
      </c>
      <c r="G1060" s="4">
        <v>351334.533</v>
      </c>
      <c r="H1060" s="5">
        <f>0 / 86400</f>
        <v>0</v>
      </c>
      <c r="I1060" t="s">
        <v>133</v>
      </c>
      <c r="J1060" t="s">
        <v>91</v>
      </c>
      <c r="K1060" s="5">
        <f>16 / 86400</f>
        <v>1.8518518518518518E-4</v>
      </c>
      <c r="L1060" s="5">
        <f>214 / 86400</f>
        <v>2.476851851851852E-3</v>
      </c>
    </row>
    <row r="1061" spans="1:12" x14ac:dyDescent="0.25">
      <c r="A1061" s="3">
        <v>45696.263113425928</v>
      </c>
      <c r="B1061" t="s">
        <v>396</v>
      </c>
      <c r="C1061" s="3">
        <v>45696.580393518518</v>
      </c>
      <c r="D1061" t="s">
        <v>82</v>
      </c>
      <c r="E1061" s="4">
        <v>106.748</v>
      </c>
      <c r="F1061" s="4">
        <v>351334.533</v>
      </c>
      <c r="G1061" s="4">
        <v>351441.28100000002</v>
      </c>
      <c r="H1061" s="5">
        <f>10779 / 86400</f>
        <v>0.12475694444444445</v>
      </c>
      <c r="I1061" t="s">
        <v>60</v>
      </c>
      <c r="J1061" t="s">
        <v>41</v>
      </c>
      <c r="K1061" s="5">
        <f>27412 / 86400</f>
        <v>0.31726851851851851</v>
      </c>
      <c r="L1061" s="5">
        <f>668 / 86400</f>
        <v>7.7314814814814815E-3</v>
      </c>
    </row>
    <row r="1062" spans="1:12" x14ac:dyDescent="0.25">
      <c r="A1062" s="3">
        <v>45696.588124999995</v>
      </c>
      <c r="B1062" t="s">
        <v>82</v>
      </c>
      <c r="C1062" s="3">
        <v>45696.593321759261</v>
      </c>
      <c r="D1062" t="s">
        <v>82</v>
      </c>
      <c r="E1062" s="4">
        <v>0.104</v>
      </c>
      <c r="F1062" s="4">
        <v>351441.28100000002</v>
      </c>
      <c r="G1062" s="4">
        <v>351441.38500000001</v>
      </c>
      <c r="H1062" s="5">
        <f>359 / 86400</f>
        <v>4.1550925925925922E-3</v>
      </c>
      <c r="I1062" t="s">
        <v>20</v>
      </c>
      <c r="J1062" t="s">
        <v>91</v>
      </c>
      <c r="K1062" s="5">
        <f>449 / 86400</f>
        <v>5.1967592592592595E-3</v>
      </c>
      <c r="L1062" s="5">
        <f>430 / 86400</f>
        <v>4.9768518518518521E-3</v>
      </c>
    </row>
    <row r="1063" spans="1:12" x14ac:dyDescent="0.25">
      <c r="A1063" s="3">
        <v>45696.598298611112</v>
      </c>
      <c r="B1063" t="s">
        <v>82</v>
      </c>
      <c r="C1063" s="3">
        <v>45696.599699074075</v>
      </c>
      <c r="D1063" t="s">
        <v>82</v>
      </c>
      <c r="E1063" s="4">
        <v>6.0000000000000001E-3</v>
      </c>
      <c r="F1063" s="4">
        <v>351441.38500000001</v>
      </c>
      <c r="G1063" s="4">
        <v>351441.391</v>
      </c>
      <c r="H1063" s="5">
        <f>119 / 86400</f>
        <v>1.3773148148148147E-3</v>
      </c>
      <c r="I1063" t="s">
        <v>133</v>
      </c>
      <c r="J1063" t="s">
        <v>133</v>
      </c>
      <c r="K1063" s="5">
        <f>121 / 86400</f>
        <v>1.4004629629629629E-3</v>
      </c>
      <c r="L1063" s="5">
        <f>134 / 86400</f>
        <v>1.5509259259259259E-3</v>
      </c>
    </row>
    <row r="1064" spans="1:12" x14ac:dyDescent="0.25">
      <c r="A1064" s="3">
        <v>45696.60125</v>
      </c>
      <c r="B1064" t="s">
        <v>82</v>
      </c>
      <c r="C1064" s="3">
        <v>45696.70034722222</v>
      </c>
      <c r="D1064" t="s">
        <v>367</v>
      </c>
      <c r="E1064" s="4">
        <v>46.043999999999997</v>
      </c>
      <c r="F1064" s="4">
        <v>351441.391</v>
      </c>
      <c r="G1064" s="4">
        <v>351487.435</v>
      </c>
      <c r="H1064" s="5">
        <f>2338 / 86400</f>
        <v>2.7060185185185184E-2</v>
      </c>
      <c r="I1064" t="s">
        <v>78</v>
      </c>
      <c r="J1064" t="s">
        <v>94</v>
      </c>
      <c r="K1064" s="5">
        <f>8562 / 86400</f>
        <v>9.9097222222222225E-2</v>
      </c>
      <c r="L1064" s="5">
        <f>115 / 86400</f>
        <v>1.3310185185185185E-3</v>
      </c>
    </row>
    <row r="1065" spans="1:12" x14ac:dyDescent="0.25">
      <c r="A1065" s="3">
        <v>45696.701678240745</v>
      </c>
      <c r="B1065" t="s">
        <v>367</v>
      </c>
      <c r="C1065" s="3">
        <v>45696.853229166663</v>
      </c>
      <c r="D1065" t="s">
        <v>329</v>
      </c>
      <c r="E1065" s="4">
        <v>55.621000000000002</v>
      </c>
      <c r="F1065" s="4">
        <v>351487.435</v>
      </c>
      <c r="G1065" s="4">
        <v>351543.05599999998</v>
      </c>
      <c r="H1065" s="5">
        <f>4459 / 86400</f>
        <v>5.1608796296296298E-2</v>
      </c>
      <c r="I1065" t="s">
        <v>116</v>
      </c>
      <c r="J1065" t="s">
        <v>24</v>
      </c>
      <c r="K1065" s="5">
        <f>13093 / 86400</f>
        <v>0.15153935185185186</v>
      </c>
      <c r="L1065" s="5">
        <f>99 / 86400</f>
        <v>1.1458333333333333E-3</v>
      </c>
    </row>
    <row r="1066" spans="1:12" x14ac:dyDescent="0.25">
      <c r="A1066" s="3">
        <v>45696.854374999995</v>
      </c>
      <c r="B1066" t="s">
        <v>329</v>
      </c>
      <c r="C1066" s="3">
        <v>45696.917650462958</v>
      </c>
      <c r="D1066" t="s">
        <v>187</v>
      </c>
      <c r="E1066" s="4">
        <v>30.545999999999999</v>
      </c>
      <c r="F1066" s="4">
        <v>351543.05599999998</v>
      </c>
      <c r="G1066" s="4">
        <v>351573.60200000001</v>
      </c>
      <c r="H1066" s="5">
        <f>1640 / 86400</f>
        <v>1.8981481481481481E-2</v>
      </c>
      <c r="I1066" t="s">
        <v>30</v>
      </c>
      <c r="J1066" t="s">
        <v>175</v>
      </c>
      <c r="K1066" s="5">
        <f>5466 / 86400</f>
        <v>6.3263888888888883E-2</v>
      </c>
      <c r="L1066" s="5">
        <f>331 / 86400</f>
        <v>3.8310185185185183E-3</v>
      </c>
    </row>
    <row r="1067" spans="1:12" x14ac:dyDescent="0.25">
      <c r="A1067" s="3">
        <v>45696.921481481477</v>
      </c>
      <c r="B1067" t="s">
        <v>187</v>
      </c>
      <c r="C1067" s="3">
        <v>45696.986145833333</v>
      </c>
      <c r="D1067" t="s">
        <v>395</v>
      </c>
      <c r="E1067" s="4">
        <v>34.588000000000001</v>
      </c>
      <c r="F1067" s="4">
        <v>351573.60200000001</v>
      </c>
      <c r="G1067" s="4">
        <v>351608.19</v>
      </c>
      <c r="H1067" s="5">
        <f>1160 / 86400</f>
        <v>1.3425925925925926E-2</v>
      </c>
      <c r="I1067" t="s">
        <v>55</v>
      </c>
      <c r="J1067" t="s">
        <v>221</v>
      </c>
      <c r="K1067" s="5">
        <f>5587 / 86400</f>
        <v>6.4664351851851848E-2</v>
      </c>
      <c r="L1067" s="5">
        <f>208 / 86400</f>
        <v>2.4074074074074076E-3</v>
      </c>
    </row>
    <row r="1068" spans="1:12" x14ac:dyDescent="0.25">
      <c r="A1068" s="3">
        <v>45696.988553240742</v>
      </c>
      <c r="B1068" t="s">
        <v>395</v>
      </c>
      <c r="C1068" s="3">
        <v>45696.998958333337</v>
      </c>
      <c r="D1068" t="s">
        <v>87</v>
      </c>
      <c r="E1068" s="4">
        <v>0.98899999999999999</v>
      </c>
      <c r="F1068" s="4">
        <v>351608.19</v>
      </c>
      <c r="G1068" s="4">
        <v>351609.179</v>
      </c>
      <c r="H1068" s="5">
        <f>440 / 86400</f>
        <v>5.092592592592593E-3</v>
      </c>
      <c r="I1068" t="s">
        <v>157</v>
      </c>
      <c r="J1068" t="s">
        <v>181</v>
      </c>
      <c r="K1068" s="5">
        <f>899 / 86400</f>
        <v>1.0405092592592593E-2</v>
      </c>
      <c r="L1068" s="5">
        <f>89 / 86400</f>
        <v>1.0300925925925926E-3</v>
      </c>
    </row>
    <row r="1069" spans="1:12" x14ac:dyDescent="0.25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</row>
    <row r="1070" spans="1:12" x14ac:dyDescent="0.25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</row>
    <row r="1071" spans="1:12" s="10" customFormat="1" ht="20.100000000000001" customHeight="1" x14ac:dyDescent="0.35">
      <c r="A1071" s="15" t="s">
        <v>538</v>
      </c>
      <c r="B1071" s="15"/>
      <c r="C1071" s="15"/>
      <c r="D1071" s="15"/>
      <c r="E1071" s="15"/>
      <c r="F1071" s="15"/>
      <c r="G1071" s="15"/>
      <c r="H1071" s="15"/>
      <c r="I1071" s="15"/>
      <c r="J1071" s="15"/>
    </row>
    <row r="1072" spans="1:12" x14ac:dyDescent="0.25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</row>
    <row r="1073" spans="1:12" ht="30" x14ac:dyDescent="0.25">
      <c r="A1073" s="2" t="s">
        <v>6</v>
      </c>
      <c r="B1073" s="2" t="s">
        <v>7</v>
      </c>
      <c r="C1073" s="2" t="s">
        <v>8</v>
      </c>
      <c r="D1073" s="2" t="s">
        <v>9</v>
      </c>
      <c r="E1073" s="2" t="s">
        <v>10</v>
      </c>
      <c r="F1073" s="2" t="s">
        <v>11</v>
      </c>
      <c r="G1073" s="2" t="s">
        <v>12</v>
      </c>
      <c r="H1073" s="2" t="s">
        <v>13</v>
      </c>
      <c r="I1073" s="2" t="s">
        <v>14</v>
      </c>
      <c r="J1073" s="2" t="s">
        <v>15</v>
      </c>
      <c r="K1073" s="2" t="s">
        <v>16</v>
      </c>
      <c r="L1073" s="2" t="s">
        <v>17</v>
      </c>
    </row>
    <row r="1074" spans="1:12" x14ac:dyDescent="0.25">
      <c r="A1074" s="3">
        <v>45696.224386574075</v>
      </c>
      <c r="B1074" t="s">
        <v>88</v>
      </c>
      <c r="C1074" s="3">
        <v>45696.224652777775</v>
      </c>
      <c r="D1074" t="s">
        <v>88</v>
      </c>
      <c r="E1074" s="4">
        <v>0</v>
      </c>
      <c r="F1074" s="4">
        <v>410224.74300000002</v>
      </c>
      <c r="G1074" s="4">
        <v>410224.74300000002</v>
      </c>
      <c r="H1074" s="5">
        <f>19 / 86400</f>
        <v>2.199074074074074E-4</v>
      </c>
      <c r="I1074" t="s">
        <v>133</v>
      </c>
      <c r="J1074" t="s">
        <v>133</v>
      </c>
      <c r="K1074" s="5">
        <f>23 / 86400</f>
        <v>2.6620370370370372E-4</v>
      </c>
      <c r="L1074" s="5">
        <f>19435 / 86400</f>
        <v>0.22494212962962962</v>
      </c>
    </row>
    <row r="1075" spans="1:12" x14ac:dyDescent="0.25">
      <c r="A1075" s="3">
        <v>45696.22520833333</v>
      </c>
      <c r="B1075" t="s">
        <v>88</v>
      </c>
      <c r="C1075" s="3">
        <v>45696.450833333336</v>
      </c>
      <c r="D1075" t="s">
        <v>139</v>
      </c>
      <c r="E1075" s="4">
        <v>88.638000000000005</v>
      </c>
      <c r="F1075" s="4">
        <v>410224.74300000002</v>
      </c>
      <c r="G1075" s="4">
        <v>410313.38099999999</v>
      </c>
      <c r="H1075" s="5">
        <f>6739 / 86400</f>
        <v>7.7997685185185184E-2</v>
      </c>
      <c r="I1075" t="s">
        <v>55</v>
      </c>
      <c r="J1075" t="s">
        <v>28</v>
      </c>
      <c r="K1075" s="5">
        <f>19494 / 86400</f>
        <v>0.22562499999999999</v>
      </c>
      <c r="L1075" s="5">
        <f>987 / 86400</f>
        <v>1.1423611111111112E-2</v>
      </c>
    </row>
    <row r="1076" spans="1:12" x14ac:dyDescent="0.25">
      <c r="A1076" s="3">
        <v>45696.462256944447</v>
      </c>
      <c r="B1076" t="s">
        <v>139</v>
      </c>
      <c r="C1076" s="3">
        <v>45696.464687500003</v>
      </c>
      <c r="D1076" t="s">
        <v>51</v>
      </c>
      <c r="E1076" s="4">
        <v>0.82899999999999996</v>
      </c>
      <c r="F1076" s="4">
        <v>410313.38099999999</v>
      </c>
      <c r="G1076" s="4">
        <v>410314.21</v>
      </c>
      <c r="H1076" s="5">
        <f>0 / 86400</f>
        <v>0</v>
      </c>
      <c r="I1076" t="s">
        <v>50</v>
      </c>
      <c r="J1076" t="s">
        <v>41</v>
      </c>
      <c r="K1076" s="5">
        <f>209 / 86400</f>
        <v>2.4189814814814816E-3</v>
      </c>
      <c r="L1076" s="5">
        <f>2674 / 86400</f>
        <v>3.0949074074074073E-2</v>
      </c>
    </row>
    <row r="1077" spans="1:12" x14ac:dyDescent="0.25">
      <c r="A1077" s="3">
        <v>45696.495636574073</v>
      </c>
      <c r="B1077" t="s">
        <v>51</v>
      </c>
      <c r="C1077" s="3">
        <v>45696.498113425929</v>
      </c>
      <c r="D1077" t="s">
        <v>82</v>
      </c>
      <c r="E1077" s="4">
        <v>0.876</v>
      </c>
      <c r="F1077" s="4">
        <v>410314.21</v>
      </c>
      <c r="G1077" s="4">
        <v>410315.08600000001</v>
      </c>
      <c r="H1077" s="5">
        <f>40 / 86400</f>
        <v>4.6296296296296298E-4</v>
      </c>
      <c r="I1077" t="s">
        <v>168</v>
      </c>
      <c r="J1077" t="s">
        <v>24</v>
      </c>
      <c r="K1077" s="5">
        <f>214 / 86400</f>
        <v>2.476851851851852E-3</v>
      </c>
      <c r="L1077" s="5">
        <f>237 / 86400</f>
        <v>2.7430555555555554E-3</v>
      </c>
    </row>
    <row r="1078" spans="1:12" x14ac:dyDescent="0.25">
      <c r="A1078" s="3">
        <v>45696.500856481478</v>
      </c>
      <c r="B1078" t="s">
        <v>82</v>
      </c>
      <c r="C1078" s="3">
        <v>45696.717164351852</v>
      </c>
      <c r="D1078" t="s">
        <v>329</v>
      </c>
      <c r="E1078" s="4">
        <v>93.897000000000006</v>
      </c>
      <c r="F1078" s="4">
        <v>410315.08600000001</v>
      </c>
      <c r="G1078" s="4">
        <v>410408.98300000001</v>
      </c>
      <c r="H1078" s="5">
        <f>5640 / 86400</f>
        <v>6.5277777777777782E-2</v>
      </c>
      <c r="I1078" t="s">
        <v>56</v>
      </c>
      <c r="J1078" t="s">
        <v>50</v>
      </c>
      <c r="K1078" s="5">
        <f>18689 / 86400</f>
        <v>0.21630787037037036</v>
      </c>
      <c r="L1078" s="5">
        <f>412 / 86400</f>
        <v>4.7685185185185183E-3</v>
      </c>
    </row>
    <row r="1079" spans="1:12" x14ac:dyDescent="0.25">
      <c r="A1079" s="3">
        <v>45696.721932870365</v>
      </c>
      <c r="B1079" t="s">
        <v>329</v>
      </c>
      <c r="C1079" s="3">
        <v>45696.754201388889</v>
      </c>
      <c r="D1079" t="s">
        <v>88</v>
      </c>
      <c r="E1079" s="4">
        <v>15.19</v>
      </c>
      <c r="F1079" s="4">
        <v>410408.98300000001</v>
      </c>
      <c r="G1079" s="4">
        <v>410424.17300000001</v>
      </c>
      <c r="H1079" s="5">
        <f>1059 / 86400</f>
        <v>1.2256944444444445E-2</v>
      </c>
      <c r="I1079" t="s">
        <v>116</v>
      </c>
      <c r="J1079" t="s">
        <v>175</v>
      </c>
      <c r="K1079" s="5">
        <f>2787 / 86400</f>
        <v>3.2256944444444442E-2</v>
      </c>
      <c r="L1079" s="5">
        <f>21236 / 86400</f>
        <v>0.24578703703703703</v>
      </c>
    </row>
    <row r="1080" spans="1:12" x14ac:dyDescent="0.25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</row>
    <row r="1081" spans="1:12" x14ac:dyDescent="0.25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</row>
    <row r="1082" spans="1:12" s="10" customFormat="1" ht="20.100000000000001" customHeight="1" x14ac:dyDescent="0.35">
      <c r="A1082" s="15" t="s">
        <v>539</v>
      </c>
      <c r="B1082" s="15"/>
      <c r="C1082" s="15"/>
      <c r="D1082" s="15"/>
      <c r="E1082" s="15"/>
      <c r="F1082" s="15"/>
      <c r="G1082" s="15"/>
      <c r="H1082" s="15"/>
      <c r="I1082" s="15"/>
      <c r="J1082" s="15"/>
    </row>
    <row r="1083" spans="1:12" x14ac:dyDescent="0.25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</row>
    <row r="1084" spans="1:12" ht="30" x14ac:dyDescent="0.25">
      <c r="A1084" s="2" t="s">
        <v>6</v>
      </c>
      <c r="B1084" s="2" t="s">
        <v>7</v>
      </c>
      <c r="C1084" s="2" t="s">
        <v>8</v>
      </c>
      <c r="D1084" s="2" t="s">
        <v>9</v>
      </c>
      <c r="E1084" s="2" t="s">
        <v>10</v>
      </c>
      <c r="F1084" s="2" t="s">
        <v>11</v>
      </c>
      <c r="G1084" s="2" t="s">
        <v>12</v>
      </c>
      <c r="H1084" s="2" t="s">
        <v>13</v>
      </c>
      <c r="I1084" s="2" t="s">
        <v>14</v>
      </c>
      <c r="J1084" s="2" t="s">
        <v>15</v>
      </c>
      <c r="K1084" s="2" t="s">
        <v>16</v>
      </c>
      <c r="L1084" s="2" t="s">
        <v>17</v>
      </c>
    </row>
    <row r="1085" spans="1:12" x14ac:dyDescent="0.25">
      <c r="A1085" s="3">
        <v>45696.151597222226</v>
      </c>
      <c r="B1085" t="s">
        <v>29</v>
      </c>
      <c r="C1085" s="3">
        <v>45696.219560185185</v>
      </c>
      <c r="D1085" t="s">
        <v>145</v>
      </c>
      <c r="E1085" s="4">
        <v>34.567</v>
      </c>
      <c r="F1085" s="4">
        <v>440786.79200000002</v>
      </c>
      <c r="G1085" s="4">
        <v>440821.359</v>
      </c>
      <c r="H1085" s="5">
        <f>1040 / 86400</f>
        <v>1.2037037037037037E-2</v>
      </c>
      <c r="I1085" t="s">
        <v>56</v>
      </c>
      <c r="J1085" t="s">
        <v>35</v>
      </c>
      <c r="K1085" s="5">
        <f>5872 / 86400</f>
        <v>6.7962962962962961E-2</v>
      </c>
      <c r="L1085" s="5">
        <f>14056 / 86400</f>
        <v>0.16268518518518518</v>
      </c>
    </row>
    <row r="1086" spans="1:12" x14ac:dyDescent="0.25">
      <c r="A1086" s="3">
        <v>45696.23064814815</v>
      </c>
      <c r="B1086" t="s">
        <v>145</v>
      </c>
      <c r="C1086" s="3">
        <v>45696.343599537038</v>
      </c>
      <c r="D1086" t="s">
        <v>139</v>
      </c>
      <c r="E1086" s="4">
        <v>51.777999999999999</v>
      </c>
      <c r="F1086" s="4">
        <v>440821.359</v>
      </c>
      <c r="G1086" s="4">
        <v>440873.13699999999</v>
      </c>
      <c r="H1086" s="5">
        <f>3019 / 86400</f>
        <v>3.4942129629629629E-2</v>
      </c>
      <c r="I1086" t="s">
        <v>55</v>
      </c>
      <c r="J1086" t="s">
        <v>94</v>
      </c>
      <c r="K1086" s="5">
        <f>9759 / 86400</f>
        <v>0.11295138888888889</v>
      </c>
      <c r="L1086" s="5">
        <f>601 / 86400</f>
        <v>6.9560185185185185E-3</v>
      </c>
    </row>
    <row r="1087" spans="1:12" x14ac:dyDescent="0.25">
      <c r="A1087" s="3">
        <v>45696.35055555556</v>
      </c>
      <c r="B1087" t="s">
        <v>139</v>
      </c>
      <c r="C1087" s="3">
        <v>45696.357465277775</v>
      </c>
      <c r="D1087" t="s">
        <v>82</v>
      </c>
      <c r="E1087" s="4">
        <v>1.3280000000000001</v>
      </c>
      <c r="F1087" s="4">
        <v>440873.13699999999</v>
      </c>
      <c r="G1087" s="4">
        <v>440874.46500000003</v>
      </c>
      <c r="H1087" s="5">
        <f>339 / 86400</f>
        <v>3.9236111111111112E-3</v>
      </c>
      <c r="I1087" t="s">
        <v>218</v>
      </c>
      <c r="J1087" t="s">
        <v>151</v>
      </c>
      <c r="K1087" s="5">
        <f>596 / 86400</f>
        <v>6.898148148148148E-3</v>
      </c>
      <c r="L1087" s="5">
        <f>1612 / 86400</f>
        <v>1.8657407407407407E-2</v>
      </c>
    </row>
    <row r="1088" spans="1:12" x14ac:dyDescent="0.25">
      <c r="A1088" s="3">
        <v>45696.376122685186</v>
      </c>
      <c r="B1088" t="s">
        <v>82</v>
      </c>
      <c r="C1088" s="3">
        <v>45696.492048611108</v>
      </c>
      <c r="D1088" t="s">
        <v>171</v>
      </c>
      <c r="E1088" s="4">
        <v>49.689</v>
      </c>
      <c r="F1088" s="4">
        <v>440874.46500000003</v>
      </c>
      <c r="G1088" s="4">
        <v>440924.15399999998</v>
      </c>
      <c r="H1088" s="5">
        <f>2940 / 86400</f>
        <v>3.4027777777777775E-2</v>
      </c>
      <c r="I1088" t="s">
        <v>55</v>
      </c>
      <c r="J1088" t="s">
        <v>50</v>
      </c>
      <c r="K1088" s="5">
        <f>10015 / 86400</f>
        <v>0.11591435185185185</v>
      </c>
      <c r="L1088" s="5">
        <f>3204 / 86400</f>
        <v>3.7083333333333336E-2</v>
      </c>
    </row>
    <row r="1089" spans="1:12" x14ac:dyDescent="0.25">
      <c r="A1089" s="3">
        <v>45696.529131944444</v>
      </c>
      <c r="B1089" t="s">
        <v>171</v>
      </c>
      <c r="C1089" s="3">
        <v>45696.644525462965</v>
      </c>
      <c r="D1089" t="s">
        <v>480</v>
      </c>
      <c r="E1089" s="4">
        <v>35.966999999999999</v>
      </c>
      <c r="F1089" s="4">
        <v>440924.15399999998</v>
      </c>
      <c r="G1089" s="4">
        <v>440960.12099999998</v>
      </c>
      <c r="H1089" s="5">
        <f>3795 / 86400</f>
        <v>4.3923611111111108E-2</v>
      </c>
      <c r="I1089" t="s">
        <v>183</v>
      </c>
      <c r="J1089" t="s">
        <v>47</v>
      </c>
      <c r="K1089" s="5">
        <f>9970 / 86400</f>
        <v>0.11539351851851852</v>
      </c>
      <c r="L1089" s="5">
        <f>300 / 86400</f>
        <v>3.472222222222222E-3</v>
      </c>
    </row>
    <row r="1090" spans="1:12" x14ac:dyDescent="0.25">
      <c r="A1090" s="3">
        <v>45696.647997685184</v>
      </c>
      <c r="B1090" t="s">
        <v>480</v>
      </c>
      <c r="C1090" s="3">
        <v>45696.671168981484</v>
      </c>
      <c r="D1090" t="s">
        <v>109</v>
      </c>
      <c r="E1090" s="4">
        <v>11.454000000000001</v>
      </c>
      <c r="F1090" s="4">
        <v>440960.12099999998</v>
      </c>
      <c r="G1090" s="4">
        <v>440971.57500000001</v>
      </c>
      <c r="H1090" s="5">
        <f>420 / 86400</f>
        <v>4.8611111111111112E-3</v>
      </c>
      <c r="I1090" t="s">
        <v>103</v>
      </c>
      <c r="J1090" t="s">
        <v>35</v>
      </c>
      <c r="K1090" s="5">
        <f>2002 / 86400</f>
        <v>2.3171296296296297E-2</v>
      </c>
      <c r="L1090" s="5">
        <f>739 / 86400</f>
        <v>8.5532407407407415E-3</v>
      </c>
    </row>
    <row r="1091" spans="1:12" x14ac:dyDescent="0.25">
      <c r="A1091" s="3">
        <v>45696.679722222223</v>
      </c>
      <c r="B1091" t="s">
        <v>109</v>
      </c>
      <c r="C1091" s="3">
        <v>45696.688657407409</v>
      </c>
      <c r="D1091" t="s">
        <v>92</v>
      </c>
      <c r="E1091" s="4">
        <v>3.524</v>
      </c>
      <c r="F1091" s="4">
        <v>440971.57500000001</v>
      </c>
      <c r="G1091" s="4">
        <v>440975.09899999999</v>
      </c>
      <c r="H1091" s="5">
        <f>100 / 86400</f>
        <v>1.1574074074074073E-3</v>
      </c>
      <c r="I1091" t="s">
        <v>215</v>
      </c>
      <c r="J1091" t="s">
        <v>28</v>
      </c>
      <c r="K1091" s="5">
        <f>772 / 86400</f>
        <v>8.9351851851851849E-3</v>
      </c>
      <c r="L1091" s="5">
        <f>1102 / 86400</f>
        <v>1.275462962962963E-2</v>
      </c>
    </row>
    <row r="1092" spans="1:12" x14ac:dyDescent="0.25">
      <c r="A1092" s="3">
        <v>45696.701412037037</v>
      </c>
      <c r="B1092" t="s">
        <v>92</v>
      </c>
      <c r="C1092" s="3">
        <v>45696.783784722225</v>
      </c>
      <c r="D1092" t="s">
        <v>95</v>
      </c>
      <c r="E1092" s="4">
        <v>41.642000000000003</v>
      </c>
      <c r="F1092" s="4">
        <v>440975.09899999999</v>
      </c>
      <c r="G1092" s="4">
        <v>441016.74099999998</v>
      </c>
      <c r="H1092" s="5">
        <f>1880 / 86400</f>
        <v>2.1759259259259259E-2</v>
      </c>
      <c r="I1092" t="s">
        <v>481</v>
      </c>
      <c r="J1092" t="s">
        <v>35</v>
      </c>
      <c r="K1092" s="5">
        <f>7116 / 86400</f>
        <v>8.2361111111111107E-2</v>
      </c>
      <c r="L1092" s="5">
        <f>606 / 86400</f>
        <v>7.013888888888889E-3</v>
      </c>
    </row>
    <row r="1093" spans="1:12" x14ac:dyDescent="0.25">
      <c r="A1093" s="3">
        <v>45696.790798611109</v>
      </c>
      <c r="B1093" t="s">
        <v>95</v>
      </c>
      <c r="C1093" s="3">
        <v>45696.793749999997</v>
      </c>
      <c r="D1093" t="s">
        <v>29</v>
      </c>
      <c r="E1093" s="4">
        <v>0.64200000000000002</v>
      </c>
      <c r="F1093" s="4">
        <v>441016.74099999998</v>
      </c>
      <c r="G1093" s="4">
        <v>441017.38299999997</v>
      </c>
      <c r="H1093" s="5">
        <f>0 / 86400</f>
        <v>0</v>
      </c>
      <c r="I1093" t="s">
        <v>24</v>
      </c>
      <c r="J1093" t="s">
        <v>162</v>
      </c>
      <c r="K1093" s="5">
        <f>255 / 86400</f>
        <v>2.9513888888888888E-3</v>
      </c>
      <c r="L1093" s="5">
        <f>17819 / 86400</f>
        <v>0.20623842592592592</v>
      </c>
    </row>
    <row r="1094" spans="1:12" x14ac:dyDescent="0.25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</row>
    <row r="1095" spans="1:12" x14ac:dyDescent="0.2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</row>
    <row r="1096" spans="1:12" s="10" customFormat="1" ht="20.100000000000001" customHeight="1" x14ac:dyDescent="0.35">
      <c r="A1096" s="15" t="s">
        <v>540</v>
      </c>
      <c r="B1096" s="15"/>
      <c r="C1096" s="15"/>
      <c r="D1096" s="15"/>
      <c r="E1096" s="15"/>
      <c r="F1096" s="15"/>
      <c r="G1096" s="15"/>
      <c r="H1096" s="15"/>
      <c r="I1096" s="15"/>
      <c r="J1096" s="15"/>
    </row>
    <row r="1097" spans="1:12" x14ac:dyDescent="0.25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</row>
    <row r="1098" spans="1:12" ht="30" x14ac:dyDescent="0.25">
      <c r="A1098" s="2" t="s">
        <v>6</v>
      </c>
      <c r="B1098" s="2" t="s">
        <v>7</v>
      </c>
      <c r="C1098" s="2" t="s">
        <v>8</v>
      </c>
      <c r="D1098" s="2" t="s">
        <v>9</v>
      </c>
      <c r="E1098" s="2" t="s">
        <v>10</v>
      </c>
      <c r="F1098" s="2" t="s">
        <v>11</v>
      </c>
      <c r="G1098" s="2" t="s">
        <v>12</v>
      </c>
      <c r="H1098" s="2" t="s">
        <v>13</v>
      </c>
      <c r="I1098" s="2" t="s">
        <v>14</v>
      </c>
      <c r="J1098" s="2" t="s">
        <v>15</v>
      </c>
      <c r="K1098" s="2" t="s">
        <v>16</v>
      </c>
      <c r="L1098" s="2" t="s">
        <v>17</v>
      </c>
    </row>
    <row r="1099" spans="1:12" x14ac:dyDescent="0.25">
      <c r="A1099" s="3">
        <v>45696</v>
      </c>
      <c r="B1099" t="s">
        <v>89</v>
      </c>
      <c r="C1099" s="3">
        <v>45696.000833333332</v>
      </c>
      <c r="D1099" t="s">
        <v>89</v>
      </c>
      <c r="E1099" s="4">
        <v>8.0000000000000002E-3</v>
      </c>
      <c r="F1099" s="4">
        <v>473415.92</v>
      </c>
      <c r="G1099" s="4">
        <v>473415.92800000001</v>
      </c>
      <c r="H1099" s="5">
        <f>40 / 86400</f>
        <v>4.6296296296296298E-4</v>
      </c>
      <c r="I1099" t="s">
        <v>136</v>
      </c>
      <c r="J1099" t="s">
        <v>133</v>
      </c>
      <c r="K1099" s="5">
        <f>72 / 86400</f>
        <v>8.3333333333333339E-4</v>
      </c>
      <c r="L1099" s="5">
        <f>2822 / 86400</f>
        <v>3.2662037037037038E-2</v>
      </c>
    </row>
    <row r="1100" spans="1:12" x14ac:dyDescent="0.25">
      <c r="A1100" s="3">
        <v>45696.033495370371</v>
      </c>
      <c r="B1100" t="s">
        <v>89</v>
      </c>
      <c r="C1100" s="3">
        <v>45696.034363425926</v>
      </c>
      <c r="D1100" t="s">
        <v>89</v>
      </c>
      <c r="E1100" s="4">
        <v>2.1999999999999999E-2</v>
      </c>
      <c r="F1100" s="4">
        <v>473415.92800000001</v>
      </c>
      <c r="G1100" s="4">
        <v>473415.95</v>
      </c>
      <c r="H1100" s="5">
        <f>39 / 86400</f>
        <v>4.5138888888888887E-4</v>
      </c>
      <c r="I1100" t="s">
        <v>91</v>
      </c>
      <c r="J1100" t="s">
        <v>91</v>
      </c>
      <c r="K1100" s="5">
        <f>74 / 86400</f>
        <v>8.564814814814815E-4</v>
      </c>
      <c r="L1100" s="5">
        <f>39925 / 86400</f>
        <v>0.46209490740740738</v>
      </c>
    </row>
    <row r="1101" spans="1:12" x14ac:dyDescent="0.25">
      <c r="A1101" s="3">
        <v>45696.496458333335</v>
      </c>
      <c r="B1101" t="s">
        <v>89</v>
      </c>
      <c r="C1101" s="3">
        <v>45696.498182870375</v>
      </c>
      <c r="D1101" t="s">
        <v>89</v>
      </c>
      <c r="E1101" s="4">
        <v>7.6999999999999999E-2</v>
      </c>
      <c r="F1101" s="4">
        <v>473415.95</v>
      </c>
      <c r="G1101" s="4">
        <v>473416.027</v>
      </c>
      <c r="H1101" s="5">
        <f>39 / 86400</f>
        <v>4.5138888888888887E-4</v>
      </c>
      <c r="I1101" t="s">
        <v>90</v>
      </c>
      <c r="J1101" t="s">
        <v>132</v>
      </c>
      <c r="K1101" s="5">
        <f>149 / 86400</f>
        <v>1.724537037037037E-3</v>
      </c>
      <c r="L1101" s="5">
        <f>43356 / 86400</f>
        <v>0.5018055555555555</v>
      </c>
    </row>
    <row r="1102" spans="1:12" x14ac:dyDescent="0.25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</row>
    <row r="1103" spans="1:12" x14ac:dyDescent="0.25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</row>
    <row r="1104" spans="1:12" s="10" customFormat="1" ht="20.100000000000001" customHeight="1" x14ac:dyDescent="0.35">
      <c r="A1104" s="15" t="s">
        <v>541</v>
      </c>
      <c r="B1104" s="15"/>
      <c r="C1104" s="15"/>
      <c r="D1104" s="15"/>
      <c r="E1104" s="15"/>
      <c r="F1104" s="15"/>
      <c r="G1104" s="15"/>
      <c r="H1104" s="15"/>
      <c r="I1104" s="15"/>
      <c r="J1104" s="15"/>
    </row>
    <row r="1105" spans="1:12" x14ac:dyDescent="0.2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</row>
    <row r="1106" spans="1:12" ht="30" x14ac:dyDescent="0.25">
      <c r="A1106" s="2" t="s">
        <v>6</v>
      </c>
      <c r="B1106" s="2" t="s">
        <v>7</v>
      </c>
      <c r="C1106" s="2" t="s">
        <v>8</v>
      </c>
      <c r="D1106" s="2" t="s">
        <v>9</v>
      </c>
      <c r="E1106" s="2" t="s">
        <v>10</v>
      </c>
      <c r="F1106" s="2" t="s">
        <v>11</v>
      </c>
      <c r="G1106" s="2" t="s">
        <v>12</v>
      </c>
      <c r="H1106" s="2" t="s">
        <v>13</v>
      </c>
      <c r="I1106" s="2" t="s">
        <v>14</v>
      </c>
      <c r="J1106" s="2" t="s">
        <v>15</v>
      </c>
      <c r="K1106" s="2" t="s">
        <v>16</v>
      </c>
      <c r="L1106" s="2" t="s">
        <v>17</v>
      </c>
    </row>
    <row r="1107" spans="1:12" x14ac:dyDescent="0.25">
      <c r="A1107" s="3">
        <v>45696.005497685182</v>
      </c>
      <c r="B1107" t="s">
        <v>92</v>
      </c>
      <c r="C1107" s="3">
        <v>45696.008344907408</v>
      </c>
      <c r="D1107" t="s">
        <v>83</v>
      </c>
      <c r="E1107" s="4">
        <v>1.32</v>
      </c>
      <c r="F1107" s="4">
        <v>412607.31900000002</v>
      </c>
      <c r="G1107" s="4">
        <v>412608.63900000002</v>
      </c>
      <c r="H1107" s="5">
        <f>39 / 86400</f>
        <v>4.5138888888888887E-4</v>
      </c>
      <c r="I1107" t="s">
        <v>194</v>
      </c>
      <c r="J1107" t="s">
        <v>94</v>
      </c>
      <c r="K1107" s="5">
        <f>246 / 86400</f>
        <v>2.8472222222222223E-3</v>
      </c>
      <c r="L1107" s="5">
        <f>531 / 86400</f>
        <v>6.145833333333333E-3</v>
      </c>
    </row>
    <row r="1108" spans="1:12" x14ac:dyDescent="0.25">
      <c r="A1108" s="3">
        <v>45696.008993055555</v>
      </c>
      <c r="B1108" t="s">
        <v>83</v>
      </c>
      <c r="C1108" s="3">
        <v>45696.00990740741</v>
      </c>
      <c r="D1108" t="s">
        <v>83</v>
      </c>
      <c r="E1108" s="4">
        <v>0.154</v>
      </c>
      <c r="F1108" s="4">
        <v>412608.63900000002</v>
      </c>
      <c r="G1108" s="4">
        <v>412608.79300000001</v>
      </c>
      <c r="H1108" s="5">
        <f>0 / 86400</f>
        <v>0</v>
      </c>
      <c r="I1108" t="s">
        <v>20</v>
      </c>
      <c r="J1108" t="s">
        <v>90</v>
      </c>
      <c r="K1108" s="5">
        <f>78 / 86400</f>
        <v>9.0277777777777774E-4</v>
      </c>
      <c r="L1108" s="5">
        <f>8548 / 86400</f>
        <v>9.8935185185185182E-2</v>
      </c>
    </row>
    <row r="1109" spans="1:12" x14ac:dyDescent="0.25">
      <c r="A1109" s="3">
        <v>45696.108842592592</v>
      </c>
      <c r="B1109" t="s">
        <v>83</v>
      </c>
      <c r="C1109" s="3">
        <v>45696.110868055555</v>
      </c>
      <c r="D1109" t="s">
        <v>83</v>
      </c>
      <c r="E1109" s="4">
        <v>3.5000000000000003E-2</v>
      </c>
      <c r="F1109" s="4">
        <v>412608.79300000001</v>
      </c>
      <c r="G1109" s="4">
        <v>412608.82799999998</v>
      </c>
      <c r="H1109" s="5">
        <f>120 / 86400</f>
        <v>1.3888888888888889E-3</v>
      </c>
      <c r="I1109" t="s">
        <v>132</v>
      </c>
      <c r="J1109" t="s">
        <v>91</v>
      </c>
      <c r="K1109" s="5">
        <f>175 / 86400</f>
        <v>2.0254629629629629E-3</v>
      </c>
      <c r="L1109" s="5">
        <f>1810 / 86400</f>
        <v>2.0949074074074075E-2</v>
      </c>
    </row>
    <row r="1110" spans="1:12" x14ac:dyDescent="0.25">
      <c r="A1110" s="3">
        <v>45696.13181712963</v>
      </c>
      <c r="B1110" t="s">
        <v>83</v>
      </c>
      <c r="C1110" s="3">
        <v>45696.192905092597</v>
      </c>
      <c r="D1110" t="s">
        <v>293</v>
      </c>
      <c r="E1110" s="4">
        <v>36.423000000000002</v>
      </c>
      <c r="F1110" s="4">
        <v>412608.82799999998</v>
      </c>
      <c r="G1110" s="4">
        <v>412645.25099999999</v>
      </c>
      <c r="H1110" s="5">
        <f>1020 / 86400</f>
        <v>1.1805555555555555E-2</v>
      </c>
      <c r="I1110" t="s">
        <v>93</v>
      </c>
      <c r="J1110" t="s">
        <v>161</v>
      </c>
      <c r="K1110" s="5">
        <f>5278 / 86400</f>
        <v>6.1087962962962962E-2</v>
      </c>
      <c r="L1110" s="5">
        <f>507 / 86400</f>
        <v>5.8680555555555552E-3</v>
      </c>
    </row>
    <row r="1111" spans="1:12" x14ac:dyDescent="0.25">
      <c r="A1111" s="3">
        <v>45696.198773148149</v>
      </c>
      <c r="B1111" t="s">
        <v>293</v>
      </c>
      <c r="C1111" s="3">
        <v>45696.199259259258</v>
      </c>
      <c r="D1111" t="s">
        <v>422</v>
      </c>
      <c r="E1111" s="4">
        <v>2.9000000000000001E-2</v>
      </c>
      <c r="F1111" s="4">
        <v>412645.25099999999</v>
      </c>
      <c r="G1111" s="4">
        <v>412645.28</v>
      </c>
      <c r="H1111" s="5">
        <f>20 / 86400</f>
        <v>2.3148148148148149E-4</v>
      </c>
      <c r="I1111" t="s">
        <v>136</v>
      </c>
      <c r="J1111" t="s">
        <v>188</v>
      </c>
      <c r="K1111" s="5">
        <f>41 / 86400</f>
        <v>4.7453703703703704E-4</v>
      </c>
      <c r="L1111" s="5">
        <f>233 / 86400</f>
        <v>2.6967592592592594E-3</v>
      </c>
    </row>
    <row r="1112" spans="1:12" x14ac:dyDescent="0.25">
      <c r="A1112" s="3">
        <v>45696.201956018514</v>
      </c>
      <c r="B1112" t="s">
        <v>422</v>
      </c>
      <c r="C1112" s="3">
        <v>45696.202141203699</v>
      </c>
      <c r="D1112" t="s">
        <v>422</v>
      </c>
      <c r="E1112" s="4">
        <v>0</v>
      </c>
      <c r="F1112" s="4">
        <v>412645.28</v>
      </c>
      <c r="G1112" s="4">
        <v>412645.28</v>
      </c>
      <c r="H1112" s="5">
        <f>0 / 86400</f>
        <v>0</v>
      </c>
      <c r="I1112" t="s">
        <v>133</v>
      </c>
      <c r="J1112" t="s">
        <v>133</v>
      </c>
      <c r="K1112" s="5">
        <f>15 / 86400</f>
        <v>1.7361111111111112E-4</v>
      </c>
      <c r="L1112" s="5">
        <f>472 / 86400</f>
        <v>5.4629629629629629E-3</v>
      </c>
    </row>
    <row r="1113" spans="1:12" x14ac:dyDescent="0.25">
      <c r="A1113" s="3">
        <v>45696.207604166666</v>
      </c>
      <c r="B1113" t="s">
        <v>422</v>
      </c>
      <c r="C1113" s="3">
        <v>45696.313923611116</v>
      </c>
      <c r="D1113" t="s">
        <v>139</v>
      </c>
      <c r="E1113" s="4">
        <v>52.037999999999997</v>
      </c>
      <c r="F1113" s="4">
        <v>412645.28</v>
      </c>
      <c r="G1113" s="4">
        <v>412697.31800000003</v>
      </c>
      <c r="H1113" s="5">
        <f>2719 / 86400</f>
        <v>3.1469907407407405E-2</v>
      </c>
      <c r="I1113" t="s">
        <v>49</v>
      </c>
      <c r="J1113" t="s">
        <v>175</v>
      </c>
      <c r="K1113" s="5">
        <f>9186 / 86400</f>
        <v>0.10631944444444444</v>
      </c>
      <c r="L1113" s="5">
        <f>8916 / 86400</f>
        <v>0.10319444444444445</v>
      </c>
    </row>
    <row r="1114" spans="1:12" x14ac:dyDescent="0.25">
      <c r="A1114" s="3">
        <v>45696.417118055557</v>
      </c>
      <c r="B1114" t="s">
        <v>139</v>
      </c>
      <c r="C1114" s="3">
        <v>45696.417604166665</v>
      </c>
      <c r="D1114" t="s">
        <v>460</v>
      </c>
      <c r="E1114" s="4">
        <v>4.3999999999999997E-2</v>
      </c>
      <c r="F1114" s="4">
        <v>412697.31800000003</v>
      </c>
      <c r="G1114" s="4">
        <v>412697.36200000002</v>
      </c>
      <c r="H1114" s="5">
        <f>0 / 86400</f>
        <v>0</v>
      </c>
      <c r="I1114" t="s">
        <v>90</v>
      </c>
      <c r="J1114" t="s">
        <v>181</v>
      </c>
      <c r="K1114" s="5">
        <f>42 / 86400</f>
        <v>4.861111111111111E-4</v>
      </c>
      <c r="L1114" s="5">
        <f>2099 / 86400</f>
        <v>2.4293981481481482E-2</v>
      </c>
    </row>
    <row r="1115" spans="1:12" x14ac:dyDescent="0.25">
      <c r="A1115" s="3">
        <v>45696.441898148143</v>
      </c>
      <c r="B1115" t="s">
        <v>460</v>
      </c>
      <c r="C1115" s="3">
        <v>45696.446886574078</v>
      </c>
      <c r="D1115" t="s">
        <v>139</v>
      </c>
      <c r="E1115" s="4">
        <v>0.05</v>
      </c>
      <c r="F1115" s="4">
        <v>412697.36200000002</v>
      </c>
      <c r="G1115" s="4">
        <v>412697.41200000001</v>
      </c>
      <c r="H1115" s="5">
        <f>399 / 86400</f>
        <v>4.6180555555555558E-3</v>
      </c>
      <c r="I1115" t="s">
        <v>146</v>
      </c>
      <c r="J1115" t="s">
        <v>133</v>
      </c>
      <c r="K1115" s="5">
        <f>431 / 86400</f>
        <v>4.9884259259259257E-3</v>
      </c>
      <c r="L1115" s="5">
        <f>151 / 86400</f>
        <v>1.7476851851851852E-3</v>
      </c>
    </row>
    <row r="1116" spans="1:12" x14ac:dyDescent="0.25">
      <c r="A1116" s="3">
        <v>45696.448634259257</v>
      </c>
      <c r="B1116" t="s">
        <v>139</v>
      </c>
      <c r="C1116" s="3">
        <v>45696.454050925924</v>
      </c>
      <c r="D1116" t="s">
        <v>82</v>
      </c>
      <c r="E1116" s="4">
        <v>1.3180000000000001</v>
      </c>
      <c r="F1116" s="4">
        <v>412697.41200000001</v>
      </c>
      <c r="G1116" s="4">
        <v>412698.73</v>
      </c>
      <c r="H1116" s="5">
        <f>60 / 86400</f>
        <v>6.9444444444444447E-4</v>
      </c>
      <c r="I1116" t="s">
        <v>221</v>
      </c>
      <c r="J1116" t="s">
        <v>85</v>
      </c>
      <c r="K1116" s="5">
        <f>468 / 86400</f>
        <v>5.4166666666666669E-3</v>
      </c>
      <c r="L1116" s="5">
        <f>346 / 86400</f>
        <v>4.0046296296296297E-3</v>
      </c>
    </row>
    <row r="1117" spans="1:12" x14ac:dyDescent="0.25">
      <c r="A1117" s="3">
        <v>45696.458055555559</v>
      </c>
      <c r="B1117" t="s">
        <v>82</v>
      </c>
      <c r="C1117" s="3">
        <v>45696.45815972222</v>
      </c>
      <c r="D1117" t="s">
        <v>82</v>
      </c>
      <c r="E1117" s="4">
        <v>0</v>
      </c>
      <c r="F1117" s="4">
        <v>412698.73</v>
      </c>
      <c r="G1117" s="4">
        <v>412698.73</v>
      </c>
      <c r="H1117" s="5">
        <f>0 / 86400</f>
        <v>0</v>
      </c>
      <c r="I1117" t="s">
        <v>133</v>
      </c>
      <c r="J1117" t="s">
        <v>133</v>
      </c>
      <c r="K1117" s="5">
        <f>8 / 86400</f>
        <v>9.2592592592592588E-5</v>
      </c>
      <c r="L1117" s="5">
        <f>524 / 86400</f>
        <v>6.0648148148148145E-3</v>
      </c>
    </row>
    <row r="1118" spans="1:12" x14ac:dyDescent="0.25">
      <c r="A1118" s="3">
        <v>45696.464224537034</v>
      </c>
      <c r="B1118" t="s">
        <v>82</v>
      </c>
      <c r="C1118" s="3">
        <v>45696.525578703702</v>
      </c>
      <c r="D1118" t="s">
        <v>83</v>
      </c>
      <c r="E1118" s="4">
        <v>23.236000000000001</v>
      </c>
      <c r="F1118" s="4">
        <v>412698.73</v>
      </c>
      <c r="G1118" s="4">
        <v>412721.96600000001</v>
      </c>
      <c r="H1118" s="5">
        <f>1858 / 86400</f>
        <v>2.150462962962963E-2</v>
      </c>
      <c r="I1118" t="s">
        <v>144</v>
      </c>
      <c r="J1118" t="s">
        <v>28</v>
      </c>
      <c r="K1118" s="5">
        <f>5300 / 86400</f>
        <v>6.1342592592592594E-2</v>
      </c>
      <c r="L1118" s="5">
        <f>329 / 86400</f>
        <v>3.8078703703703703E-3</v>
      </c>
    </row>
    <row r="1119" spans="1:12" x14ac:dyDescent="0.25">
      <c r="A1119" s="3">
        <v>45696.529386574075</v>
      </c>
      <c r="B1119" t="s">
        <v>83</v>
      </c>
      <c r="C1119" s="3">
        <v>45696.53460648148</v>
      </c>
      <c r="D1119" t="s">
        <v>482</v>
      </c>
      <c r="E1119" s="4">
        <v>2.4279999999999999</v>
      </c>
      <c r="F1119" s="4">
        <v>412721.96600000001</v>
      </c>
      <c r="G1119" s="4">
        <v>412724.39399999997</v>
      </c>
      <c r="H1119" s="5">
        <f>39 / 86400</f>
        <v>4.5138888888888887E-4</v>
      </c>
      <c r="I1119" t="s">
        <v>23</v>
      </c>
      <c r="J1119" t="s">
        <v>94</v>
      </c>
      <c r="K1119" s="5">
        <f>451 / 86400</f>
        <v>5.2199074074074075E-3</v>
      </c>
      <c r="L1119" s="5">
        <f>1263 / 86400</f>
        <v>1.4618055555555556E-2</v>
      </c>
    </row>
    <row r="1120" spans="1:12" x14ac:dyDescent="0.25">
      <c r="A1120" s="3">
        <v>45696.549224537041</v>
      </c>
      <c r="B1120" t="s">
        <v>483</v>
      </c>
      <c r="C1120" s="3">
        <v>45696.552268518513</v>
      </c>
      <c r="D1120" t="s">
        <v>95</v>
      </c>
      <c r="E1120" s="4">
        <v>0.79800000000000004</v>
      </c>
      <c r="F1120" s="4">
        <v>412724.39399999997</v>
      </c>
      <c r="G1120" s="4">
        <v>412725.19199999998</v>
      </c>
      <c r="H1120" s="5">
        <f>20 / 86400</f>
        <v>2.3148148148148149E-4</v>
      </c>
      <c r="I1120" t="s">
        <v>35</v>
      </c>
      <c r="J1120" t="s">
        <v>20</v>
      </c>
      <c r="K1120" s="5">
        <f>263 / 86400</f>
        <v>3.0439814814814813E-3</v>
      </c>
      <c r="L1120" s="5">
        <f>550 / 86400</f>
        <v>6.3657407407407404E-3</v>
      </c>
    </row>
    <row r="1121" spans="1:12" x14ac:dyDescent="0.25">
      <c r="A1121" s="3">
        <v>45696.558634259258</v>
      </c>
      <c r="B1121" t="s">
        <v>95</v>
      </c>
      <c r="C1121" s="3">
        <v>45696.568136574075</v>
      </c>
      <c r="D1121" t="s">
        <v>83</v>
      </c>
      <c r="E1121" s="4">
        <v>2.6840000000000002</v>
      </c>
      <c r="F1121" s="4">
        <v>412725.19199999998</v>
      </c>
      <c r="G1121" s="4">
        <v>412727.87599999999</v>
      </c>
      <c r="H1121" s="5">
        <f>380 / 86400</f>
        <v>4.3981481481481484E-3</v>
      </c>
      <c r="I1121" t="s">
        <v>251</v>
      </c>
      <c r="J1121" t="s">
        <v>59</v>
      </c>
      <c r="K1121" s="5">
        <f>821 / 86400</f>
        <v>9.5023148148148141E-3</v>
      </c>
      <c r="L1121" s="5">
        <f>2836 / 86400</f>
        <v>3.2824074074074075E-2</v>
      </c>
    </row>
    <row r="1122" spans="1:12" x14ac:dyDescent="0.25">
      <c r="A1122" s="3">
        <v>45696.600960648153</v>
      </c>
      <c r="B1122" t="s">
        <v>83</v>
      </c>
      <c r="C1122" s="3">
        <v>45696.605312500003</v>
      </c>
      <c r="D1122" t="s">
        <v>92</v>
      </c>
      <c r="E1122" s="4">
        <v>1.097</v>
      </c>
      <c r="F1122" s="4">
        <v>412727.87599999999</v>
      </c>
      <c r="G1122" s="4">
        <v>412728.973</v>
      </c>
      <c r="H1122" s="5">
        <f>59 / 86400</f>
        <v>6.8287037037037036E-4</v>
      </c>
      <c r="I1122" t="s">
        <v>215</v>
      </c>
      <c r="J1122" t="s">
        <v>20</v>
      </c>
      <c r="K1122" s="5">
        <f>375 / 86400</f>
        <v>4.340277777777778E-3</v>
      </c>
      <c r="L1122" s="5">
        <f>1056 / 86400</f>
        <v>1.2222222222222223E-2</v>
      </c>
    </row>
    <row r="1123" spans="1:12" x14ac:dyDescent="0.25">
      <c r="A1123" s="3">
        <v>45696.617534722223</v>
      </c>
      <c r="B1123" t="s">
        <v>92</v>
      </c>
      <c r="C1123" s="3">
        <v>45696.619328703702</v>
      </c>
      <c r="D1123" t="s">
        <v>237</v>
      </c>
      <c r="E1123" s="4">
        <v>4.3999999999999997E-2</v>
      </c>
      <c r="F1123" s="4">
        <v>412728.973</v>
      </c>
      <c r="G1123" s="4">
        <v>412729.01699999999</v>
      </c>
      <c r="H1123" s="5">
        <f>119 / 86400</f>
        <v>1.3773148148148147E-3</v>
      </c>
      <c r="I1123" t="s">
        <v>91</v>
      </c>
      <c r="J1123" t="s">
        <v>91</v>
      </c>
      <c r="K1123" s="5">
        <f>155 / 86400</f>
        <v>1.7939814814814815E-3</v>
      </c>
      <c r="L1123" s="5">
        <f>12 / 86400</f>
        <v>1.3888888888888889E-4</v>
      </c>
    </row>
    <row r="1124" spans="1:12" x14ac:dyDescent="0.25">
      <c r="A1124" s="3">
        <v>45696.619467592594</v>
      </c>
      <c r="B1124" t="s">
        <v>237</v>
      </c>
      <c r="C1124" s="3">
        <v>45696.716041666667</v>
      </c>
      <c r="D1124" t="s">
        <v>319</v>
      </c>
      <c r="E1124" s="4">
        <v>49.182000000000002</v>
      </c>
      <c r="F1124" s="4">
        <v>412729.01699999999</v>
      </c>
      <c r="G1124" s="4">
        <v>412778.19900000002</v>
      </c>
      <c r="H1124" s="5">
        <f>2799 / 86400</f>
        <v>3.2395833333333332E-2</v>
      </c>
      <c r="I1124" t="s">
        <v>71</v>
      </c>
      <c r="J1124" t="s">
        <v>35</v>
      </c>
      <c r="K1124" s="5">
        <f>8343 / 86400</f>
        <v>9.6562499999999996E-2</v>
      </c>
      <c r="L1124" s="5">
        <f>1723 / 86400</f>
        <v>1.9942129629629629E-2</v>
      </c>
    </row>
    <row r="1125" spans="1:12" x14ac:dyDescent="0.25">
      <c r="A1125" s="3">
        <v>45696.735983796301</v>
      </c>
      <c r="B1125" t="s">
        <v>319</v>
      </c>
      <c r="C1125" s="3">
        <v>45696.747858796298</v>
      </c>
      <c r="D1125" t="s">
        <v>321</v>
      </c>
      <c r="E1125" s="4">
        <v>2.41</v>
      </c>
      <c r="F1125" s="4">
        <v>412778.19900000002</v>
      </c>
      <c r="G1125" s="4">
        <v>412780.609</v>
      </c>
      <c r="H1125" s="5">
        <f>540 / 86400</f>
        <v>6.2500000000000003E-3</v>
      </c>
      <c r="I1125" t="s">
        <v>183</v>
      </c>
      <c r="J1125" t="s">
        <v>151</v>
      </c>
      <c r="K1125" s="5">
        <f>1025 / 86400</f>
        <v>1.1863425925925927E-2</v>
      </c>
      <c r="L1125" s="5">
        <f>24 / 86400</f>
        <v>2.7777777777777778E-4</v>
      </c>
    </row>
    <row r="1126" spans="1:12" x14ac:dyDescent="0.25">
      <c r="A1126" s="3">
        <v>45696.748136574075</v>
      </c>
      <c r="B1126" t="s">
        <v>321</v>
      </c>
      <c r="C1126" s="3">
        <v>45696.817094907412</v>
      </c>
      <c r="D1126" t="s">
        <v>118</v>
      </c>
      <c r="E1126" s="4">
        <v>28.474</v>
      </c>
      <c r="F1126" s="4">
        <v>412780.609</v>
      </c>
      <c r="G1126" s="4">
        <v>412809.08299999998</v>
      </c>
      <c r="H1126" s="5">
        <f>1760 / 86400</f>
        <v>2.0370370370370372E-2</v>
      </c>
      <c r="I1126" t="s">
        <v>239</v>
      </c>
      <c r="J1126" t="s">
        <v>32</v>
      </c>
      <c r="K1126" s="5">
        <f>5957 / 86400</f>
        <v>6.8946759259259263E-2</v>
      </c>
      <c r="L1126" s="5">
        <f>881 / 86400</f>
        <v>1.019675925925926E-2</v>
      </c>
    </row>
    <row r="1127" spans="1:12" x14ac:dyDescent="0.25">
      <c r="A1127" s="3">
        <v>45696.827291666668</v>
      </c>
      <c r="B1127" t="s">
        <v>118</v>
      </c>
      <c r="C1127" s="3">
        <v>45696.996030092589</v>
      </c>
      <c r="D1127" t="s">
        <v>92</v>
      </c>
      <c r="E1127" s="4">
        <v>75.356999999999999</v>
      </c>
      <c r="F1127" s="4">
        <v>412809.08299999998</v>
      </c>
      <c r="G1127" s="4">
        <v>412884.44</v>
      </c>
      <c r="H1127" s="5">
        <f>4978 / 86400</f>
        <v>5.7615740740740738E-2</v>
      </c>
      <c r="I1127" t="s">
        <v>43</v>
      </c>
      <c r="J1127" t="s">
        <v>94</v>
      </c>
      <c r="K1127" s="5">
        <f>14578 / 86400</f>
        <v>0.16872685185185185</v>
      </c>
      <c r="L1127" s="5">
        <f>342 / 86400</f>
        <v>3.9583333333333337E-3</v>
      </c>
    </row>
    <row r="1128" spans="1:12" x14ac:dyDescent="0.25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</row>
    <row r="1129" spans="1:12" x14ac:dyDescent="0.25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</row>
    <row r="1130" spans="1:12" s="10" customFormat="1" ht="20.100000000000001" customHeight="1" x14ac:dyDescent="0.35">
      <c r="A1130" s="15" t="s">
        <v>542</v>
      </c>
      <c r="B1130" s="15"/>
      <c r="C1130" s="15"/>
      <c r="D1130" s="15"/>
      <c r="E1130" s="15"/>
      <c r="F1130" s="15"/>
      <c r="G1130" s="15"/>
      <c r="H1130" s="15"/>
      <c r="I1130" s="15"/>
      <c r="J1130" s="15"/>
    </row>
    <row r="1131" spans="1:12" x14ac:dyDescent="0.25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</row>
    <row r="1132" spans="1:12" ht="30" x14ac:dyDescent="0.25">
      <c r="A1132" s="2" t="s">
        <v>6</v>
      </c>
      <c r="B1132" s="2" t="s">
        <v>7</v>
      </c>
      <c r="C1132" s="2" t="s">
        <v>8</v>
      </c>
      <c r="D1132" s="2" t="s">
        <v>9</v>
      </c>
      <c r="E1132" s="2" t="s">
        <v>10</v>
      </c>
      <c r="F1132" s="2" t="s">
        <v>11</v>
      </c>
      <c r="G1132" s="2" t="s">
        <v>12</v>
      </c>
      <c r="H1132" s="2" t="s">
        <v>13</v>
      </c>
      <c r="I1132" s="2" t="s">
        <v>14</v>
      </c>
      <c r="J1132" s="2" t="s">
        <v>15</v>
      </c>
      <c r="K1132" s="2" t="s">
        <v>16</v>
      </c>
      <c r="L1132" s="2" t="s">
        <v>17</v>
      </c>
    </row>
    <row r="1133" spans="1:12" x14ac:dyDescent="0.25">
      <c r="A1133" s="3">
        <v>45696.178645833337</v>
      </c>
      <c r="B1133" t="s">
        <v>29</v>
      </c>
      <c r="C1133" s="3">
        <v>45696.183263888888</v>
      </c>
      <c r="D1133" t="s">
        <v>25</v>
      </c>
      <c r="E1133" s="4">
        <v>0.71199999999999997</v>
      </c>
      <c r="F1133" s="4">
        <v>326927.30300000001</v>
      </c>
      <c r="G1133" s="4">
        <v>326928.01500000001</v>
      </c>
      <c r="H1133" s="5">
        <f>179 / 86400</f>
        <v>2.0717592592592593E-3</v>
      </c>
      <c r="I1133" t="s">
        <v>94</v>
      </c>
      <c r="J1133" t="s">
        <v>146</v>
      </c>
      <c r="K1133" s="5">
        <f>398 / 86400</f>
        <v>4.6064814814814814E-3</v>
      </c>
      <c r="L1133" s="5">
        <f>15638 / 86400</f>
        <v>0.18099537037037036</v>
      </c>
    </row>
    <row r="1134" spans="1:12" x14ac:dyDescent="0.25">
      <c r="A1134" s="3">
        <v>45696.185613425929</v>
      </c>
      <c r="B1134" t="s">
        <v>25</v>
      </c>
      <c r="C1134" s="3">
        <v>45696.36237268518</v>
      </c>
      <c r="D1134" t="s">
        <v>45</v>
      </c>
      <c r="E1134" s="4">
        <v>81.087999999999994</v>
      </c>
      <c r="F1134" s="4">
        <v>326928.01500000001</v>
      </c>
      <c r="G1134" s="4">
        <v>327009.103</v>
      </c>
      <c r="H1134" s="5">
        <f>4240 / 86400</f>
        <v>4.9074074074074076E-2</v>
      </c>
      <c r="I1134" t="s">
        <v>117</v>
      </c>
      <c r="J1134" t="s">
        <v>94</v>
      </c>
      <c r="K1134" s="5">
        <f>15271 / 86400</f>
        <v>0.17674768518518519</v>
      </c>
      <c r="L1134" s="5">
        <f>5093 / 86400</f>
        <v>5.8946759259259261E-2</v>
      </c>
    </row>
    <row r="1135" spans="1:12" x14ac:dyDescent="0.25">
      <c r="A1135" s="3">
        <v>45696.421319444446</v>
      </c>
      <c r="B1135" t="s">
        <v>45</v>
      </c>
      <c r="C1135" s="3">
        <v>45696.428391203706</v>
      </c>
      <c r="D1135" t="s">
        <v>82</v>
      </c>
      <c r="E1135" s="4">
        <v>0.98399999999999999</v>
      </c>
      <c r="F1135" s="4">
        <v>327009.103</v>
      </c>
      <c r="G1135" s="4">
        <v>327010.087</v>
      </c>
      <c r="H1135" s="5">
        <f>299 / 86400</f>
        <v>3.460648148148148E-3</v>
      </c>
      <c r="I1135" t="s">
        <v>161</v>
      </c>
      <c r="J1135" t="s">
        <v>146</v>
      </c>
      <c r="K1135" s="5">
        <f>610 / 86400</f>
        <v>7.060185185185185E-3</v>
      </c>
      <c r="L1135" s="5">
        <f>196 / 86400</f>
        <v>2.2685185185185187E-3</v>
      </c>
    </row>
    <row r="1136" spans="1:12" x14ac:dyDescent="0.25">
      <c r="A1136" s="3">
        <v>45696.430659722224</v>
      </c>
      <c r="B1136" t="s">
        <v>82</v>
      </c>
      <c r="C1136" s="3">
        <v>45696.434108796297</v>
      </c>
      <c r="D1136" t="s">
        <v>139</v>
      </c>
      <c r="E1136" s="4">
        <v>1.2829999999999999</v>
      </c>
      <c r="F1136" s="4">
        <v>327010.087</v>
      </c>
      <c r="G1136" s="4">
        <v>327011.37</v>
      </c>
      <c r="H1136" s="5">
        <f>0 / 86400</f>
        <v>0</v>
      </c>
      <c r="I1136" t="s">
        <v>150</v>
      </c>
      <c r="J1136" t="s">
        <v>28</v>
      </c>
      <c r="K1136" s="5">
        <f>297 / 86400</f>
        <v>3.4375E-3</v>
      </c>
      <c r="L1136" s="5">
        <f>1410 / 86400</f>
        <v>1.6319444444444445E-2</v>
      </c>
    </row>
    <row r="1137" spans="1:12" x14ac:dyDescent="0.25">
      <c r="A1137" s="3">
        <v>45696.450428240743</v>
      </c>
      <c r="B1137" t="s">
        <v>139</v>
      </c>
      <c r="C1137" s="3">
        <v>45696.708379629628</v>
      </c>
      <c r="D1137" t="s">
        <v>25</v>
      </c>
      <c r="E1137" s="4">
        <v>86.426000000000002</v>
      </c>
      <c r="F1137" s="4">
        <v>327011.37</v>
      </c>
      <c r="G1137" s="4">
        <v>327097.79599999997</v>
      </c>
      <c r="H1137" s="5">
        <f>8242 / 86400</f>
        <v>9.5393518518518516E-2</v>
      </c>
      <c r="I1137" t="s">
        <v>81</v>
      </c>
      <c r="J1137" t="s">
        <v>41</v>
      </c>
      <c r="K1137" s="5">
        <f>22287 / 86400</f>
        <v>0.25795138888888891</v>
      </c>
      <c r="L1137" s="5">
        <f>205 / 86400</f>
        <v>2.3726851851851851E-3</v>
      </c>
    </row>
    <row r="1138" spans="1:12" x14ac:dyDescent="0.25">
      <c r="A1138" s="3">
        <v>45696.710752314815</v>
      </c>
      <c r="B1138" t="s">
        <v>25</v>
      </c>
      <c r="C1138" s="3">
        <v>45696.712337962963</v>
      </c>
      <c r="D1138" t="s">
        <v>29</v>
      </c>
      <c r="E1138" s="4">
        <v>0.51900000000000002</v>
      </c>
      <c r="F1138" s="4">
        <v>327097.79599999997</v>
      </c>
      <c r="G1138" s="4">
        <v>327098.315</v>
      </c>
      <c r="H1138" s="5">
        <f>20 / 86400</f>
        <v>2.3148148148148149E-4</v>
      </c>
      <c r="I1138" t="s">
        <v>35</v>
      </c>
      <c r="J1138" t="s">
        <v>41</v>
      </c>
      <c r="K1138" s="5">
        <f>136 / 86400</f>
        <v>1.5740740740740741E-3</v>
      </c>
      <c r="L1138" s="5">
        <f>211 / 86400</f>
        <v>2.4421296296296296E-3</v>
      </c>
    </row>
    <row r="1139" spans="1:12" x14ac:dyDescent="0.25">
      <c r="A1139" s="3">
        <v>45696.714780092589</v>
      </c>
      <c r="B1139" t="s">
        <v>29</v>
      </c>
      <c r="C1139" s="3">
        <v>45696.750844907408</v>
      </c>
      <c r="D1139" t="s">
        <v>118</v>
      </c>
      <c r="E1139" s="4">
        <v>20.248999999999999</v>
      </c>
      <c r="F1139" s="4">
        <v>327098.315</v>
      </c>
      <c r="G1139" s="4">
        <v>327118.56400000001</v>
      </c>
      <c r="H1139" s="5">
        <f>1000 / 86400</f>
        <v>1.1574074074074073E-2</v>
      </c>
      <c r="I1139" t="s">
        <v>117</v>
      </c>
      <c r="J1139" t="s">
        <v>138</v>
      </c>
      <c r="K1139" s="5">
        <f>3116 / 86400</f>
        <v>3.6064814814814813E-2</v>
      </c>
      <c r="L1139" s="5">
        <f>110 / 86400</f>
        <v>1.2731481481481483E-3</v>
      </c>
    </row>
    <row r="1140" spans="1:12" x14ac:dyDescent="0.25">
      <c r="A1140" s="3">
        <v>45696.752118055556</v>
      </c>
      <c r="B1140" t="s">
        <v>118</v>
      </c>
      <c r="C1140" s="3">
        <v>45696.933935185181</v>
      </c>
      <c r="D1140" t="s">
        <v>149</v>
      </c>
      <c r="E1140" s="4">
        <v>76.778999999999996</v>
      </c>
      <c r="F1140" s="4">
        <v>327118.56400000001</v>
      </c>
      <c r="G1140" s="4">
        <v>327195.34299999999</v>
      </c>
      <c r="H1140" s="5">
        <f>5669 / 86400</f>
        <v>6.5613425925925922E-2</v>
      </c>
      <c r="I1140" t="s">
        <v>30</v>
      </c>
      <c r="J1140" t="s">
        <v>50</v>
      </c>
      <c r="K1140" s="5">
        <f>15708 / 86400</f>
        <v>0.18180555555555555</v>
      </c>
      <c r="L1140" s="5">
        <f>285 / 86400</f>
        <v>3.2986111111111111E-3</v>
      </c>
    </row>
    <row r="1141" spans="1:12" x14ac:dyDescent="0.25">
      <c r="A1141" s="3">
        <v>45696.9372337963</v>
      </c>
      <c r="B1141" t="s">
        <v>149</v>
      </c>
      <c r="C1141" s="3">
        <v>45696.938055555554</v>
      </c>
      <c r="D1141" t="s">
        <v>92</v>
      </c>
      <c r="E1141" s="4">
        <v>5.3999999999999999E-2</v>
      </c>
      <c r="F1141" s="4">
        <v>327195.34299999999</v>
      </c>
      <c r="G1141" s="4">
        <v>327195.397</v>
      </c>
      <c r="H1141" s="5">
        <f>0 / 86400</f>
        <v>0</v>
      </c>
      <c r="I1141" t="s">
        <v>151</v>
      </c>
      <c r="J1141" t="s">
        <v>188</v>
      </c>
      <c r="K1141" s="5">
        <f>71 / 86400</f>
        <v>8.2175925925925927E-4</v>
      </c>
      <c r="L1141" s="5">
        <f>778 / 86400</f>
        <v>9.0046296296296298E-3</v>
      </c>
    </row>
    <row r="1142" spans="1:12" x14ac:dyDescent="0.25">
      <c r="A1142" s="3">
        <v>45696.947060185186</v>
      </c>
      <c r="B1142" t="s">
        <v>92</v>
      </c>
      <c r="C1142" s="3">
        <v>45696.953009259261</v>
      </c>
      <c r="D1142" t="s">
        <v>29</v>
      </c>
      <c r="E1142" s="4">
        <v>2.2509999999999999</v>
      </c>
      <c r="F1142" s="4">
        <v>327195.397</v>
      </c>
      <c r="G1142" s="4">
        <v>327197.64799999999</v>
      </c>
      <c r="H1142" s="5">
        <f>159 / 86400</f>
        <v>1.8402777777777777E-3</v>
      </c>
      <c r="I1142" t="s">
        <v>179</v>
      </c>
      <c r="J1142" t="s">
        <v>28</v>
      </c>
      <c r="K1142" s="5">
        <f>513 / 86400</f>
        <v>5.9375000000000001E-3</v>
      </c>
      <c r="L1142" s="5">
        <f>4059 / 86400</f>
        <v>4.6979166666666669E-2</v>
      </c>
    </row>
    <row r="1143" spans="1:12" x14ac:dyDescent="0.25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</row>
    <row r="1144" spans="1:12" x14ac:dyDescent="0.25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</row>
    <row r="1145" spans="1:12" s="10" customFormat="1" ht="20.100000000000001" customHeight="1" x14ac:dyDescent="0.35">
      <c r="A1145" s="15" t="s">
        <v>543</v>
      </c>
      <c r="B1145" s="15"/>
      <c r="C1145" s="15"/>
      <c r="D1145" s="15"/>
      <c r="E1145" s="15"/>
      <c r="F1145" s="15"/>
      <c r="G1145" s="15"/>
      <c r="H1145" s="15"/>
      <c r="I1145" s="15"/>
      <c r="J1145" s="15"/>
    </row>
    <row r="1146" spans="1:12" x14ac:dyDescent="0.25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</row>
    <row r="1147" spans="1:12" ht="30" x14ac:dyDescent="0.25">
      <c r="A1147" s="2" t="s">
        <v>6</v>
      </c>
      <c r="B1147" s="2" t="s">
        <v>7</v>
      </c>
      <c r="C1147" s="2" t="s">
        <v>8</v>
      </c>
      <c r="D1147" s="2" t="s">
        <v>9</v>
      </c>
      <c r="E1147" s="2" t="s">
        <v>10</v>
      </c>
      <c r="F1147" s="2" t="s">
        <v>11</v>
      </c>
      <c r="G1147" s="2" t="s">
        <v>12</v>
      </c>
      <c r="H1147" s="2" t="s">
        <v>13</v>
      </c>
      <c r="I1147" s="2" t="s">
        <v>14</v>
      </c>
      <c r="J1147" s="2" t="s">
        <v>15</v>
      </c>
      <c r="K1147" s="2" t="s">
        <v>16</v>
      </c>
      <c r="L1147" s="2" t="s">
        <v>17</v>
      </c>
    </row>
    <row r="1148" spans="1:12" x14ac:dyDescent="0.25">
      <c r="A1148" s="3">
        <v>45696.315138888887</v>
      </c>
      <c r="B1148" t="s">
        <v>95</v>
      </c>
      <c r="C1148" s="3">
        <v>45696.318854166668</v>
      </c>
      <c r="D1148" t="s">
        <v>95</v>
      </c>
      <c r="E1148" s="4">
        <v>0.60299999999999998</v>
      </c>
      <c r="F1148" s="4">
        <v>359727.33399999997</v>
      </c>
      <c r="G1148" s="4">
        <v>359727.93699999998</v>
      </c>
      <c r="H1148" s="5">
        <f>200 / 86400</f>
        <v>2.3148148148148147E-3</v>
      </c>
      <c r="I1148" t="s">
        <v>157</v>
      </c>
      <c r="J1148" t="s">
        <v>90</v>
      </c>
      <c r="K1148" s="5">
        <f>321 / 86400</f>
        <v>3.7152777777777778E-3</v>
      </c>
      <c r="L1148" s="5">
        <f>28342 / 86400</f>
        <v>0.32803240740740741</v>
      </c>
    </row>
    <row r="1149" spans="1:12" x14ac:dyDescent="0.25">
      <c r="A1149" s="3">
        <v>45696.331747685181</v>
      </c>
      <c r="B1149" t="s">
        <v>95</v>
      </c>
      <c r="C1149" s="3">
        <v>45696.578090277777</v>
      </c>
      <c r="D1149" t="s">
        <v>484</v>
      </c>
      <c r="E1149" s="4">
        <v>82.756</v>
      </c>
      <c r="F1149" s="4">
        <v>359727.93699999998</v>
      </c>
      <c r="G1149" s="4">
        <v>359810.69300000003</v>
      </c>
      <c r="H1149" s="5">
        <f>8585 / 86400</f>
        <v>9.9363425925925924E-2</v>
      </c>
      <c r="I1149" t="s">
        <v>37</v>
      </c>
      <c r="J1149" t="s">
        <v>41</v>
      </c>
      <c r="K1149" s="5">
        <f>21283 / 86400</f>
        <v>0.24633101851851852</v>
      </c>
      <c r="L1149" s="5">
        <f>8 / 86400</f>
        <v>9.2592592592592588E-5</v>
      </c>
    </row>
    <row r="1150" spans="1:12" x14ac:dyDescent="0.25">
      <c r="A1150" s="3">
        <v>45696.578182870369</v>
      </c>
      <c r="B1150" t="s">
        <v>484</v>
      </c>
      <c r="C1150" s="3">
        <v>45696.578229166669</v>
      </c>
      <c r="D1150" t="s">
        <v>484</v>
      </c>
      <c r="E1150" s="4">
        <v>0</v>
      </c>
      <c r="F1150" s="4">
        <v>359810.69300000003</v>
      </c>
      <c r="G1150" s="4">
        <v>359810.69300000003</v>
      </c>
      <c r="H1150" s="5">
        <f>0 / 86400</f>
        <v>0</v>
      </c>
      <c r="I1150" t="s">
        <v>133</v>
      </c>
      <c r="J1150" t="s">
        <v>133</v>
      </c>
      <c r="K1150" s="5">
        <f>4 / 86400</f>
        <v>4.6296296296296294E-5</v>
      </c>
      <c r="L1150" s="5">
        <f>2104 / 86400</f>
        <v>2.435185185185185E-2</v>
      </c>
    </row>
    <row r="1151" spans="1:12" x14ac:dyDescent="0.25">
      <c r="A1151" s="3">
        <v>45696.602581018524</v>
      </c>
      <c r="B1151" t="s">
        <v>484</v>
      </c>
      <c r="C1151" s="3">
        <v>45696.604224537034</v>
      </c>
      <c r="D1151" t="s">
        <v>45</v>
      </c>
      <c r="E1151" s="4">
        <v>0.22900000000000001</v>
      </c>
      <c r="F1151" s="4">
        <v>359810.69300000003</v>
      </c>
      <c r="G1151" s="4">
        <v>359810.92200000002</v>
      </c>
      <c r="H1151" s="5">
        <f>39 / 86400</f>
        <v>4.5138888888888887E-4</v>
      </c>
      <c r="I1151" t="s">
        <v>47</v>
      </c>
      <c r="J1151" t="s">
        <v>146</v>
      </c>
      <c r="K1151" s="5">
        <f>141 / 86400</f>
        <v>1.6319444444444445E-3</v>
      </c>
      <c r="L1151" s="5">
        <f>750 / 86400</f>
        <v>8.6805555555555559E-3</v>
      </c>
    </row>
    <row r="1152" spans="1:12" x14ac:dyDescent="0.25">
      <c r="A1152" s="3">
        <v>45696.612905092596</v>
      </c>
      <c r="B1152" t="s">
        <v>45</v>
      </c>
      <c r="C1152" s="3">
        <v>45696.616226851853</v>
      </c>
      <c r="D1152" t="s">
        <v>82</v>
      </c>
      <c r="E1152" s="4">
        <v>0.93899999999999995</v>
      </c>
      <c r="F1152" s="4">
        <v>359810.92200000002</v>
      </c>
      <c r="G1152" s="4">
        <v>359811.86099999998</v>
      </c>
      <c r="H1152" s="5">
        <f>53 / 86400</f>
        <v>6.134259259259259E-4</v>
      </c>
      <c r="I1152" t="s">
        <v>150</v>
      </c>
      <c r="J1152" t="s">
        <v>59</v>
      </c>
      <c r="K1152" s="5">
        <f>287 / 86400</f>
        <v>3.3217592592592591E-3</v>
      </c>
      <c r="L1152" s="5">
        <f>326 / 86400</f>
        <v>3.7731481481481483E-3</v>
      </c>
    </row>
    <row r="1153" spans="1:12" x14ac:dyDescent="0.25">
      <c r="A1153" s="3">
        <v>45696.620011574079</v>
      </c>
      <c r="B1153" t="s">
        <v>82</v>
      </c>
      <c r="C1153" s="3">
        <v>45696.623657407406</v>
      </c>
      <c r="D1153" t="s">
        <v>139</v>
      </c>
      <c r="E1153" s="4">
        <v>1.337</v>
      </c>
      <c r="F1153" s="4">
        <v>359811.86099999998</v>
      </c>
      <c r="G1153" s="4">
        <v>359813.19799999997</v>
      </c>
      <c r="H1153" s="5">
        <f>7 / 86400</f>
        <v>8.1018518518518516E-5</v>
      </c>
      <c r="I1153" t="s">
        <v>184</v>
      </c>
      <c r="J1153" t="s">
        <v>24</v>
      </c>
      <c r="K1153" s="5">
        <f>315 / 86400</f>
        <v>3.6458333333333334E-3</v>
      </c>
      <c r="L1153" s="5">
        <f>5139 / 86400</f>
        <v>5.9479166666666666E-2</v>
      </c>
    </row>
    <row r="1154" spans="1:12" x14ac:dyDescent="0.25">
      <c r="A1154" s="3">
        <v>45696.683136574073</v>
      </c>
      <c r="B1154" t="s">
        <v>139</v>
      </c>
      <c r="C1154" s="3">
        <v>45696.950138888889</v>
      </c>
      <c r="D1154" t="s">
        <v>29</v>
      </c>
      <c r="E1154" s="4">
        <v>106.52</v>
      </c>
      <c r="F1154" s="4">
        <v>359813.19799999997</v>
      </c>
      <c r="G1154" s="4">
        <v>359919.71799999999</v>
      </c>
      <c r="H1154" s="5">
        <f>8059 / 86400</f>
        <v>9.3275462962962963E-2</v>
      </c>
      <c r="I1154" t="s">
        <v>64</v>
      </c>
      <c r="J1154" t="s">
        <v>32</v>
      </c>
      <c r="K1154" s="5">
        <f>23069 / 86400</f>
        <v>0.26700231481481479</v>
      </c>
      <c r="L1154" s="5">
        <f>4307 / 86400</f>
        <v>4.9849537037037039E-2</v>
      </c>
    </row>
    <row r="1155" spans="1:12" x14ac:dyDescent="0.2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</row>
    <row r="1156" spans="1:12" x14ac:dyDescent="0.25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</row>
    <row r="1157" spans="1:12" s="10" customFormat="1" ht="20.100000000000001" customHeight="1" x14ac:dyDescent="0.35">
      <c r="A1157" s="15" t="s">
        <v>544</v>
      </c>
      <c r="B1157" s="15"/>
      <c r="C1157" s="15"/>
      <c r="D1157" s="15"/>
      <c r="E1157" s="15"/>
      <c r="F1157" s="15"/>
      <c r="G1157" s="15"/>
      <c r="H1157" s="15"/>
      <c r="I1157" s="15"/>
      <c r="J1157" s="15"/>
    </row>
    <row r="1158" spans="1:12" x14ac:dyDescent="0.25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</row>
    <row r="1159" spans="1:12" ht="30" x14ac:dyDescent="0.25">
      <c r="A1159" s="2" t="s">
        <v>6</v>
      </c>
      <c r="B1159" s="2" t="s">
        <v>7</v>
      </c>
      <c r="C1159" s="2" t="s">
        <v>8</v>
      </c>
      <c r="D1159" s="2" t="s">
        <v>9</v>
      </c>
      <c r="E1159" s="2" t="s">
        <v>10</v>
      </c>
      <c r="F1159" s="2" t="s">
        <v>11</v>
      </c>
      <c r="G1159" s="2" t="s">
        <v>12</v>
      </c>
      <c r="H1159" s="2" t="s">
        <v>13</v>
      </c>
      <c r="I1159" s="2" t="s">
        <v>14</v>
      </c>
      <c r="J1159" s="2" t="s">
        <v>15</v>
      </c>
      <c r="K1159" s="2" t="s">
        <v>16</v>
      </c>
      <c r="L1159" s="2" t="s">
        <v>17</v>
      </c>
    </row>
    <row r="1160" spans="1:12" x14ac:dyDescent="0.25">
      <c r="A1160" s="3">
        <v>45696.283437499995</v>
      </c>
      <c r="B1160" t="s">
        <v>96</v>
      </c>
      <c r="C1160" s="3">
        <v>45696.414907407408</v>
      </c>
      <c r="D1160" t="s">
        <v>310</v>
      </c>
      <c r="E1160" s="4">
        <v>44.625</v>
      </c>
      <c r="F1160" s="4">
        <v>80999.793999999994</v>
      </c>
      <c r="G1160" s="4">
        <v>81044.418999999994</v>
      </c>
      <c r="H1160" s="5">
        <f>4659 / 86400</f>
        <v>5.392361111111111E-2</v>
      </c>
      <c r="I1160" t="s">
        <v>485</v>
      </c>
      <c r="J1160" t="s">
        <v>41</v>
      </c>
      <c r="K1160" s="5">
        <f>11359 / 86400</f>
        <v>0.13146990740740741</v>
      </c>
      <c r="L1160" s="5">
        <f>25461 / 86400</f>
        <v>0.29468749999999999</v>
      </c>
    </row>
    <row r="1161" spans="1:12" x14ac:dyDescent="0.25">
      <c r="A1161" s="3">
        <v>45696.426157407404</v>
      </c>
      <c r="B1161" t="s">
        <v>310</v>
      </c>
      <c r="C1161" s="3">
        <v>45696.538599537038</v>
      </c>
      <c r="D1161" t="s">
        <v>474</v>
      </c>
      <c r="E1161" s="4">
        <v>46.207000000000001</v>
      </c>
      <c r="F1161" s="4">
        <v>81044.418999999994</v>
      </c>
      <c r="G1161" s="4">
        <v>81090.626000000004</v>
      </c>
      <c r="H1161" s="5">
        <f>2799 / 86400</f>
        <v>3.2395833333333332E-2</v>
      </c>
      <c r="I1161" t="s">
        <v>84</v>
      </c>
      <c r="J1161" t="s">
        <v>32</v>
      </c>
      <c r="K1161" s="5">
        <f>9714 / 86400</f>
        <v>0.11243055555555556</v>
      </c>
      <c r="L1161" s="5">
        <f>281 / 86400</f>
        <v>3.2523148148148147E-3</v>
      </c>
    </row>
    <row r="1162" spans="1:12" x14ac:dyDescent="0.25">
      <c r="A1162" s="3">
        <v>45696.541851851856</v>
      </c>
      <c r="B1162" t="s">
        <v>474</v>
      </c>
      <c r="C1162" s="3">
        <v>45696.555173611108</v>
      </c>
      <c r="D1162" t="s">
        <v>96</v>
      </c>
      <c r="E1162" s="4">
        <v>1.165</v>
      </c>
      <c r="F1162" s="4">
        <v>81090.626000000004</v>
      </c>
      <c r="G1162" s="4">
        <v>81091.790999999997</v>
      </c>
      <c r="H1162" s="5">
        <f>940 / 86400</f>
        <v>1.087962962962963E-2</v>
      </c>
      <c r="I1162" t="s">
        <v>157</v>
      </c>
      <c r="J1162" t="s">
        <v>181</v>
      </c>
      <c r="K1162" s="5">
        <f>1150 / 86400</f>
        <v>1.3310185185185185E-2</v>
      </c>
      <c r="L1162" s="5">
        <f>6438 / 86400</f>
        <v>7.4513888888888893E-2</v>
      </c>
    </row>
    <row r="1163" spans="1:12" x14ac:dyDescent="0.25">
      <c r="A1163" s="3">
        <v>45696.629687499997</v>
      </c>
      <c r="B1163" t="s">
        <v>96</v>
      </c>
      <c r="C1163" s="3">
        <v>45696.864861111113</v>
      </c>
      <c r="D1163" t="s">
        <v>474</v>
      </c>
      <c r="E1163" s="4">
        <v>95.007999999999996</v>
      </c>
      <c r="F1163" s="4">
        <v>81091.790999999997</v>
      </c>
      <c r="G1163" s="4">
        <v>81186.798999999999</v>
      </c>
      <c r="H1163" s="5">
        <f>6780 / 86400</f>
        <v>7.8472222222222221E-2</v>
      </c>
      <c r="I1163" t="s">
        <v>97</v>
      </c>
      <c r="J1163" t="s">
        <v>32</v>
      </c>
      <c r="K1163" s="5">
        <f>20319 / 86400</f>
        <v>0.23517361111111112</v>
      </c>
      <c r="L1163" s="5">
        <f>485 / 86400</f>
        <v>5.6134259259259262E-3</v>
      </c>
    </row>
    <row r="1164" spans="1:12" x14ac:dyDescent="0.25">
      <c r="A1164" s="3">
        <v>45696.870474537034</v>
      </c>
      <c r="B1164" t="s">
        <v>473</v>
      </c>
      <c r="C1164" s="3">
        <v>45696.875</v>
      </c>
      <c r="D1164" t="s">
        <v>96</v>
      </c>
      <c r="E1164" s="4">
        <v>1.204</v>
      </c>
      <c r="F1164" s="4">
        <v>81186.798999999999</v>
      </c>
      <c r="G1164" s="4">
        <v>81188.002999999997</v>
      </c>
      <c r="H1164" s="5">
        <f>139 / 86400</f>
        <v>1.6087962962962963E-3</v>
      </c>
      <c r="I1164" t="s">
        <v>218</v>
      </c>
      <c r="J1164" t="s">
        <v>20</v>
      </c>
      <c r="K1164" s="5">
        <f>391 / 86400</f>
        <v>4.5254629629629629E-3</v>
      </c>
      <c r="L1164" s="5">
        <f>10799 / 86400</f>
        <v>0.12498842592592592</v>
      </c>
    </row>
    <row r="1165" spans="1:12" x14ac:dyDescent="0.2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</row>
    <row r="1166" spans="1:12" x14ac:dyDescent="0.25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</row>
    <row r="1167" spans="1:12" s="10" customFormat="1" ht="20.100000000000001" customHeight="1" x14ac:dyDescent="0.35">
      <c r="A1167" s="15" t="s">
        <v>545</v>
      </c>
      <c r="B1167" s="15"/>
      <c r="C1167" s="15"/>
      <c r="D1167" s="15"/>
      <c r="E1167" s="15"/>
      <c r="F1167" s="15"/>
      <c r="G1167" s="15"/>
      <c r="H1167" s="15"/>
      <c r="I1167" s="15"/>
      <c r="J1167" s="15"/>
    </row>
    <row r="1168" spans="1:12" x14ac:dyDescent="0.25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</row>
    <row r="1169" spans="1:12" ht="30" x14ac:dyDescent="0.25">
      <c r="A1169" s="2" t="s">
        <v>6</v>
      </c>
      <c r="B1169" s="2" t="s">
        <v>7</v>
      </c>
      <c r="C1169" s="2" t="s">
        <v>8</v>
      </c>
      <c r="D1169" s="2" t="s">
        <v>9</v>
      </c>
      <c r="E1169" s="2" t="s">
        <v>10</v>
      </c>
      <c r="F1169" s="2" t="s">
        <v>11</v>
      </c>
      <c r="G1169" s="2" t="s">
        <v>12</v>
      </c>
      <c r="H1169" s="2" t="s">
        <v>13</v>
      </c>
      <c r="I1169" s="2" t="s">
        <v>14</v>
      </c>
      <c r="J1169" s="2" t="s">
        <v>15</v>
      </c>
      <c r="K1169" s="2" t="s">
        <v>16</v>
      </c>
      <c r="L1169" s="2" t="s">
        <v>17</v>
      </c>
    </row>
    <row r="1170" spans="1:12" x14ac:dyDescent="0.25">
      <c r="A1170" s="3">
        <v>45696.205567129626</v>
      </c>
      <c r="B1170" t="s">
        <v>38</v>
      </c>
      <c r="C1170" s="3">
        <v>45696.454305555555</v>
      </c>
      <c r="D1170" t="s">
        <v>152</v>
      </c>
      <c r="E1170" s="4">
        <v>102.123</v>
      </c>
      <c r="F1170" s="4">
        <v>468566.78700000001</v>
      </c>
      <c r="G1170" s="4">
        <v>468668.91</v>
      </c>
      <c r="H1170" s="5">
        <f>7320 / 86400</f>
        <v>8.4722222222222227E-2</v>
      </c>
      <c r="I1170" t="s">
        <v>19</v>
      </c>
      <c r="J1170" t="s">
        <v>32</v>
      </c>
      <c r="K1170" s="5">
        <f>21490 / 86400</f>
        <v>0.24872685185185187</v>
      </c>
      <c r="L1170" s="5">
        <f>19728 / 86400</f>
        <v>0.22833333333333333</v>
      </c>
    </row>
    <row r="1171" spans="1:12" x14ac:dyDescent="0.25">
      <c r="A1171" s="3">
        <v>45696.477071759262</v>
      </c>
      <c r="B1171" t="s">
        <v>152</v>
      </c>
      <c r="C1171" s="3">
        <v>45696.480960648143</v>
      </c>
      <c r="D1171" t="s">
        <v>460</v>
      </c>
      <c r="E1171" s="4">
        <v>1.3979999999999999</v>
      </c>
      <c r="F1171" s="4">
        <v>468668.91</v>
      </c>
      <c r="G1171" s="4">
        <v>468670.30800000002</v>
      </c>
      <c r="H1171" s="5">
        <f>0 / 86400</f>
        <v>0</v>
      </c>
      <c r="I1171" t="s">
        <v>184</v>
      </c>
      <c r="J1171" t="s">
        <v>24</v>
      </c>
      <c r="K1171" s="5">
        <f>335 / 86400</f>
        <v>3.8773148148148148E-3</v>
      </c>
      <c r="L1171" s="5">
        <f>3301 / 86400</f>
        <v>3.8206018518518521E-2</v>
      </c>
    </row>
    <row r="1172" spans="1:12" x14ac:dyDescent="0.25">
      <c r="A1172" s="3">
        <v>45696.519166666665</v>
      </c>
      <c r="B1172" t="s">
        <v>460</v>
      </c>
      <c r="C1172" s="3">
        <v>45696.520671296297</v>
      </c>
      <c r="D1172" t="s">
        <v>139</v>
      </c>
      <c r="E1172" s="4">
        <v>5.0999999999999997E-2</v>
      </c>
      <c r="F1172" s="4">
        <v>468670.30800000002</v>
      </c>
      <c r="G1172" s="4">
        <v>468670.359</v>
      </c>
      <c r="H1172" s="5">
        <f>99 / 86400</f>
        <v>1.1458333333333333E-3</v>
      </c>
      <c r="I1172" t="s">
        <v>41</v>
      </c>
      <c r="J1172" t="s">
        <v>91</v>
      </c>
      <c r="K1172" s="5">
        <f>129 / 86400</f>
        <v>1.4930555555555556E-3</v>
      </c>
      <c r="L1172" s="5">
        <f>104 / 86400</f>
        <v>1.2037037037037038E-3</v>
      </c>
    </row>
    <row r="1173" spans="1:12" x14ac:dyDescent="0.25">
      <c r="A1173" s="3">
        <v>45696.521874999999</v>
      </c>
      <c r="B1173" t="s">
        <v>139</v>
      </c>
      <c r="C1173" s="3">
        <v>45696.527974537035</v>
      </c>
      <c r="D1173" t="s">
        <v>137</v>
      </c>
      <c r="E1173" s="4">
        <v>1.288</v>
      </c>
      <c r="F1173" s="4">
        <v>468670.359</v>
      </c>
      <c r="G1173" s="4">
        <v>468671.647</v>
      </c>
      <c r="H1173" s="5">
        <f>120 / 86400</f>
        <v>1.3888888888888889E-3</v>
      </c>
      <c r="I1173" t="s">
        <v>140</v>
      </c>
      <c r="J1173" t="s">
        <v>162</v>
      </c>
      <c r="K1173" s="5">
        <f>526 / 86400</f>
        <v>6.0879629629629626E-3</v>
      </c>
      <c r="L1173" s="5">
        <f>1404 / 86400</f>
        <v>1.6250000000000001E-2</v>
      </c>
    </row>
    <row r="1174" spans="1:12" x14ac:dyDescent="0.25">
      <c r="A1174" s="3">
        <v>45696.544224537036</v>
      </c>
      <c r="B1174" t="s">
        <v>137</v>
      </c>
      <c r="C1174" s="3">
        <v>45696.546655092592</v>
      </c>
      <c r="D1174" t="s">
        <v>396</v>
      </c>
      <c r="E1174" s="4">
        <v>0.67200000000000004</v>
      </c>
      <c r="F1174" s="4">
        <v>468671.647</v>
      </c>
      <c r="G1174" s="4">
        <v>468672.31900000002</v>
      </c>
      <c r="H1174" s="5">
        <f>59 / 86400</f>
        <v>6.8287037037037036E-4</v>
      </c>
      <c r="I1174" t="s">
        <v>138</v>
      </c>
      <c r="J1174" t="s">
        <v>59</v>
      </c>
      <c r="K1174" s="5">
        <f>210 / 86400</f>
        <v>2.4305555555555556E-3</v>
      </c>
      <c r="L1174" s="5">
        <f>70 / 86400</f>
        <v>8.1018518518518516E-4</v>
      </c>
    </row>
    <row r="1175" spans="1:12" x14ac:dyDescent="0.25">
      <c r="A1175" s="3">
        <v>45696.547465277778</v>
      </c>
      <c r="B1175" t="s">
        <v>396</v>
      </c>
      <c r="C1175" s="3">
        <v>45696.764456018514</v>
      </c>
      <c r="D1175" t="s">
        <v>82</v>
      </c>
      <c r="E1175" s="4">
        <v>93.826999999999998</v>
      </c>
      <c r="F1175" s="4">
        <v>468672.31900000002</v>
      </c>
      <c r="G1175" s="4">
        <v>468766.14600000001</v>
      </c>
      <c r="H1175" s="5">
        <f>5529 / 86400</f>
        <v>6.3993055555555553E-2</v>
      </c>
      <c r="I1175" t="s">
        <v>49</v>
      </c>
      <c r="J1175" t="s">
        <v>50</v>
      </c>
      <c r="K1175" s="5">
        <f>18748 / 86400</f>
        <v>0.21699074074074073</v>
      </c>
      <c r="L1175" s="5">
        <f>231 / 86400</f>
        <v>2.673611111111111E-3</v>
      </c>
    </row>
    <row r="1176" spans="1:12" x14ac:dyDescent="0.25">
      <c r="A1176" s="3">
        <v>45696.767129629632</v>
      </c>
      <c r="B1176" t="s">
        <v>82</v>
      </c>
      <c r="C1176" s="3">
        <v>45696.767812499995</v>
      </c>
      <c r="D1176" t="s">
        <v>82</v>
      </c>
      <c r="E1176" s="4">
        <v>0.193</v>
      </c>
      <c r="F1176" s="4">
        <v>468766.14600000001</v>
      </c>
      <c r="G1176" s="4">
        <v>468766.33899999998</v>
      </c>
      <c r="H1176" s="5">
        <f>0 / 86400</f>
        <v>0</v>
      </c>
      <c r="I1176" t="s">
        <v>138</v>
      </c>
      <c r="J1176" t="s">
        <v>59</v>
      </c>
      <c r="K1176" s="5">
        <f>59 / 86400</f>
        <v>6.8287037037037036E-4</v>
      </c>
      <c r="L1176" s="5">
        <f>716 / 86400</f>
        <v>8.2870370370370372E-3</v>
      </c>
    </row>
    <row r="1177" spans="1:12" x14ac:dyDescent="0.25">
      <c r="A1177" s="3">
        <v>45696.776099537034</v>
      </c>
      <c r="B1177" t="s">
        <v>82</v>
      </c>
      <c r="C1177" s="3">
        <v>45696.777916666666</v>
      </c>
      <c r="D1177" t="s">
        <v>45</v>
      </c>
      <c r="E1177" s="4">
        <v>0.65600000000000003</v>
      </c>
      <c r="F1177" s="4">
        <v>468766.33899999998</v>
      </c>
      <c r="G1177" s="4">
        <v>468766.995</v>
      </c>
      <c r="H1177" s="5">
        <f>0 / 86400</f>
        <v>0</v>
      </c>
      <c r="I1177" t="s">
        <v>230</v>
      </c>
      <c r="J1177" t="s">
        <v>24</v>
      </c>
      <c r="K1177" s="5">
        <f>156 / 86400</f>
        <v>1.8055555555555555E-3</v>
      </c>
      <c r="L1177" s="5">
        <f>152 / 86400</f>
        <v>1.7592592592592592E-3</v>
      </c>
    </row>
    <row r="1178" spans="1:12" x14ac:dyDescent="0.25">
      <c r="A1178" s="3">
        <v>45696.779675925922</v>
      </c>
      <c r="B1178" t="s">
        <v>45</v>
      </c>
      <c r="C1178" s="3">
        <v>45696.7809375</v>
      </c>
      <c r="D1178" t="s">
        <v>38</v>
      </c>
      <c r="E1178" s="4">
        <v>0.17899999999999999</v>
      </c>
      <c r="F1178" s="4">
        <v>468766.995</v>
      </c>
      <c r="G1178" s="4">
        <v>468767.174</v>
      </c>
      <c r="H1178" s="5">
        <f>0 / 86400</f>
        <v>0</v>
      </c>
      <c r="I1178" t="s">
        <v>28</v>
      </c>
      <c r="J1178" t="s">
        <v>146</v>
      </c>
      <c r="K1178" s="5">
        <f>109 / 86400</f>
        <v>1.261574074074074E-3</v>
      </c>
      <c r="L1178" s="5">
        <f>18926 / 86400</f>
        <v>0.21905092592592593</v>
      </c>
    </row>
    <row r="1179" spans="1:12" x14ac:dyDescent="0.25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</row>
    <row r="1180" spans="1:12" x14ac:dyDescent="0.25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</row>
    <row r="1181" spans="1:12" s="10" customFormat="1" ht="20.100000000000001" customHeight="1" x14ac:dyDescent="0.35">
      <c r="A1181" s="15" t="s">
        <v>546</v>
      </c>
      <c r="B1181" s="15"/>
      <c r="C1181" s="15"/>
      <c r="D1181" s="15"/>
      <c r="E1181" s="15"/>
      <c r="F1181" s="15"/>
      <c r="G1181" s="15"/>
      <c r="H1181" s="15"/>
      <c r="I1181" s="15"/>
      <c r="J1181" s="15"/>
    </row>
    <row r="1182" spans="1:12" x14ac:dyDescent="0.25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</row>
    <row r="1183" spans="1:12" ht="30" x14ac:dyDescent="0.25">
      <c r="A1183" s="2" t="s">
        <v>6</v>
      </c>
      <c r="B1183" s="2" t="s">
        <v>7</v>
      </c>
      <c r="C1183" s="2" t="s">
        <v>8</v>
      </c>
      <c r="D1183" s="2" t="s">
        <v>9</v>
      </c>
      <c r="E1183" s="2" t="s">
        <v>10</v>
      </c>
      <c r="F1183" s="2" t="s">
        <v>11</v>
      </c>
      <c r="G1183" s="2" t="s">
        <v>12</v>
      </c>
      <c r="H1183" s="2" t="s">
        <v>13</v>
      </c>
      <c r="I1183" s="2" t="s">
        <v>14</v>
      </c>
      <c r="J1183" s="2" t="s">
        <v>15</v>
      </c>
      <c r="K1183" s="2" t="s">
        <v>16</v>
      </c>
      <c r="L1183" s="2" t="s">
        <v>17</v>
      </c>
    </row>
    <row r="1184" spans="1:12" x14ac:dyDescent="0.25">
      <c r="A1184" s="3">
        <v>45696.254791666666</v>
      </c>
      <c r="B1184" t="s">
        <v>98</v>
      </c>
      <c r="C1184" s="3">
        <v>45696.255578703705</v>
      </c>
      <c r="D1184" t="s">
        <v>98</v>
      </c>
      <c r="E1184" s="4">
        <v>0.02</v>
      </c>
      <c r="F1184" s="4">
        <v>427800.576</v>
      </c>
      <c r="G1184" s="4">
        <v>427800.59600000002</v>
      </c>
      <c r="H1184" s="5">
        <f>19 / 86400</f>
        <v>2.199074074074074E-4</v>
      </c>
      <c r="I1184" t="s">
        <v>132</v>
      </c>
      <c r="J1184" t="s">
        <v>91</v>
      </c>
      <c r="K1184" s="5">
        <f>67 / 86400</f>
        <v>7.7546296296296293E-4</v>
      </c>
      <c r="L1184" s="5">
        <f>26812 / 86400</f>
        <v>0.31032407407407409</v>
      </c>
    </row>
    <row r="1185" spans="1:12" x14ac:dyDescent="0.25">
      <c r="A1185" s="3">
        <v>45696.311111111107</v>
      </c>
      <c r="B1185" t="s">
        <v>98</v>
      </c>
      <c r="C1185" s="3">
        <v>45696.314467592594</v>
      </c>
      <c r="D1185" t="s">
        <v>486</v>
      </c>
      <c r="E1185" s="4">
        <v>1.5609999999999999</v>
      </c>
      <c r="F1185" s="4">
        <v>427800.59600000002</v>
      </c>
      <c r="G1185" s="4">
        <v>427802.15700000001</v>
      </c>
      <c r="H1185" s="5">
        <f>39 / 86400</f>
        <v>4.5138888888888887E-4</v>
      </c>
      <c r="I1185" t="s">
        <v>135</v>
      </c>
      <c r="J1185" t="s">
        <v>94</v>
      </c>
      <c r="K1185" s="5">
        <f>290 / 86400</f>
        <v>3.3564814814814816E-3</v>
      </c>
      <c r="L1185" s="5">
        <f>1173 / 86400</f>
        <v>1.357638888888889E-2</v>
      </c>
    </row>
    <row r="1186" spans="1:12" x14ac:dyDescent="0.25">
      <c r="A1186" s="3">
        <v>45696.328043981484</v>
      </c>
      <c r="B1186" t="s">
        <v>486</v>
      </c>
      <c r="C1186" s="3">
        <v>45696.331342592588</v>
      </c>
      <c r="D1186" t="s">
        <v>396</v>
      </c>
      <c r="E1186" s="4">
        <v>0.75900000000000001</v>
      </c>
      <c r="F1186" s="4">
        <v>427802.15700000001</v>
      </c>
      <c r="G1186" s="4">
        <v>427802.91600000003</v>
      </c>
      <c r="H1186" s="5">
        <f>199 / 86400</f>
        <v>2.3032407407407407E-3</v>
      </c>
      <c r="I1186" t="s">
        <v>94</v>
      </c>
      <c r="J1186" t="s">
        <v>85</v>
      </c>
      <c r="K1186" s="5">
        <f>285 / 86400</f>
        <v>3.2986111111111111E-3</v>
      </c>
      <c r="L1186" s="5">
        <f>70 / 86400</f>
        <v>8.1018518518518516E-4</v>
      </c>
    </row>
    <row r="1187" spans="1:12" x14ac:dyDescent="0.25">
      <c r="A1187" s="3">
        <v>45696.332152777773</v>
      </c>
      <c r="B1187" t="s">
        <v>396</v>
      </c>
      <c r="C1187" s="3">
        <v>45696.332268518519</v>
      </c>
      <c r="D1187" t="s">
        <v>396</v>
      </c>
      <c r="E1187" s="4">
        <v>2E-3</v>
      </c>
      <c r="F1187" s="4">
        <v>427802.91600000003</v>
      </c>
      <c r="G1187" s="4">
        <v>427802.91800000001</v>
      </c>
      <c r="H1187" s="5">
        <f>0 / 86400</f>
        <v>0</v>
      </c>
      <c r="I1187" t="s">
        <v>136</v>
      </c>
      <c r="J1187" t="s">
        <v>91</v>
      </c>
      <c r="K1187" s="5">
        <f>9 / 86400</f>
        <v>1.0416666666666667E-4</v>
      </c>
      <c r="L1187" s="5">
        <f>320 / 86400</f>
        <v>3.7037037037037038E-3</v>
      </c>
    </row>
    <row r="1188" spans="1:12" x14ac:dyDescent="0.25">
      <c r="A1188" s="3">
        <v>45696.335972222223</v>
      </c>
      <c r="B1188" t="s">
        <v>470</v>
      </c>
      <c r="C1188" s="3">
        <v>45696.608807870369</v>
      </c>
      <c r="D1188" t="s">
        <v>397</v>
      </c>
      <c r="E1188" s="4">
        <v>99.872</v>
      </c>
      <c r="F1188" s="4">
        <v>427802.91800000001</v>
      </c>
      <c r="G1188" s="4">
        <v>427902.79</v>
      </c>
      <c r="H1188" s="5">
        <f>12520 / 86400</f>
        <v>0.1449074074074074</v>
      </c>
      <c r="I1188" t="s">
        <v>55</v>
      </c>
      <c r="J1188" t="s">
        <v>24</v>
      </c>
      <c r="K1188" s="5">
        <f>23572 / 86400</f>
        <v>0.27282407407407405</v>
      </c>
      <c r="L1188" s="5">
        <f>403 / 86400</f>
        <v>4.6643518518518518E-3</v>
      </c>
    </row>
    <row r="1189" spans="1:12" x14ac:dyDescent="0.25">
      <c r="A1189" s="3">
        <v>45696.61347222222</v>
      </c>
      <c r="B1189" t="s">
        <v>397</v>
      </c>
      <c r="C1189" s="3">
        <v>45696.617164351846</v>
      </c>
      <c r="D1189" t="s">
        <v>139</v>
      </c>
      <c r="E1189" s="4">
        <v>1.145</v>
      </c>
      <c r="F1189" s="4">
        <v>427902.79</v>
      </c>
      <c r="G1189" s="4">
        <v>427903.935</v>
      </c>
      <c r="H1189" s="5">
        <f>19 / 86400</f>
        <v>2.199074074074074E-4</v>
      </c>
      <c r="I1189" t="s">
        <v>184</v>
      </c>
      <c r="J1189" t="s">
        <v>47</v>
      </c>
      <c r="K1189" s="5">
        <f>318 / 86400</f>
        <v>3.6805555555555554E-3</v>
      </c>
      <c r="L1189" s="5">
        <f>151 / 86400</f>
        <v>1.7476851851851852E-3</v>
      </c>
    </row>
    <row r="1190" spans="1:12" x14ac:dyDescent="0.25">
      <c r="A1190" s="3">
        <v>45696.61891203704</v>
      </c>
      <c r="B1190" t="s">
        <v>139</v>
      </c>
      <c r="C1190" s="3">
        <v>45696.627442129626</v>
      </c>
      <c r="D1190" t="s">
        <v>152</v>
      </c>
      <c r="E1190" s="4">
        <v>1.3620000000000001</v>
      </c>
      <c r="F1190" s="4">
        <v>427903.935</v>
      </c>
      <c r="G1190" s="4">
        <v>427905.29700000002</v>
      </c>
      <c r="H1190" s="5">
        <f>480 / 86400</f>
        <v>5.5555555555555558E-3</v>
      </c>
      <c r="I1190" t="s">
        <v>218</v>
      </c>
      <c r="J1190" t="s">
        <v>90</v>
      </c>
      <c r="K1190" s="5">
        <f>736 / 86400</f>
        <v>8.518518518518519E-3</v>
      </c>
      <c r="L1190" s="5">
        <f>57 / 86400</f>
        <v>6.5972222222222224E-4</v>
      </c>
    </row>
    <row r="1191" spans="1:12" x14ac:dyDescent="0.25">
      <c r="A1191" s="3">
        <v>45696.628101851849</v>
      </c>
      <c r="B1191" t="s">
        <v>152</v>
      </c>
      <c r="C1191" s="3">
        <v>45696.628263888888</v>
      </c>
      <c r="D1191" t="s">
        <v>152</v>
      </c>
      <c r="E1191" s="4">
        <v>0</v>
      </c>
      <c r="F1191" s="4">
        <v>427905.29700000002</v>
      </c>
      <c r="G1191" s="4">
        <v>427905.29700000002</v>
      </c>
      <c r="H1191" s="5">
        <f>0 / 86400</f>
        <v>0</v>
      </c>
      <c r="I1191" t="s">
        <v>133</v>
      </c>
      <c r="J1191" t="s">
        <v>133</v>
      </c>
      <c r="K1191" s="5">
        <f>13 / 86400</f>
        <v>1.5046296296296297E-4</v>
      </c>
      <c r="L1191" s="5">
        <f>3922 / 86400</f>
        <v>4.5393518518518521E-2</v>
      </c>
    </row>
    <row r="1192" spans="1:12" x14ac:dyDescent="0.25">
      <c r="A1192" s="3">
        <v>45696.673657407402</v>
      </c>
      <c r="B1192" t="s">
        <v>152</v>
      </c>
      <c r="C1192" s="3">
        <v>45696.676655092597</v>
      </c>
      <c r="D1192" t="s">
        <v>469</v>
      </c>
      <c r="E1192" s="4">
        <v>0.78300000000000003</v>
      </c>
      <c r="F1192" s="4">
        <v>427905.29700000002</v>
      </c>
      <c r="G1192" s="4">
        <v>427906.08</v>
      </c>
      <c r="H1192" s="5">
        <f>60 / 86400</f>
        <v>6.9444444444444447E-4</v>
      </c>
      <c r="I1192" t="s">
        <v>229</v>
      </c>
      <c r="J1192" t="s">
        <v>20</v>
      </c>
      <c r="K1192" s="5">
        <f>258 / 86400</f>
        <v>2.9861111111111113E-3</v>
      </c>
      <c r="L1192" s="5">
        <f>654 / 86400</f>
        <v>7.5694444444444446E-3</v>
      </c>
    </row>
    <row r="1193" spans="1:12" x14ac:dyDescent="0.25">
      <c r="A1193" s="3">
        <v>45696.684224537035</v>
      </c>
      <c r="B1193" t="s">
        <v>469</v>
      </c>
      <c r="C1193" s="3">
        <v>45696.685104166667</v>
      </c>
      <c r="D1193" t="s">
        <v>469</v>
      </c>
      <c r="E1193" s="4">
        <v>2.8000000000000001E-2</v>
      </c>
      <c r="F1193" s="4">
        <v>427906.08</v>
      </c>
      <c r="G1193" s="4">
        <v>427906.10800000001</v>
      </c>
      <c r="H1193" s="5">
        <f>59 / 86400</f>
        <v>6.8287037037037036E-4</v>
      </c>
      <c r="I1193" t="s">
        <v>133</v>
      </c>
      <c r="J1193" t="s">
        <v>91</v>
      </c>
      <c r="K1193" s="5">
        <f>76 / 86400</f>
        <v>8.7962962962962962E-4</v>
      </c>
      <c r="L1193" s="5">
        <f>302 / 86400</f>
        <v>3.4953703703703705E-3</v>
      </c>
    </row>
    <row r="1194" spans="1:12" x14ac:dyDescent="0.25">
      <c r="A1194" s="3">
        <v>45696.688599537039</v>
      </c>
      <c r="B1194" t="s">
        <v>469</v>
      </c>
      <c r="C1194" s="3">
        <v>45696.690706018519</v>
      </c>
      <c r="D1194" t="s">
        <v>470</v>
      </c>
      <c r="E1194" s="4">
        <v>1.9E-2</v>
      </c>
      <c r="F1194" s="4">
        <v>427906.10800000001</v>
      </c>
      <c r="G1194" s="4">
        <v>427906.12699999998</v>
      </c>
      <c r="H1194" s="5">
        <f>179 / 86400</f>
        <v>2.0717592592592593E-3</v>
      </c>
      <c r="I1194" t="s">
        <v>133</v>
      </c>
      <c r="J1194" t="s">
        <v>133</v>
      </c>
      <c r="K1194" s="5">
        <f>181 / 86400</f>
        <v>2.0949074074074073E-3</v>
      </c>
      <c r="L1194" s="5">
        <f>234 / 86400</f>
        <v>2.7083333333333334E-3</v>
      </c>
    </row>
    <row r="1195" spans="1:12" x14ac:dyDescent="0.25">
      <c r="A1195" s="3">
        <v>45696.693414351852</v>
      </c>
      <c r="B1195" t="s">
        <v>470</v>
      </c>
      <c r="C1195" s="3">
        <v>45696.696180555555</v>
      </c>
      <c r="D1195" t="s">
        <v>396</v>
      </c>
      <c r="E1195" s="4">
        <v>3.0000000000000001E-3</v>
      </c>
      <c r="F1195" s="4">
        <v>427906.12699999998</v>
      </c>
      <c r="G1195" s="4">
        <v>427906.13</v>
      </c>
      <c r="H1195" s="5">
        <f>219 / 86400</f>
        <v>2.5347222222222221E-3</v>
      </c>
      <c r="I1195" t="s">
        <v>133</v>
      </c>
      <c r="J1195" t="s">
        <v>133</v>
      </c>
      <c r="K1195" s="5">
        <f>238 / 86400</f>
        <v>2.7546296296296294E-3</v>
      </c>
      <c r="L1195" s="5">
        <f>77 / 86400</f>
        <v>8.9120370370370373E-4</v>
      </c>
    </row>
    <row r="1196" spans="1:12" x14ac:dyDescent="0.25">
      <c r="A1196" s="3">
        <v>45696.697071759263</v>
      </c>
      <c r="B1196" t="s">
        <v>396</v>
      </c>
      <c r="C1196" s="3">
        <v>45696.697175925925</v>
      </c>
      <c r="D1196" t="s">
        <v>396</v>
      </c>
      <c r="E1196" s="4">
        <v>7.0000000000000001E-3</v>
      </c>
      <c r="F1196" s="4">
        <v>427906.13</v>
      </c>
      <c r="G1196" s="4">
        <v>427906.13699999999</v>
      </c>
      <c r="H1196" s="5">
        <f>0 / 86400</f>
        <v>0</v>
      </c>
      <c r="I1196" t="s">
        <v>133</v>
      </c>
      <c r="J1196" t="s">
        <v>188</v>
      </c>
      <c r="K1196" s="5">
        <f>9 / 86400</f>
        <v>1.0416666666666667E-4</v>
      </c>
      <c r="L1196" s="5">
        <f>594 / 86400</f>
        <v>6.875E-3</v>
      </c>
    </row>
    <row r="1197" spans="1:12" x14ac:dyDescent="0.25">
      <c r="A1197" s="3">
        <v>45696.704050925924</v>
      </c>
      <c r="B1197" t="s">
        <v>396</v>
      </c>
      <c r="C1197" s="3">
        <v>45696.705763888887</v>
      </c>
      <c r="D1197" t="s">
        <v>396</v>
      </c>
      <c r="E1197" s="4">
        <v>0</v>
      </c>
      <c r="F1197" s="4">
        <v>427906.13699999999</v>
      </c>
      <c r="G1197" s="4">
        <v>427906.13699999999</v>
      </c>
      <c r="H1197" s="5">
        <f>139 / 86400</f>
        <v>1.6087962962962963E-3</v>
      </c>
      <c r="I1197" t="s">
        <v>133</v>
      </c>
      <c r="J1197" t="s">
        <v>133</v>
      </c>
      <c r="K1197" s="5">
        <f>147 / 86400</f>
        <v>1.7013888888888888E-3</v>
      </c>
      <c r="L1197" s="5">
        <f>109 / 86400</f>
        <v>1.261574074074074E-3</v>
      </c>
    </row>
    <row r="1198" spans="1:12" x14ac:dyDescent="0.25">
      <c r="A1198" s="3">
        <v>45696.707025462965</v>
      </c>
      <c r="B1198" t="s">
        <v>396</v>
      </c>
      <c r="C1198" s="3">
        <v>45696.818206018521</v>
      </c>
      <c r="D1198" t="s">
        <v>487</v>
      </c>
      <c r="E1198" s="4">
        <v>48.156999999999996</v>
      </c>
      <c r="F1198" s="4">
        <v>427906.13699999999</v>
      </c>
      <c r="G1198" s="4">
        <v>427954.29399999999</v>
      </c>
      <c r="H1198" s="5">
        <f>3460 / 86400</f>
        <v>4.0046296296296295E-2</v>
      </c>
      <c r="I1198" t="s">
        <v>37</v>
      </c>
      <c r="J1198" t="s">
        <v>50</v>
      </c>
      <c r="K1198" s="5">
        <f>9606 / 86400</f>
        <v>0.11118055555555556</v>
      </c>
      <c r="L1198" s="5">
        <f>101 / 86400</f>
        <v>1.1689814814814816E-3</v>
      </c>
    </row>
    <row r="1199" spans="1:12" x14ac:dyDescent="0.25">
      <c r="A1199" s="3">
        <v>45696.819374999999</v>
      </c>
      <c r="B1199" t="s">
        <v>487</v>
      </c>
      <c r="C1199" s="3">
        <v>45696.934976851851</v>
      </c>
      <c r="D1199" t="s">
        <v>99</v>
      </c>
      <c r="E1199" s="4">
        <v>48.055</v>
      </c>
      <c r="F1199" s="4">
        <v>427954.29399999999</v>
      </c>
      <c r="G1199" s="4">
        <v>428002.34899999999</v>
      </c>
      <c r="H1199" s="5">
        <f>3821 / 86400</f>
        <v>4.4224537037037034E-2</v>
      </c>
      <c r="I1199" t="s">
        <v>116</v>
      </c>
      <c r="J1199" t="s">
        <v>32</v>
      </c>
      <c r="K1199" s="5">
        <f>9987 / 86400</f>
        <v>0.11559027777777778</v>
      </c>
      <c r="L1199" s="5">
        <f>308 / 86400</f>
        <v>3.5648148148148149E-3</v>
      </c>
    </row>
    <row r="1200" spans="1:12" x14ac:dyDescent="0.25">
      <c r="A1200" s="3">
        <v>45696.938541666663</v>
      </c>
      <c r="B1200" t="s">
        <v>99</v>
      </c>
      <c r="C1200" s="3">
        <v>45696.940057870372</v>
      </c>
      <c r="D1200" t="s">
        <v>99</v>
      </c>
      <c r="E1200" s="4">
        <v>0</v>
      </c>
      <c r="F1200" s="4">
        <v>428002.34899999999</v>
      </c>
      <c r="G1200" s="4">
        <v>428002.34899999999</v>
      </c>
      <c r="H1200" s="5">
        <f>119 / 86400</f>
        <v>1.3773148148148147E-3</v>
      </c>
      <c r="I1200" t="s">
        <v>133</v>
      </c>
      <c r="J1200" t="s">
        <v>133</v>
      </c>
      <c r="K1200" s="5">
        <f>130 / 86400</f>
        <v>1.5046296296296296E-3</v>
      </c>
      <c r="L1200" s="5">
        <f>10 / 86400</f>
        <v>1.1574074074074075E-4</v>
      </c>
    </row>
    <row r="1201" spans="1:12" x14ac:dyDescent="0.25">
      <c r="A1201" s="3">
        <v>45696.94017361111</v>
      </c>
      <c r="B1201" t="s">
        <v>99</v>
      </c>
      <c r="C1201" s="3">
        <v>45696.94023148148</v>
      </c>
      <c r="D1201" t="s">
        <v>99</v>
      </c>
      <c r="E1201" s="4">
        <v>0</v>
      </c>
      <c r="F1201" s="4">
        <v>428002.34899999999</v>
      </c>
      <c r="G1201" s="4">
        <v>428002.34899999999</v>
      </c>
      <c r="H1201" s="5">
        <f>0 / 86400</f>
        <v>0</v>
      </c>
      <c r="I1201" t="s">
        <v>133</v>
      </c>
      <c r="J1201" t="s">
        <v>133</v>
      </c>
      <c r="K1201" s="5">
        <f>5 / 86400</f>
        <v>5.7870370370370373E-5</v>
      </c>
      <c r="L1201" s="5">
        <f>24 / 86400</f>
        <v>2.7777777777777778E-4</v>
      </c>
    </row>
    <row r="1202" spans="1:12" x14ac:dyDescent="0.25">
      <c r="A1202" s="3">
        <v>45696.940509259264</v>
      </c>
      <c r="B1202" t="s">
        <v>99</v>
      </c>
      <c r="C1202" s="3">
        <v>45696.941817129627</v>
      </c>
      <c r="D1202" t="s">
        <v>99</v>
      </c>
      <c r="E1202" s="4">
        <v>0</v>
      </c>
      <c r="F1202" s="4">
        <v>428002.34899999999</v>
      </c>
      <c r="G1202" s="4">
        <v>428002.34899999999</v>
      </c>
      <c r="H1202" s="5">
        <f>99 / 86400</f>
        <v>1.1458333333333333E-3</v>
      </c>
      <c r="I1202" t="s">
        <v>133</v>
      </c>
      <c r="J1202" t="s">
        <v>133</v>
      </c>
      <c r="K1202" s="5">
        <f>112 / 86400</f>
        <v>1.2962962962962963E-3</v>
      </c>
      <c r="L1202" s="5">
        <f>5026 / 86400</f>
        <v>5.8171296296296297E-2</v>
      </c>
    </row>
    <row r="1203" spans="1:12" x14ac:dyDescent="0.25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</row>
    <row r="1204" spans="1:12" x14ac:dyDescent="0.25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</row>
    <row r="1205" spans="1:12" s="10" customFormat="1" ht="20.100000000000001" customHeight="1" x14ac:dyDescent="0.35">
      <c r="A1205" s="15" t="s">
        <v>547</v>
      </c>
      <c r="B1205" s="15"/>
      <c r="C1205" s="15"/>
      <c r="D1205" s="15"/>
      <c r="E1205" s="15"/>
      <c r="F1205" s="15"/>
      <c r="G1205" s="15"/>
      <c r="H1205" s="15"/>
      <c r="I1205" s="15"/>
      <c r="J1205" s="15"/>
    </row>
    <row r="1206" spans="1:12" x14ac:dyDescent="0.25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</row>
    <row r="1207" spans="1:12" ht="30" x14ac:dyDescent="0.25">
      <c r="A1207" s="2" t="s">
        <v>6</v>
      </c>
      <c r="B1207" s="2" t="s">
        <v>7</v>
      </c>
      <c r="C1207" s="2" t="s">
        <v>8</v>
      </c>
      <c r="D1207" s="2" t="s">
        <v>9</v>
      </c>
      <c r="E1207" s="2" t="s">
        <v>10</v>
      </c>
      <c r="F1207" s="2" t="s">
        <v>11</v>
      </c>
      <c r="G1207" s="2" t="s">
        <v>12</v>
      </c>
      <c r="H1207" s="2" t="s">
        <v>13</v>
      </c>
      <c r="I1207" s="2" t="s">
        <v>14</v>
      </c>
      <c r="J1207" s="2" t="s">
        <v>15</v>
      </c>
      <c r="K1207" s="2" t="s">
        <v>16</v>
      </c>
      <c r="L1207" s="2" t="s">
        <v>17</v>
      </c>
    </row>
    <row r="1208" spans="1:12" x14ac:dyDescent="0.25">
      <c r="A1208" s="3">
        <v>45696.245011574079</v>
      </c>
      <c r="B1208" t="s">
        <v>29</v>
      </c>
      <c r="C1208" s="3">
        <v>45696.255289351851</v>
      </c>
      <c r="D1208" t="s">
        <v>95</v>
      </c>
      <c r="E1208" s="4">
        <v>1.599</v>
      </c>
      <c r="F1208" s="4">
        <v>574561.76</v>
      </c>
      <c r="G1208" s="4">
        <v>574563.35900000005</v>
      </c>
      <c r="H1208" s="5">
        <f>559 / 86400</f>
        <v>6.4699074074074077E-3</v>
      </c>
      <c r="I1208" t="s">
        <v>23</v>
      </c>
      <c r="J1208" t="s">
        <v>146</v>
      </c>
      <c r="K1208" s="5">
        <f>887 / 86400</f>
        <v>1.0266203703703704E-2</v>
      </c>
      <c r="L1208" s="5">
        <f>21524 / 86400</f>
        <v>0.24912037037037038</v>
      </c>
    </row>
    <row r="1209" spans="1:12" x14ac:dyDescent="0.25">
      <c r="A1209" s="3">
        <v>45696.259398148148</v>
      </c>
      <c r="B1209" t="s">
        <v>95</v>
      </c>
      <c r="C1209" s="3">
        <v>45696.407662037032</v>
      </c>
      <c r="D1209" t="s">
        <v>18</v>
      </c>
      <c r="E1209" s="4">
        <v>51.999000000000002</v>
      </c>
      <c r="F1209" s="4">
        <v>574563.35900000005</v>
      </c>
      <c r="G1209" s="4">
        <v>574615.35800000001</v>
      </c>
      <c r="H1209" s="5">
        <f>4968 / 86400</f>
        <v>5.7500000000000002E-2</v>
      </c>
      <c r="I1209" t="s">
        <v>100</v>
      </c>
      <c r="J1209" t="s">
        <v>24</v>
      </c>
      <c r="K1209" s="5">
        <f>12809 / 86400</f>
        <v>0.14825231481481482</v>
      </c>
      <c r="L1209" s="5">
        <f>30647 / 86400</f>
        <v>0.35471064814814812</v>
      </c>
    </row>
    <row r="1210" spans="1:12" x14ac:dyDescent="0.25">
      <c r="A1210" s="3">
        <v>45696.762372685189</v>
      </c>
      <c r="B1210" t="s">
        <v>18</v>
      </c>
      <c r="C1210" s="3">
        <v>45696.762777777782</v>
      </c>
      <c r="D1210" t="s">
        <v>18</v>
      </c>
      <c r="E1210" s="4">
        <v>2E-3</v>
      </c>
      <c r="F1210" s="4">
        <v>574615.35800000001</v>
      </c>
      <c r="G1210" s="4">
        <v>574615.36</v>
      </c>
      <c r="H1210" s="5">
        <f>19 / 86400</f>
        <v>2.199074074074074E-4</v>
      </c>
      <c r="I1210" t="s">
        <v>133</v>
      </c>
      <c r="J1210" t="s">
        <v>133</v>
      </c>
      <c r="K1210" s="5">
        <f>35 / 86400</f>
        <v>4.0509259259259258E-4</v>
      </c>
      <c r="L1210" s="5">
        <f>708 / 86400</f>
        <v>8.1944444444444452E-3</v>
      </c>
    </row>
    <row r="1211" spans="1:12" x14ac:dyDescent="0.25">
      <c r="A1211" s="3">
        <v>45696.770972222221</v>
      </c>
      <c r="B1211" t="s">
        <v>18</v>
      </c>
      <c r="C1211" s="3">
        <v>45696.772476851853</v>
      </c>
      <c r="D1211" t="s">
        <v>18</v>
      </c>
      <c r="E1211" s="4">
        <v>0</v>
      </c>
      <c r="F1211" s="4">
        <v>574615.36</v>
      </c>
      <c r="G1211" s="4">
        <v>574615.36</v>
      </c>
      <c r="H1211" s="5">
        <f>119 / 86400</f>
        <v>1.3773148148148147E-3</v>
      </c>
      <c r="I1211" t="s">
        <v>133</v>
      </c>
      <c r="J1211" t="s">
        <v>133</v>
      </c>
      <c r="K1211" s="5">
        <f>129 / 86400</f>
        <v>1.4930555555555556E-3</v>
      </c>
      <c r="L1211" s="5">
        <f>17 / 86400</f>
        <v>1.9675925925925926E-4</v>
      </c>
    </row>
    <row r="1212" spans="1:12" x14ac:dyDescent="0.25">
      <c r="A1212" s="3">
        <v>45696.772673611107</v>
      </c>
      <c r="B1212" t="s">
        <v>18</v>
      </c>
      <c r="C1212" s="3">
        <v>45696.792187500003</v>
      </c>
      <c r="D1212" t="s">
        <v>462</v>
      </c>
      <c r="E1212" s="4">
        <v>0.18099999999999999</v>
      </c>
      <c r="F1212" s="4">
        <v>574615.36</v>
      </c>
      <c r="G1212" s="4">
        <v>574615.54099999997</v>
      </c>
      <c r="H1212" s="5">
        <f>1619 / 86400</f>
        <v>1.8738425925925926E-2</v>
      </c>
      <c r="I1212" t="s">
        <v>47</v>
      </c>
      <c r="J1212" t="s">
        <v>133</v>
      </c>
      <c r="K1212" s="5">
        <f>1685 / 86400</f>
        <v>1.9502314814814816E-2</v>
      </c>
      <c r="L1212" s="5">
        <f>160 / 86400</f>
        <v>1.8518518518518519E-3</v>
      </c>
    </row>
    <row r="1213" spans="1:12" x14ac:dyDescent="0.25">
      <c r="A1213" s="3">
        <v>45696.794039351851</v>
      </c>
      <c r="B1213" t="s">
        <v>462</v>
      </c>
      <c r="C1213" s="3">
        <v>45696.896469907406</v>
      </c>
      <c r="D1213" t="s">
        <v>29</v>
      </c>
      <c r="E1213" s="4">
        <v>33.149000000000001</v>
      </c>
      <c r="F1213" s="4">
        <v>574615.54099999997</v>
      </c>
      <c r="G1213" s="4">
        <v>574648.68999999994</v>
      </c>
      <c r="H1213" s="5">
        <f>3290 / 86400</f>
        <v>3.8078703703703705E-2</v>
      </c>
      <c r="I1213" t="s">
        <v>78</v>
      </c>
      <c r="J1213" t="s">
        <v>47</v>
      </c>
      <c r="K1213" s="5">
        <f>8850 / 86400</f>
        <v>0.10243055555555555</v>
      </c>
      <c r="L1213" s="5">
        <f>8944 / 86400</f>
        <v>0.10351851851851852</v>
      </c>
    </row>
    <row r="1214" spans="1:12" x14ac:dyDescent="0.25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</row>
    <row r="1215" spans="1:12" x14ac:dyDescent="0.2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</row>
    <row r="1216" spans="1:12" s="10" customFormat="1" ht="20.100000000000001" customHeight="1" x14ac:dyDescent="0.35">
      <c r="A1216" s="15" t="s">
        <v>548</v>
      </c>
      <c r="B1216" s="15"/>
      <c r="C1216" s="15"/>
      <c r="D1216" s="15"/>
      <c r="E1216" s="15"/>
      <c r="F1216" s="15"/>
      <c r="G1216" s="15"/>
      <c r="H1216" s="15"/>
      <c r="I1216" s="15"/>
      <c r="J1216" s="15"/>
    </row>
    <row r="1217" spans="1:12" x14ac:dyDescent="0.25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</row>
    <row r="1218" spans="1:12" ht="30" x14ac:dyDescent="0.25">
      <c r="A1218" s="2" t="s">
        <v>6</v>
      </c>
      <c r="B1218" s="2" t="s">
        <v>7</v>
      </c>
      <c r="C1218" s="2" t="s">
        <v>8</v>
      </c>
      <c r="D1218" s="2" t="s">
        <v>9</v>
      </c>
      <c r="E1218" s="2" t="s">
        <v>10</v>
      </c>
      <c r="F1218" s="2" t="s">
        <v>11</v>
      </c>
      <c r="G1218" s="2" t="s">
        <v>12</v>
      </c>
      <c r="H1218" s="2" t="s">
        <v>13</v>
      </c>
      <c r="I1218" s="2" t="s">
        <v>14</v>
      </c>
      <c r="J1218" s="2" t="s">
        <v>15</v>
      </c>
      <c r="K1218" s="2" t="s">
        <v>16</v>
      </c>
      <c r="L1218" s="2" t="s">
        <v>17</v>
      </c>
    </row>
    <row r="1219" spans="1:12" x14ac:dyDescent="0.25">
      <c r="A1219" s="3">
        <v>45696.831423611111</v>
      </c>
      <c r="B1219" t="s">
        <v>101</v>
      </c>
      <c r="C1219" s="3">
        <v>45696.8362037037</v>
      </c>
      <c r="D1219" t="s">
        <v>101</v>
      </c>
      <c r="E1219" s="4">
        <v>0</v>
      </c>
      <c r="F1219" s="4">
        <v>415898.87599999999</v>
      </c>
      <c r="G1219" s="4">
        <v>415898.87599999999</v>
      </c>
      <c r="H1219" s="5">
        <f>399 / 86400</f>
        <v>4.6180555555555558E-3</v>
      </c>
      <c r="I1219" t="s">
        <v>133</v>
      </c>
      <c r="J1219" t="s">
        <v>133</v>
      </c>
      <c r="K1219" s="5">
        <f>413 / 86400</f>
        <v>4.7800925925925927E-3</v>
      </c>
      <c r="L1219" s="5">
        <f>73684 / 86400</f>
        <v>0.85282407407407412</v>
      </c>
    </row>
    <row r="1220" spans="1:12" x14ac:dyDescent="0.25">
      <c r="A1220" s="3">
        <v>45696.857604166667</v>
      </c>
      <c r="B1220" t="s">
        <v>101</v>
      </c>
      <c r="C1220" s="3">
        <v>45696.886273148149</v>
      </c>
      <c r="D1220" t="s">
        <v>488</v>
      </c>
      <c r="E1220" s="4">
        <v>7.9130000000000003</v>
      </c>
      <c r="F1220" s="4">
        <v>415898.87599999999</v>
      </c>
      <c r="G1220" s="4">
        <v>415906.78899999999</v>
      </c>
      <c r="H1220" s="5">
        <f>1439 / 86400</f>
        <v>1.6655092592592593E-2</v>
      </c>
      <c r="I1220" t="s">
        <v>67</v>
      </c>
      <c r="J1220" t="s">
        <v>59</v>
      </c>
      <c r="K1220" s="5">
        <f>2477 / 86400</f>
        <v>2.8668981481481483E-2</v>
      </c>
      <c r="L1220" s="5">
        <f>1105 / 86400</f>
        <v>1.2789351851851852E-2</v>
      </c>
    </row>
    <row r="1221" spans="1:12" x14ac:dyDescent="0.25">
      <c r="A1221" s="3">
        <v>45696.899062500001</v>
      </c>
      <c r="B1221" t="s">
        <v>488</v>
      </c>
      <c r="C1221" s="3">
        <v>45696.899398148147</v>
      </c>
      <c r="D1221" t="s">
        <v>488</v>
      </c>
      <c r="E1221" s="4">
        <v>0</v>
      </c>
      <c r="F1221" s="4">
        <v>415906.78899999999</v>
      </c>
      <c r="G1221" s="4">
        <v>415906.78899999999</v>
      </c>
      <c r="H1221" s="5">
        <f>19 / 86400</f>
        <v>2.199074074074074E-4</v>
      </c>
      <c r="I1221" t="s">
        <v>133</v>
      </c>
      <c r="J1221" t="s">
        <v>133</v>
      </c>
      <c r="K1221" s="5">
        <f>29 / 86400</f>
        <v>3.3564814814814812E-4</v>
      </c>
      <c r="L1221" s="5">
        <f>849 / 86400</f>
        <v>9.8263888888888897E-3</v>
      </c>
    </row>
    <row r="1222" spans="1:12" x14ac:dyDescent="0.25">
      <c r="A1222" s="3">
        <v>45696.909224537041</v>
      </c>
      <c r="B1222" t="s">
        <v>488</v>
      </c>
      <c r="C1222" s="3">
        <v>45696.945879629631</v>
      </c>
      <c r="D1222" t="s">
        <v>102</v>
      </c>
      <c r="E1222" s="4">
        <v>12.303000000000001</v>
      </c>
      <c r="F1222" s="4">
        <v>415906.78899999999</v>
      </c>
      <c r="G1222" s="4">
        <v>415919.092</v>
      </c>
      <c r="H1222" s="5">
        <f>1159 / 86400</f>
        <v>1.3414351851851853E-2</v>
      </c>
      <c r="I1222" t="s">
        <v>103</v>
      </c>
      <c r="J1222" t="s">
        <v>41</v>
      </c>
      <c r="K1222" s="5">
        <f>3167 / 86400</f>
        <v>3.6655092592592593E-2</v>
      </c>
      <c r="L1222" s="5">
        <f>4675 / 86400</f>
        <v>5.4108796296296294E-2</v>
      </c>
    </row>
    <row r="1223" spans="1:12" x14ac:dyDescent="0.25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</row>
    <row r="1224" spans="1:12" x14ac:dyDescent="0.25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</row>
    <row r="1225" spans="1:12" s="10" customFormat="1" ht="20.100000000000001" customHeight="1" x14ac:dyDescent="0.35">
      <c r="A1225" s="15" t="s">
        <v>549</v>
      </c>
      <c r="B1225" s="15"/>
      <c r="C1225" s="15"/>
      <c r="D1225" s="15"/>
      <c r="E1225" s="15"/>
      <c r="F1225" s="15"/>
      <c r="G1225" s="15"/>
      <c r="H1225" s="15"/>
      <c r="I1225" s="15"/>
      <c r="J1225" s="15"/>
    </row>
    <row r="1226" spans="1:12" x14ac:dyDescent="0.25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</row>
    <row r="1227" spans="1:12" ht="30" x14ac:dyDescent="0.25">
      <c r="A1227" s="2" t="s">
        <v>6</v>
      </c>
      <c r="B1227" s="2" t="s">
        <v>7</v>
      </c>
      <c r="C1227" s="2" t="s">
        <v>8</v>
      </c>
      <c r="D1227" s="2" t="s">
        <v>9</v>
      </c>
      <c r="E1227" s="2" t="s">
        <v>10</v>
      </c>
      <c r="F1227" s="2" t="s">
        <v>11</v>
      </c>
      <c r="G1227" s="2" t="s">
        <v>12</v>
      </c>
      <c r="H1227" s="2" t="s">
        <v>13</v>
      </c>
      <c r="I1227" s="2" t="s">
        <v>14</v>
      </c>
      <c r="J1227" s="2" t="s">
        <v>15</v>
      </c>
      <c r="K1227" s="2" t="s">
        <v>16</v>
      </c>
      <c r="L1227" s="2" t="s">
        <v>17</v>
      </c>
    </row>
    <row r="1228" spans="1:12" x14ac:dyDescent="0.25">
      <c r="A1228" s="3">
        <v>45696</v>
      </c>
      <c r="B1228" t="s">
        <v>104</v>
      </c>
      <c r="C1228" s="3">
        <v>45696.006030092598</v>
      </c>
      <c r="D1228" t="s">
        <v>105</v>
      </c>
      <c r="E1228" s="4">
        <v>2.7509999999999999</v>
      </c>
      <c r="F1228" s="4">
        <v>399798.95199999999</v>
      </c>
      <c r="G1228" s="4">
        <v>399801.70299999998</v>
      </c>
      <c r="H1228" s="5">
        <f>60 / 86400</f>
        <v>6.9444444444444447E-4</v>
      </c>
      <c r="I1228" t="s">
        <v>389</v>
      </c>
      <c r="J1228" t="s">
        <v>94</v>
      </c>
      <c r="K1228" s="5">
        <f>521 / 86400</f>
        <v>6.030092592592593E-3</v>
      </c>
      <c r="L1228" s="5">
        <f>30026 / 86400</f>
        <v>0.34752314814814816</v>
      </c>
    </row>
    <row r="1229" spans="1:12" x14ac:dyDescent="0.25">
      <c r="A1229" s="3">
        <v>45696.35355324074</v>
      </c>
      <c r="B1229" t="s">
        <v>105</v>
      </c>
      <c r="C1229" s="3">
        <v>45696.369930555556</v>
      </c>
      <c r="D1229" t="s">
        <v>139</v>
      </c>
      <c r="E1229" s="4">
        <v>9.4190000000000005</v>
      </c>
      <c r="F1229" s="4">
        <v>399801.70299999998</v>
      </c>
      <c r="G1229" s="4">
        <v>399811.12199999997</v>
      </c>
      <c r="H1229" s="5">
        <f>299 / 86400</f>
        <v>3.460648148148148E-3</v>
      </c>
      <c r="I1229" t="s">
        <v>251</v>
      </c>
      <c r="J1229" t="s">
        <v>140</v>
      </c>
      <c r="K1229" s="5">
        <f>1415 / 86400</f>
        <v>1.6377314814814813E-2</v>
      </c>
      <c r="L1229" s="5">
        <f>309 / 86400</f>
        <v>3.5763888888888889E-3</v>
      </c>
    </row>
    <row r="1230" spans="1:12" x14ac:dyDescent="0.25">
      <c r="A1230" s="3">
        <v>45696.373506944445</v>
      </c>
      <c r="B1230" t="s">
        <v>139</v>
      </c>
      <c r="C1230" s="3">
        <v>45696.375914351855</v>
      </c>
      <c r="D1230" t="s">
        <v>396</v>
      </c>
      <c r="E1230" s="4">
        <v>0.748</v>
      </c>
      <c r="F1230" s="4">
        <v>399811.12199999997</v>
      </c>
      <c r="G1230" s="4">
        <v>399811.87</v>
      </c>
      <c r="H1230" s="5">
        <f>20 / 86400</f>
        <v>2.3148148148148149E-4</v>
      </c>
      <c r="I1230" t="s">
        <v>161</v>
      </c>
      <c r="J1230" t="s">
        <v>47</v>
      </c>
      <c r="K1230" s="5">
        <f>207 / 86400</f>
        <v>2.3958333333333331E-3</v>
      </c>
      <c r="L1230" s="5">
        <f>359 / 86400</f>
        <v>4.1550925925925922E-3</v>
      </c>
    </row>
    <row r="1231" spans="1:12" x14ac:dyDescent="0.25">
      <c r="A1231" s="3">
        <v>45696.380069444444</v>
      </c>
      <c r="B1231" t="s">
        <v>396</v>
      </c>
      <c r="C1231" s="3">
        <v>45696.520462962959</v>
      </c>
      <c r="D1231" t="s">
        <v>489</v>
      </c>
      <c r="E1231" s="4">
        <v>49.948999999999998</v>
      </c>
      <c r="F1231" s="4">
        <v>399811.87</v>
      </c>
      <c r="G1231" s="4">
        <v>399861.81900000002</v>
      </c>
      <c r="H1231" s="5">
        <f>4385 / 86400</f>
        <v>5.0752314814814813E-2</v>
      </c>
      <c r="I1231" t="s">
        <v>55</v>
      </c>
      <c r="J1231" t="s">
        <v>24</v>
      </c>
      <c r="K1231" s="5">
        <f>12130 / 86400</f>
        <v>0.14039351851851853</v>
      </c>
      <c r="L1231" s="5">
        <f>3245 / 86400</f>
        <v>3.7557870370370373E-2</v>
      </c>
    </row>
    <row r="1232" spans="1:12" x14ac:dyDescent="0.25">
      <c r="A1232" s="3">
        <v>45696.558020833334</v>
      </c>
      <c r="B1232" t="s">
        <v>489</v>
      </c>
      <c r="C1232" s="3">
        <v>45696.711400462962</v>
      </c>
      <c r="D1232" t="s">
        <v>118</v>
      </c>
      <c r="E1232" s="4">
        <v>46.345999999999997</v>
      </c>
      <c r="F1232" s="4">
        <v>399861.81900000002</v>
      </c>
      <c r="G1232" s="4">
        <v>399908.16499999998</v>
      </c>
      <c r="H1232" s="5">
        <f>5042 / 86400</f>
        <v>5.8356481481481481E-2</v>
      </c>
      <c r="I1232" t="s">
        <v>144</v>
      </c>
      <c r="J1232" t="s">
        <v>47</v>
      </c>
      <c r="K1232" s="5">
        <f>13252 / 86400</f>
        <v>0.15337962962962962</v>
      </c>
      <c r="L1232" s="5">
        <f>1081 / 86400</f>
        <v>1.2511574074074074E-2</v>
      </c>
    </row>
    <row r="1233" spans="1:12" x14ac:dyDescent="0.25">
      <c r="A1233" s="3">
        <v>45696.723912037036</v>
      </c>
      <c r="B1233" t="s">
        <v>118</v>
      </c>
      <c r="C1233" s="3">
        <v>45696.976701388892</v>
      </c>
      <c r="D1233" t="s">
        <v>105</v>
      </c>
      <c r="E1233" s="4">
        <v>97.028000000000006</v>
      </c>
      <c r="F1233" s="4">
        <v>399908.16499999998</v>
      </c>
      <c r="G1233" s="4">
        <v>400005.19300000003</v>
      </c>
      <c r="H1233" s="5">
        <f>8001 / 86400</f>
        <v>9.2604166666666668E-2</v>
      </c>
      <c r="I1233" t="s">
        <v>239</v>
      </c>
      <c r="J1233" t="s">
        <v>28</v>
      </c>
      <c r="K1233" s="5">
        <f>21840 / 86400</f>
        <v>0.25277777777777777</v>
      </c>
      <c r="L1233" s="5">
        <f>2012 / 86400</f>
        <v>2.3287037037037037E-2</v>
      </c>
    </row>
    <row r="1234" spans="1:12" x14ac:dyDescent="0.25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</row>
    <row r="1235" spans="1:12" x14ac:dyDescent="0.2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</row>
    <row r="1236" spans="1:12" s="10" customFormat="1" ht="20.100000000000001" customHeight="1" x14ac:dyDescent="0.35">
      <c r="A1236" s="15" t="s">
        <v>550</v>
      </c>
      <c r="B1236" s="15"/>
      <c r="C1236" s="15"/>
      <c r="D1236" s="15"/>
      <c r="E1236" s="15"/>
      <c r="F1236" s="15"/>
      <c r="G1236" s="15"/>
      <c r="H1236" s="15"/>
      <c r="I1236" s="15"/>
      <c r="J1236" s="15"/>
    </row>
    <row r="1237" spans="1:12" x14ac:dyDescent="0.25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</row>
    <row r="1238" spans="1:12" ht="30" x14ac:dyDescent="0.25">
      <c r="A1238" s="2" t="s">
        <v>6</v>
      </c>
      <c r="B1238" s="2" t="s">
        <v>7</v>
      </c>
      <c r="C1238" s="2" t="s">
        <v>8</v>
      </c>
      <c r="D1238" s="2" t="s">
        <v>9</v>
      </c>
      <c r="E1238" s="2" t="s">
        <v>10</v>
      </c>
      <c r="F1238" s="2" t="s">
        <v>11</v>
      </c>
      <c r="G1238" s="2" t="s">
        <v>12</v>
      </c>
      <c r="H1238" s="2" t="s">
        <v>13</v>
      </c>
      <c r="I1238" s="2" t="s">
        <v>14</v>
      </c>
      <c r="J1238" s="2" t="s">
        <v>15</v>
      </c>
      <c r="K1238" s="2" t="s">
        <v>16</v>
      </c>
      <c r="L1238" s="2" t="s">
        <v>17</v>
      </c>
    </row>
    <row r="1239" spans="1:12" x14ac:dyDescent="0.25">
      <c r="A1239" s="3">
        <v>45696.211886574078</v>
      </c>
      <c r="B1239" t="s">
        <v>29</v>
      </c>
      <c r="C1239" s="3">
        <v>45696.389456018514</v>
      </c>
      <c r="D1239" t="s">
        <v>137</v>
      </c>
      <c r="E1239" s="4">
        <v>76.972999999999999</v>
      </c>
      <c r="F1239" s="4">
        <v>381897.70199999999</v>
      </c>
      <c r="G1239" s="4">
        <v>381974.67499999999</v>
      </c>
      <c r="H1239" s="5">
        <f>4860 / 86400</f>
        <v>5.6250000000000001E-2</v>
      </c>
      <c r="I1239" t="s">
        <v>55</v>
      </c>
      <c r="J1239" t="s">
        <v>50</v>
      </c>
      <c r="K1239" s="5">
        <f>15342 / 86400</f>
        <v>0.17756944444444445</v>
      </c>
      <c r="L1239" s="5">
        <f>18387 / 86400</f>
        <v>0.21281249999999999</v>
      </c>
    </row>
    <row r="1240" spans="1:12" x14ac:dyDescent="0.25">
      <c r="A1240" s="3">
        <v>45696.390381944446</v>
      </c>
      <c r="B1240" t="s">
        <v>137</v>
      </c>
      <c r="C1240" s="3">
        <v>45696.39298611111</v>
      </c>
      <c r="D1240" t="s">
        <v>51</v>
      </c>
      <c r="E1240" s="4">
        <v>0.33600000000000002</v>
      </c>
      <c r="F1240" s="4">
        <v>381974.67499999999</v>
      </c>
      <c r="G1240" s="4">
        <v>381975.011</v>
      </c>
      <c r="H1240" s="5">
        <f>40 / 86400</f>
        <v>4.6296296296296298E-4</v>
      </c>
      <c r="I1240" t="s">
        <v>59</v>
      </c>
      <c r="J1240" t="s">
        <v>136</v>
      </c>
      <c r="K1240" s="5">
        <f>225 / 86400</f>
        <v>2.6041666666666665E-3</v>
      </c>
      <c r="L1240" s="5">
        <f>4064 / 86400</f>
        <v>4.7037037037037037E-2</v>
      </c>
    </row>
    <row r="1241" spans="1:12" x14ac:dyDescent="0.25">
      <c r="A1241" s="3">
        <v>45696.440023148149</v>
      </c>
      <c r="B1241" t="s">
        <v>51</v>
      </c>
      <c r="C1241" s="3">
        <v>45696.442164351851</v>
      </c>
      <c r="D1241" t="s">
        <v>45</v>
      </c>
      <c r="E1241" s="4">
        <v>0.33500000000000002</v>
      </c>
      <c r="F1241" s="4">
        <v>381975.011</v>
      </c>
      <c r="G1241" s="4">
        <v>381975.34600000002</v>
      </c>
      <c r="H1241" s="5">
        <f>39 / 86400</f>
        <v>4.5138888888888887E-4</v>
      </c>
      <c r="I1241" t="s">
        <v>59</v>
      </c>
      <c r="J1241" t="s">
        <v>90</v>
      </c>
      <c r="K1241" s="5">
        <f>185 / 86400</f>
        <v>2.1412037037037038E-3</v>
      </c>
      <c r="L1241" s="5">
        <f>595 / 86400</f>
        <v>6.8865740740740745E-3</v>
      </c>
    </row>
    <row r="1242" spans="1:12" x14ac:dyDescent="0.25">
      <c r="A1242" s="3">
        <v>45696.449050925927</v>
      </c>
      <c r="B1242" t="s">
        <v>45</v>
      </c>
      <c r="C1242" s="3">
        <v>45696.449814814812</v>
      </c>
      <c r="D1242" t="s">
        <v>45</v>
      </c>
      <c r="E1242" s="4">
        <v>5.8000000000000003E-2</v>
      </c>
      <c r="F1242" s="4">
        <v>381975.34600000002</v>
      </c>
      <c r="G1242" s="4">
        <v>381975.40399999998</v>
      </c>
      <c r="H1242" s="5">
        <f>20 / 86400</f>
        <v>2.3148148148148149E-4</v>
      </c>
      <c r="I1242" t="s">
        <v>136</v>
      </c>
      <c r="J1242" t="s">
        <v>188</v>
      </c>
      <c r="K1242" s="5">
        <f>66 / 86400</f>
        <v>7.6388888888888893E-4</v>
      </c>
      <c r="L1242" s="5">
        <f>417 / 86400</f>
        <v>4.8263888888888887E-3</v>
      </c>
    </row>
    <row r="1243" spans="1:12" x14ac:dyDescent="0.25">
      <c r="A1243" s="3">
        <v>45696.454641203702</v>
      </c>
      <c r="B1243" t="s">
        <v>45</v>
      </c>
      <c r="C1243" s="3">
        <v>45696.460798611108</v>
      </c>
      <c r="D1243" t="s">
        <v>335</v>
      </c>
      <c r="E1243" s="4">
        <v>1.1830000000000001</v>
      </c>
      <c r="F1243" s="4">
        <v>381975.40399999998</v>
      </c>
      <c r="G1243" s="4">
        <v>381976.587</v>
      </c>
      <c r="H1243" s="5">
        <f>120 / 86400</f>
        <v>1.3888888888888889E-3</v>
      </c>
      <c r="I1243" t="s">
        <v>163</v>
      </c>
      <c r="J1243" t="s">
        <v>151</v>
      </c>
      <c r="K1243" s="5">
        <f>531 / 86400</f>
        <v>6.145833333333333E-3</v>
      </c>
      <c r="L1243" s="5">
        <f>2365 / 86400</f>
        <v>2.7372685185185184E-2</v>
      </c>
    </row>
    <row r="1244" spans="1:12" x14ac:dyDescent="0.25">
      <c r="A1244" s="3">
        <v>45696.488171296296</v>
      </c>
      <c r="B1244" t="s">
        <v>335</v>
      </c>
      <c r="C1244" s="3">
        <v>45696.525717592594</v>
      </c>
      <c r="D1244" t="s">
        <v>92</v>
      </c>
      <c r="E1244" s="4">
        <v>20.98</v>
      </c>
      <c r="F1244" s="4">
        <v>381976.587</v>
      </c>
      <c r="G1244" s="4">
        <v>381997.56699999998</v>
      </c>
      <c r="H1244" s="5">
        <f>640 / 86400</f>
        <v>7.4074074074074077E-3</v>
      </c>
      <c r="I1244" t="s">
        <v>324</v>
      </c>
      <c r="J1244" t="s">
        <v>138</v>
      </c>
      <c r="K1244" s="5">
        <f>3244 / 86400</f>
        <v>3.7546296296296293E-2</v>
      </c>
      <c r="L1244" s="5">
        <f>174 / 86400</f>
        <v>2.0138888888888888E-3</v>
      </c>
    </row>
    <row r="1245" spans="1:12" x14ac:dyDescent="0.25">
      <c r="A1245" s="3">
        <v>45696.527731481481</v>
      </c>
      <c r="B1245" t="s">
        <v>92</v>
      </c>
      <c r="C1245" s="3">
        <v>45696.541203703702</v>
      </c>
      <c r="D1245" t="s">
        <v>490</v>
      </c>
      <c r="E1245" s="4">
        <v>3.262</v>
      </c>
      <c r="F1245" s="4">
        <v>381997.56699999998</v>
      </c>
      <c r="G1245" s="4">
        <v>382000.82900000003</v>
      </c>
      <c r="H1245" s="5">
        <f>440 / 86400</f>
        <v>5.092592592592593E-3</v>
      </c>
      <c r="I1245" t="s">
        <v>244</v>
      </c>
      <c r="J1245" t="s">
        <v>85</v>
      </c>
      <c r="K1245" s="5">
        <f>1163 / 86400</f>
        <v>1.3460648148148149E-2</v>
      </c>
      <c r="L1245" s="5">
        <f>102 / 86400</f>
        <v>1.1805555555555556E-3</v>
      </c>
    </row>
    <row r="1246" spans="1:12" x14ac:dyDescent="0.25">
      <c r="A1246" s="3">
        <v>45696.542384259257</v>
      </c>
      <c r="B1246" t="s">
        <v>490</v>
      </c>
      <c r="C1246" s="3">
        <v>45696.545532407406</v>
      </c>
      <c r="D1246" t="s">
        <v>29</v>
      </c>
      <c r="E1246" s="4">
        <v>0.88</v>
      </c>
      <c r="F1246" s="4">
        <v>382000.82900000003</v>
      </c>
      <c r="G1246" s="4">
        <v>382001.70899999997</v>
      </c>
      <c r="H1246" s="5">
        <f>20 / 86400</f>
        <v>2.3148148148148149E-4</v>
      </c>
      <c r="I1246" t="s">
        <v>138</v>
      </c>
      <c r="J1246" t="s">
        <v>59</v>
      </c>
      <c r="K1246" s="5">
        <f>272 / 86400</f>
        <v>3.1481481481481482E-3</v>
      </c>
      <c r="L1246" s="5">
        <f>4820 / 86400</f>
        <v>5.5787037037037038E-2</v>
      </c>
    </row>
    <row r="1247" spans="1:12" x14ac:dyDescent="0.25">
      <c r="A1247" s="3">
        <v>45696.601319444446</v>
      </c>
      <c r="B1247" t="s">
        <v>29</v>
      </c>
      <c r="C1247" s="3">
        <v>45696.606354166666</v>
      </c>
      <c r="D1247" t="s">
        <v>29</v>
      </c>
      <c r="E1247" s="4">
        <v>0.215</v>
      </c>
      <c r="F1247" s="4">
        <v>382001.70899999997</v>
      </c>
      <c r="G1247" s="4">
        <v>382001.924</v>
      </c>
      <c r="H1247" s="5">
        <f>259 / 86400</f>
        <v>2.9976851851851853E-3</v>
      </c>
      <c r="I1247" t="s">
        <v>146</v>
      </c>
      <c r="J1247" t="s">
        <v>132</v>
      </c>
      <c r="K1247" s="5">
        <f>435 / 86400</f>
        <v>5.0347222222222225E-3</v>
      </c>
      <c r="L1247" s="5">
        <f>34010 / 86400</f>
        <v>0.39363425925925927</v>
      </c>
    </row>
    <row r="1248" spans="1:12" x14ac:dyDescent="0.25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</row>
    <row r="1249" spans="1:12" x14ac:dyDescent="0.25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</row>
    <row r="1250" spans="1:12" s="10" customFormat="1" ht="20.100000000000001" customHeight="1" x14ac:dyDescent="0.35">
      <c r="A1250" s="15" t="s">
        <v>551</v>
      </c>
      <c r="B1250" s="15"/>
      <c r="C1250" s="15"/>
      <c r="D1250" s="15"/>
      <c r="E1250" s="15"/>
      <c r="F1250" s="15"/>
      <c r="G1250" s="15"/>
      <c r="H1250" s="15"/>
      <c r="I1250" s="15"/>
      <c r="J1250" s="15"/>
    </row>
    <row r="1251" spans="1:12" x14ac:dyDescent="0.25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</row>
    <row r="1252" spans="1:12" ht="30" x14ac:dyDescent="0.25">
      <c r="A1252" s="2" t="s">
        <v>6</v>
      </c>
      <c r="B1252" s="2" t="s">
        <v>7</v>
      </c>
      <c r="C1252" s="2" t="s">
        <v>8</v>
      </c>
      <c r="D1252" s="2" t="s">
        <v>9</v>
      </c>
      <c r="E1252" s="2" t="s">
        <v>10</v>
      </c>
      <c r="F1252" s="2" t="s">
        <v>11</v>
      </c>
      <c r="G1252" s="2" t="s">
        <v>12</v>
      </c>
      <c r="H1252" s="2" t="s">
        <v>13</v>
      </c>
      <c r="I1252" s="2" t="s">
        <v>14</v>
      </c>
      <c r="J1252" s="2" t="s">
        <v>15</v>
      </c>
      <c r="K1252" s="2" t="s">
        <v>16</v>
      </c>
      <c r="L1252" s="2" t="s">
        <v>17</v>
      </c>
    </row>
    <row r="1253" spans="1:12" x14ac:dyDescent="0.25">
      <c r="A1253" s="3">
        <v>45696.301168981481</v>
      </c>
      <c r="B1253" t="s">
        <v>21</v>
      </c>
      <c r="C1253" s="3">
        <v>45696.310486111106</v>
      </c>
      <c r="D1253" t="s">
        <v>139</v>
      </c>
      <c r="E1253" s="4">
        <v>1.8480000000000001</v>
      </c>
      <c r="F1253" s="4">
        <v>545235.28799999994</v>
      </c>
      <c r="G1253" s="4">
        <v>545237.13600000006</v>
      </c>
      <c r="H1253" s="5">
        <f>459 / 86400</f>
        <v>5.3125000000000004E-3</v>
      </c>
      <c r="I1253" t="s">
        <v>215</v>
      </c>
      <c r="J1253" t="s">
        <v>151</v>
      </c>
      <c r="K1253" s="5">
        <f>804 / 86400</f>
        <v>9.3055555555555548E-3</v>
      </c>
      <c r="L1253" s="5">
        <f>26652 / 86400</f>
        <v>0.3084722222222222</v>
      </c>
    </row>
    <row r="1254" spans="1:12" x14ac:dyDescent="0.25">
      <c r="A1254" s="3">
        <v>45696.317789351851</v>
      </c>
      <c r="B1254" t="s">
        <v>139</v>
      </c>
      <c r="C1254" s="3">
        <v>45696.458148148144</v>
      </c>
      <c r="D1254" t="s">
        <v>171</v>
      </c>
      <c r="E1254" s="4">
        <v>50.704000000000001</v>
      </c>
      <c r="F1254" s="4">
        <v>545237.13600000006</v>
      </c>
      <c r="G1254" s="4">
        <v>545287.84</v>
      </c>
      <c r="H1254" s="5">
        <f>4176 / 86400</f>
        <v>4.8333333333333332E-2</v>
      </c>
      <c r="I1254" t="s">
        <v>239</v>
      </c>
      <c r="J1254" t="s">
        <v>24</v>
      </c>
      <c r="K1254" s="5">
        <f>12127 / 86400</f>
        <v>0.1403587962962963</v>
      </c>
      <c r="L1254" s="5">
        <f>1798 / 86400</f>
        <v>2.0810185185185185E-2</v>
      </c>
    </row>
    <row r="1255" spans="1:12" x14ac:dyDescent="0.25">
      <c r="A1255" s="3">
        <v>45696.478958333333</v>
      </c>
      <c r="B1255" t="s">
        <v>171</v>
      </c>
      <c r="C1255" s="3">
        <v>45696.609270833331</v>
      </c>
      <c r="D1255" t="s">
        <v>137</v>
      </c>
      <c r="E1255" s="4">
        <v>50.026000000000003</v>
      </c>
      <c r="F1255" s="4">
        <v>545287.84</v>
      </c>
      <c r="G1255" s="4">
        <v>545337.86600000004</v>
      </c>
      <c r="H1255" s="5">
        <f>3397 / 86400</f>
        <v>3.9317129629629632E-2</v>
      </c>
      <c r="I1255" t="s">
        <v>67</v>
      </c>
      <c r="J1255" t="s">
        <v>28</v>
      </c>
      <c r="K1255" s="5">
        <f>11258 / 86400</f>
        <v>0.13030092592592593</v>
      </c>
      <c r="L1255" s="5">
        <f>2123 / 86400</f>
        <v>2.4571759259259258E-2</v>
      </c>
    </row>
    <row r="1256" spans="1:12" x14ac:dyDescent="0.25">
      <c r="A1256" s="3">
        <v>45696.633842592593</v>
      </c>
      <c r="B1256" t="s">
        <v>137</v>
      </c>
      <c r="C1256" s="3">
        <v>45696.748078703706</v>
      </c>
      <c r="D1256" t="s">
        <v>491</v>
      </c>
      <c r="E1256" s="4">
        <v>48.62</v>
      </c>
      <c r="F1256" s="4">
        <v>545337.86600000004</v>
      </c>
      <c r="G1256" s="4">
        <v>545386.48600000003</v>
      </c>
      <c r="H1256" s="5">
        <f>3259 / 86400</f>
        <v>3.771990740740741E-2</v>
      </c>
      <c r="I1256" t="s">
        <v>55</v>
      </c>
      <c r="J1256" t="s">
        <v>50</v>
      </c>
      <c r="K1256" s="5">
        <f>9869 / 86400</f>
        <v>0.11422453703703704</v>
      </c>
      <c r="L1256" s="5">
        <f>91 / 86400</f>
        <v>1.0532407407407407E-3</v>
      </c>
    </row>
    <row r="1257" spans="1:12" x14ac:dyDescent="0.25">
      <c r="A1257" s="3">
        <v>45696.749131944445</v>
      </c>
      <c r="B1257" t="s">
        <v>491</v>
      </c>
      <c r="C1257" s="3">
        <v>45696.871469907404</v>
      </c>
      <c r="D1257" t="s">
        <v>82</v>
      </c>
      <c r="E1257" s="4">
        <v>46.323</v>
      </c>
      <c r="F1257" s="4">
        <v>545386.48600000003</v>
      </c>
      <c r="G1257" s="4">
        <v>545432.80900000001</v>
      </c>
      <c r="H1257" s="5">
        <f>2921 / 86400</f>
        <v>3.380787037037037E-2</v>
      </c>
      <c r="I1257" t="s">
        <v>263</v>
      </c>
      <c r="J1257" t="s">
        <v>28</v>
      </c>
      <c r="K1257" s="5">
        <f>10569 / 86400</f>
        <v>0.12232638888888889</v>
      </c>
      <c r="L1257" s="5">
        <f>511 / 86400</f>
        <v>5.9143518518518521E-3</v>
      </c>
    </row>
    <row r="1258" spans="1:12" x14ac:dyDescent="0.25">
      <c r="A1258" s="3">
        <v>45696.877384259264</v>
      </c>
      <c r="B1258" t="s">
        <v>82</v>
      </c>
      <c r="C1258" s="3">
        <v>45696.879930555559</v>
      </c>
      <c r="D1258" t="s">
        <v>21</v>
      </c>
      <c r="E1258" s="4">
        <v>0.51900000000000002</v>
      </c>
      <c r="F1258" s="4">
        <v>545432.80900000001</v>
      </c>
      <c r="G1258" s="4">
        <v>545433.32799999998</v>
      </c>
      <c r="H1258" s="5">
        <f>40 / 86400</f>
        <v>4.6296296296296298E-4</v>
      </c>
      <c r="I1258" t="s">
        <v>205</v>
      </c>
      <c r="J1258" t="s">
        <v>162</v>
      </c>
      <c r="K1258" s="5">
        <f>219 / 86400</f>
        <v>2.5347222222222221E-3</v>
      </c>
      <c r="L1258" s="5">
        <f>109 / 86400</f>
        <v>1.261574074074074E-3</v>
      </c>
    </row>
    <row r="1259" spans="1:12" x14ac:dyDescent="0.25">
      <c r="A1259" s="3">
        <v>45696.881192129629</v>
      </c>
      <c r="B1259" t="s">
        <v>21</v>
      </c>
      <c r="C1259" s="3">
        <v>45696.881620370375</v>
      </c>
      <c r="D1259" t="s">
        <v>21</v>
      </c>
      <c r="E1259" s="4">
        <v>0.01</v>
      </c>
      <c r="F1259" s="4">
        <v>545433.32799999998</v>
      </c>
      <c r="G1259" s="4">
        <v>545433.33799999999</v>
      </c>
      <c r="H1259" s="5">
        <f>0 / 86400</f>
        <v>0</v>
      </c>
      <c r="I1259" t="s">
        <v>132</v>
      </c>
      <c r="J1259" t="s">
        <v>91</v>
      </c>
      <c r="K1259" s="5">
        <f>36 / 86400</f>
        <v>4.1666666666666669E-4</v>
      </c>
      <c r="L1259" s="5">
        <f>3486 / 86400</f>
        <v>4.0347222222222222E-2</v>
      </c>
    </row>
    <row r="1260" spans="1:12" x14ac:dyDescent="0.25">
      <c r="A1260" s="3">
        <v>45696.921967592592</v>
      </c>
      <c r="B1260" t="s">
        <v>21</v>
      </c>
      <c r="C1260" s="3">
        <v>45696.922800925924</v>
      </c>
      <c r="D1260" t="s">
        <v>21</v>
      </c>
      <c r="E1260" s="4">
        <v>2.1000000000000001E-2</v>
      </c>
      <c r="F1260" s="4">
        <v>545433.33799999999</v>
      </c>
      <c r="G1260" s="4">
        <v>545433.35900000005</v>
      </c>
      <c r="H1260" s="5">
        <f>40 / 86400</f>
        <v>4.6296296296296298E-4</v>
      </c>
      <c r="I1260" t="s">
        <v>91</v>
      </c>
      <c r="J1260" t="s">
        <v>91</v>
      </c>
      <c r="K1260" s="5">
        <f>71 / 86400</f>
        <v>8.2175925925925927E-4</v>
      </c>
      <c r="L1260" s="5">
        <f>6669 / 86400</f>
        <v>7.7187500000000006E-2</v>
      </c>
    </row>
    <row r="1261" spans="1:12" x14ac:dyDescent="0.25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</row>
    <row r="1262" spans="1:12" x14ac:dyDescent="0.25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</row>
    <row r="1263" spans="1:12" s="10" customFormat="1" ht="20.100000000000001" customHeight="1" x14ac:dyDescent="0.35">
      <c r="A1263" s="15" t="s">
        <v>552</v>
      </c>
      <c r="B1263" s="15"/>
      <c r="C1263" s="15"/>
      <c r="D1263" s="15"/>
      <c r="E1263" s="15"/>
      <c r="F1263" s="15"/>
      <c r="G1263" s="15"/>
      <c r="H1263" s="15"/>
      <c r="I1263" s="15"/>
      <c r="J1263" s="15"/>
    </row>
    <row r="1264" spans="1:12" x14ac:dyDescent="0.25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</row>
    <row r="1265" spans="1:12" ht="30" x14ac:dyDescent="0.25">
      <c r="A1265" s="2" t="s">
        <v>6</v>
      </c>
      <c r="B1265" s="2" t="s">
        <v>7</v>
      </c>
      <c r="C1265" s="2" t="s">
        <v>8</v>
      </c>
      <c r="D1265" s="2" t="s">
        <v>9</v>
      </c>
      <c r="E1265" s="2" t="s">
        <v>10</v>
      </c>
      <c r="F1265" s="2" t="s">
        <v>11</v>
      </c>
      <c r="G1265" s="2" t="s">
        <v>12</v>
      </c>
      <c r="H1265" s="2" t="s">
        <v>13</v>
      </c>
      <c r="I1265" s="2" t="s">
        <v>14</v>
      </c>
      <c r="J1265" s="2" t="s">
        <v>15</v>
      </c>
      <c r="K1265" s="2" t="s">
        <v>16</v>
      </c>
      <c r="L1265" s="2" t="s">
        <v>17</v>
      </c>
    </row>
    <row r="1266" spans="1:12" x14ac:dyDescent="0.25">
      <c r="A1266" s="3">
        <v>45696</v>
      </c>
      <c r="B1266" t="s">
        <v>106</v>
      </c>
      <c r="C1266" s="3">
        <v>45696.03188657407</v>
      </c>
      <c r="D1266" t="s">
        <v>367</v>
      </c>
      <c r="E1266" s="4">
        <v>10.887</v>
      </c>
      <c r="F1266" s="4">
        <v>102073.428</v>
      </c>
      <c r="G1266" s="4">
        <v>102084.315</v>
      </c>
      <c r="H1266" s="5">
        <f>1520 / 86400</f>
        <v>1.7592592592592594E-2</v>
      </c>
      <c r="I1266" t="s">
        <v>121</v>
      </c>
      <c r="J1266" t="s">
        <v>41</v>
      </c>
      <c r="K1266" s="5">
        <f>2755 / 86400</f>
        <v>3.1886574074074074E-2</v>
      </c>
      <c r="L1266" s="5">
        <f>1033 / 86400</f>
        <v>1.1956018518518519E-2</v>
      </c>
    </row>
    <row r="1267" spans="1:12" x14ac:dyDescent="0.25">
      <c r="A1267" s="3">
        <v>45696.043842592597</v>
      </c>
      <c r="B1267" t="s">
        <v>367</v>
      </c>
      <c r="C1267" s="3">
        <v>45696.044131944444</v>
      </c>
      <c r="D1267" t="s">
        <v>367</v>
      </c>
      <c r="E1267" s="4">
        <v>0</v>
      </c>
      <c r="F1267" s="4">
        <v>102084.315</v>
      </c>
      <c r="G1267" s="4">
        <v>102084.315</v>
      </c>
      <c r="H1267" s="5">
        <f>17 / 86400</f>
        <v>1.9675925925925926E-4</v>
      </c>
      <c r="I1267" t="s">
        <v>133</v>
      </c>
      <c r="J1267" t="s">
        <v>133</v>
      </c>
      <c r="K1267" s="5">
        <f>25 / 86400</f>
        <v>2.8935185185185184E-4</v>
      </c>
      <c r="L1267" s="5">
        <f>956 / 86400</f>
        <v>1.1064814814814816E-2</v>
      </c>
    </row>
    <row r="1268" spans="1:12" x14ac:dyDescent="0.25">
      <c r="A1268" s="3">
        <v>45696.055196759262</v>
      </c>
      <c r="B1268" t="s">
        <v>367</v>
      </c>
      <c r="C1268" s="3">
        <v>45696.05568287037</v>
      </c>
      <c r="D1268" t="s">
        <v>367</v>
      </c>
      <c r="E1268" s="4">
        <v>0</v>
      </c>
      <c r="F1268" s="4">
        <v>102084.315</v>
      </c>
      <c r="G1268" s="4">
        <v>102084.315</v>
      </c>
      <c r="H1268" s="5">
        <f>37 / 86400</f>
        <v>4.2824074074074075E-4</v>
      </c>
      <c r="I1268" t="s">
        <v>133</v>
      </c>
      <c r="J1268" t="s">
        <v>133</v>
      </c>
      <c r="K1268" s="5">
        <f>42 / 86400</f>
        <v>4.861111111111111E-4</v>
      </c>
      <c r="L1268" s="5">
        <f>225 / 86400</f>
        <v>2.6041666666666665E-3</v>
      </c>
    </row>
    <row r="1269" spans="1:12" x14ac:dyDescent="0.25">
      <c r="A1269" s="3">
        <v>45696.058287037042</v>
      </c>
      <c r="B1269" t="s">
        <v>367</v>
      </c>
      <c r="C1269" s="3">
        <v>45696.058425925927</v>
      </c>
      <c r="D1269" t="s">
        <v>367</v>
      </c>
      <c r="E1269" s="4">
        <v>0</v>
      </c>
      <c r="F1269" s="4">
        <v>102084.315</v>
      </c>
      <c r="G1269" s="4">
        <v>102084.315</v>
      </c>
      <c r="H1269" s="5">
        <f>0 / 86400</f>
        <v>0</v>
      </c>
      <c r="I1269" t="s">
        <v>133</v>
      </c>
      <c r="J1269" t="s">
        <v>133</v>
      </c>
      <c r="K1269" s="5">
        <f>12 / 86400</f>
        <v>1.3888888888888889E-4</v>
      </c>
      <c r="L1269" s="5">
        <f>1321 / 86400</f>
        <v>1.5289351851851853E-2</v>
      </c>
    </row>
    <row r="1270" spans="1:12" x14ac:dyDescent="0.25">
      <c r="A1270" s="3">
        <v>45696.073715277773</v>
      </c>
      <c r="B1270" t="s">
        <v>367</v>
      </c>
      <c r="C1270" s="3">
        <v>45696.154849537037</v>
      </c>
      <c r="D1270" t="s">
        <v>98</v>
      </c>
      <c r="E1270" s="4">
        <v>47.070999999999998</v>
      </c>
      <c r="F1270" s="4">
        <v>102084.315</v>
      </c>
      <c r="G1270" s="4">
        <v>102131.386</v>
      </c>
      <c r="H1270" s="5">
        <f>2720 / 86400</f>
        <v>3.1481481481481478E-2</v>
      </c>
      <c r="I1270" t="s">
        <v>481</v>
      </c>
      <c r="J1270" t="s">
        <v>140</v>
      </c>
      <c r="K1270" s="5">
        <f>7010 / 86400</f>
        <v>8.1134259259259253E-2</v>
      </c>
      <c r="L1270" s="5">
        <f>5229 / 86400</f>
        <v>6.0520833333333336E-2</v>
      </c>
    </row>
    <row r="1271" spans="1:12" x14ac:dyDescent="0.25">
      <c r="A1271" s="3">
        <v>45696.215370370366</v>
      </c>
      <c r="B1271" t="s">
        <v>98</v>
      </c>
      <c r="C1271" s="3">
        <v>45696.216134259259</v>
      </c>
      <c r="D1271" t="s">
        <v>98</v>
      </c>
      <c r="E1271" s="4">
        <v>2.3E-2</v>
      </c>
      <c r="F1271" s="4">
        <v>102131.386</v>
      </c>
      <c r="G1271" s="4">
        <v>102131.409</v>
      </c>
      <c r="H1271" s="5">
        <f>37 / 86400</f>
        <v>4.2824074074074075E-4</v>
      </c>
      <c r="I1271" t="s">
        <v>90</v>
      </c>
      <c r="J1271" t="s">
        <v>91</v>
      </c>
      <c r="K1271" s="5">
        <f>66 / 86400</f>
        <v>7.6388888888888893E-4</v>
      </c>
      <c r="L1271" s="5">
        <f>11191 / 86400</f>
        <v>0.12952546296296297</v>
      </c>
    </row>
    <row r="1272" spans="1:12" x14ac:dyDescent="0.25">
      <c r="A1272" s="3">
        <v>45696.345659722225</v>
      </c>
      <c r="B1272" t="s">
        <v>98</v>
      </c>
      <c r="C1272" s="3">
        <v>45696.350150462968</v>
      </c>
      <c r="D1272" t="s">
        <v>399</v>
      </c>
      <c r="E1272" s="4">
        <v>1.179</v>
      </c>
      <c r="F1272" s="4">
        <v>102131.409</v>
      </c>
      <c r="G1272" s="4">
        <v>102132.588</v>
      </c>
      <c r="H1272" s="5">
        <f>117 / 86400</f>
        <v>1.3541666666666667E-3</v>
      </c>
      <c r="I1272" t="s">
        <v>205</v>
      </c>
      <c r="J1272" t="s">
        <v>20</v>
      </c>
      <c r="K1272" s="5">
        <f>388 / 86400</f>
        <v>4.4907407407407405E-3</v>
      </c>
      <c r="L1272" s="5">
        <f>1846 / 86400</f>
        <v>2.1365740740740741E-2</v>
      </c>
    </row>
    <row r="1273" spans="1:12" x14ac:dyDescent="0.25">
      <c r="A1273" s="3">
        <v>45696.371516203704</v>
      </c>
      <c r="B1273" t="s">
        <v>399</v>
      </c>
      <c r="C1273" s="3">
        <v>45696.373043981483</v>
      </c>
      <c r="D1273" t="s">
        <v>399</v>
      </c>
      <c r="E1273" s="4">
        <v>0</v>
      </c>
      <c r="F1273" s="4">
        <v>102132.588</v>
      </c>
      <c r="G1273" s="4">
        <v>102132.588</v>
      </c>
      <c r="H1273" s="5">
        <f>118 / 86400</f>
        <v>1.3657407407407407E-3</v>
      </c>
      <c r="I1273" t="s">
        <v>133</v>
      </c>
      <c r="J1273" t="s">
        <v>133</v>
      </c>
      <c r="K1273" s="5">
        <f>132 / 86400</f>
        <v>1.5277777777777779E-3</v>
      </c>
      <c r="L1273" s="5">
        <f>2516 / 86400</f>
        <v>2.9120370370370369E-2</v>
      </c>
    </row>
    <row r="1274" spans="1:12" x14ac:dyDescent="0.25">
      <c r="A1274" s="3">
        <v>45696.40216435185</v>
      </c>
      <c r="B1274" t="s">
        <v>399</v>
      </c>
      <c r="C1274" s="3">
        <v>45696.404837962968</v>
      </c>
      <c r="D1274" t="s">
        <v>45</v>
      </c>
      <c r="E1274" s="4">
        <v>0.54600000000000004</v>
      </c>
      <c r="F1274" s="4">
        <v>102132.588</v>
      </c>
      <c r="G1274" s="4">
        <v>102133.13400000001</v>
      </c>
      <c r="H1274" s="5">
        <f>60 / 86400</f>
        <v>6.9444444444444447E-4</v>
      </c>
      <c r="I1274" t="s">
        <v>165</v>
      </c>
      <c r="J1274" t="s">
        <v>162</v>
      </c>
      <c r="K1274" s="5">
        <f>231 / 86400</f>
        <v>2.673611111111111E-3</v>
      </c>
      <c r="L1274" s="5">
        <f>1036 / 86400</f>
        <v>1.1990740740740741E-2</v>
      </c>
    </row>
    <row r="1275" spans="1:12" x14ac:dyDescent="0.25">
      <c r="A1275" s="3">
        <v>45696.416828703703</v>
      </c>
      <c r="B1275" t="s">
        <v>45</v>
      </c>
      <c r="C1275" s="3">
        <v>45696.420092592598</v>
      </c>
      <c r="D1275" t="s">
        <v>139</v>
      </c>
      <c r="E1275" s="4">
        <v>0.89600000000000002</v>
      </c>
      <c r="F1275" s="4">
        <v>102133.13400000001</v>
      </c>
      <c r="G1275" s="4">
        <v>102134.03</v>
      </c>
      <c r="H1275" s="5">
        <f>58 / 86400</f>
        <v>6.7129629629629625E-4</v>
      </c>
      <c r="I1275" t="s">
        <v>159</v>
      </c>
      <c r="J1275" t="s">
        <v>20</v>
      </c>
      <c r="K1275" s="5">
        <f>282 / 86400</f>
        <v>3.2638888888888891E-3</v>
      </c>
      <c r="L1275" s="5">
        <f>221 / 86400</f>
        <v>2.5578703703703705E-3</v>
      </c>
    </row>
    <row r="1276" spans="1:12" x14ac:dyDescent="0.25">
      <c r="A1276" s="3">
        <v>45696.422650462962</v>
      </c>
      <c r="B1276" t="s">
        <v>139</v>
      </c>
      <c r="C1276" s="3">
        <v>45696.555810185186</v>
      </c>
      <c r="D1276" t="s">
        <v>471</v>
      </c>
      <c r="E1276" s="4">
        <v>51.704999999999998</v>
      </c>
      <c r="F1276" s="4">
        <v>102134.03</v>
      </c>
      <c r="G1276" s="4">
        <v>102185.735</v>
      </c>
      <c r="H1276" s="5">
        <f>4281 / 86400</f>
        <v>4.9548611111111113E-2</v>
      </c>
      <c r="I1276" t="s">
        <v>56</v>
      </c>
      <c r="J1276" t="s">
        <v>28</v>
      </c>
      <c r="K1276" s="5">
        <f>11505 / 86400</f>
        <v>0.13315972222222222</v>
      </c>
      <c r="L1276" s="5">
        <f>3305 / 86400</f>
        <v>3.8252314814814815E-2</v>
      </c>
    </row>
    <row r="1277" spans="1:12" x14ac:dyDescent="0.25">
      <c r="A1277" s="3">
        <v>45696.5940625</v>
      </c>
      <c r="B1277" t="s">
        <v>471</v>
      </c>
      <c r="C1277" s="3">
        <v>45696.730150462958</v>
      </c>
      <c r="D1277" t="s">
        <v>397</v>
      </c>
      <c r="E1277" s="4">
        <v>49.902000000000001</v>
      </c>
      <c r="F1277" s="4">
        <v>102185.735</v>
      </c>
      <c r="G1277" s="4">
        <v>102235.637</v>
      </c>
      <c r="H1277" s="5">
        <f>4340 / 86400</f>
        <v>5.0231481481481481E-2</v>
      </c>
      <c r="I1277" t="s">
        <v>26</v>
      </c>
      <c r="J1277" t="s">
        <v>24</v>
      </c>
      <c r="K1277" s="5">
        <f>11758 / 86400</f>
        <v>0.13608796296296297</v>
      </c>
      <c r="L1277" s="5">
        <f>791 / 86400</f>
        <v>9.1550925925925931E-3</v>
      </c>
    </row>
    <row r="1278" spans="1:12" x14ac:dyDescent="0.25">
      <c r="A1278" s="3">
        <v>45696.739305555559</v>
      </c>
      <c r="B1278" t="s">
        <v>397</v>
      </c>
      <c r="C1278" s="3">
        <v>45696.9221875</v>
      </c>
      <c r="D1278" t="s">
        <v>118</v>
      </c>
      <c r="E1278" s="4">
        <v>78.372</v>
      </c>
      <c r="F1278" s="4">
        <v>102235.637</v>
      </c>
      <c r="G1278" s="4">
        <v>102314.00900000001</v>
      </c>
      <c r="H1278" s="5">
        <f>5975 / 86400</f>
        <v>6.9155092592592587E-2</v>
      </c>
      <c r="I1278" t="s">
        <v>64</v>
      </c>
      <c r="J1278" t="s">
        <v>50</v>
      </c>
      <c r="K1278" s="5">
        <f>15801 / 86400</f>
        <v>0.18288194444444444</v>
      </c>
      <c r="L1278" s="5">
        <f>520 / 86400</f>
        <v>6.0185185185185185E-3</v>
      </c>
    </row>
    <row r="1279" spans="1:12" x14ac:dyDescent="0.25">
      <c r="A1279" s="3">
        <v>45696.928206018521</v>
      </c>
      <c r="B1279" t="s">
        <v>118</v>
      </c>
      <c r="C1279" s="3">
        <v>45696.928391203706</v>
      </c>
      <c r="D1279" t="s">
        <v>118</v>
      </c>
      <c r="E1279" s="4">
        <v>1.2E-2</v>
      </c>
      <c r="F1279" s="4">
        <v>102314.00900000001</v>
      </c>
      <c r="G1279" s="4">
        <v>102314.02099999999</v>
      </c>
      <c r="H1279" s="5">
        <f>0 / 86400</f>
        <v>0</v>
      </c>
      <c r="I1279" t="s">
        <v>133</v>
      </c>
      <c r="J1279" t="s">
        <v>188</v>
      </c>
      <c r="K1279" s="5">
        <f>16 / 86400</f>
        <v>1.8518518518518518E-4</v>
      </c>
      <c r="L1279" s="5">
        <f>97 / 86400</f>
        <v>1.1226851851851851E-3</v>
      </c>
    </row>
    <row r="1280" spans="1:12" x14ac:dyDescent="0.25">
      <c r="A1280" s="3">
        <v>45696.929513888885</v>
      </c>
      <c r="B1280" t="s">
        <v>118</v>
      </c>
      <c r="C1280" s="3">
        <v>45696.975752314815</v>
      </c>
      <c r="D1280" t="s">
        <v>387</v>
      </c>
      <c r="E1280" s="4">
        <v>26.859000000000002</v>
      </c>
      <c r="F1280" s="4">
        <v>102314.02099999999</v>
      </c>
      <c r="G1280" s="4">
        <v>102340.88</v>
      </c>
      <c r="H1280" s="5">
        <f>1198 / 86400</f>
        <v>1.3865740740740741E-2</v>
      </c>
      <c r="I1280" t="s">
        <v>108</v>
      </c>
      <c r="J1280" t="s">
        <v>140</v>
      </c>
      <c r="K1280" s="5">
        <f>3995 / 86400</f>
        <v>4.6238425925925926E-2</v>
      </c>
      <c r="L1280" s="5">
        <f>50 / 86400</f>
        <v>5.7870370370370367E-4</v>
      </c>
    </row>
    <row r="1281" spans="1:12" x14ac:dyDescent="0.25">
      <c r="A1281" s="3">
        <v>45696.976331018523</v>
      </c>
      <c r="B1281" t="s">
        <v>387</v>
      </c>
      <c r="C1281" s="3">
        <v>45696.99998842593</v>
      </c>
      <c r="D1281" t="s">
        <v>107</v>
      </c>
      <c r="E1281" s="4">
        <v>8.64</v>
      </c>
      <c r="F1281" s="4">
        <v>102340.88</v>
      </c>
      <c r="G1281" s="4">
        <v>102349.52</v>
      </c>
      <c r="H1281" s="5">
        <f>796 / 86400</f>
        <v>9.2129629629629627E-3</v>
      </c>
      <c r="I1281" t="s">
        <v>172</v>
      </c>
      <c r="J1281" t="s">
        <v>24</v>
      </c>
      <c r="K1281" s="5">
        <f>2044 / 86400</f>
        <v>2.3657407407407408E-2</v>
      </c>
      <c r="L1281" s="5">
        <f>0 / 86400</f>
        <v>0</v>
      </c>
    </row>
    <row r="1282" spans="1:12" x14ac:dyDescent="0.25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</row>
    <row r="1283" spans="1:12" x14ac:dyDescent="0.25">
      <c r="A1283" s="12"/>
      <c r="B1283" s="12"/>
      <c r="C1283" s="12"/>
      <c r="D1283" s="12"/>
      <c r="E1283" s="12"/>
      <c r="F1283" s="12"/>
      <c r="G1283" s="12"/>
      <c r="H1283" s="12"/>
      <c r="I1283" s="12"/>
      <c r="J1283" s="12"/>
    </row>
    <row r="1284" spans="1:12" s="10" customFormat="1" ht="20.100000000000001" customHeight="1" x14ac:dyDescent="0.35">
      <c r="A1284" s="15" t="s">
        <v>553</v>
      </c>
      <c r="B1284" s="15"/>
      <c r="C1284" s="15"/>
      <c r="D1284" s="15"/>
      <c r="E1284" s="15"/>
      <c r="F1284" s="15"/>
      <c r="G1284" s="15"/>
      <c r="H1284" s="15"/>
      <c r="I1284" s="15"/>
      <c r="J1284" s="15"/>
    </row>
    <row r="1285" spans="1:12" x14ac:dyDescent="0.25">
      <c r="A1285" s="12"/>
      <c r="B1285" s="12"/>
      <c r="C1285" s="12"/>
      <c r="D1285" s="12"/>
      <c r="E1285" s="12"/>
      <c r="F1285" s="12"/>
      <c r="G1285" s="12"/>
      <c r="H1285" s="12"/>
      <c r="I1285" s="12"/>
      <c r="J1285" s="12"/>
    </row>
    <row r="1286" spans="1:12" ht="30" x14ac:dyDescent="0.25">
      <c r="A1286" s="2" t="s">
        <v>6</v>
      </c>
      <c r="B1286" s="2" t="s">
        <v>7</v>
      </c>
      <c r="C1286" s="2" t="s">
        <v>8</v>
      </c>
      <c r="D1286" s="2" t="s">
        <v>9</v>
      </c>
      <c r="E1286" s="2" t="s">
        <v>10</v>
      </c>
      <c r="F1286" s="2" t="s">
        <v>11</v>
      </c>
      <c r="G1286" s="2" t="s">
        <v>12</v>
      </c>
      <c r="H1286" s="2" t="s">
        <v>13</v>
      </c>
      <c r="I1286" s="2" t="s">
        <v>14</v>
      </c>
      <c r="J1286" s="2" t="s">
        <v>15</v>
      </c>
      <c r="K1286" s="2" t="s">
        <v>16</v>
      </c>
      <c r="L1286" s="2" t="s">
        <v>17</v>
      </c>
    </row>
    <row r="1287" spans="1:12" x14ac:dyDescent="0.25">
      <c r="A1287" s="3">
        <v>45696</v>
      </c>
      <c r="B1287" t="s">
        <v>109</v>
      </c>
      <c r="C1287" s="3">
        <v>45696.004641203705</v>
      </c>
      <c r="D1287" t="s">
        <v>29</v>
      </c>
      <c r="E1287" s="4">
        <v>1.51</v>
      </c>
      <c r="F1287" s="4">
        <v>53427.841999999997</v>
      </c>
      <c r="G1287" s="4">
        <v>53429.351999999999</v>
      </c>
      <c r="H1287" s="5">
        <f>100 / 86400</f>
        <v>1.1574074074074073E-3</v>
      </c>
      <c r="I1287" t="s">
        <v>150</v>
      </c>
      <c r="J1287" t="s">
        <v>41</v>
      </c>
      <c r="K1287" s="5">
        <f>401 / 86400</f>
        <v>4.6412037037037038E-3</v>
      </c>
      <c r="L1287" s="5">
        <f>20797 / 86400</f>
        <v>0.24070601851851853</v>
      </c>
    </row>
    <row r="1288" spans="1:12" x14ac:dyDescent="0.25">
      <c r="A1288" s="3">
        <v>45696.245347222226</v>
      </c>
      <c r="B1288" t="s">
        <v>29</v>
      </c>
      <c r="C1288" s="3">
        <v>45696.248391203699</v>
      </c>
      <c r="D1288" t="s">
        <v>29</v>
      </c>
      <c r="E1288" s="4">
        <v>4.1000000000000002E-2</v>
      </c>
      <c r="F1288" s="4">
        <v>53429.351999999999</v>
      </c>
      <c r="G1288" s="4">
        <v>53429.392999999996</v>
      </c>
      <c r="H1288" s="5">
        <f>199 / 86400</f>
        <v>2.3032407407407407E-3</v>
      </c>
      <c r="I1288" t="s">
        <v>136</v>
      </c>
      <c r="J1288" t="s">
        <v>91</v>
      </c>
      <c r="K1288" s="5">
        <f>263 / 86400</f>
        <v>3.0439814814814813E-3</v>
      </c>
      <c r="L1288" s="5">
        <f>4306 / 86400</f>
        <v>4.9837962962962966E-2</v>
      </c>
    </row>
    <row r="1289" spans="1:12" x14ac:dyDescent="0.25">
      <c r="A1289" s="3">
        <v>45696.29822916667</v>
      </c>
      <c r="B1289" t="s">
        <v>29</v>
      </c>
      <c r="C1289" s="3">
        <v>45696.350798611107</v>
      </c>
      <c r="D1289" t="s">
        <v>152</v>
      </c>
      <c r="E1289" s="4">
        <v>26.748000000000001</v>
      </c>
      <c r="F1289" s="4">
        <v>53429.392999999996</v>
      </c>
      <c r="G1289" s="4">
        <v>53456.141000000003</v>
      </c>
      <c r="H1289" s="5">
        <f>957 / 86400</f>
        <v>1.1076388888888889E-2</v>
      </c>
      <c r="I1289" t="s">
        <v>26</v>
      </c>
      <c r="J1289" t="s">
        <v>35</v>
      </c>
      <c r="K1289" s="5">
        <f>4542 / 86400</f>
        <v>5.2569444444444446E-2</v>
      </c>
      <c r="L1289" s="5">
        <f>308 / 86400</f>
        <v>3.5648148148148149E-3</v>
      </c>
    </row>
    <row r="1290" spans="1:12" x14ac:dyDescent="0.25">
      <c r="A1290" s="3">
        <v>45696.354363425926</v>
      </c>
      <c r="B1290" t="s">
        <v>152</v>
      </c>
      <c r="C1290" s="3">
        <v>45696.356516203705</v>
      </c>
      <c r="D1290" t="s">
        <v>396</v>
      </c>
      <c r="E1290" s="4">
        <v>0.80400000000000005</v>
      </c>
      <c r="F1290" s="4">
        <v>53456.141000000003</v>
      </c>
      <c r="G1290" s="4">
        <v>53456.945</v>
      </c>
      <c r="H1290" s="5">
        <f>20 / 86400</f>
        <v>2.3148148148148149E-4</v>
      </c>
      <c r="I1290" t="s">
        <v>218</v>
      </c>
      <c r="J1290" t="s">
        <v>28</v>
      </c>
      <c r="K1290" s="5">
        <f>186 / 86400</f>
        <v>2.1527777777777778E-3</v>
      </c>
      <c r="L1290" s="5">
        <f>54 / 86400</f>
        <v>6.2500000000000001E-4</v>
      </c>
    </row>
    <row r="1291" spans="1:12" x14ac:dyDescent="0.25">
      <c r="A1291" s="3">
        <v>45696.357141203705</v>
      </c>
      <c r="B1291" t="s">
        <v>396</v>
      </c>
      <c r="C1291" s="3">
        <v>45696.357245370367</v>
      </c>
      <c r="D1291" t="s">
        <v>396</v>
      </c>
      <c r="E1291" s="4">
        <v>0</v>
      </c>
      <c r="F1291" s="4">
        <v>53456.945</v>
      </c>
      <c r="G1291" s="4">
        <v>53456.945</v>
      </c>
      <c r="H1291" s="5">
        <f>0 / 86400</f>
        <v>0</v>
      </c>
      <c r="I1291" t="s">
        <v>133</v>
      </c>
      <c r="J1291" t="s">
        <v>133</v>
      </c>
      <c r="K1291" s="5">
        <f>9 / 86400</f>
        <v>1.0416666666666667E-4</v>
      </c>
      <c r="L1291" s="5">
        <f>423 / 86400</f>
        <v>4.8958333333333336E-3</v>
      </c>
    </row>
    <row r="1292" spans="1:12" x14ac:dyDescent="0.25">
      <c r="A1292" s="3">
        <v>45696.362141203703</v>
      </c>
      <c r="B1292" t="s">
        <v>396</v>
      </c>
      <c r="C1292" s="3">
        <v>45696.362210648149</v>
      </c>
      <c r="D1292" t="s">
        <v>396</v>
      </c>
      <c r="E1292" s="4">
        <v>0</v>
      </c>
      <c r="F1292" s="4">
        <v>53456.945</v>
      </c>
      <c r="G1292" s="4">
        <v>53456.945</v>
      </c>
      <c r="H1292" s="5">
        <f>0 / 86400</f>
        <v>0</v>
      </c>
      <c r="I1292" t="s">
        <v>133</v>
      </c>
      <c r="J1292" t="s">
        <v>133</v>
      </c>
      <c r="K1292" s="5">
        <f>6 / 86400</f>
        <v>6.9444444444444444E-5</v>
      </c>
      <c r="L1292" s="5">
        <f>159 / 86400</f>
        <v>1.8402777777777777E-3</v>
      </c>
    </row>
    <row r="1293" spans="1:12" x14ac:dyDescent="0.25">
      <c r="A1293" s="3">
        <v>45696.364050925928</v>
      </c>
      <c r="B1293" t="s">
        <v>396</v>
      </c>
      <c r="C1293" s="3">
        <v>45696.365034722221</v>
      </c>
      <c r="D1293" t="s">
        <v>396</v>
      </c>
      <c r="E1293" s="4">
        <v>0</v>
      </c>
      <c r="F1293" s="4">
        <v>53456.945</v>
      </c>
      <c r="G1293" s="4">
        <v>53456.945</v>
      </c>
      <c r="H1293" s="5">
        <f>78 / 86400</f>
        <v>9.0277777777777774E-4</v>
      </c>
      <c r="I1293" t="s">
        <v>133</v>
      </c>
      <c r="J1293" t="s">
        <v>133</v>
      </c>
      <c r="K1293" s="5">
        <f>85 / 86400</f>
        <v>9.837962962962962E-4</v>
      </c>
      <c r="L1293" s="5">
        <f>193 / 86400</f>
        <v>2.2337962962962962E-3</v>
      </c>
    </row>
    <row r="1294" spans="1:12" x14ac:dyDescent="0.25">
      <c r="A1294" s="3">
        <v>45696.367268518516</v>
      </c>
      <c r="B1294" t="s">
        <v>396</v>
      </c>
      <c r="C1294" s="3">
        <v>45696.469050925924</v>
      </c>
      <c r="D1294" t="s">
        <v>492</v>
      </c>
      <c r="E1294" s="4">
        <v>44.268999999999998</v>
      </c>
      <c r="F1294" s="4">
        <v>53456.945</v>
      </c>
      <c r="G1294" s="4">
        <v>53501.214</v>
      </c>
      <c r="H1294" s="5">
        <f>2858 / 86400</f>
        <v>3.30787037037037E-2</v>
      </c>
      <c r="I1294" t="s">
        <v>93</v>
      </c>
      <c r="J1294" t="s">
        <v>50</v>
      </c>
      <c r="K1294" s="5">
        <f>8794 / 86400</f>
        <v>0.1017824074074074</v>
      </c>
      <c r="L1294" s="5">
        <f>119 / 86400</f>
        <v>1.3773148148148147E-3</v>
      </c>
    </row>
    <row r="1295" spans="1:12" x14ac:dyDescent="0.25">
      <c r="A1295" s="3">
        <v>45696.47042824074</v>
      </c>
      <c r="B1295" t="s">
        <v>492</v>
      </c>
      <c r="C1295" s="3">
        <v>45696.48038194445</v>
      </c>
      <c r="D1295" t="s">
        <v>202</v>
      </c>
      <c r="E1295" s="4">
        <v>3.2509999999999999</v>
      </c>
      <c r="F1295" s="4">
        <v>53501.214</v>
      </c>
      <c r="G1295" s="4">
        <v>53504.464999999997</v>
      </c>
      <c r="H1295" s="5">
        <f>457 / 86400</f>
        <v>5.2893518518518515E-3</v>
      </c>
      <c r="I1295" t="s">
        <v>58</v>
      </c>
      <c r="J1295" t="s">
        <v>41</v>
      </c>
      <c r="K1295" s="5">
        <f>860 / 86400</f>
        <v>9.9537037037037042E-3</v>
      </c>
      <c r="L1295" s="5">
        <f>312 / 86400</f>
        <v>3.6111111111111109E-3</v>
      </c>
    </row>
    <row r="1296" spans="1:12" x14ac:dyDescent="0.25">
      <c r="A1296" s="3">
        <v>45696.483993055561</v>
      </c>
      <c r="B1296" t="s">
        <v>202</v>
      </c>
      <c r="C1296" s="3">
        <v>45696.587581018517</v>
      </c>
      <c r="D1296" t="s">
        <v>95</v>
      </c>
      <c r="E1296" s="4">
        <v>31.727</v>
      </c>
      <c r="F1296" s="4">
        <v>53504.464999999997</v>
      </c>
      <c r="G1296" s="4">
        <v>53536.192000000003</v>
      </c>
      <c r="H1296" s="5">
        <f>3457 / 86400</f>
        <v>4.0011574074074074E-2</v>
      </c>
      <c r="I1296" t="s">
        <v>324</v>
      </c>
      <c r="J1296" t="s">
        <v>47</v>
      </c>
      <c r="K1296" s="5">
        <f>8950 / 86400</f>
        <v>0.10358796296296297</v>
      </c>
      <c r="L1296" s="5">
        <f>38 / 86400</f>
        <v>4.3981481481481481E-4</v>
      </c>
    </row>
    <row r="1297" spans="1:12" x14ac:dyDescent="0.25">
      <c r="A1297" s="3">
        <v>45696.588020833333</v>
      </c>
      <c r="B1297" t="s">
        <v>95</v>
      </c>
      <c r="C1297" s="3">
        <v>45696.588969907403</v>
      </c>
      <c r="D1297" t="s">
        <v>29</v>
      </c>
      <c r="E1297" s="4">
        <v>0.23499999999999999</v>
      </c>
      <c r="F1297" s="4">
        <v>53536.192000000003</v>
      </c>
      <c r="G1297" s="4">
        <v>53536.427000000003</v>
      </c>
      <c r="H1297" s="5">
        <f>20 / 86400</f>
        <v>2.3148148148148149E-4</v>
      </c>
      <c r="I1297" t="s">
        <v>35</v>
      </c>
      <c r="J1297" t="s">
        <v>85</v>
      </c>
      <c r="K1297" s="5">
        <f>82 / 86400</f>
        <v>9.4907407407407408E-4</v>
      </c>
      <c r="L1297" s="5">
        <f>19 / 86400</f>
        <v>2.199074074074074E-4</v>
      </c>
    </row>
    <row r="1298" spans="1:12" x14ac:dyDescent="0.25">
      <c r="A1298" s="3">
        <v>45696.589189814811</v>
      </c>
      <c r="B1298" t="s">
        <v>29</v>
      </c>
      <c r="C1298" s="3">
        <v>45696.591493055559</v>
      </c>
      <c r="D1298" t="s">
        <v>483</v>
      </c>
      <c r="E1298" s="4">
        <v>1.105</v>
      </c>
      <c r="F1298" s="4">
        <v>53536.427000000003</v>
      </c>
      <c r="G1298" s="4">
        <v>53537.531999999999</v>
      </c>
      <c r="H1298" s="5">
        <f>0 / 86400</f>
        <v>0</v>
      </c>
      <c r="I1298" t="s">
        <v>157</v>
      </c>
      <c r="J1298" t="s">
        <v>175</v>
      </c>
      <c r="K1298" s="5">
        <f>199 / 86400</f>
        <v>2.3032407407407407E-3</v>
      </c>
      <c r="L1298" s="5">
        <f>4081 / 86400</f>
        <v>4.7233796296296295E-2</v>
      </c>
    </row>
    <row r="1299" spans="1:12" x14ac:dyDescent="0.25">
      <c r="A1299" s="3">
        <v>45696.638726851852</v>
      </c>
      <c r="B1299" t="s">
        <v>483</v>
      </c>
      <c r="C1299" s="3">
        <v>45696.649467592593</v>
      </c>
      <c r="D1299" t="s">
        <v>25</v>
      </c>
      <c r="E1299" s="4">
        <v>2.7519999999999998</v>
      </c>
      <c r="F1299" s="4">
        <v>53537.531999999999</v>
      </c>
      <c r="G1299" s="4">
        <v>53540.284</v>
      </c>
      <c r="H1299" s="5">
        <f>338 / 86400</f>
        <v>3.9120370370370368E-3</v>
      </c>
      <c r="I1299" t="s">
        <v>157</v>
      </c>
      <c r="J1299" t="s">
        <v>20</v>
      </c>
      <c r="K1299" s="5">
        <f>928 / 86400</f>
        <v>1.074074074074074E-2</v>
      </c>
      <c r="L1299" s="5">
        <f>13 / 86400</f>
        <v>1.5046296296296297E-4</v>
      </c>
    </row>
    <row r="1300" spans="1:12" x14ac:dyDescent="0.25">
      <c r="A1300" s="3">
        <v>45696.649618055555</v>
      </c>
      <c r="B1300" t="s">
        <v>25</v>
      </c>
      <c r="C1300" s="3">
        <v>45696.649710648147</v>
      </c>
      <c r="D1300" t="s">
        <v>25</v>
      </c>
      <c r="E1300" s="4">
        <v>5.0000000000000001E-3</v>
      </c>
      <c r="F1300" s="4">
        <v>53540.284</v>
      </c>
      <c r="G1300" s="4">
        <v>53540.288999999997</v>
      </c>
      <c r="H1300" s="5">
        <f>0 / 86400</f>
        <v>0</v>
      </c>
      <c r="I1300" t="s">
        <v>136</v>
      </c>
      <c r="J1300" t="s">
        <v>188</v>
      </c>
      <c r="K1300" s="5">
        <f>7 / 86400</f>
        <v>8.1018518518518516E-5</v>
      </c>
      <c r="L1300" s="5">
        <f>1241 / 86400</f>
        <v>1.4363425925925925E-2</v>
      </c>
    </row>
    <row r="1301" spans="1:12" x14ac:dyDescent="0.25">
      <c r="A1301" s="3">
        <v>45696.66407407407</v>
      </c>
      <c r="B1301" t="s">
        <v>25</v>
      </c>
      <c r="C1301" s="3">
        <v>45696.699687500004</v>
      </c>
      <c r="D1301" t="s">
        <v>87</v>
      </c>
      <c r="E1301" s="4">
        <v>20.853999999999999</v>
      </c>
      <c r="F1301" s="4">
        <v>53540.288999999997</v>
      </c>
      <c r="G1301" s="4">
        <v>53561.142999999996</v>
      </c>
      <c r="H1301" s="5">
        <f>620 / 86400</f>
        <v>7.1759259259259259E-3</v>
      </c>
      <c r="I1301" t="s">
        <v>56</v>
      </c>
      <c r="J1301" t="s">
        <v>140</v>
      </c>
      <c r="K1301" s="5">
        <f>3077 / 86400</f>
        <v>3.5613425925925923E-2</v>
      </c>
      <c r="L1301" s="5">
        <f>117 / 86400</f>
        <v>1.3541666666666667E-3</v>
      </c>
    </row>
    <row r="1302" spans="1:12" x14ac:dyDescent="0.25">
      <c r="A1302" s="3">
        <v>45696.701041666667</v>
      </c>
      <c r="B1302" t="s">
        <v>87</v>
      </c>
      <c r="C1302" s="3">
        <v>45696.758368055554</v>
      </c>
      <c r="D1302" t="s">
        <v>228</v>
      </c>
      <c r="E1302" s="4">
        <v>25.457000000000001</v>
      </c>
      <c r="F1302" s="4">
        <v>53561.142999999996</v>
      </c>
      <c r="G1302" s="4">
        <v>53586.6</v>
      </c>
      <c r="H1302" s="5">
        <f>2061 / 86400</f>
        <v>2.3854166666666666E-2</v>
      </c>
      <c r="I1302" t="s">
        <v>128</v>
      </c>
      <c r="J1302" t="s">
        <v>94</v>
      </c>
      <c r="K1302" s="5">
        <f>4953 / 86400</f>
        <v>5.7326388888888892E-2</v>
      </c>
      <c r="L1302" s="5">
        <f>178 / 86400</f>
        <v>2.0601851851851853E-3</v>
      </c>
    </row>
    <row r="1303" spans="1:12" x14ac:dyDescent="0.25">
      <c r="A1303" s="3">
        <v>45696.760428240741</v>
      </c>
      <c r="B1303" t="s">
        <v>443</v>
      </c>
      <c r="C1303" s="3">
        <v>45696.793483796297</v>
      </c>
      <c r="D1303" t="s">
        <v>92</v>
      </c>
      <c r="E1303" s="4">
        <v>12.298999999999999</v>
      </c>
      <c r="F1303" s="4">
        <v>53586.6</v>
      </c>
      <c r="G1303" s="4">
        <v>53598.898999999998</v>
      </c>
      <c r="H1303" s="5">
        <f>801 / 86400</f>
        <v>9.2708333333333341E-3</v>
      </c>
      <c r="I1303" t="s">
        <v>324</v>
      </c>
      <c r="J1303" t="s">
        <v>28</v>
      </c>
      <c r="K1303" s="5">
        <f>2856 / 86400</f>
        <v>3.3055555555555553E-2</v>
      </c>
      <c r="L1303" s="5">
        <f>289 / 86400</f>
        <v>3.3449074074074076E-3</v>
      </c>
    </row>
    <row r="1304" spans="1:12" x14ac:dyDescent="0.25">
      <c r="A1304" s="3">
        <v>45696.796828703707</v>
      </c>
      <c r="B1304" t="s">
        <v>92</v>
      </c>
      <c r="C1304" s="3">
        <v>45696.804652777777</v>
      </c>
      <c r="D1304" t="s">
        <v>29</v>
      </c>
      <c r="E1304" s="4">
        <v>2.44</v>
      </c>
      <c r="F1304" s="4">
        <v>53598.898999999998</v>
      </c>
      <c r="G1304" s="4">
        <v>53601.339</v>
      </c>
      <c r="H1304" s="5">
        <f>178 / 86400</f>
        <v>2.0601851851851853E-3</v>
      </c>
      <c r="I1304" t="s">
        <v>287</v>
      </c>
      <c r="J1304" t="s">
        <v>47</v>
      </c>
      <c r="K1304" s="5">
        <f>676 / 86400</f>
        <v>7.8240740740740736E-3</v>
      </c>
      <c r="L1304" s="5">
        <f>6132 / 86400</f>
        <v>7.0972222222222228E-2</v>
      </c>
    </row>
    <row r="1305" spans="1:12" x14ac:dyDescent="0.25">
      <c r="A1305" s="3">
        <v>45696.875625000001</v>
      </c>
      <c r="B1305" t="s">
        <v>29</v>
      </c>
      <c r="C1305" s="3">
        <v>45696.876539351855</v>
      </c>
      <c r="D1305" t="s">
        <v>29</v>
      </c>
      <c r="E1305" s="4">
        <v>0</v>
      </c>
      <c r="F1305" s="4">
        <v>53601.339</v>
      </c>
      <c r="G1305" s="4">
        <v>53601.339</v>
      </c>
      <c r="H1305" s="5">
        <f>58 / 86400</f>
        <v>6.7129629629629625E-4</v>
      </c>
      <c r="I1305" t="s">
        <v>133</v>
      </c>
      <c r="J1305" t="s">
        <v>133</v>
      </c>
      <c r="K1305" s="5">
        <f>79 / 86400</f>
        <v>9.1435185185185185E-4</v>
      </c>
      <c r="L1305" s="5">
        <f>5057 / 86400</f>
        <v>5.8530092592592592E-2</v>
      </c>
    </row>
    <row r="1306" spans="1:12" x14ac:dyDescent="0.25">
      <c r="A1306" s="3">
        <v>45696.935069444444</v>
      </c>
      <c r="B1306" t="s">
        <v>29</v>
      </c>
      <c r="C1306" s="3">
        <v>45696.935347222221</v>
      </c>
      <c r="D1306" t="s">
        <v>29</v>
      </c>
      <c r="E1306" s="4">
        <v>0</v>
      </c>
      <c r="F1306" s="4">
        <v>53601.339</v>
      </c>
      <c r="G1306" s="4">
        <v>53601.339</v>
      </c>
      <c r="H1306" s="5">
        <f>17 / 86400</f>
        <v>1.9675925925925926E-4</v>
      </c>
      <c r="I1306" t="s">
        <v>133</v>
      </c>
      <c r="J1306" t="s">
        <v>133</v>
      </c>
      <c r="K1306" s="5">
        <f>24 / 86400</f>
        <v>2.7777777777777778E-4</v>
      </c>
      <c r="L1306" s="5">
        <f>5585 / 86400</f>
        <v>6.4641203703703701E-2</v>
      </c>
    </row>
    <row r="1307" spans="1:12" x14ac:dyDescent="0.25">
      <c r="A1307" s="12"/>
      <c r="B1307" s="12"/>
      <c r="C1307" s="12"/>
      <c r="D1307" s="12"/>
      <c r="E1307" s="12"/>
      <c r="F1307" s="12"/>
      <c r="G1307" s="12"/>
      <c r="H1307" s="12"/>
      <c r="I1307" s="12"/>
      <c r="J1307" s="12"/>
    </row>
    <row r="1308" spans="1:12" x14ac:dyDescent="0.25">
      <c r="A1308" s="12"/>
      <c r="B1308" s="12"/>
      <c r="C1308" s="12"/>
      <c r="D1308" s="12"/>
      <c r="E1308" s="12"/>
      <c r="F1308" s="12"/>
      <c r="G1308" s="12"/>
      <c r="H1308" s="12"/>
      <c r="I1308" s="12"/>
      <c r="J1308" s="12"/>
    </row>
    <row r="1309" spans="1:12" s="10" customFormat="1" ht="20.100000000000001" customHeight="1" x14ac:dyDescent="0.35">
      <c r="A1309" s="15" t="s">
        <v>554</v>
      </c>
      <c r="B1309" s="15"/>
      <c r="C1309" s="15"/>
      <c r="D1309" s="15"/>
      <c r="E1309" s="15"/>
      <c r="F1309" s="15"/>
      <c r="G1309" s="15"/>
      <c r="H1309" s="15"/>
      <c r="I1309" s="15"/>
      <c r="J1309" s="15"/>
    </row>
    <row r="1310" spans="1:12" x14ac:dyDescent="0.25">
      <c r="A1310" s="12"/>
      <c r="B1310" s="12"/>
      <c r="C1310" s="12"/>
      <c r="D1310" s="12"/>
      <c r="E1310" s="12"/>
      <c r="F1310" s="12"/>
      <c r="G1310" s="12"/>
      <c r="H1310" s="12"/>
      <c r="I1310" s="12"/>
      <c r="J1310" s="12"/>
    </row>
    <row r="1311" spans="1:12" ht="30" x14ac:dyDescent="0.25">
      <c r="A1311" s="2" t="s">
        <v>6</v>
      </c>
      <c r="B1311" s="2" t="s">
        <v>7</v>
      </c>
      <c r="C1311" s="2" t="s">
        <v>8</v>
      </c>
      <c r="D1311" s="2" t="s">
        <v>9</v>
      </c>
      <c r="E1311" s="2" t="s">
        <v>10</v>
      </c>
      <c r="F1311" s="2" t="s">
        <v>11</v>
      </c>
      <c r="G1311" s="2" t="s">
        <v>12</v>
      </c>
      <c r="H1311" s="2" t="s">
        <v>13</v>
      </c>
      <c r="I1311" s="2" t="s">
        <v>14</v>
      </c>
      <c r="J1311" s="2" t="s">
        <v>15</v>
      </c>
      <c r="K1311" s="2" t="s">
        <v>16</v>
      </c>
      <c r="L1311" s="2" t="s">
        <v>17</v>
      </c>
    </row>
    <row r="1312" spans="1:12" x14ac:dyDescent="0.25">
      <c r="A1312" s="3">
        <v>45696.261377314819</v>
      </c>
      <c r="B1312" t="s">
        <v>110</v>
      </c>
      <c r="C1312" s="3">
        <v>45696.50944444444</v>
      </c>
      <c r="D1312" t="s">
        <v>139</v>
      </c>
      <c r="E1312" s="4">
        <v>92.926000000000002</v>
      </c>
      <c r="F1312" s="4">
        <v>45430.766000000003</v>
      </c>
      <c r="G1312" s="4">
        <v>45523.692000000003</v>
      </c>
      <c r="H1312" s="5">
        <f>8332 / 86400</f>
        <v>9.6435185185185179E-2</v>
      </c>
      <c r="I1312" t="s">
        <v>64</v>
      </c>
      <c r="J1312" t="s">
        <v>28</v>
      </c>
      <c r="K1312" s="5">
        <f>21433 / 86400</f>
        <v>0.24806712962962962</v>
      </c>
      <c r="L1312" s="5">
        <f>22926 / 86400</f>
        <v>0.26534722222222223</v>
      </c>
    </row>
    <row r="1313" spans="1:12" x14ac:dyDescent="0.25">
      <c r="A1313" s="3">
        <v>45696.513414351852</v>
      </c>
      <c r="B1313" t="s">
        <v>139</v>
      </c>
      <c r="C1313" s="3">
        <v>45696.515625</v>
      </c>
      <c r="D1313" t="s">
        <v>51</v>
      </c>
      <c r="E1313" s="4">
        <v>0.73499999999999999</v>
      </c>
      <c r="F1313" s="4">
        <v>45523.692000000003</v>
      </c>
      <c r="G1313" s="4">
        <v>45524.427000000003</v>
      </c>
      <c r="H1313" s="5">
        <f>0 / 86400</f>
        <v>0</v>
      </c>
      <c r="I1313" t="s">
        <v>35</v>
      </c>
      <c r="J1313" t="s">
        <v>41</v>
      </c>
      <c r="K1313" s="5">
        <f>191 / 86400</f>
        <v>2.2106481481481482E-3</v>
      </c>
      <c r="L1313" s="5">
        <f>833 / 86400</f>
        <v>9.6412037037037039E-3</v>
      </c>
    </row>
    <row r="1314" spans="1:12" x14ac:dyDescent="0.25">
      <c r="A1314" s="3">
        <v>45696.525266203702</v>
      </c>
      <c r="B1314" t="s">
        <v>51</v>
      </c>
      <c r="C1314" s="3">
        <v>45696.52543981481</v>
      </c>
      <c r="D1314" t="s">
        <v>51</v>
      </c>
      <c r="E1314" s="4">
        <v>1.6E-2</v>
      </c>
      <c r="F1314" s="4">
        <v>45524.427000000003</v>
      </c>
      <c r="G1314" s="4">
        <v>45524.442999999999</v>
      </c>
      <c r="H1314" s="5">
        <f>0 / 86400</f>
        <v>0</v>
      </c>
      <c r="I1314" t="s">
        <v>90</v>
      </c>
      <c r="J1314" t="s">
        <v>181</v>
      </c>
      <c r="K1314" s="5">
        <f>15 / 86400</f>
        <v>1.7361111111111112E-4</v>
      </c>
      <c r="L1314" s="5">
        <f>1722 / 86400</f>
        <v>1.9930555555555556E-2</v>
      </c>
    </row>
    <row r="1315" spans="1:12" x14ac:dyDescent="0.25">
      <c r="A1315" s="3">
        <v>45696.545370370368</v>
      </c>
      <c r="B1315" t="s">
        <v>51</v>
      </c>
      <c r="C1315" s="3">
        <v>45696.625046296293</v>
      </c>
      <c r="D1315" t="s">
        <v>220</v>
      </c>
      <c r="E1315" s="4">
        <v>39.667000000000002</v>
      </c>
      <c r="F1315" s="4">
        <v>45524.442999999999</v>
      </c>
      <c r="G1315" s="4">
        <v>45564.11</v>
      </c>
      <c r="H1315" s="5">
        <f>2200 / 86400</f>
        <v>2.5462962962962962E-2</v>
      </c>
      <c r="I1315" t="s">
        <v>84</v>
      </c>
      <c r="J1315" t="s">
        <v>35</v>
      </c>
      <c r="K1315" s="5">
        <f>6884 / 86400</f>
        <v>7.9675925925925928E-2</v>
      </c>
      <c r="L1315" s="5">
        <f>420 / 86400</f>
        <v>4.8611111111111112E-3</v>
      </c>
    </row>
    <row r="1316" spans="1:12" x14ac:dyDescent="0.25">
      <c r="A1316" s="3">
        <v>45696.629907407405</v>
      </c>
      <c r="B1316" t="s">
        <v>220</v>
      </c>
      <c r="C1316" s="3">
        <v>45696.726666666669</v>
      </c>
      <c r="D1316" t="s">
        <v>82</v>
      </c>
      <c r="E1316" s="4">
        <v>39.018000000000001</v>
      </c>
      <c r="F1316" s="4">
        <v>45564.11</v>
      </c>
      <c r="G1316" s="4">
        <v>45603.127999999997</v>
      </c>
      <c r="H1316" s="5">
        <f>3000 / 86400</f>
        <v>3.4722222222222224E-2</v>
      </c>
      <c r="I1316" t="s">
        <v>56</v>
      </c>
      <c r="J1316" t="s">
        <v>32</v>
      </c>
      <c r="K1316" s="5">
        <f>8360 / 86400</f>
        <v>9.6759259259259253E-2</v>
      </c>
      <c r="L1316" s="5">
        <f>352 / 86400</f>
        <v>4.0740740740740737E-3</v>
      </c>
    </row>
    <row r="1317" spans="1:12" x14ac:dyDescent="0.25">
      <c r="A1317" s="3">
        <v>45696.730740740742</v>
      </c>
      <c r="B1317" t="s">
        <v>82</v>
      </c>
      <c r="C1317" s="3">
        <v>45696.734039351853</v>
      </c>
      <c r="D1317" t="s">
        <v>173</v>
      </c>
      <c r="E1317" s="4">
        <v>0.58399999999999996</v>
      </c>
      <c r="F1317" s="4">
        <v>45603.127999999997</v>
      </c>
      <c r="G1317" s="4">
        <v>45603.712</v>
      </c>
      <c r="H1317" s="5">
        <f>118 / 86400</f>
        <v>1.3657407407407407E-3</v>
      </c>
      <c r="I1317" t="s">
        <v>201</v>
      </c>
      <c r="J1317" t="s">
        <v>90</v>
      </c>
      <c r="K1317" s="5">
        <f>285 / 86400</f>
        <v>3.2986111111111111E-3</v>
      </c>
      <c r="L1317" s="5">
        <f>320 / 86400</f>
        <v>3.7037037037037038E-3</v>
      </c>
    </row>
    <row r="1318" spans="1:12" x14ac:dyDescent="0.25">
      <c r="A1318" s="3">
        <v>45696.737743055557</v>
      </c>
      <c r="B1318" t="s">
        <v>173</v>
      </c>
      <c r="C1318" s="3">
        <v>45696.742083333331</v>
      </c>
      <c r="D1318" t="s">
        <v>152</v>
      </c>
      <c r="E1318" s="4">
        <v>0.67700000000000005</v>
      </c>
      <c r="F1318" s="4">
        <v>45603.712</v>
      </c>
      <c r="G1318" s="4">
        <v>45604.389000000003</v>
      </c>
      <c r="H1318" s="5">
        <f>257 / 86400</f>
        <v>2.9745370370370373E-3</v>
      </c>
      <c r="I1318" t="s">
        <v>155</v>
      </c>
      <c r="J1318" t="s">
        <v>146</v>
      </c>
      <c r="K1318" s="5">
        <f>375 / 86400</f>
        <v>4.340277777777778E-3</v>
      </c>
      <c r="L1318" s="5">
        <f>791 / 86400</f>
        <v>9.1550925925925931E-3</v>
      </c>
    </row>
    <row r="1319" spans="1:12" x14ac:dyDescent="0.25">
      <c r="A1319" s="3">
        <v>45696.751238425924</v>
      </c>
      <c r="B1319" t="s">
        <v>152</v>
      </c>
      <c r="C1319" s="3">
        <v>45696.754872685182</v>
      </c>
      <c r="D1319" t="s">
        <v>493</v>
      </c>
      <c r="E1319" s="4">
        <v>1.012</v>
      </c>
      <c r="F1319" s="4">
        <v>45604.389000000003</v>
      </c>
      <c r="G1319" s="4">
        <v>45605.400999999998</v>
      </c>
      <c r="H1319" s="5">
        <f>0 / 86400</f>
        <v>0</v>
      </c>
      <c r="I1319" t="s">
        <v>221</v>
      </c>
      <c r="J1319" t="s">
        <v>59</v>
      </c>
      <c r="K1319" s="5">
        <f>314 / 86400</f>
        <v>3.6342592592592594E-3</v>
      </c>
      <c r="L1319" s="5">
        <f>334 / 86400</f>
        <v>3.8657407407407408E-3</v>
      </c>
    </row>
    <row r="1320" spans="1:12" x14ac:dyDescent="0.25">
      <c r="A1320" s="3">
        <v>45696.758738425924</v>
      </c>
      <c r="B1320" t="s">
        <v>493</v>
      </c>
      <c r="C1320" s="3">
        <v>45696.762453703705</v>
      </c>
      <c r="D1320" t="s">
        <v>111</v>
      </c>
      <c r="E1320" s="4">
        <v>0.377</v>
      </c>
      <c r="F1320" s="4">
        <v>45605.400999999998</v>
      </c>
      <c r="G1320" s="4">
        <v>45605.777999999998</v>
      </c>
      <c r="H1320" s="5">
        <f>137 / 86400</f>
        <v>1.5856481481481481E-3</v>
      </c>
      <c r="I1320" t="s">
        <v>59</v>
      </c>
      <c r="J1320" t="s">
        <v>181</v>
      </c>
      <c r="K1320" s="5">
        <f>321 / 86400</f>
        <v>3.7152777777777778E-3</v>
      </c>
      <c r="L1320" s="5">
        <f>20523 / 86400</f>
        <v>0.23753472222222222</v>
      </c>
    </row>
    <row r="1321" spans="1:12" x14ac:dyDescent="0.25">
      <c r="A1321" s="12"/>
      <c r="B1321" s="12"/>
      <c r="C1321" s="12"/>
      <c r="D1321" s="12"/>
      <c r="E1321" s="12"/>
      <c r="F1321" s="12"/>
      <c r="G1321" s="12"/>
      <c r="H1321" s="12"/>
      <c r="I1321" s="12"/>
      <c r="J1321" s="12"/>
    </row>
    <row r="1322" spans="1:12" x14ac:dyDescent="0.25">
      <c r="A1322" s="12"/>
      <c r="B1322" s="12"/>
      <c r="C1322" s="12"/>
      <c r="D1322" s="12"/>
      <c r="E1322" s="12"/>
      <c r="F1322" s="12"/>
      <c r="G1322" s="12"/>
      <c r="H1322" s="12"/>
      <c r="I1322" s="12"/>
      <c r="J1322" s="12"/>
    </row>
    <row r="1323" spans="1:12" s="10" customFormat="1" ht="20.100000000000001" customHeight="1" x14ac:dyDescent="0.35">
      <c r="A1323" s="15" t="s">
        <v>555</v>
      </c>
      <c r="B1323" s="15"/>
      <c r="C1323" s="15"/>
      <c r="D1323" s="15"/>
      <c r="E1323" s="15"/>
      <c r="F1323" s="15"/>
      <c r="G1323" s="15"/>
      <c r="H1323" s="15"/>
      <c r="I1323" s="15"/>
      <c r="J1323" s="15"/>
    </row>
    <row r="1324" spans="1:12" x14ac:dyDescent="0.25">
      <c r="A1324" s="12"/>
      <c r="B1324" s="12"/>
      <c r="C1324" s="12"/>
      <c r="D1324" s="12"/>
      <c r="E1324" s="12"/>
      <c r="F1324" s="12"/>
      <c r="G1324" s="12"/>
      <c r="H1324" s="12"/>
      <c r="I1324" s="12"/>
      <c r="J1324" s="12"/>
    </row>
    <row r="1325" spans="1:12" ht="30" x14ac:dyDescent="0.25">
      <c r="A1325" s="2" t="s">
        <v>6</v>
      </c>
      <c r="B1325" s="2" t="s">
        <v>7</v>
      </c>
      <c r="C1325" s="2" t="s">
        <v>8</v>
      </c>
      <c r="D1325" s="2" t="s">
        <v>9</v>
      </c>
      <c r="E1325" s="2" t="s">
        <v>10</v>
      </c>
      <c r="F1325" s="2" t="s">
        <v>11</v>
      </c>
      <c r="G1325" s="2" t="s">
        <v>12</v>
      </c>
      <c r="H1325" s="2" t="s">
        <v>13</v>
      </c>
      <c r="I1325" s="2" t="s">
        <v>14</v>
      </c>
      <c r="J1325" s="2" t="s">
        <v>15</v>
      </c>
      <c r="K1325" s="2" t="s">
        <v>16</v>
      </c>
      <c r="L1325" s="2" t="s">
        <v>17</v>
      </c>
    </row>
    <row r="1326" spans="1:12" x14ac:dyDescent="0.25">
      <c r="A1326" s="3">
        <v>45696.415520833332</v>
      </c>
      <c r="B1326" t="s">
        <v>112</v>
      </c>
      <c r="C1326" s="3">
        <v>45696.420636574076</v>
      </c>
      <c r="D1326" t="s">
        <v>82</v>
      </c>
      <c r="E1326" s="4">
        <v>0.81100000000000005</v>
      </c>
      <c r="F1326" s="4">
        <v>77697.991999999998</v>
      </c>
      <c r="G1326" s="4">
        <v>77698.803</v>
      </c>
      <c r="H1326" s="5">
        <f>278 / 86400</f>
        <v>3.2175925925925926E-3</v>
      </c>
      <c r="I1326" t="s">
        <v>218</v>
      </c>
      <c r="J1326" t="s">
        <v>90</v>
      </c>
      <c r="K1326" s="5">
        <f>442 / 86400</f>
        <v>5.115740740740741E-3</v>
      </c>
      <c r="L1326" s="5">
        <f>36755 / 86400</f>
        <v>0.42540509259259257</v>
      </c>
    </row>
    <row r="1327" spans="1:12" x14ac:dyDescent="0.25">
      <c r="A1327" s="3">
        <v>45696.430520833332</v>
      </c>
      <c r="B1327" t="s">
        <v>82</v>
      </c>
      <c r="C1327" s="3">
        <v>45696.686365740738</v>
      </c>
      <c r="D1327" t="s">
        <v>152</v>
      </c>
      <c r="E1327" s="4">
        <v>102.033</v>
      </c>
      <c r="F1327" s="4">
        <v>77698.803</v>
      </c>
      <c r="G1327" s="4">
        <v>77800.835999999996</v>
      </c>
      <c r="H1327" s="5">
        <f>7858 / 86400</f>
        <v>9.0949074074074071E-2</v>
      </c>
      <c r="I1327" t="s">
        <v>43</v>
      </c>
      <c r="J1327" t="s">
        <v>32</v>
      </c>
      <c r="K1327" s="5">
        <f>22105 / 86400</f>
        <v>0.2558449074074074</v>
      </c>
      <c r="L1327" s="5">
        <f>62 / 86400</f>
        <v>7.1759259259259259E-4</v>
      </c>
    </row>
    <row r="1328" spans="1:12" x14ac:dyDescent="0.25">
      <c r="A1328" s="3">
        <v>45696.687083333338</v>
      </c>
      <c r="B1328" t="s">
        <v>152</v>
      </c>
      <c r="C1328" s="3">
        <v>45696.687326388885</v>
      </c>
      <c r="D1328" t="s">
        <v>152</v>
      </c>
      <c r="E1328" s="4">
        <v>0</v>
      </c>
      <c r="F1328" s="4">
        <v>77800.835999999996</v>
      </c>
      <c r="G1328" s="4">
        <v>77800.835999999996</v>
      </c>
      <c r="H1328" s="5">
        <f>0 / 86400</f>
        <v>0</v>
      </c>
      <c r="I1328" t="s">
        <v>133</v>
      </c>
      <c r="J1328" t="s">
        <v>133</v>
      </c>
      <c r="K1328" s="5">
        <f>21 / 86400</f>
        <v>2.4305555555555555E-4</v>
      </c>
      <c r="L1328" s="5">
        <f>1769 / 86400</f>
        <v>2.0474537037037038E-2</v>
      </c>
    </row>
    <row r="1329" spans="1:12" x14ac:dyDescent="0.25">
      <c r="A1329" s="3">
        <v>45696.707800925928</v>
      </c>
      <c r="B1329" t="s">
        <v>152</v>
      </c>
      <c r="C1329" s="3">
        <v>45696.708564814813</v>
      </c>
      <c r="D1329" t="s">
        <v>82</v>
      </c>
      <c r="E1329" s="4">
        <v>3.1E-2</v>
      </c>
      <c r="F1329" s="4">
        <v>77800.835999999996</v>
      </c>
      <c r="G1329" s="4">
        <v>77800.866999999998</v>
      </c>
      <c r="H1329" s="5">
        <f>58 / 86400</f>
        <v>6.7129629629629625E-4</v>
      </c>
      <c r="I1329" t="s">
        <v>133</v>
      </c>
      <c r="J1329" t="s">
        <v>132</v>
      </c>
      <c r="K1329" s="5">
        <f>66 / 86400</f>
        <v>7.6388888888888893E-4</v>
      </c>
      <c r="L1329" s="5">
        <f>272 / 86400</f>
        <v>3.1481481481481482E-3</v>
      </c>
    </row>
    <row r="1330" spans="1:12" x14ac:dyDescent="0.25">
      <c r="A1330" s="3">
        <v>45696.711712962962</v>
      </c>
      <c r="B1330" t="s">
        <v>82</v>
      </c>
      <c r="C1330" s="3">
        <v>45696.712199074071</v>
      </c>
      <c r="D1330" t="s">
        <v>82</v>
      </c>
      <c r="E1330" s="4">
        <v>0.107</v>
      </c>
      <c r="F1330" s="4">
        <v>77800.866999999998</v>
      </c>
      <c r="G1330" s="4">
        <v>77800.974000000002</v>
      </c>
      <c r="H1330" s="5">
        <f>0 / 86400</f>
        <v>0</v>
      </c>
      <c r="I1330" t="s">
        <v>20</v>
      </c>
      <c r="J1330" t="s">
        <v>162</v>
      </c>
      <c r="K1330" s="5">
        <f>42 / 86400</f>
        <v>4.861111111111111E-4</v>
      </c>
      <c r="L1330" s="5">
        <f>397 / 86400</f>
        <v>4.5949074074074078E-3</v>
      </c>
    </row>
    <row r="1331" spans="1:12" x14ac:dyDescent="0.25">
      <c r="A1331" s="3">
        <v>45696.716793981483</v>
      </c>
      <c r="B1331" t="s">
        <v>152</v>
      </c>
      <c r="C1331" s="3">
        <v>45696.721157407403</v>
      </c>
      <c r="D1331" t="s">
        <v>112</v>
      </c>
      <c r="E1331" s="4">
        <v>0.77900000000000003</v>
      </c>
      <c r="F1331" s="4">
        <v>77800.974000000002</v>
      </c>
      <c r="G1331" s="4">
        <v>77801.752999999997</v>
      </c>
      <c r="H1331" s="5">
        <f>220 / 86400</f>
        <v>2.5462962962962965E-3</v>
      </c>
      <c r="I1331" t="s">
        <v>163</v>
      </c>
      <c r="J1331" t="s">
        <v>90</v>
      </c>
      <c r="K1331" s="5">
        <f>377 / 86400</f>
        <v>4.363425925925926E-3</v>
      </c>
      <c r="L1331" s="5">
        <f>24091 / 86400</f>
        <v>0.27883101851851849</v>
      </c>
    </row>
    <row r="1332" spans="1:12" x14ac:dyDescent="0.25">
      <c r="A1332" s="12"/>
      <c r="B1332" s="12"/>
      <c r="C1332" s="12"/>
      <c r="D1332" s="12"/>
      <c r="E1332" s="12"/>
      <c r="F1332" s="12"/>
      <c r="G1332" s="12"/>
      <c r="H1332" s="12"/>
      <c r="I1332" s="12"/>
      <c r="J1332" s="12"/>
    </row>
    <row r="1333" spans="1:12" x14ac:dyDescent="0.25">
      <c r="A1333" s="12"/>
      <c r="B1333" s="12"/>
      <c r="C1333" s="12"/>
      <c r="D1333" s="12"/>
      <c r="E1333" s="12"/>
      <c r="F1333" s="12"/>
      <c r="G1333" s="12"/>
      <c r="H1333" s="12"/>
      <c r="I1333" s="12"/>
      <c r="J1333" s="12"/>
    </row>
    <row r="1334" spans="1:12" s="10" customFormat="1" ht="20.100000000000001" customHeight="1" x14ac:dyDescent="0.35">
      <c r="A1334" s="15" t="s">
        <v>556</v>
      </c>
      <c r="B1334" s="15"/>
      <c r="C1334" s="15"/>
      <c r="D1334" s="15"/>
      <c r="E1334" s="15"/>
      <c r="F1334" s="15"/>
      <c r="G1334" s="15"/>
      <c r="H1334" s="15"/>
      <c r="I1334" s="15"/>
      <c r="J1334" s="15"/>
    </row>
    <row r="1335" spans="1:12" x14ac:dyDescent="0.25">
      <c r="A1335" s="12"/>
      <c r="B1335" s="12"/>
      <c r="C1335" s="12"/>
      <c r="D1335" s="12"/>
      <c r="E1335" s="12"/>
      <c r="F1335" s="12"/>
      <c r="G1335" s="12"/>
      <c r="H1335" s="12"/>
      <c r="I1335" s="12"/>
      <c r="J1335" s="12"/>
    </row>
    <row r="1336" spans="1:12" ht="30" x14ac:dyDescent="0.25">
      <c r="A1336" s="2" t="s">
        <v>6</v>
      </c>
      <c r="B1336" s="2" t="s">
        <v>7</v>
      </c>
      <c r="C1336" s="2" t="s">
        <v>8</v>
      </c>
      <c r="D1336" s="2" t="s">
        <v>9</v>
      </c>
      <c r="E1336" s="2" t="s">
        <v>10</v>
      </c>
      <c r="F1336" s="2" t="s">
        <v>11</v>
      </c>
      <c r="G1336" s="2" t="s">
        <v>12</v>
      </c>
      <c r="H1336" s="2" t="s">
        <v>13</v>
      </c>
      <c r="I1336" s="2" t="s">
        <v>14</v>
      </c>
      <c r="J1336" s="2" t="s">
        <v>15</v>
      </c>
      <c r="K1336" s="2" t="s">
        <v>16</v>
      </c>
      <c r="L1336" s="2" t="s">
        <v>17</v>
      </c>
    </row>
    <row r="1337" spans="1:12" x14ac:dyDescent="0.25">
      <c r="A1337" s="3">
        <v>45696.239432870367</v>
      </c>
      <c r="B1337" t="s">
        <v>113</v>
      </c>
      <c r="C1337" s="3">
        <v>45696.405740740738</v>
      </c>
      <c r="D1337" t="s">
        <v>45</v>
      </c>
      <c r="E1337" s="4">
        <v>65.994</v>
      </c>
      <c r="F1337" s="4">
        <v>38694.072999999997</v>
      </c>
      <c r="G1337" s="4">
        <v>38760.067000000003</v>
      </c>
      <c r="H1337" s="5">
        <f>5449 / 86400</f>
        <v>6.3067129629629626E-2</v>
      </c>
      <c r="I1337" t="s">
        <v>26</v>
      </c>
      <c r="J1337" t="s">
        <v>32</v>
      </c>
      <c r="K1337" s="5">
        <f>14369 / 86400</f>
        <v>0.16630787037037037</v>
      </c>
      <c r="L1337" s="5">
        <f>20745 / 86400</f>
        <v>0.24010416666666667</v>
      </c>
    </row>
    <row r="1338" spans="1:12" x14ac:dyDescent="0.25">
      <c r="A1338" s="3">
        <v>45696.406412037039</v>
      </c>
      <c r="B1338" t="s">
        <v>45</v>
      </c>
      <c r="C1338" s="3">
        <v>45696.408113425925</v>
      </c>
      <c r="D1338" t="s">
        <v>173</v>
      </c>
      <c r="E1338" s="4">
        <v>0.24399999999999999</v>
      </c>
      <c r="F1338" s="4">
        <v>38760.067000000003</v>
      </c>
      <c r="G1338" s="4">
        <v>38760.311000000002</v>
      </c>
      <c r="H1338" s="5">
        <f>0 / 86400</f>
        <v>0</v>
      </c>
      <c r="I1338" t="s">
        <v>59</v>
      </c>
      <c r="J1338" t="s">
        <v>146</v>
      </c>
      <c r="K1338" s="5">
        <f>147 / 86400</f>
        <v>1.7013888888888888E-3</v>
      </c>
      <c r="L1338" s="5">
        <f>1127 / 86400</f>
        <v>1.3043981481481481E-2</v>
      </c>
    </row>
    <row r="1339" spans="1:12" x14ac:dyDescent="0.25">
      <c r="A1339" s="3">
        <v>45696.421157407407</v>
      </c>
      <c r="B1339" t="s">
        <v>173</v>
      </c>
      <c r="C1339" s="3">
        <v>45696.431435185186</v>
      </c>
      <c r="D1339" t="s">
        <v>460</v>
      </c>
      <c r="E1339" s="4">
        <v>1.9430000000000001</v>
      </c>
      <c r="F1339" s="4">
        <v>38760.311000000002</v>
      </c>
      <c r="G1339" s="4">
        <v>38762.254000000001</v>
      </c>
      <c r="H1339" s="5">
        <f>479 / 86400</f>
        <v>5.5439814814814813E-3</v>
      </c>
      <c r="I1339" t="s">
        <v>180</v>
      </c>
      <c r="J1339" t="s">
        <v>151</v>
      </c>
      <c r="K1339" s="5">
        <f>888 / 86400</f>
        <v>1.0277777777777778E-2</v>
      </c>
      <c r="L1339" s="5">
        <f>2558 / 86400</f>
        <v>2.960648148148148E-2</v>
      </c>
    </row>
    <row r="1340" spans="1:12" x14ac:dyDescent="0.25">
      <c r="A1340" s="3">
        <v>45696.461041666669</v>
      </c>
      <c r="B1340" t="s">
        <v>460</v>
      </c>
      <c r="C1340" s="3">
        <v>45696.682280092587</v>
      </c>
      <c r="D1340" t="s">
        <v>82</v>
      </c>
      <c r="E1340" s="4">
        <v>95.975999999999999</v>
      </c>
      <c r="F1340" s="4">
        <v>38762.254000000001</v>
      </c>
      <c r="G1340" s="4">
        <v>38858.230000000003</v>
      </c>
      <c r="H1340" s="5">
        <f>5910 / 86400</f>
        <v>6.8402777777777785E-2</v>
      </c>
      <c r="I1340" t="s">
        <v>64</v>
      </c>
      <c r="J1340" t="s">
        <v>50</v>
      </c>
      <c r="K1340" s="5">
        <f>19115 / 86400</f>
        <v>0.22123842592592594</v>
      </c>
      <c r="L1340" s="5">
        <f>426 / 86400</f>
        <v>4.9305555555555552E-3</v>
      </c>
    </row>
    <row r="1341" spans="1:12" x14ac:dyDescent="0.25">
      <c r="A1341" s="3">
        <v>45696.687210648146</v>
      </c>
      <c r="B1341" t="s">
        <v>82</v>
      </c>
      <c r="C1341" s="3">
        <v>45696.688090277778</v>
      </c>
      <c r="D1341" t="s">
        <v>397</v>
      </c>
      <c r="E1341" s="4">
        <v>0.23200000000000001</v>
      </c>
      <c r="F1341" s="4">
        <v>38858.230000000003</v>
      </c>
      <c r="G1341" s="4">
        <v>38858.462</v>
      </c>
      <c r="H1341" s="5">
        <f>0 / 86400</f>
        <v>0</v>
      </c>
      <c r="I1341" t="s">
        <v>94</v>
      </c>
      <c r="J1341" t="s">
        <v>20</v>
      </c>
      <c r="K1341" s="5">
        <f>76 / 86400</f>
        <v>8.7962962962962962E-4</v>
      </c>
      <c r="L1341" s="5">
        <f>181 / 86400</f>
        <v>2.0949074074074073E-3</v>
      </c>
    </row>
    <row r="1342" spans="1:12" x14ac:dyDescent="0.25">
      <c r="A1342" s="3">
        <v>45696.690185185187</v>
      </c>
      <c r="B1342" t="s">
        <v>397</v>
      </c>
      <c r="C1342" s="3">
        <v>45696.99998842593</v>
      </c>
      <c r="D1342" t="s">
        <v>114</v>
      </c>
      <c r="E1342" s="4">
        <v>140.66800000000001</v>
      </c>
      <c r="F1342" s="4">
        <v>38858.462</v>
      </c>
      <c r="G1342" s="4">
        <v>38999.129999999997</v>
      </c>
      <c r="H1342" s="5">
        <f>8190 / 86400</f>
        <v>9.4791666666666663E-2</v>
      </c>
      <c r="I1342" t="s">
        <v>64</v>
      </c>
      <c r="J1342" t="s">
        <v>94</v>
      </c>
      <c r="K1342" s="5">
        <f>26767 / 86400</f>
        <v>0.30980324074074073</v>
      </c>
      <c r="L1342" s="5">
        <f>0 / 86400</f>
        <v>0</v>
      </c>
    </row>
    <row r="1343" spans="1:12" x14ac:dyDescent="0.25">
      <c r="A1343" s="12"/>
      <c r="B1343" s="12"/>
      <c r="C1343" s="12"/>
      <c r="D1343" s="12"/>
      <c r="E1343" s="12"/>
      <c r="F1343" s="12"/>
      <c r="G1343" s="12"/>
      <c r="H1343" s="12"/>
      <c r="I1343" s="12"/>
      <c r="J1343" s="12"/>
    </row>
    <row r="1344" spans="1:12" x14ac:dyDescent="0.25">
      <c r="A1344" s="12"/>
      <c r="B1344" s="12"/>
      <c r="C1344" s="12"/>
      <c r="D1344" s="12"/>
      <c r="E1344" s="12"/>
      <c r="F1344" s="12"/>
      <c r="G1344" s="12"/>
      <c r="H1344" s="12"/>
      <c r="I1344" s="12"/>
      <c r="J1344" s="12"/>
    </row>
    <row r="1345" spans="1:12" s="10" customFormat="1" ht="20.100000000000001" customHeight="1" x14ac:dyDescent="0.35">
      <c r="A1345" s="15" t="s">
        <v>557</v>
      </c>
      <c r="B1345" s="15"/>
      <c r="C1345" s="15"/>
      <c r="D1345" s="15"/>
      <c r="E1345" s="15"/>
      <c r="F1345" s="15"/>
      <c r="G1345" s="15"/>
      <c r="H1345" s="15"/>
      <c r="I1345" s="15"/>
      <c r="J1345" s="15"/>
    </row>
    <row r="1346" spans="1:12" x14ac:dyDescent="0.25">
      <c r="A1346" s="12"/>
      <c r="B1346" s="12"/>
      <c r="C1346" s="12"/>
      <c r="D1346" s="12"/>
      <c r="E1346" s="12"/>
      <c r="F1346" s="12"/>
      <c r="G1346" s="12"/>
      <c r="H1346" s="12"/>
      <c r="I1346" s="12"/>
      <c r="J1346" s="12"/>
    </row>
    <row r="1347" spans="1:12" ht="30" x14ac:dyDescent="0.25">
      <c r="A1347" s="2" t="s">
        <v>6</v>
      </c>
      <c r="B1347" s="2" t="s">
        <v>7</v>
      </c>
      <c r="C1347" s="2" t="s">
        <v>8</v>
      </c>
      <c r="D1347" s="2" t="s">
        <v>9</v>
      </c>
      <c r="E1347" s="2" t="s">
        <v>10</v>
      </c>
      <c r="F1347" s="2" t="s">
        <v>11</v>
      </c>
      <c r="G1347" s="2" t="s">
        <v>12</v>
      </c>
      <c r="H1347" s="2" t="s">
        <v>13</v>
      </c>
      <c r="I1347" s="2" t="s">
        <v>14</v>
      </c>
      <c r="J1347" s="2" t="s">
        <v>15</v>
      </c>
      <c r="K1347" s="2" t="s">
        <v>16</v>
      </c>
      <c r="L1347" s="2" t="s">
        <v>17</v>
      </c>
    </row>
    <row r="1348" spans="1:12" x14ac:dyDescent="0.25">
      <c r="A1348" s="3">
        <v>45696.266585648147</v>
      </c>
      <c r="B1348" t="s">
        <v>115</v>
      </c>
      <c r="C1348" s="3">
        <v>45696.273043981477</v>
      </c>
      <c r="D1348" t="s">
        <v>318</v>
      </c>
      <c r="E1348" s="4">
        <v>2.3570000000000002</v>
      </c>
      <c r="F1348" s="4">
        <v>191463.18100000001</v>
      </c>
      <c r="G1348" s="4">
        <v>191465.538</v>
      </c>
      <c r="H1348" s="5">
        <f>59 / 86400</f>
        <v>6.8287037037037036E-4</v>
      </c>
      <c r="I1348" t="s">
        <v>159</v>
      </c>
      <c r="J1348" t="s">
        <v>24</v>
      </c>
      <c r="K1348" s="5">
        <f>558 / 86400</f>
        <v>6.4583333333333333E-3</v>
      </c>
      <c r="L1348" s="5">
        <f>23205 / 86400</f>
        <v>0.26857638888888891</v>
      </c>
    </row>
    <row r="1349" spans="1:12" x14ac:dyDescent="0.25">
      <c r="A1349" s="3">
        <v>45696.275034722217</v>
      </c>
      <c r="B1349" t="s">
        <v>318</v>
      </c>
      <c r="C1349" s="3">
        <v>45696.344583333332</v>
      </c>
      <c r="D1349" t="s">
        <v>460</v>
      </c>
      <c r="E1349" s="4">
        <v>32.659999999999997</v>
      </c>
      <c r="F1349" s="4">
        <v>191465.538</v>
      </c>
      <c r="G1349" s="4">
        <v>191498.198</v>
      </c>
      <c r="H1349" s="5">
        <f>1439 / 86400</f>
        <v>1.6655092592592593E-2</v>
      </c>
      <c r="I1349" t="s">
        <v>116</v>
      </c>
      <c r="J1349" t="s">
        <v>175</v>
      </c>
      <c r="K1349" s="5">
        <f>6009 / 86400</f>
        <v>6.9548611111111117E-2</v>
      </c>
      <c r="L1349" s="5">
        <f>1516 / 86400</f>
        <v>1.7546296296296296E-2</v>
      </c>
    </row>
    <row r="1350" spans="1:12" x14ac:dyDescent="0.25">
      <c r="A1350" s="3">
        <v>45696.362129629633</v>
      </c>
      <c r="B1350" t="s">
        <v>460</v>
      </c>
      <c r="C1350" s="3">
        <v>45696.362523148149</v>
      </c>
      <c r="D1350" t="s">
        <v>139</v>
      </c>
      <c r="E1350" s="4">
        <v>5.0999999999999997E-2</v>
      </c>
      <c r="F1350" s="4">
        <v>191498.198</v>
      </c>
      <c r="G1350" s="4">
        <v>191498.24900000001</v>
      </c>
      <c r="H1350" s="5">
        <f>0 / 86400</f>
        <v>0</v>
      </c>
      <c r="I1350" t="s">
        <v>90</v>
      </c>
      <c r="J1350" t="s">
        <v>136</v>
      </c>
      <c r="K1350" s="5">
        <f>34 / 86400</f>
        <v>3.9351851851851852E-4</v>
      </c>
      <c r="L1350" s="5">
        <f>329 / 86400</f>
        <v>3.8078703703703703E-3</v>
      </c>
    </row>
    <row r="1351" spans="1:12" x14ac:dyDescent="0.25">
      <c r="A1351" s="3">
        <v>45696.366331018522</v>
      </c>
      <c r="B1351" t="s">
        <v>139</v>
      </c>
      <c r="C1351" s="3">
        <v>45696.36928240741</v>
      </c>
      <c r="D1351" t="s">
        <v>51</v>
      </c>
      <c r="E1351" s="4">
        <v>0.86499999999999999</v>
      </c>
      <c r="F1351" s="4">
        <v>191498.24900000001</v>
      </c>
      <c r="G1351" s="4">
        <v>191499.114</v>
      </c>
      <c r="H1351" s="5">
        <f>20 / 86400</f>
        <v>2.3148148148148149E-4</v>
      </c>
      <c r="I1351" t="s">
        <v>221</v>
      </c>
      <c r="J1351" t="s">
        <v>59</v>
      </c>
      <c r="K1351" s="5">
        <f>255 / 86400</f>
        <v>2.9513888888888888E-3</v>
      </c>
      <c r="L1351" s="5">
        <f>2039 / 86400</f>
        <v>2.3599537037037037E-2</v>
      </c>
    </row>
    <row r="1352" spans="1:12" x14ac:dyDescent="0.25">
      <c r="A1352" s="3">
        <v>45696.392881944441</v>
      </c>
      <c r="B1352" t="s">
        <v>51</v>
      </c>
      <c r="C1352" s="3">
        <v>45696.393009259264</v>
      </c>
      <c r="D1352" t="s">
        <v>51</v>
      </c>
      <c r="E1352" s="4">
        <v>7.0000000000000001E-3</v>
      </c>
      <c r="F1352" s="4">
        <v>191499.114</v>
      </c>
      <c r="G1352" s="4">
        <v>191499.12100000001</v>
      </c>
      <c r="H1352" s="5">
        <f>0 / 86400</f>
        <v>0</v>
      </c>
      <c r="I1352" t="s">
        <v>133</v>
      </c>
      <c r="J1352" t="s">
        <v>132</v>
      </c>
      <c r="K1352" s="5">
        <f>11 / 86400</f>
        <v>1.273148148148148E-4</v>
      </c>
      <c r="L1352" s="5">
        <f>36749 / 86400</f>
        <v>0.42533564814814817</v>
      </c>
    </row>
    <row r="1353" spans="1:12" x14ac:dyDescent="0.25">
      <c r="A1353" s="3">
        <v>45696.818344907406</v>
      </c>
      <c r="B1353" t="s">
        <v>51</v>
      </c>
      <c r="C1353" s="3">
        <v>45696.966111111113</v>
      </c>
      <c r="D1353" t="s">
        <v>494</v>
      </c>
      <c r="E1353" s="4">
        <v>64.626999999999995</v>
      </c>
      <c r="F1353" s="4">
        <v>191499.12100000001</v>
      </c>
      <c r="G1353" s="4">
        <v>191563.74799999999</v>
      </c>
      <c r="H1353" s="5">
        <f>3239 / 86400</f>
        <v>3.7488425925925925E-2</v>
      </c>
      <c r="I1353" t="s">
        <v>239</v>
      </c>
      <c r="J1353" t="s">
        <v>50</v>
      </c>
      <c r="K1353" s="5">
        <f>12767 / 86400</f>
        <v>0.14776620370370369</v>
      </c>
      <c r="L1353" s="5">
        <f>244 / 86400</f>
        <v>2.8240740740740739E-3</v>
      </c>
    </row>
    <row r="1354" spans="1:12" x14ac:dyDescent="0.25">
      <c r="A1354" s="3">
        <v>45696.968935185185</v>
      </c>
      <c r="B1354" t="s">
        <v>134</v>
      </c>
      <c r="C1354" s="3">
        <v>45696.969178240739</v>
      </c>
      <c r="D1354" t="s">
        <v>134</v>
      </c>
      <c r="E1354" s="4">
        <v>2.4E-2</v>
      </c>
      <c r="F1354" s="4">
        <v>191563.74799999999</v>
      </c>
      <c r="G1354" s="4">
        <v>191563.772</v>
      </c>
      <c r="H1354" s="5">
        <f>0 / 86400</f>
        <v>0</v>
      </c>
      <c r="I1354" t="s">
        <v>132</v>
      </c>
      <c r="J1354" t="s">
        <v>181</v>
      </c>
      <c r="K1354" s="5">
        <f>21 / 86400</f>
        <v>2.4305555555555555E-4</v>
      </c>
      <c r="L1354" s="5">
        <f>182 / 86400</f>
        <v>2.1064814814814813E-3</v>
      </c>
    </row>
    <row r="1355" spans="1:12" x14ac:dyDescent="0.25">
      <c r="A1355" s="3">
        <v>45696.971284722225</v>
      </c>
      <c r="B1355" t="s">
        <v>134</v>
      </c>
      <c r="C1355" s="3">
        <v>45696.975324074076</v>
      </c>
      <c r="D1355" t="s">
        <v>115</v>
      </c>
      <c r="E1355" s="4">
        <v>1.4990000000000001</v>
      </c>
      <c r="F1355" s="4">
        <v>191563.772</v>
      </c>
      <c r="G1355" s="4">
        <v>191565.27100000001</v>
      </c>
      <c r="H1355" s="5">
        <f>20 / 86400</f>
        <v>2.3148148148148149E-4</v>
      </c>
      <c r="I1355" t="s">
        <v>161</v>
      </c>
      <c r="J1355" t="s">
        <v>24</v>
      </c>
      <c r="K1355" s="5">
        <f>349 / 86400</f>
        <v>4.0393518518518521E-3</v>
      </c>
      <c r="L1355" s="5">
        <f>2131 / 86400</f>
        <v>2.4664351851851851E-2</v>
      </c>
    </row>
    <row r="1356" spans="1:12" x14ac:dyDescent="0.25">
      <c r="A1356" s="12"/>
      <c r="B1356" s="12"/>
      <c r="C1356" s="12"/>
      <c r="D1356" s="12"/>
      <c r="E1356" s="12"/>
      <c r="F1356" s="12"/>
      <c r="G1356" s="12"/>
      <c r="H1356" s="12"/>
      <c r="I1356" s="12"/>
      <c r="J1356" s="12"/>
    </row>
    <row r="1357" spans="1:12" x14ac:dyDescent="0.25">
      <c r="A1357" s="12"/>
      <c r="B1357" s="12"/>
      <c r="C1357" s="12"/>
      <c r="D1357" s="12"/>
      <c r="E1357" s="12"/>
      <c r="F1357" s="12"/>
      <c r="G1357" s="12"/>
      <c r="H1357" s="12"/>
      <c r="I1357" s="12"/>
      <c r="J1357" s="12"/>
    </row>
    <row r="1358" spans="1:12" s="10" customFormat="1" ht="20.100000000000001" customHeight="1" x14ac:dyDescent="0.35">
      <c r="A1358" s="15" t="s">
        <v>558</v>
      </c>
      <c r="B1358" s="15"/>
      <c r="C1358" s="15"/>
      <c r="D1358" s="15"/>
      <c r="E1358" s="15"/>
      <c r="F1358" s="15"/>
      <c r="G1358" s="15"/>
      <c r="H1358" s="15"/>
      <c r="I1358" s="15"/>
      <c r="J1358" s="15"/>
    </row>
    <row r="1359" spans="1:12" x14ac:dyDescent="0.25">
      <c r="A1359" s="12"/>
      <c r="B1359" s="12"/>
      <c r="C1359" s="12"/>
      <c r="D1359" s="12"/>
      <c r="E1359" s="12"/>
      <c r="F1359" s="12"/>
      <c r="G1359" s="12"/>
      <c r="H1359" s="12"/>
      <c r="I1359" s="12"/>
      <c r="J1359" s="12"/>
    </row>
    <row r="1360" spans="1:12" ht="30" x14ac:dyDescent="0.25">
      <c r="A1360" s="2" t="s">
        <v>6</v>
      </c>
      <c r="B1360" s="2" t="s">
        <v>7</v>
      </c>
      <c r="C1360" s="2" t="s">
        <v>8</v>
      </c>
      <c r="D1360" s="2" t="s">
        <v>9</v>
      </c>
      <c r="E1360" s="2" t="s">
        <v>10</v>
      </c>
      <c r="F1360" s="2" t="s">
        <v>11</v>
      </c>
      <c r="G1360" s="2" t="s">
        <v>12</v>
      </c>
      <c r="H1360" s="2" t="s">
        <v>13</v>
      </c>
      <c r="I1360" s="2" t="s">
        <v>14</v>
      </c>
      <c r="J1360" s="2" t="s">
        <v>15</v>
      </c>
      <c r="K1360" s="2" t="s">
        <v>16</v>
      </c>
      <c r="L1360" s="2" t="s">
        <v>17</v>
      </c>
    </row>
    <row r="1361" spans="1:12" x14ac:dyDescent="0.25">
      <c r="A1361" s="3">
        <v>45696.218634259261</v>
      </c>
      <c r="B1361" t="s">
        <v>96</v>
      </c>
      <c r="C1361" s="3">
        <v>45696.493831018517</v>
      </c>
      <c r="D1361" t="s">
        <v>82</v>
      </c>
      <c r="E1361" s="4">
        <v>99.406000000000006</v>
      </c>
      <c r="F1361" s="4">
        <v>521740.21500000003</v>
      </c>
      <c r="G1361" s="4">
        <v>521839.62099999998</v>
      </c>
      <c r="H1361" s="5">
        <f>9290 / 86400</f>
        <v>0.10752314814814815</v>
      </c>
      <c r="I1361" t="s">
        <v>81</v>
      </c>
      <c r="J1361" t="s">
        <v>24</v>
      </c>
      <c r="K1361" s="5">
        <f>23777 / 86400</f>
        <v>0.27519675925925924</v>
      </c>
      <c r="L1361" s="5">
        <f>19511 / 86400</f>
        <v>0.22582175925925926</v>
      </c>
    </row>
    <row r="1362" spans="1:12" x14ac:dyDescent="0.25">
      <c r="A1362" s="3">
        <v>45696.501018518524</v>
      </c>
      <c r="B1362" t="s">
        <v>82</v>
      </c>
      <c r="C1362" s="3">
        <v>45696.518078703702</v>
      </c>
      <c r="D1362" t="s">
        <v>87</v>
      </c>
      <c r="E1362" s="4">
        <v>6.1230000000000002</v>
      </c>
      <c r="F1362" s="4">
        <v>521839.62099999998</v>
      </c>
      <c r="G1362" s="4">
        <v>521845.74400000001</v>
      </c>
      <c r="H1362" s="5">
        <f>319 / 86400</f>
        <v>3.6921296296296298E-3</v>
      </c>
      <c r="I1362" t="s">
        <v>179</v>
      </c>
      <c r="J1362" t="s">
        <v>24</v>
      </c>
      <c r="K1362" s="5">
        <f>1473 / 86400</f>
        <v>1.7048611111111112E-2</v>
      </c>
      <c r="L1362" s="5">
        <f>8229 / 86400</f>
        <v>9.5243055555555553E-2</v>
      </c>
    </row>
    <row r="1363" spans="1:12" x14ac:dyDescent="0.25">
      <c r="A1363" s="3">
        <v>45696.613321759258</v>
      </c>
      <c r="B1363" t="s">
        <v>87</v>
      </c>
      <c r="C1363" s="3">
        <v>45696.866736111115</v>
      </c>
      <c r="D1363" t="s">
        <v>96</v>
      </c>
      <c r="E1363" s="4">
        <v>91.28</v>
      </c>
      <c r="F1363" s="4">
        <v>521845.74400000001</v>
      </c>
      <c r="G1363" s="4">
        <v>521937.02399999998</v>
      </c>
      <c r="H1363" s="5">
        <f>8809 / 86400</f>
        <v>0.10195601851851852</v>
      </c>
      <c r="I1363" t="s">
        <v>40</v>
      </c>
      <c r="J1363" t="s">
        <v>24</v>
      </c>
      <c r="K1363" s="5">
        <f>21895 / 86400</f>
        <v>0.25341435185185185</v>
      </c>
      <c r="L1363" s="5">
        <f>11513 / 86400</f>
        <v>0.13325231481481481</v>
      </c>
    </row>
    <row r="1364" spans="1:12" x14ac:dyDescent="0.25">
      <c r="A1364" s="12"/>
      <c r="B1364" s="12"/>
      <c r="C1364" s="12"/>
      <c r="D1364" s="12"/>
      <c r="E1364" s="12"/>
      <c r="F1364" s="12"/>
      <c r="G1364" s="12"/>
      <c r="H1364" s="12"/>
      <c r="I1364" s="12"/>
      <c r="J1364" s="12"/>
    </row>
    <row r="1365" spans="1:12" x14ac:dyDescent="0.25">
      <c r="A1365" s="12"/>
      <c r="B1365" s="12"/>
      <c r="C1365" s="12"/>
      <c r="D1365" s="12"/>
      <c r="E1365" s="12"/>
      <c r="F1365" s="12"/>
      <c r="G1365" s="12"/>
      <c r="H1365" s="12"/>
      <c r="I1365" s="12"/>
      <c r="J1365" s="12"/>
    </row>
    <row r="1366" spans="1:12" s="10" customFormat="1" ht="20.100000000000001" customHeight="1" x14ac:dyDescent="0.35">
      <c r="A1366" s="15" t="s">
        <v>559</v>
      </c>
      <c r="B1366" s="15"/>
      <c r="C1366" s="15"/>
      <c r="D1366" s="15"/>
      <c r="E1366" s="15"/>
      <c r="F1366" s="15"/>
      <c r="G1366" s="15"/>
      <c r="H1366" s="15"/>
      <c r="I1366" s="15"/>
      <c r="J1366" s="15"/>
    </row>
    <row r="1367" spans="1:12" x14ac:dyDescent="0.25">
      <c r="A1367" s="12"/>
      <c r="B1367" s="12"/>
      <c r="C1367" s="12"/>
      <c r="D1367" s="12"/>
      <c r="E1367" s="12"/>
      <c r="F1367" s="12"/>
      <c r="G1367" s="12"/>
      <c r="H1367" s="12"/>
      <c r="I1367" s="12"/>
      <c r="J1367" s="12"/>
    </row>
    <row r="1368" spans="1:12" ht="30" x14ac:dyDescent="0.25">
      <c r="A1368" s="2" t="s">
        <v>6</v>
      </c>
      <c r="B1368" s="2" t="s">
        <v>7</v>
      </c>
      <c r="C1368" s="2" t="s">
        <v>8</v>
      </c>
      <c r="D1368" s="2" t="s">
        <v>9</v>
      </c>
      <c r="E1368" s="2" t="s">
        <v>10</v>
      </c>
      <c r="F1368" s="2" t="s">
        <v>11</v>
      </c>
      <c r="G1368" s="2" t="s">
        <v>12</v>
      </c>
      <c r="H1368" s="2" t="s">
        <v>13</v>
      </c>
      <c r="I1368" s="2" t="s">
        <v>14</v>
      </c>
      <c r="J1368" s="2" t="s">
        <v>15</v>
      </c>
      <c r="K1368" s="2" t="s">
        <v>16</v>
      </c>
      <c r="L1368" s="2" t="s">
        <v>17</v>
      </c>
    </row>
    <row r="1369" spans="1:12" x14ac:dyDescent="0.25">
      <c r="A1369" s="3">
        <v>45696.265023148153</v>
      </c>
      <c r="B1369" t="s">
        <v>98</v>
      </c>
      <c r="C1369" s="3">
        <v>45696.272893518515</v>
      </c>
      <c r="D1369" t="s">
        <v>139</v>
      </c>
      <c r="E1369" s="4">
        <v>2.149</v>
      </c>
      <c r="F1369" s="4">
        <v>22007.991999999998</v>
      </c>
      <c r="G1369" s="4">
        <v>22010.141</v>
      </c>
      <c r="H1369" s="5">
        <f>159 / 86400</f>
        <v>1.8402777777777777E-3</v>
      </c>
      <c r="I1369" t="s">
        <v>157</v>
      </c>
      <c r="J1369" t="s">
        <v>20</v>
      </c>
      <c r="K1369" s="5">
        <f>679 / 86400</f>
        <v>7.858796296296296E-3</v>
      </c>
      <c r="L1369" s="5">
        <f>23294 / 86400</f>
        <v>0.26960648148148147</v>
      </c>
    </row>
    <row r="1370" spans="1:12" x14ac:dyDescent="0.25">
      <c r="A1370" s="3">
        <v>45696.27747685185</v>
      </c>
      <c r="B1370" t="s">
        <v>139</v>
      </c>
      <c r="C1370" s="3">
        <v>45696.282592592594</v>
      </c>
      <c r="D1370" t="s">
        <v>152</v>
      </c>
      <c r="E1370" s="4">
        <v>1.2170000000000001</v>
      </c>
      <c r="F1370" s="4">
        <v>22010.141</v>
      </c>
      <c r="G1370" s="4">
        <v>22011.358</v>
      </c>
      <c r="H1370" s="5">
        <f>159 / 86400</f>
        <v>1.8402777777777777E-3</v>
      </c>
      <c r="I1370" t="s">
        <v>165</v>
      </c>
      <c r="J1370" t="s">
        <v>85</v>
      </c>
      <c r="K1370" s="5">
        <f>441 / 86400</f>
        <v>5.1041666666666666E-3</v>
      </c>
      <c r="L1370" s="5">
        <f>811 / 86400</f>
        <v>9.3865740740740732E-3</v>
      </c>
    </row>
    <row r="1371" spans="1:12" x14ac:dyDescent="0.25">
      <c r="A1371" s="3">
        <v>45696.291979166665</v>
      </c>
      <c r="B1371" t="s">
        <v>152</v>
      </c>
      <c r="C1371" s="3">
        <v>45696.294641203705</v>
      </c>
      <c r="D1371" t="s">
        <v>99</v>
      </c>
      <c r="E1371" s="4">
        <v>0.68500000000000005</v>
      </c>
      <c r="F1371" s="4">
        <v>22011.358</v>
      </c>
      <c r="G1371" s="4">
        <v>22012.043000000001</v>
      </c>
      <c r="H1371" s="5">
        <f>40 / 86400</f>
        <v>4.6296296296296298E-4</v>
      </c>
      <c r="I1371" t="s">
        <v>161</v>
      </c>
      <c r="J1371" t="s">
        <v>20</v>
      </c>
      <c r="K1371" s="5">
        <f>230 / 86400</f>
        <v>2.662037037037037E-3</v>
      </c>
      <c r="L1371" s="5">
        <f>174 / 86400</f>
        <v>2.0138888888888888E-3</v>
      </c>
    </row>
    <row r="1372" spans="1:12" x14ac:dyDescent="0.25">
      <c r="A1372" s="3">
        <v>45696.296655092592</v>
      </c>
      <c r="B1372" t="s">
        <v>99</v>
      </c>
      <c r="C1372" s="3">
        <v>45696.431840277779</v>
      </c>
      <c r="D1372" t="s">
        <v>471</v>
      </c>
      <c r="E1372" s="4">
        <v>49.212000000000003</v>
      </c>
      <c r="F1372" s="4">
        <v>22012.043000000001</v>
      </c>
      <c r="G1372" s="4">
        <v>22061.255000000001</v>
      </c>
      <c r="H1372" s="5">
        <f>4279 / 86400</f>
        <v>4.9525462962962966E-2</v>
      </c>
      <c r="I1372" t="s">
        <v>71</v>
      </c>
      <c r="J1372" t="s">
        <v>24</v>
      </c>
      <c r="K1372" s="5">
        <f>11680 / 86400</f>
        <v>0.13518518518518519</v>
      </c>
      <c r="L1372" s="5">
        <f>767 / 86400</f>
        <v>8.8773148148148153E-3</v>
      </c>
    </row>
    <row r="1373" spans="1:12" x14ac:dyDescent="0.25">
      <c r="A1373" s="3">
        <v>45696.440717592588</v>
      </c>
      <c r="B1373" t="s">
        <v>471</v>
      </c>
      <c r="C1373" s="3">
        <v>45696.576562499999</v>
      </c>
      <c r="D1373" t="s">
        <v>495</v>
      </c>
      <c r="E1373" s="4">
        <v>50.222999999999999</v>
      </c>
      <c r="F1373" s="4">
        <v>22061.255000000001</v>
      </c>
      <c r="G1373" s="4">
        <v>22111.477999999999</v>
      </c>
      <c r="H1373" s="5">
        <f>3621 / 86400</f>
        <v>4.1909722222222223E-2</v>
      </c>
      <c r="I1373" t="s">
        <v>178</v>
      </c>
      <c r="J1373" t="s">
        <v>24</v>
      </c>
      <c r="K1373" s="5">
        <f>11737 / 86400</f>
        <v>0.1358449074074074</v>
      </c>
      <c r="L1373" s="5">
        <f>486 / 86400</f>
        <v>5.6249999999999998E-3</v>
      </c>
    </row>
    <row r="1374" spans="1:12" x14ac:dyDescent="0.25">
      <c r="A1374" s="3">
        <v>45696.582187499997</v>
      </c>
      <c r="B1374" t="s">
        <v>398</v>
      </c>
      <c r="C1374" s="3">
        <v>45696.584456018521</v>
      </c>
      <c r="D1374" t="s">
        <v>469</v>
      </c>
      <c r="E1374" s="4">
        <v>0.31</v>
      </c>
      <c r="F1374" s="4">
        <v>22111.477999999999</v>
      </c>
      <c r="G1374" s="4">
        <v>22111.788</v>
      </c>
      <c r="H1374" s="5">
        <f>59 / 86400</f>
        <v>6.8287037037037036E-4</v>
      </c>
      <c r="I1374" t="s">
        <v>94</v>
      </c>
      <c r="J1374" t="s">
        <v>146</v>
      </c>
      <c r="K1374" s="5">
        <f>195 / 86400</f>
        <v>2.2569444444444442E-3</v>
      </c>
      <c r="L1374" s="5">
        <f>962 / 86400</f>
        <v>1.1134259259259259E-2</v>
      </c>
    </row>
    <row r="1375" spans="1:12" x14ac:dyDescent="0.25">
      <c r="A1375" s="3">
        <v>45696.595590277779</v>
      </c>
      <c r="B1375" t="s">
        <v>469</v>
      </c>
      <c r="C1375" s="3">
        <v>45696.684432870374</v>
      </c>
      <c r="D1375" t="s">
        <v>464</v>
      </c>
      <c r="E1375" s="4">
        <v>40.659999999999997</v>
      </c>
      <c r="F1375" s="4">
        <v>22111.788</v>
      </c>
      <c r="G1375" s="4">
        <v>22152.448</v>
      </c>
      <c r="H1375" s="5">
        <f>2239 / 86400</f>
        <v>2.5914351851851852E-2</v>
      </c>
      <c r="I1375" t="s">
        <v>117</v>
      </c>
      <c r="J1375" t="s">
        <v>94</v>
      </c>
      <c r="K1375" s="5">
        <f>7676 / 86400</f>
        <v>8.8842592592592598E-2</v>
      </c>
      <c r="L1375" s="5">
        <f>129 / 86400</f>
        <v>1.4930555555555556E-3</v>
      </c>
    </row>
    <row r="1376" spans="1:12" x14ac:dyDescent="0.25">
      <c r="A1376" s="3">
        <v>45696.685925925922</v>
      </c>
      <c r="B1376" t="s">
        <v>464</v>
      </c>
      <c r="C1376" s="3">
        <v>45696.689270833333</v>
      </c>
      <c r="D1376" t="s">
        <v>464</v>
      </c>
      <c r="E1376" s="4">
        <v>0.96</v>
      </c>
      <c r="F1376" s="4">
        <v>22152.448</v>
      </c>
      <c r="G1376" s="4">
        <v>22153.407999999999</v>
      </c>
      <c r="H1376" s="5">
        <f>59 / 86400</f>
        <v>6.8287037037037036E-4</v>
      </c>
      <c r="I1376" t="s">
        <v>155</v>
      </c>
      <c r="J1376" t="s">
        <v>59</v>
      </c>
      <c r="K1376" s="5">
        <f>289 / 86400</f>
        <v>3.3449074074074076E-3</v>
      </c>
      <c r="L1376" s="5">
        <f>249 / 86400</f>
        <v>2.8819444444444444E-3</v>
      </c>
    </row>
    <row r="1377" spans="1:12" x14ac:dyDescent="0.25">
      <c r="A1377" s="3">
        <v>45696.692152777774</v>
      </c>
      <c r="B1377" t="s">
        <v>464</v>
      </c>
      <c r="C1377" s="3">
        <v>45696.814872685187</v>
      </c>
      <c r="D1377" t="s">
        <v>173</v>
      </c>
      <c r="E1377" s="4">
        <v>40.070999999999998</v>
      </c>
      <c r="F1377" s="4">
        <v>22153.407999999999</v>
      </c>
      <c r="G1377" s="4">
        <v>22193.478999999999</v>
      </c>
      <c r="H1377" s="5">
        <f>3940 / 86400</f>
        <v>4.5601851851851852E-2</v>
      </c>
      <c r="I1377" t="s">
        <v>172</v>
      </c>
      <c r="J1377" t="s">
        <v>41</v>
      </c>
      <c r="K1377" s="5">
        <f>10602 / 86400</f>
        <v>0.12270833333333334</v>
      </c>
      <c r="L1377" s="5">
        <f>238 / 86400</f>
        <v>2.7546296296296294E-3</v>
      </c>
    </row>
    <row r="1378" spans="1:12" x14ac:dyDescent="0.25">
      <c r="A1378" s="3">
        <v>45696.817627314813</v>
      </c>
      <c r="B1378" t="s">
        <v>173</v>
      </c>
      <c r="C1378" s="3">
        <v>45696.820127314815</v>
      </c>
      <c r="D1378" t="s">
        <v>82</v>
      </c>
      <c r="E1378" s="4">
        <v>0.71399999999999997</v>
      </c>
      <c r="F1378" s="4">
        <v>22193.478999999999</v>
      </c>
      <c r="G1378" s="4">
        <v>22194.192999999999</v>
      </c>
      <c r="H1378" s="5">
        <f>60 / 86400</f>
        <v>6.9444444444444447E-4</v>
      </c>
      <c r="I1378" t="s">
        <v>155</v>
      </c>
      <c r="J1378" t="s">
        <v>59</v>
      </c>
      <c r="K1378" s="5">
        <f>215 / 86400</f>
        <v>2.488425925925926E-3</v>
      </c>
      <c r="L1378" s="5">
        <f>485 / 86400</f>
        <v>5.6134259259259262E-3</v>
      </c>
    </row>
    <row r="1379" spans="1:12" x14ac:dyDescent="0.25">
      <c r="A1379" s="3">
        <v>45696.825740740736</v>
      </c>
      <c r="B1379" t="s">
        <v>82</v>
      </c>
      <c r="C1379" s="3">
        <v>45696.82876157407</v>
      </c>
      <c r="D1379" t="s">
        <v>98</v>
      </c>
      <c r="E1379" s="4">
        <v>0.748</v>
      </c>
      <c r="F1379" s="4">
        <v>22194.192999999999</v>
      </c>
      <c r="G1379" s="4">
        <v>22194.940999999999</v>
      </c>
      <c r="H1379" s="5">
        <f>60 / 86400</f>
        <v>6.9444444444444447E-4</v>
      </c>
      <c r="I1379" t="s">
        <v>184</v>
      </c>
      <c r="J1379" t="s">
        <v>85</v>
      </c>
      <c r="K1379" s="5">
        <f>261 / 86400</f>
        <v>3.0208333333333333E-3</v>
      </c>
      <c r="L1379" s="5">
        <f>14794 / 86400</f>
        <v>0.17122685185185185</v>
      </c>
    </row>
    <row r="1380" spans="1:12" x14ac:dyDescent="0.25">
      <c r="A1380" s="12"/>
      <c r="B1380" s="12"/>
      <c r="C1380" s="12"/>
      <c r="D1380" s="12"/>
      <c r="E1380" s="12"/>
      <c r="F1380" s="12"/>
      <c r="G1380" s="12"/>
      <c r="H1380" s="12"/>
      <c r="I1380" s="12"/>
      <c r="J1380" s="12"/>
    </row>
    <row r="1381" spans="1:12" x14ac:dyDescent="0.25">
      <c r="A1381" s="12"/>
      <c r="B1381" s="12"/>
      <c r="C1381" s="12"/>
      <c r="D1381" s="12"/>
      <c r="E1381" s="12"/>
      <c r="F1381" s="12"/>
      <c r="G1381" s="12"/>
      <c r="H1381" s="12"/>
      <c r="I1381" s="12"/>
      <c r="J1381" s="12"/>
    </row>
    <row r="1382" spans="1:12" s="10" customFormat="1" ht="20.100000000000001" customHeight="1" x14ac:dyDescent="0.35">
      <c r="A1382" s="15" t="s">
        <v>560</v>
      </c>
      <c r="B1382" s="15"/>
      <c r="C1382" s="15"/>
      <c r="D1382" s="15"/>
      <c r="E1382" s="15"/>
      <c r="F1382" s="15"/>
      <c r="G1382" s="15"/>
      <c r="H1382" s="15"/>
      <c r="I1382" s="15"/>
      <c r="J1382" s="15"/>
    </row>
    <row r="1383" spans="1:12" x14ac:dyDescent="0.25">
      <c r="A1383" s="12"/>
      <c r="B1383" s="12"/>
      <c r="C1383" s="12"/>
      <c r="D1383" s="12"/>
      <c r="E1383" s="12"/>
      <c r="F1383" s="12"/>
      <c r="G1383" s="12"/>
      <c r="H1383" s="12"/>
      <c r="I1383" s="12"/>
      <c r="J1383" s="12"/>
    </row>
    <row r="1384" spans="1:12" ht="30" x14ac:dyDescent="0.25">
      <c r="A1384" s="2" t="s">
        <v>6</v>
      </c>
      <c r="B1384" s="2" t="s">
        <v>7</v>
      </c>
      <c r="C1384" s="2" t="s">
        <v>8</v>
      </c>
      <c r="D1384" s="2" t="s">
        <v>9</v>
      </c>
      <c r="E1384" s="2" t="s">
        <v>10</v>
      </c>
      <c r="F1384" s="2" t="s">
        <v>11</v>
      </c>
      <c r="G1384" s="2" t="s">
        <v>12</v>
      </c>
      <c r="H1384" s="2" t="s">
        <v>13</v>
      </c>
      <c r="I1384" s="2" t="s">
        <v>14</v>
      </c>
      <c r="J1384" s="2" t="s">
        <v>15</v>
      </c>
      <c r="K1384" s="2" t="s">
        <v>16</v>
      </c>
      <c r="L1384" s="2" t="s">
        <v>17</v>
      </c>
    </row>
    <row r="1385" spans="1:12" x14ac:dyDescent="0.25">
      <c r="A1385" s="3">
        <v>45696.207430555558</v>
      </c>
      <c r="B1385" t="s">
        <v>36</v>
      </c>
      <c r="C1385" s="3">
        <v>45696.432233796295</v>
      </c>
      <c r="D1385" t="s">
        <v>82</v>
      </c>
      <c r="E1385" s="4">
        <v>82.995999999999995</v>
      </c>
      <c r="F1385" s="4">
        <v>63438.161</v>
      </c>
      <c r="G1385" s="4">
        <v>63521.156999999999</v>
      </c>
      <c r="H1385" s="5">
        <f>7122 / 86400</f>
        <v>8.2430555555555562E-2</v>
      </c>
      <c r="I1385" t="s">
        <v>117</v>
      </c>
      <c r="J1385" t="s">
        <v>24</v>
      </c>
      <c r="K1385" s="5">
        <f>19422 / 86400</f>
        <v>0.22479166666666667</v>
      </c>
      <c r="L1385" s="5">
        <f>18180 / 86400</f>
        <v>0.21041666666666667</v>
      </c>
    </row>
    <row r="1386" spans="1:12" x14ac:dyDescent="0.25">
      <c r="A1386" s="3">
        <v>45696.435219907406</v>
      </c>
      <c r="B1386" t="s">
        <v>82</v>
      </c>
      <c r="C1386" s="3">
        <v>45696.436388888891</v>
      </c>
      <c r="D1386" t="s">
        <v>82</v>
      </c>
      <c r="E1386" s="4">
        <v>3.7999999999999999E-2</v>
      </c>
      <c r="F1386" s="4">
        <v>63521.156999999999</v>
      </c>
      <c r="G1386" s="4">
        <v>63521.195</v>
      </c>
      <c r="H1386" s="5">
        <f>20 / 86400</f>
        <v>2.3148148148148149E-4</v>
      </c>
      <c r="I1386" t="s">
        <v>90</v>
      </c>
      <c r="J1386" t="s">
        <v>91</v>
      </c>
      <c r="K1386" s="5">
        <f>101 / 86400</f>
        <v>1.1689814814814816E-3</v>
      </c>
      <c r="L1386" s="5">
        <f>785 / 86400</f>
        <v>9.0856481481481483E-3</v>
      </c>
    </row>
    <row r="1387" spans="1:12" x14ac:dyDescent="0.25">
      <c r="A1387" s="3">
        <v>45696.445474537039</v>
      </c>
      <c r="B1387" t="s">
        <v>82</v>
      </c>
      <c r="C1387" s="3">
        <v>45696.4456712963</v>
      </c>
      <c r="D1387" t="s">
        <v>82</v>
      </c>
      <c r="E1387" s="4">
        <v>0</v>
      </c>
      <c r="F1387" s="4">
        <v>63521.195</v>
      </c>
      <c r="G1387" s="4">
        <v>63521.195</v>
      </c>
      <c r="H1387" s="5">
        <f>0 / 86400</f>
        <v>0</v>
      </c>
      <c r="I1387" t="s">
        <v>133</v>
      </c>
      <c r="J1387" t="s">
        <v>133</v>
      </c>
      <c r="K1387" s="5">
        <f>16 / 86400</f>
        <v>1.8518518518518518E-4</v>
      </c>
      <c r="L1387" s="5">
        <f>622 / 86400</f>
        <v>7.1990740740740739E-3</v>
      </c>
    </row>
    <row r="1388" spans="1:12" x14ac:dyDescent="0.25">
      <c r="A1388" s="3">
        <v>45696.452870370369</v>
      </c>
      <c r="B1388" t="s">
        <v>82</v>
      </c>
      <c r="C1388" s="3">
        <v>45696.453506944439</v>
      </c>
      <c r="D1388" t="s">
        <v>82</v>
      </c>
      <c r="E1388" s="4">
        <v>2.9000000000000001E-2</v>
      </c>
      <c r="F1388" s="4">
        <v>63521.195</v>
      </c>
      <c r="G1388" s="4">
        <v>63521.224000000002</v>
      </c>
      <c r="H1388" s="5">
        <f>0 / 86400</f>
        <v>0</v>
      </c>
      <c r="I1388" t="s">
        <v>146</v>
      </c>
      <c r="J1388" t="s">
        <v>132</v>
      </c>
      <c r="K1388" s="5">
        <f>54 / 86400</f>
        <v>6.2500000000000001E-4</v>
      </c>
      <c r="L1388" s="5">
        <f>4106 / 86400</f>
        <v>4.7523148148148148E-2</v>
      </c>
    </row>
    <row r="1389" spans="1:12" x14ac:dyDescent="0.25">
      <c r="A1389" s="3">
        <v>45696.501030092593</v>
      </c>
      <c r="B1389" t="s">
        <v>82</v>
      </c>
      <c r="C1389" s="3">
        <v>45696.50509259259</v>
      </c>
      <c r="D1389" t="s">
        <v>139</v>
      </c>
      <c r="E1389" s="4">
        <v>1.3620000000000001</v>
      </c>
      <c r="F1389" s="4">
        <v>63521.224000000002</v>
      </c>
      <c r="G1389" s="4">
        <v>63522.586000000003</v>
      </c>
      <c r="H1389" s="5">
        <f>39 / 86400</f>
        <v>4.5138888888888887E-4</v>
      </c>
      <c r="I1389" t="s">
        <v>215</v>
      </c>
      <c r="J1389" t="s">
        <v>41</v>
      </c>
      <c r="K1389" s="5">
        <f>350 / 86400</f>
        <v>4.0509259259259257E-3</v>
      </c>
      <c r="L1389" s="5">
        <f>1977 / 86400</f>
        <v>2.2881944444444444E-2</v>
      </c>
    </row>
    <row r="1390" spans="1:12" x14ac:dyDescent="0.25">
      <c r="A1390" s="3">
        <v>45696.527974537035</v>
      </c>
      <c r="B1390" t="s">
        <v>139</v>
      </c>
      <c r="C1390" s="3">
        <v>45696.698379629626</v>
      </c>
      <c r="D1390" t="s">
        <v>87</v>
      </c>
      <c r="E1390" s="4">
        <v>74.948999999999998</v>
      </c>
      <c r="F1390" s="4">
        <v>63522.586000000003</v>
      </c>
      <c r="G1390" s="4">
        <v>63597.535000000003</v>
      </c>
      <c r="H1390" s="5">
        <f>4459 / 86400</f>
        <v>5.1608796296296298E-2</v>
      </c>
      <c r="I1390" t="s">
        <v>81</v>
      </c>
      <c r="J1390" t="s">
        <v>50</v>
      </c>
      <c r="K1390" s="5">
        <f>14723 / 86400</f>
        <v>0.17040509259259259</v>
      </c>
      <c r="L1390" s="5">
        <f>173 / 86400</f>
        <v>2.0023148148148148E-3</v>
      </c>
    </row>
    <row r="1391" spans="1:12" x14ac:dyDescent="0.25">
      <c r="A1391" s="3">
        <v>45696.700381944444</v>
      </c>
      <c r="B1391" t="s">
        <v>87</v>
      </c>
      <c r="C1391" s="3">
        <v>45696.721631944441</v>
      </c>
      <c r="D1391" t="s">
        <v>36</v>
      </c>
      <c r="E1391" s="4">
        <v>13.9</v>
      </c>
      <c r="F1391" s="4">
        <v>63597.535000000003</v>
      </c>
      <c r="G1391" s="4">
        <v>63611.434999999998</v>
      </c>
      <c r="H1391" s="5">
        <f>180 / 86400</f>
        <v>2.0833333333333333E-3</v>
      </c>
      <c r="I1391" t="s">
        <v>249</v>
      </c>
      <c r="J1391" t="s">
        <v>165</v>
      </c>
      <c r="K1391" s="5">
        <f>1835 / 86400</f>
        <v>2.1238425925925924E-2</v>
      </c>
      <c r="L1391" s="5">
        <f>316 / 86400</f>
        <v>3.6574074074074074E-3</v>
      </c>
    </row>
    <row r="1392" spans="1:12" x14ac:dyDescent="0.25">
      <c r="A1392" s="3">
        <v>45696.725289351853</v>
      </c>
      <c r="B1392" t="s">
        <v>36</v>
      </c>
      <c r="C1392" s="3">
        <v>45696.72555555556</v>
      </c>
      <c r="D1392" t="s">
        <v>476</v>
      </c>
      <c r="E1392" s="4">
        <v>2.4E-2</v>
      </c>
      <c r="F1392" s="4">
        <v>63611.434999999998</v>
      </c>
      <c r="G1392" s="4">
        <v>63611.459000000003</v>
      </c>
      <c r="H1392" s="5">
        <f>0 / 86400</f>
        <v>0</v>
      </c>
      <c r="I1392" t="s">
        <v>90</v>
      </c>
      <c r="J1392" t="s">
        <v>181</v>
      </c>
      <c r="K1392" s="5">
        <f>23 / 86400</f>
        <v>2.6620370370370372E-4</v>
      </c>
      <c r="L1392" s="5">
        <f>246 / 86400</f>
        <v>2.8472222222222223E-3</v>
      </c>
    </row>
    <row r="1393" spans="1:12" x14ac:dyDescent="0.25">
      <c r="A1393" s="3">
        <v>45696.728402777779</v>
      </c>
      <c r="B1393" t="s">
        <v>476</v>
      </c>
      <c r="C1393" s="3">
        <v>45696.7340625</v>
      </c>
      <c r="D1393" t="s">
        <v>36</v>
      </c>
      <c r="E1393" s="4">
        <v>1.327</v>
      </c>
      <c r="F1393" s="4">
        <v>63611.459000000003</v>
      </c>
      <c r="G1393" s="4">
        <v>63612.786</v>
      </c>
      <c r="H1393" s="5">
        <f>279 / 86400</f>
        <v>3.2291666666666666E-3</v>
      </c>
      <c r="I1393" t="s">
        <v>23</v>
      </c>
      <c r="J1393" t="s">
        <v>85</v>
      </c>
      <c r="K1393" s="5">
        <f>489 / 86400</f>
        <v>5.6597222222222222E-3</v>
      </c>
      <c r="L1393" s="5">
        <f>22976 / 86400</f>
        <v>0.2659259259259259</v>
      </c>
    </row>
    <row r="1394" spans="1:12" x14ac:dyDescent="0.25">
      <c r="A1394" s="12"/>
      <c r="B1394" s="12"/>
      <c r="C1394" s="12"/>
      <c r="D1394" s="12"/>
      <c r="E1394" s="12"/>
      <c r="F1394" s="12"/>
      <c r="G1394" s="12"/>
      <c r="H1394" s="12"/>
      <c r="I1394" s="12"/>
      <c r="J1394" s="12"/>
    </row>
    <row r="1395" spans="1:12" x14ac:dyDescent="0.25">
      <c r="A1395" s="12"/>
      <c r="B1395" s="12"/>
      <c r="C1395" s="12"/>
      <c r="D1395" s="12"/>
      <c r="E1395" s="12"/>
      <c r="F1395" s="12"/>
      <c r="G1395" s="12"/>
      <c r="H1395" s="12"/>
      <c r="I1395" s="12"/>
      <c r="J1395" s="12"/>
    </row>
    <row r="1396" spans="1:12" s="10" customFormat="1" ht="20.100000000000001" customHeight="1" x14ac:dyDescent="0.35">
      <c r="A1396" s="15" t="s">
        <v>561</v>
      </c>
      <c r="B1396" s="15"/>
      <c r="C1396" s="15"/>
      <c r="D1396" s="15"/>
      <c r="E1396" s="15"/>
      <c r="F1396" s="15"/>
      <c r="G1396" s="15"/>
      <c r="H1396" s="15"/>
      <c r="I1396" s="15"/>
      <c r="J1396" s="15"/>
    </row>
    <row r="1397" spans="1:12" x14ac:dyDescent="0.25">
      <c r="A1397" s="12"/>
      <c r="B1397" s="12"/>
      <c r="C1397" s="12"/>
      <c r="D1397" s="12"/>
      <c r="E1397" s="12"/>
      <c r="F1397" s="12"/>
      <c r="G1397" s="12"/>
      <c r="H1397" s="12"/>
      <c r="I1397" s="12"/>
      <c r="J1397" s="12"/>
    </row>
    <row r="1398" spans="1:12" ht="30" x14ac:dyDescent="0.25">
      <c r="A1398" s="2" t="s">
        <v>6</v>
      </c>
      <c r="B1398" s="2" t="s">
        <v>7</v>
      </c>
      <c r="C1398" s="2" t="s">
        <v>8</v>
      </c>
      <c r="D1398" s="2" t="s">
        <v>9</v>
      </c>
      <c r="E1398" s="2" t="s">
        <v>10</v>
      </c>
      <c r="F1398" s="2" t="s">
        <v>11</v>
      </c>
      <c r="G1398" s="2" t="s">
        <v>12</v>
      </c>
      <c r="H1398" s="2" t="s">
        <v>13</v>
      </c>
      <c r="I1398" s="2" t="s">
        <v>14</v>
      </c>
      <c r="J1398" s="2" t="s">
        <v>15</v>
      </c>
      <c r="K1398" s="2" t="s">
        <v>16</v>
      </c>
      <c r="L1398" s="2" t="s">
        <v>17</v>
      </c>
    </row>
    <row r="1399" spans="1:12" x14ac:dyDescent="0.25">
      <c r="A1399" s="3">
        <v>45696.26871527778</v>
      </c>
      <c r="B1399" t="s">
        <v>70</v>
      </c>
      <c r="C1399" s="3">
        <v>45696.347592592589</v>
      </c>
      <c r="D1399" t="s">
        <v>460</v>
      </c>
      <c r="E1399" s="4">
        <v>36.137999999999998</v>
      </c>
      <c r="F1399" s="4">
        <v>4512.4589999999998</v>
      </c>
      <c r="G1399" s="4">
        <v>4548.5969999999998</v>
      </c>
      <c r="H1399" s="5">
        <f>1679 / 86400</f>
        <v>1.9432870370370371E-2</v>
      </c>
      <c r="I1399" t="s">
        <v>249</v>
      </c>
      <c r="J1399" t="s">
        <v>94</v>
      </c>
      <c r="K1399" s="5">
        <f>6815 / 86400</f>
        <v>7.8877314814814817E-2</v>
      </c>
      <c r="L1399" s="5">
        <f>24408 / 86400</f>
        <v>0.28249999999999997</v>
      </c>
    </row>
    <row r="1400" spans="1:12" x14ac:dyDescent="0.25">
      <c r="A1400" s="3">
        <v>45696.36137731481</v>
      </c>
      <c r="B1400" t="s">
        <v>460</v>
      </c>
      <c r="C1400" s="3">
        <v>45696.361805555556</v>
      </c>
      <c r="D1400" t="s">
        <v>460</v>
      </c>
      <c r="E1400" s="4">
        <v>0</v>
      </c>
      <c r="F1400" s="4">
        <v>4548.5969999999998</v>
      </c>
      <c r="G1400" s="4">
        <v>4548.5969999999998</v>
      </c>
      <c r="H1400" s="5">
        <f>19 / 86400</f>
        <v>2.199074074074074E-4</v>
      </c>
      <c r="I1400" t="s">
        <v>133</v>
      </c>
      <c r="J1400" t="s">
        <v>133</v>
      </c>
      <c r="K1400" s="5">
        <f>36 / 86400</f>
        <v>4.1666666666666669E-4</v>
      </c>
      <c r="L1400" s="5">
        <f>654 / 86400</f>
        <v>7.5694444444444446E-3</v>
      </c>
    </row>
    <row r="1401" spans="1:12" x14ac:dyDescent="0.25">
      <c r="A1401" s="3">
        <v>45696.369374999995</v>
      </c>
      <c r="B1401" t="s">
        <v>460</v>
      </c>
      <c r="C1401" s="3">
        <v>45696.63013888889</v>
      </c>
      <c r="D1401" t="s">
        <v>82</v>
      </c>
      <c r="E1401" s="4">
        <v>100.664</v>
      </c>
      <c r="F1401" s="4">
        <v>4548.5969999999998</v>
      </c>
      <c r="G1401" s="4">
        <v>4649.2610000000004</v>
      </c>
      <c r="H1401" s="5">
        <f>7480 / 86400</f>
        <v>8.6574074074074067E-2</v>
      </c>
      <c r="I1401" t="s">
        <v>37</v>
      </c>
      <c r="J1401" t="s">
        <v>28</v>
      </c>
      <c r="K1401" s="5">
        <f>22530 / 86400</f>
        <v>0.26076388888888891</v>
      </c>
      <c r="L1401" s="5">
        <f>569 / 86400</f>
        <v>6.5856481481481478E-3</v>
      </c>
    </row>
    <row r="1402" spans="1:12" x14ac:dyDescent="0.25">
      <c r="A1402" s="3">
        <v>45696.636724537035</v>
      </c>
      <c r="B1402" t="s">
        <v>82</v>
      </c>
      <c r="C1402" s="3">
        <v>45696.63853009259</v>
      </c>
      <c r="D1402" t="s">
        <v>397</v>
      </c>
      <c r="E1402" s="4">
        <v>0.20599999999999999</v>
      </c>
      <c r="F1402" s="4">
        <v>4649.2610000000004</v>
      </c>
      <c r="G1402" s="4">
        <v>4649.4669999999996</v>
      </c>
      <c r="H1402" s="5">
        <f>59 / 86400</f>
        <v>6.8287037037037036E-4</v>
      </c>
      <c r="I1402" t="s">
        <v>59</v>
      </c>
      <c r="J1402" t="s">
        <v>136</v>
      </c>
      <c r="K1402" s="5">
        <f>156 / 86400</f>
        <v>1.8055555555555555E-3</v>
      </c>
      <c r="L1402" s="5">
        <f>435 / 86400</f>
        <v>5.0347222222222225E-3</v>
      </c>
    </row>
    <row r="1403" spans="1:12" x14ac:dyDescent="0.25">
      <c r="A1403" s="3">
        <v>45696.643564814818</v>
      </c>
      <c r="B1403" t="s">
        <v>397</v>
      </c>
      <c r="C1403" s="3">
        <v>45696.646817129629</v>
      </c>
      <c r="D1403" t="s">
        <v>51</v>
      </c>
      <c r="E1403" s="4">
        <v>0.84099999999999997</v>
      </c>
      <c r="F1403" s="4">
        <v>4649.4669999999996</v>
      </c>
      <c r="G1403" s="4">
        <v>4650.308</v>
      </c>
      <c r="H1403" s="5">
        <f>20 / 86400</f>
        <v>2.3148148148148149E-4</v>
      </c>
      <c r="I1403" t="s">
        <v>201</v>
      </c>
      <c r="J1403" t="s">
        <v>20</v>
      </c>
      <c r="K1403" s="5">
        <f>280 / 86400</f>
        <v>3.2407407407407406E-3</v>
      </c>
      <c r="L1403" s="5">
        <f>43 / 86400</f>
        <v>4.9768518518518521E-4</v>
      </c>
    </row>
    <row r="1404" spans="1:12" x14ac:dyDescent="0.25">
      <c r="A1404" s="3">
        <v>45696.647314814814</v>
      </c>
      <c r="B1404" t="s">
        <v>51</v>
      </c>
      <c r="C1404" s="3">
        <v>45696.666678240741</v>
      </c>
      <c r="D1404" t="s">
        <v>139</v>
      </c>
      <c r="E1404" s="4">
        <v>0.754</v>
      </c>
      <c r="F1404" s="4">
        <v>4650.308</v>
      </c>
      <c r="G1404" s="4">
        <v>4651.0619999999999</v>
      </c>
      <c r="H1404" s="5">
        <f>1459 / 86400</f>
        <v>1.6886574074074075E-2</v>
      </c>
      <c r="I1404" t="s">
        <v>205</v>
      </c>
      <c r="J1404" t="s">
        <v>132</v>
      </c>
      <c r="K1404" s="5">
        <f>1673 / 86400</f>
        <v>1.9363425925925926E-2</v>
      </c>
      <c r="L1404" s="5">
        <f>85 / 86400</f>
        <v>9.837962962962962E-4</v>
      </c>
    </row>
    <row r="1405" spans="1:12" x14ac:dyDescent="0.25">
      <c r="A1405" s="3">
        <v>45696.667662037042</v>
      </c>
      <c r="B1405" t="s">
        <v>139</v>
      </c>
      <c r="C1405" s="3">
        <v>45696.683113425926</v>
      </c>
      <c r="D1405" t="s">
        <v>139</v>
      </c>
      <c r="E1405" s="4">
        <v>0.02</v>
      </c>
      <c r="F1405" s="4">
        <v>4651.0619999999999</v>
      </c>
      <c r="G1405" s="4">
        <v>4651.0820000000003</v>
      </c>
      <c r="H1405" s="5">
        <f>1299 / 86400</f>
        <v>1.5034722222222222E-2</v>
      </c>
      <c r="I1405" t="s">
        <v>151</v>
      </c>
      <c r="J1405" t="s">
        <v>133</v>
      </c>
      <c r="K1405" s="5">
        <f>1335 / 86400</f>
        <v>1.545138888888889E-2</v>
      </c>
      <c r="L1405" s="5">
        <f>2 / 86400</f>
        <v>2.3148148148148147E-5</v>
      </c>
    </row>
    <row r="1406" spans="1:12" x14ac:dyDescent="0.25">
      <c r="A1406" s="3">
        <v>45696.683136574073</v>
      </c>
      <c r="B1406" t="s">
        <v>139</v>
      </c>
      <c r="C1406" s="3">
        <v>45696.695416666669</v>
      </c>
      <c r="D1406" t="s">
        <v>139</v>
      </c>
      <c r="E1406" s="4">
        <v>0</v>
      </c>
      <c r="F1406" s="4">
        <v>4651.0820000000003</v>
      </c>
      <c r="G1406" s="4">
        <v>4651.0820000000003</v>
      </c>
      <c r="H1406" s="5">
        <f>1051 / 86400</f>
        <v>1.2164351851851852E-2</v>
      </c>
      <c r="I1406" t="s">
        <v>133</v>
      </c>
      <c r="J1406" t="s">
        <v>133</v>
      </c>
      <c r="K1406" s="5">
        <f>1061 / 86400</f>
        <v>1.2280092592592592E-2</v>
      </c>
      <c r="L1406" s="5">
        <f>1372 / 86400</f>
        <v>1.5879629629629629E-2</v>
      </c>
    </row>
    <row r="1407" spans="1:12" x14ac:dyDescent="0.25">
      <c r="A1407" s="3">
        <v>45696.7112962963</v>
      </c>
      <c r="B1407" t="s">
        <v>139</v>
      </c>
      <c r="C1407" s="3">
        <v>45696.785393518519</v>
      </c>
      <c r="D1407" t="s">
        <v>475</v>
      </c>
      <c r="E1407" s="4">
        <v>34.216000000000001</v>
      </c>
      <c r="F1407" s="4">
        <v>4651.0820000000003</v>
      </c>
      <c r="G1407" s="4">
        <v>4685.2979999999998</v>
      </c>
      <c r="H1407" s="5">
        <f>1879 / 86400</f>
        <v>2.1747685185185186E-2</v>
      </c>
      <c r="I1407" t="s">
        <v>172</v>
      </c>
      <c r="J1407" t="s">
        <v>94</v>
      </c>
      <c r="K1407" s="5">
        <f>6401 / 86400</f>
        <v>7.408564814814815E-2</v>
      </c>
      <c r="L1407" s="5">
        <f>218 / 86400</f>
        <v>2.5231481481481481E-3</v>
      </c>
    </row>
    <row r="1408" spans="1:12" x14ac:dyDescent="0.25">
      <c r="A1408" s="3">
        <v>45696.787916666668</v>
      </c>
      <c r="B1408" t="s">
        <v>475</v>
      </c>
      <c r="C1408" s="3">
        <v>45696.790636574078</v>
      </c>
      <c r="D1408" t="s">
        <v>134</v>
      </c>
      <c r="E1408" s="4">
        <v>0.76300000000000001</v>
      </c>
      <c r="F1408" s="4">
        <v>4685.2979999999998</v>
      </c>
      <c r="G1408" s="4">
        <v>4686.0609999999997</v>
      </c>
      <c r="H1408" s="5">
        <f>20 / 86400</f>
        <v>2.3148148148148149E-4</v>
      </c>
      <c r="I1408" t="s">
        <v>175</v>
      </c>
      <c r="J1408" t="s">
        <v>59</v>
      </c>
      <c r="K1408" s="5">
        <f>235 / 86400</f>
        <v>2.7199074074074074E-3</v>
      </c>
      <c r="L1408" s="5">
        <f>232 / 86400</f>
        <v>2.685185185185185E-3</v>
      </c>
    </row>
    <row r="1409" spans="1:12" x14ac:dyDescent="0.25">
      <c r="A1409" s="3">
        <v>45696.793321759258</v>
      </c>
      <c r="B1409" t="s">
        <v>134</v>
      </c>
      <c r="C1409" s="3">
        <v>45696.795092592598</v>
      </c>
      <c r="D1409" t="s">
        <v>70</v>
      </c>
      <c r="E1409" s="4">
        <v>0.48899999999999999</v>
      </c>
      <c r="F1409" s="4">
        <v>4686.0609999999997</v>
      </c>
      <c r="G1409" s="4">
        <v>4686.55</v>
      </c>
      <c r="H1409" s="5">
        <f>0 / 86400</f>
        <v>0</v>
      </c>
      <c r="I1409" t="s">
        <v>32</v>
      </c>
      <c r="J1409" t="s">
        <v>59</v>
      </c>
      <c r="K1409" s="5">
        <f>153 / 86400</f>
        <v>1.7708333333333332E-3</v>
      </c>
      <c r="L1409" s="5">
        <f>599 / 86400</f>
        <v>6.9328703703703705E-3</v>
      </c>
    </row>
    <row r="1410" spans="1:12" x14ac:dyDescent="0.25">
      <c r="A1410" s="3">
        <v>45696.802025462966</v>
      </c>
      <c r="B1410" t="s">
        <v>70</v>
      </c>
      <c r="C1410" s="3">
        <v>45696.803564814814</v>
      </c>
      <c r="D1410" t="s">
        <v>70</v>
      </c>
      <c r="E1410" s="4">
        <v>0.106</v>
      </c>
      <c r="F1410" s="4">
        <v>4686.55</v>
      </c>
      <c r="G1410" s="4">
        <v>4686.6559999999999</v>
      </c>
      <c r="H1410" s="5">
        <f>60 / 86400</f>
        <v>6.9444444444444447E-4</v>
      </c>
      <c r="I1410" t="s">
        <v>85</v>
      </c>
      <c r="J1410" t="s">
        <v>188</v>
      </c>
      <c r="K1410" s="5">
        <f>132 / 86400</f>
        <v>1.5277777777777779E-3</v>
      </c>
      <c r="L1410" s="5">
        <f>16971 / 86400</f>
        <v>0.19642361111111112</v>
      </c>
    </row>
    <row r="1411" spans="1:12" x14ac:dyDescent="0.25">
      <c r="A1411" s="12"/>
      <c r="B1411" s="12"/>
      <c r="C1411" s="12"/>
      <c r="D1411" s="12"/>
      <c r="E1411" s="12"/>
      <c r="F1411" s="12"/>
      <c r="G1411" s="12"/>
      <c r="H1411" s="12"/>
      <c r="I1411" s="12"/>
      <c r="J1411" s="12"/>
    </row>
    <row r="1412" spans="1:12" x14ac:dyDescent="0.25">
      <c r="A1412" s="12"/>
      <c r="B1412" s="12"/>
      <c r="C1412" s="12"/>
      <c r="D1412" s="12"/>
      <c r="E1412" s="12"/>
      <c r="F1412" s="12"/>
      <c r="G1412" s="12"/>
      <c r="H1412" s="12"/>
      <c r="I1412" s="12"/>
      <c r="J1412" s="12"/>
    </row>
    <row r="1413" spans="1:12" s="10" customFormat="1" ht="20.100000000000001" customHeight="1" x14ac:dyDescent="0.35">
      <c r="A1413" s="15" t="s">
        <v>562</v>
      </c>
      <c r="B1413" s="15"/>
      <c r="C1413" s="15"/>
      <c r="D1413" s="15"/>
      <c r="E1413" s="15"/>
      <c r="F1413" s="15"/>
      <c r="G1413" s="15"/>
      <c r="H1413" s="15"/>
      <c r="I1413" s="15"/>
      <c r="J1413" s="15"/>
    </row>
    <row r="1414" spans="1:12" x14ac:dyDescent="0.25">
      <c r="A1414" s="12"/>
      <c r="B1414" s="12"/>
      <c r="C1414" s="12"/>
      <c r="D1414" s="12"/>
      <c r="E1414" s="12"/>
      <c r="F1414" s="12"/>
      <c r="G1414" s="12"/>
      <c r="H1414" s="12"/>
      <c r="I1414" s="12"/>
      <c r="J1414" s="12"/>
    </row>
    <row r="1415" spans="1:12" ht="30" x14ac:dyDescent="0.25">
      <c r="A1415" s="2" t="s">
        <v>6</v>
      </c>
      <c r="B1415" s="2" t="s">
        <v>7</v>
      </c>
      <c r="C1415" s="2" t="s">
        <v>8</v>
      </c>
      <c r="D1415" s="2" t="s">
        <v>9</v>
      </c>
      <c r="E1415" s="2" t="s">
        <v>10</v>
      </c>
      <c r="F1415" s="2" t="s">
        <v>11</v>
      </c>
      <c r="G1415" s="2" t="s">
        <v>12</v>
      </c>
      <c r="H1415" s="2" t="s">
        <v>13</v>
      </c>
      <c r="I1415" s="2" t="s">
        <v>14</v>
      </c>
      <c r="J1415" s="2" t="s">
        <v>15</v>
      </c>
      <c r="K1415" s="2" t="s">
        <v>16</v>
      </c>
      <c r="L1415" s="2" t="s">
        <v>17</v>
      </c>
    </row>
    <row r="1416" spans="1:12" x14ac:dyDescent="0.25">
      <c r="A1416" s="3">
        <v>45696.001620370371</v>
      </c>
      <c r="B1416" t="s">
        <v>118</v>
      </c>
      <c r="C1416" s="3">
        <v>45696.002141203702</v>
      </c>
      <c r="D1416" t="s">
        <v>118</v>
      </c>
      <c r="E1416" s="4">
        <v>1.0999999999999999E-2</v>
      </c>
      <c r="F1416" s="4">
        <v>407073.52500000002</v>
      </c>
      <c r="G1416" s="4">
        <v>407073.53600000002</v>
      </c>
      <c r="H1416" s="5">
        <f>39 / 86400</f>
        <v>4.5138888888888887E-4</v>
      </c>
      <c r="I1416" t="s">
        <v>133</v>
      </c>
      <c r="J1416" t="s">
        <v>91</v>
      </c>
      <c r="K1416" s="5">
        <f>45 / 86400</f>
        <v>5.2083333333333333E-4</v>
      </c>
      <c r="L1416" s="5">
        <f>685 / 86400</f>
        <v>7.9282407407407409E-3</v>
      </c>
    </row>
    <row r="1417" spans="1:12" x14ac:dyDescent="0.25">
      <c r="A1417" s="3">
        <v>45696.00844907407</v>
      </c>
      <c r="B1417" t="s">
        <v>339</v>
      </c>
      <c r="C1417" s="3">
        <v>45696.096921296295</v>
      </c>
      <c r="D1417" t="s">
        <v>496</v>
      </c>
      <c r="E1417" s="4">
        <v>45.35</v>
      </c>
      <c r="F1417" s="4">
        <v>407073.53600000002</v>
      </c>
      <c r="G1417" s="4">
        <v>407118.886</v>
      </c>
      <c r="H1417" s="5">
        <f>2059 / 86400</f>
        <v>2.3831018518518519E-2</v>
      </c>
      <c r="I1417" t="s">
        <v>183</v>
      </c>
      <c r="J1417" t="s">
        <v>35</v>
      </c>
      <c r="K1417" s="5">
        <f>7644 / 86400</f>
        <v>8.8472222222222216E-2</v>
      </c>
      <c r="L1417" s="5">
        <f>3516 / 86400</f>
        <v>4.0694444444444443E-2</v>
      </c>
    </row>
    <row r="1418" spans="1:12" x14ac:dyDescent="0.25">
      <c r="A1418" s="3">
        <v>45696.137615740736</v>
      </c>
      <c r="B1418" t="s">
        <v>496</v>
      </c>
      <c r="C1418" s="3">
        <v>45696.140694444446</v>
      </c>
      <c r="D1418" t="s">
        <v>367</v>
      </c>
      <c r="E1418" s="4">
        <v>1.373</v>
      </c>
      <c r="F1418" s="4">
        <v>407118.886</v>
      </c>
      <c r="G1418" s="4">
        <v>407120.25900000002</v>
      </c>
      <c r="H1418" s="5">
        <f>40 / 86400</f>
        <v>4.6296296296296298E-4</v>
      </c>
      <c r="I1418" t="s">
        <v>201</v>
      </c>
      <c r="J1418" t="s">
        <v>94</v>
      </c>
      <c r="K1418" s="5">
        <f>266 / 86400</f>
        <v>3.0787037037037037E-3</v>
      </c>
      <c r="L1418" s="5">
        <f>610 / 86400</f>
        <v>7.060185185185185E-3</v>
      </c>
    </row>
    <row r="1419" spans="1:12" x14ac:dyDescent="0.25">
      <c r="A1419" s="3">
        <v>45696.14775462963</v>
      </c>
      <c r="B1419" t="s">
        <v>367</v>
      </c>
      <c r="C1419" s="3">
        <v>45696.197685185187</v>
      </c>
      <c r="D1419" t="s">
        <v>92</v>
      </c>
      <c r="E1419" s="4">
        <v>30.757999999999999</v>
      </c>
      <c r="F1419" s="4">
        <v>407120.25900000002</v>
      </c>
      <c r="G1419" s="4">
        <v>407151.01699999999</v>
      </c>
      <c r="H1419" s="5">
        <f>500 / 86400</f>
        <v>5.7870370370370367E-3</v>
      </c>
      <c r="I1419" t="s">
        <v>103</v>
      </c>
      <c r="J1419" t="s">
        <v>205</v>
      </c>
      <c r="K1419" s="5">
        <f>4314 / 86400</f>
        <v>4.9930555555555554E-2</v>
      </c>
      <c r="L1419" s="5">
        <f>627 / 86400</f>
        <v>7.2569444444444443E-3</v>
      </c>
    </row>
    <row r="1420" spans="1:12" x14ac:dyDescent="0.25">
      <c r="A1420" s="3">
        <v>45696.204942129625</v>
      </c>
      <c r="B1420" t="s">
        <v>92</v>
      </c>
      <c r="C1420" s="3">
        <v>45696.20548611111</v>
      </c>
      <c r="D1420" t="s">
        <v>92</v>
      </c>
      <c r="E1420" s="4">
        <v>7.4999999999999997E-2</v>
      </c>
      <c r="F1420" s="4">
        <v>407151.01699999999</v>
      </c>
      <c r="G1420" s="4">
        <v>407151.092</v>
      </c>
      <c r="H1420" s="5">
        <f>0 / 86400</f>
        <v>0</v>
      </c>
      <c r="I1420" t="s">
        <v>20</v>
      </c>
      <c r="J1420" t="s">
        <v>146</v>
      </c>
      <c r="K1420" s="5">
        <f>47 / 86400</f>
        <v>5.4398148148148144E-4</v>
      </c>
      <c r="L1420" s="5">
        <f>1521 / 86400</f>
        <v>1.7604166666666667E-2</v>
      </c>
    </row>
    <row r="1421" spans="1:12" x14ac:dyDescent="0.25">
      <c r="A1421" s="3">
        <v>45696.223090277781</v>
      </c>
      <c r="B1421" t="s">
        <v>92</v>
      </c>
      <c r="C1421" s="3">
        <v>45696.228645833333</v>
      </c>
      <c r="D1421" t="s">
        <v>29</v>
      </c>
      <c r="E1421" s="4">
        <v>2.2709999999999999</v>
      </c>
      <c r="F1421" s="4">
        <v>407151.092</v>
      </c>
      <c r="G1421" s="4">
        <v>407153.36300000001</v>
      </c>
      <c r="H1421" s="5">
        <f>60 / 86400</f>
        <v>6.9444444444444447E-4</v>
      </c>
      <c r="I1421" t="s">
        <v>67</v>
      </c>
      <c r="J1421" t="s">
        <v>32</v>
      </c>
      <c r="K1421" s="5">
        <f>479 / 86400</f>
        <v>5.5439814814814813E-3</v>
      </c>
      <c r="L1421" s="5">
        <f>2831 / 86400</f>
        <v>3.2766203703703707E-2</v>
      </c>
    </row>
    <row r="1422" spans="1:12" x14ac:dyDescent="0.25">
      <c r="A1422" s="3">
        <v>45696.261412037042</v>
      </c>
      <c r="B1422" t="s">
        <v>29</v>
      </c>
      <c r="C1422" s="3">
        <v>45696.26189814815</v>
      </c>
      <c r="D1422" t="s">
        <v>29</v>
      </c>
      <c r="E1422" s="4">
        <v>0</v>
      </c>
      <c r="F1422" s="4">
        <v>407153.36300000001</v>
      </c>
      <c r="G1422" s="4">
        <v>407153.36300000001</v>
      </c>
      <c r="H1422" s="5">
        <f>39 / 86400</f>
        <v>4.5138888888888887E-4</v>
      </c>
      <c r="I1422" t="s">
        <v>133</v>
      </c>
      <c r="J1422" t="s">
        <v>133</v>
      </c>
      <c r="K1422" s="5">
        <f>41 / 86400</f>
        <v>4.7453703703703704E-4</v>
      </c>
      <c r="L1422" s="5">
        <f>73 / 86400</f>
        <v>8.4490740740740739E-4</v>
      </c>
    </row>
    <row r="1423" spans="1:12" x14ac:dyDescent="0.25">
      <c r="A1423" s="3">
        <v>45696.262743055559</v>
      </c>
      <c r="B1423" t="s">
        <v>29</v>
      </c>
      <c r="C1423" s="3">
        <v>45696.316759259258</v>
      </c>
      <c r="D1423" t="s">
        <v>51</v>
      </c>
      <c r="E1423" s="4">
        <v>26.294</v>
      </c>
      <c r="F1423" s="4">
        <v>407153.36300000001</v>
      </c>
      <c r="G1423" s="4">
        <v>407179.65700000001</v>
      </c>
      <c r="H1423" s="5">
        <f>1139 / 86400</f>
        <v>1.3182870370370371E-2</v>
      </c>
      <c r="I1423" t="s">
        <v>37</v>
      </c>
      <c r="J1423" t="s">
        <v>175</v>
      </c>
      <c r="K1423" s="5">
        <f>4666 / 86400</f>
        <v>5.4004629629629632E-2</v>
      </c>
      <c r="L1423" s="5">
        <f>1785 / 86400</f>
        <v>2.0659722222222222E-2</v>
      </c>
    </row>
    <row r="1424" spans="1:12" x14ac:dyDescent="0.25">
      <c r="A1424" s="3">
        <v>45696.337418981479</v>
      </c>
      <c r="B1424" t="s">
        <v>51</v>
      </c>
      <c r="C1424" s="3">
        <v>45696.615370370375</v>
      </c>
      <c r="D1424" t="s">
        <v>45</v>
      </c>
      <c r="E1424" s="4">
        <v>100.47499999999999</v>
      </c>
      <c r="F1424" s="4">
        <v>407179.65700000001</v>
      </c>
      <c r="G1424" s="4">
        <v>407280.13199999998</v>
      </c>
      <c r="H1424" s="5">
        <f>8842 / 86400</f>
        <v>0.10233796296296296</v>
      </c>
      <c r="I1424" t="s">
        <v>64</v>
      </c>
      <c r="J1424" t="s">
        <v>24</v>
      </c>
      <c r="K1424" s="5">
        <f>24014 / 86400</f>
        <v>0.27793981481481483</v>
      </c>
      <c r="L1424" s="5">
        <f>350 / 86400</f>
        <v>4.0509259259259257E-3</v>
      </c>
    </row>
    <row r="1425" spans="1:12" x14ac:dyDescent="0.25">
      <c r="A1425" s="3">
        <v>45696.619421296295</v>
      </c>
      <c r="B1425" t="s">
        <v>45</v>
      </c>
      <c r="C1425" s="3">
        <v>45696.621307870373</v>
      </c>
      <c r="D1425" t="s">
        <v>45</v>
      </c>
      <c r="E1425" s="4">
        <v>0.14699999999999999</v>
      </c>
      <c r="F1425" s="4">
        <v>407280.13199999998</v>
      </c>
      <c r="G1425" s="4">
        <v>407280.27899999998</v>
      </c>
      <c r="H1425" s="5">
        <f>65 / 86400</f>
        <v>7.5231481481481482E-4</v>
      </c>
      <c r="I1425" t="s">
        <v>85</v>
      </c>
      <c r="J1425" t="s">
        <v>188</v>
      </c>
      <c r="K1425" s="5">
        <f>162 / 86400</f>
        <v>1.8749999999999999E-3</v>
      </c>
      <c r="L1425" s="5">
        <f>435 / 86400</f>
        <v>5.0347222222222225E-3</v>
      </c>
    </row>
    <row r="1426" spans="1:12" x14ac:dyDescent="0.25">
      <c r="A1426" s="3">
        <v>45696.626342592594</v>
      </c>
      <c r="B1426" t="s">
        <v>45</v>
      </c>
      <c r="C1426" s="3">
        <v>45696.664259259254</v>
      </c>
      <c r="D1426" t="s">
        <v>235</v>
      </c>
      <c r="E1426" s="4">
        <v>24.356000000000002</v>
      </c>
      <c r="F1426" s="4">
        <v>407280.27899999998</v>
      </c>
      <c r="G1426" s="4">
        <v>407304.63500000001</v>
      </c>
      <c r="H1426" s="5">
        <f>679 / 86400</f>
        <v>7.858796296296296E-3</v>
      </c>
      <c r="I1426" t="s">
        <v>481</v>
      </c>
      <c r="J1426" t="s">
        <v>165</v>
      </c>
      <c r="K1426" s="5">
        <f>3275 / 86400</f>
        <v>3.7905092592592594E-2</v>
      </c>
      <c r="L1426" s="5">
        <f>504 / 86400</f>
        <v>5.8333333333333336E-3</v>
      </c>
    </row>
    <row r="1427" spans="1:12" x14ac:dyDescent="0.25">
      <c r="A1427" s="3">
        <v>45696.670092592598</v>
      </c>
      <c r="B1427" t="s">
        <v>235</v>
      </c>
      <c r="C1427" s="3">
        <v>45696.670543981483</v>
      </c>
      <c r="D1427" t="s">
        <v>497</v>
      </c>
      <c r="E1427" s="4">
        <v>1.6E-2</v>
      </c>
      <c r="F1427" s="4">
        <v>407304.63500000001</v>
      </c>
      <c r="G1427" s="4">
        <v>407304.65100000001</v>
      </c>
      <c r="H1427" s="5">
        <f>19 / 86400</f>
        <v>2.199074074074074E-4</v>
      </c>
      <c r="I1427" t="s">
        <v>136</v>
      </c>
      <c r="J1427" t="s">
        <v>132</v>
      </c>
      <c r="K1427" s="5">
        <f>38 / 86400</f>
        <v>4.3981481481481481E-4</v>
      </c>
      <c r="L1427" s="5">
        <f>624 / 86400</f>
        <v>7.2222222222222219E-3</v>
      </c>
    </row>
    <row r="1428" spans="1:12" x14ac:dyDescent="0.25">
      <c r="A1428" s="3">
        <v>45696.677766203706</v>
      </c>
      <c r="B1428" t="s">
        <v>497</v>
      </c>
      <c r="C1428" s="3">
        <v>45696.684525462959</v>
      </c>
      <c r="D1428" t="s">
        <v>29</v>
      </c>
      <c r="E1428" s="4">
        <v>0.96299999999999997</v>
      </c>
      <c r="F1428" s="4">
        <v>407304.65100000001</v>
      </c>
      <c r="G1428" s="4">
        <v>407305.614</v>
      </c>
      <c r="H1428" s="5">
        <f>260 / 86400</f>
        <v>3.0092592592592593E-3</v>
      </c>
      <c r="I1428" t="s">
        <v>94</v>
      </c>
      <c r="J1428" t="s">
        <v>146</v>
      </c>
      <c r="K1428" s="5">
        <f>583 / 86400</f>
        <v>6.7476851851851856E-3</v>
      </c>
      <c r="L1428" s="5">
        <f>12726 / 86400</f>
        <v>0.14729166666666665</v>
      </c>
    </row>
    <row r="1429" spans="1:12" x14ac:dyDescent="0.25">
      <c r="A1429" s="3">
        <v>45696.831817129627</v>
      </c>
      <c r="B1429" t="s">
        <v>29</v>
      </c>
      <c r="C1429" s="3">
        <v>45696.878912037035</v>
      </c>
      <c r="D1429" t="s">
        <v>149</v>
      </c>
      <c r="E1429" s="4">
        <v>19.417000000000002</v>
      </c>
      <c r="F1429" s="4">
        <v>407305.614</v>
      </c>
      <c r="G1429" s="4">
        <v>407325.03100000002</v>
      </c>
      <c r="H1429" s="5">
        <f>1779 / 86400</f>
        <v>2.0590277777777777E-2</v>
      </c>
      <c r="I1429" t="s">
        <v>60</v>
      </c>
      <c r="J1429" t="s">
        <v>32</v>
      </c>
      <c r="K1429" s="5">
        <f>4069 / 86400</f>
        <v>4.7094907407407405E-2</v>
      </c>
      <c r="L1429" s="5">
        <f>47 / 86400</f>
        <v>5.4398148148148144E-4</v>
      </c>
    </row>
    <row r="1430" spans="1:12" x14ac:dyDescent="0.25">
      <c r="A1430" s="3">
        <v>45696.87945601852</v>
      </c>
      <c r="B1430" t="s">
        <v>149</v>
      </c>
      <c r="C1430" s="3">
        <v>45696.997037037036</v>
      </c>
      <c r="D1430" t="s">
        <v>118</v>
      </c>
      <c r="E1430" s="4">
        <v>53.393000000000001</v>
      </c>
      <c r="F1430" s="4">
        <v>407325.03100000002</v>
      </c>
      <c r="G1430" s="4">
        <v>407378.424</v>
      </c>
      <c r="H1430" s="5">
        <f>3359 / 86400</f>
        <v>3.8877314814814816E-2</v>
      </c>
      <c r="I1430" t="s">
        <v>84</v>
      </c>
      <c r="J1430" t="s">
        <v>94</v>
      </c>
      <c r="K1430" s="5">
        <f>10159 / 86400</f>
        <v>0.11758101851851852</v>
      </c>
      <c r="L1430" s="5">
        <f>70 / 86400</f>
        <v>8.1018518518518516E-4</v>
      </c>
    </row>
    <row r="1431" spans="1:12" x14ac:dyDescent="0.25">
      <c r="A1431" s="3">
        <v>45696.997847222221</v>
      </c>
      <c r="B1431" t="s">
        <v>118</v>
      </c>
      <c r="C1431" s="3">
        <v>45696.998657407406</v>
      </c>
      <c r="D1431" t="s">
        <v>118</v>
      </c>
      <c r="E1431" s="4">
        <v>1.2E-2</v>
      </c>
      <c r="F1431" s="4">
        <v>407378.424</v>
      </c>
      <c r="G1431" s="4">
        <v>407378.43599999999</v>
      </c>
      <c r="H1431" s="5">
        <f>59 / 86400</f>
        <v>6.8287037037037036E-4</v>
      </c>
      <c r="I1431" t="s">
        <v>133</v>
      </c>
      <c r="J1431" t="s">
        <v>91</v>
      </c>
      <c r="K1431" s="5">
        <f>70 / 86400</f>
        <v>8.1018518518518516E-4</v>
      </c>
      <c r="L1431" s="5">
        <f>115 / 86400</f>
        <v>1.3310185185185185E-3</v>
      </c>
    </row>
    <row r="1432" spans="1:12" x14ac:dyDescent="0.25">
      <c r="A1432" s="12"/>
      <c r="B1432" s="12"/>
      <c r="C1432" s="12"/>
      <c r="D1432" s="12"/>
      <c r="E1432" s="12"/>
      <c r="F1432" s="12"/>
      <c r="G1432" s="12"/>
      <c r="H1432" s="12"/>
      <c r="I1432" s="12"/>
      <c r="J1432" s="12"/>
    </row>
    <row r="1433" spans="1:12" x14ac:dyDescent="0.25">
      <c r="A1433" s="12"/>
      <c r="B1433" s="12"/>
      <c r="C1433" s="12"/>
      <c r="D1433" s="12"/>
      <c r="E1433" s="12"/>
      <c r="F1433" s="12"/>
      <c r="G1433" s="12"/>
      <c r="H1433" s="12"/>
      <c r="I1433" s="12"/>
      <c r="J1433" s="12"/>
    </row>
    <row r="1434" spans="1:12" s="10" customFormat="1" ht="20.100000000000001" customHeight="1" x14ac:dyDescent="0.35">
      <c r="A1434" s="15" t="s">
        <v>563</v>
      </c>
      <c r="B1434" s="15"/>
      <c r="C1434" s="15"/>
      <c r="D1434" s="15"/>
      <c r="E1434" s="15"/>
      <c r="F1434" s="15"/>
      <c r="G1434" s="15"/>
      <c r="H1434" s="15"/>
      <c r="I1434" s="15"/>
      <c r="J1434" s="15"/>
    </row>
    <row r="1435" spans="1:12" x14ac:dyDescent="0.25">
      <c r="A1435" s="12"/>
      <c r="B1435" s="12"/>
      <c r="C1435" s="12"/>
      <c r="D1435" s="12"/>
      <c r="E1435" s="12"/>
      <c r="F1435" s="12"/>
      <c r="G1435" s="12"/>
      <c r="H1435" s="12"/>
      <c r="I1435" s="12"/>
      <c r="J1435" s="12"/>
    </row>
    <row r="1436" spans="1:12" ht="30" x14ac:dyDescent="0.25">
      <c r="A1436" s="2" t="s">
        <v>6</v>
      </c>
      <c r="B1436" s="2" t="s">
        <v>7</v>
      </c>
      <c r="C1436" s="2" t="s">
        <v>8</v>
      </c>
      <c r="D1436" s="2" t="s">
        <v>9</v>
      </c>
      <c r="E1436" s="2" t="s">
        <v>10</v>
      </c>
      <c r="F1436" s="2" t="s">
        <v>11</v>
      </c>
      <c r="G1436" s="2" t="s">
        <v>12</v>
      </c>
      <c r="H1436" s="2" t="s">
        <v>13</v>
      </c>
      <c r="I1436" s="2" t="s">
        <v>14</v>
      </c>
      <c r="J1436" s="2" t="s">
        <v>15</v>
      </c>
      <c r="K1436" s="2" t="s">
        <v>16</v>
      </c>
      <c r="L1436" s="2" t="s">
        <v>17</v>
      </c>
    </row>
    <row r="1437" spans="1:12" x14ac:dyDescent="0.25">
      <c r="A1437" s="3">
        <v>45696</v>
      </c>
      <c r="B1437" t="s">
        <v>119</v>
      </c>
      <c r="C1437" s="3">
        <v>45696.025868055556</v>
      </c>
      <c r="D1437" t="s">
        <v>498</v>
      </c>
      <c r="E1437" s="4">
        <v>9.9290000000000003</v>
      </c>
      <c r="F1437" s="4">
        <v>548566.68500000006</v>
      </c>
      <c r="G1437" s="4">
        <v>548576.61399999994</v>
      </c>
      <c r="H1437" s="5">
        <f>900 / 86400</f>
        <v>1.0416666666666666E-2</v>
      </c>
      <c r="I1437" t="s">
        <v>239</v>
      </c>
      <c r="J1437" t="s">
        <v>28</v>
      </c>
      <c r="K1437" s="5">
        <f>2235 / 86400</f>
        <v>2.5868055555555554E-2</v>
      </c>
      <c r="L1437" s="5">
        <f>1247 / 86400</f>
        <v>1.443287037037037E-2</v>
      </c>
    </row>
    <row r="1438" spans="1:12" x14ac:dyDescent="0.25">
      <c r="A1438" s="3">
        <v>45696.040300925924</v>
      </c>
      <c r="B1438" t="s">
        <v>498</v>
      </c>
      <c r="C1438" s="3">
        <v>45696.059571759259</v>
      </c>
      <c r="D1438" t="s">
        <v>83</v>
      </c>
      <c r="E1438" s="4">
        <v>12.784000000000001</v>
      </c>
      <c r="F1438" s="4">
        <v>548576.61399999994</v>
      </c>
      <c r="G1438" s="4">
        <v>548589.39800000004</v>
      </c>
      <c r="H1438" s="5">
        <f>400 / 86400</f>
        <v>4.6296296296296294E-3</v>
      </c>
      <c r="I1438" t="s">
        <v>78</v>
      </c>
      <c r="J1438" t="s">
        <v>155</v>
      </c>
      <c r="K1438" s="5">
        <f>1665 / 86400</f>
        <v>1.9270833333333334E-2</v>
      </c>
      <c r="L1438" s="5">
        <f>18718 / 86400</f>
        <v>0.21664351851851851</v>
      </c>
    </row>
    <row r="1439" spans="1:12" x14ac:dyDescent="0.25">
      <c r="A1439" s="3">
        <v>45696.27621527778</v>
      </c>
      <c r="B1439" t="s">
        <v>83</v>
      </c>
      <c r="C1439" s="3">
        <v>45696.490000000005</v>
      </c>
      <c r="D1439" t="s">
        <v>152</v>
      </c>
      <c r="E1439" s="4">
        <v>78.433000000000007</v>
      </c>
      <c r="F1439" s="4">
        <v>548589.39800000004</v>
      </c>
      <c r="G1439" s="4">
        <v>548667.83100000001</v>
      </c>
      <c r="H1439" s="5">
        <f>6401 / 86400</f>
        <v>7.408564814814815E-2</v>
      </c>
      <c r="I1439" t="s">
        <v>71</v>
      </c>
      <c r="J1439" t="s">
        <v>24</v>
      </c>
      <c r="K1439" s="5">
        <f>18470 / 86400</f>
        <v>0.21377314814814816</v>
      </c>
      <c r="L1439" s="5">
        <f>2150 / 86400</f>
        <v>2.4884259259259259E-2</v>
      </c>
    </row>
    <row r="1440" spans="1:12" x14ac:dyDescent="0.25">
      <c r="A1440" s="3">
        <v>45696.514884259261</v>
      </c>
      <c r="B1440" t="s">
        <v>152</v>
      </c>
      <c r="C1440" s="3">
        <v>45696.516250000001</v>
      </c>
      <c r="D1440" t="s">
        <v>473</v>
      </c>
      <c r="E1440" s="4">
        <v>0.246</v>
      </c>
      <c r="F1440" s="4">
        <v>548667.83100000001</v>
      </c>
      <c r="G1440" s="4">
        <v>548668.07700000005</v>
      </c>
      <c r="H1440" s="5">
        <f>59 / 86400</f>
        <v>6.8287037037037036E-4</v>
      </c>
      <c r="I1440" t="s">
        <v>20</v>
      </c>
      <c r="J1440" t="s">
        <v>151</v>
      </c>
      <c r="K1440" s="5">
        <f>117 / 86400</f>
        <v>1.3541666666666667E-3</v>
      </c>
      <c r="L1440" s="5">
        <f>857 / 86400</f>
        <v>9.9189814814814817E-3</v>
      </c>
    </row>
    <row r="1441" spans="1:12" x14ac:dyDescent="0.25">
      <c r="A1441" s="3">
        <v>45696.52616898148</v>
      </c>
      <c r="B1441" t="s">
        <v>473</v>
      </c>
      <c r="C1441" s="3">
        <v>45696.530659722222</v>
      </c>
      <c r="D1441" t="s">
        <v>139</v>
      </c>
      <c r="E1441" s="4">
        <v>1.5609999999999999</v>
      </c>
      <c r="F1441" s="4">
        <v>548668.07700000005</v>
      </c>
      <c r="G1441" s="4">
        <v>548669.63800000004</v>
      </c>
      <c r="H1441" s="5">
        <f>20 / 86400</f>
        <v>2.3148148148148149E-4</v>
      </c>
      <c r="I1441" t="s">
        <v>159</v>
      </c>
      <c r="J1441" t="s">
        <v>24</v>
      </c>
      <c r="K1441" s="5">
        <f>387 / 86400</f>
        <v>4.4791666666666669E-3</v>
      </c>
      <c r="L1441" s="5">
        <f>925 / 86400</f>
        <v>1.0706018518518519E-2</v>
      </c>
    </row>
    <row r="1442" spans="1:12" x14ac:dyDescent="0.25">
      <c r="A1442" s="3">
        <v>45696.541365740741</v>
      </c>
      <c r="B1442" t="s">
        <v>139</v>
      </c>
      <c r="C1442" s="3">
        <v>45696.944618055553</v>
      </c>
      <c r="D1442" t="s">
        <v>92</v>
      </c>
      <c r="E1442" s="4">
        <v>170.208</v>
      </c>
      <c r="F1442" s="4">
        <v>548669.63800000004</v>
      </c>
      <c r="G1442" s="4">
        <v>548839.84600000002</v>
      </c>
      <c r="H1442" s="5">
        <f>10742 / 86400</f>
        <v>0.12432870370370371</v>
      </c>
      <c r="I1442" t="s">
        <v>26</v>
      </c>
      <c r="J1442" t="s">
        <v>50</v>
      </c>
      <c r="K1442" s="5">
        <f>34841 / 86400</f>
        <v>0.40325231481481483</v>
      </c>
      <c r="L1442" s="5">
        <f>591 / 86400</f>
        <v>6.8402777777777776E-3</v>
      </c>
    </row>
    <row r="1443" spans="1:12" x14ac:dyDescent="0.25">
      <c r="A1443" s="3">
        <v>45696.951458333337</v>
      </c>
      <c r="B1443" t="s">
        <v>92</v>
      </c>
      <c r="C1443" s="3">
        <v>45696.951898148152</v>
      </c>
      <c r="D1443" t="s">
        <v>92</v>
      </c>
      <c r="E1443" s="4">
        <v>5.8000000000000003E-2</v>
      </c>
      <c r="F1443" s="4">
        <v>548839.84600000002</v>
      </c>
      <c r="G1443" s="4">
        <v>548839.90399999998</v>
      </c>
      <c r="H1443" s="5">
        <f>0 / 86400</f>
        <v>0</v>
      </c>
      <c r="I1443" t="s">
        <v>90</v>
      </c>
      <c r="J1443" t="s">
        <v>136</v>
      </c>
      <c r="K1443" s="5">
        <f>38 / 86400</f>
        <v>4.3981481481481481E-4</v>
      </c>
      <c r="L1443" s="5">
        <f>2781 / 86400</f>
        <v>3.2187500000000001E-2</v>
      </c>
    </row>
    <row r="1444" spans="1:12" x14ac:dyDescent="0.25">
      <c r="A1444" s="3">
        <v>45696.984085648146</v>
      </c>
      <c r="B1444" t="s">
        <v>92</v>
      </c>
      <c r="C1444" s="3">
        <v>45696.998240740737</v>
      </c>
      <c r="D1444" t="s">
        <v>83</v>
      </c>
      <c r="E1444" s="4">
        <v>1.4179999999999999</v>
      </c>
      <c r="F1444" s="4">
        <v>548839.90399999998</v>
      </c>
      <c r="G1444" s="4">
        <v>548841.32200000004</v>
      </c>
      <c r="H1444" s="5">
        <f>459 / 86400</f>
        <v>5.3125000000000004E-3</v>
      </c>
      <c r="I1444" t="s">
        <v>32</v>
      </c>
      <c r="J1444" t="s">
        <v>181</v>
      </c>
      <c r="K1444" s="5">
        <f>1223 / 86400</f>
        <v>1.4155092592592592E-2</v>
      </c>
      <c r="L1444" s="5">
        <f>151 / 86400</f>
        <v>1.7476851851851852E-3</v>
      </c>
    </row>
    <row r="1445" spans="1:12" x14ac:dyDescent="0.25">
      <c r="A1445" s="12"/>
      <c r="B1445" s="12"/>
      <c r="C1445" s="12"/>
      <c r="D1445" s="12"/>
      <c r="E1445" s="12"/>
      <c r="F1445" s="12"/>
      <c r="G1445" s="12"/>
      <c r="H1445" s="12"/>
      <c r="I1445" s="12"/>
      <c r="J1445" s="12"/>
    </row>
    <row r="1446" spans="1:12" x14ac:dyDescent="0.25">
      <c r="A1446" s="12"/>
      <c r="B1446" s="12"/>
      <c r="C1446" s="12"/>
      <c r="D1446" s="12"/>
      <c r="E1446" s="12"/>
      <c r="F1446" s="12"/>
      <c r="G1446" s="12"/>
      <c r="H1446" s="12"/>
      <c r="I1446" s="12"/>
      <c r="J1446" s="12"/>
    </row>
    <row r="1447" spans="1:12" s="10" customFormat="1" ht="20.100000000000001" customHeight="1" x14ac:dyDescent="0.35">
      <c r="A1447" s="15" t="s">
        <v>564</v>
      </c>
      <c r="B1447" s="15"/>
      <c r="C1447" s="15"/>
      <c r="D1447" s="15"/>
      <c r="E1447" s="15"/>
      <c r="F1447" s="15"/>
      <c r="G1447" s="15"/>
      <c r="H1447" s="15"/>
      <c r="I1447" s="15"/>
      <c r="J1447" s="15"/>
    </row>
    <row r="1448" spans="1:12" x14ac:dyDescent="0.25">
      <c r="A1448" s="12"/>
      <c r="B1448" s="12"/>
      <c r="C1448" s="12"/>
      <c r="D1448" s="12"/>
      <c r="E1448" s="12"/>
      <c r="F1448" s="12"/>
      <c r="G1448" s="12"/>
      <c r="H1448" s="12"/>
      <c r="I1448" s="12"/>
      <c r="J1448" s="12"/>
    </row>
    <row r="1449" spans="1:12" ht="30" x14ac:dyDescent="0.25">
      <c r="A1449" s="2" t="s">
        <v>6</v>
      </c>
      <c r="B1449" s="2" t="s">
        <v>7</v>
      </c>
      <c r="C1449" s="2" t="s">
        <v>8</v>
      </c>
      <c r="D1449" s="2" t="s">
        <v>9</v>
      </c>
      <c r="E1449" s="2" t="s">
        <v>10</v>
      </c>
      <c r="F1449" s="2" t="s">
        <v>11</v>
      </c>
      <c r="G1449" s="2" t="s">
        <v>12</v>
      </c>
      <c r="H1449" s="2" t="s">
        <v>13</v>
      </c>
      <c r="I1449" s="2" t="s">
        <v>14</v>
      </c>
      <c r="J1449" s="2" t="s">
        <v>15</v>
      </c>
      <c r="K1449" s="2" t="s">
        <v>16</v>
      </c>
      <c r="L1449" s="2" t="s">
        <v>17</v>
      </c>
    </row>
    <row r="1450" spans="1:12" x14ac:dyDescent="0.25">
      <c r="A1450" s="3">
        <v>45696.033437499995</v>
      </c>
      <c r="B1450" t="s">
        <v>120</v>
      </c>
      <c r="C1450" s="3">
        <v>45696.033541666664</v>
      </c>
      <c r="D1450" t="s">
        <v>120</v>
      </c>
      <c r="E1450" s="4">
        <v>0</v>
      </c>
      <c r="F1450" s="4">
        <v>47718.97</v>
      </c>
      <c r="G1450" s="4">
        <v>47718.97</v>
      </c>
      <c r="H1450" s="5">
        <f>0 / 86400</f>
        <v>0</v>
      </c>
      <c r="I1450" t="s">
        <v>133</v>
      </c>
      <c r="J1450" t="s">
        <v>133</v>
      </c>
      <c r="K1450" s="5">
        <f>8 / 86400</f>
        <v>9.2592592592592588E-5</v>
      </c>
      <c r="L1450" s="5">
        <f>2894 / 86400</f>
        <v>3.349537037037037E-2</v>
      </c>
    </row>
    <row r="1451" spans="1:12" x14ac:dyDescent="0.25">
      <c r="A1451" s="3">
        <v>45696.033599537041</v>
      </c>
      <c r="B1451" t="s">
        <v>120</v>
      </c>
      <c r="C1451" s="3">
        <v>45696.034641203703</v>
      </c>
      <c r="D1451" t="s">
        <v>120</v>
      </c>
      <c r="E1451" s="4">
        <v>0.23499999999999999</v>
      </c>
      <c r="F1451" s="4">
        <v>47718.97</v>
      </c>
      <c r="G1451" s="4">
        <v>47719.205000000002</v>
      </c>
      <c r="H1451" s="5">
        <f>46 / 86400</f>
        <v>5.3240740740740744E-4</v>
      </c>
      <c r="I1451" t="s">
        <v>146</v>
      </c>
      <c r="J1451" t="s">
        <v>162</v>
      </c>
      <c r="K1451" s="5">
        <f>90 / 86400</f>
        <v>1.0416666666666667E-3</v>
      </c>
      <c r="L1451" s="5">
        <f>24894 / 86400</f>
        <v>0.28812500000000002</v>
      </c>
    </row>
    <row r="1452" spans="1:12" x14ac:dyDescent="0.25">
      <c r="A1452" s="3">
        <v>45696.322766203702</v>
      </c>
      <c r="B1452" t="s">
        <v>120</v>
      </c>
      <c r="C1452" s="3">
        <v>45696.327569444446</v>
      </c>
      <c r="D1452" t="s">
        <v>29</v>
      </c>
      <c r="E1452" s="4">
        <v>3.5950000000000002</v>
      </c>
      <c r="F1452" s="4">
        <v>47719.205000000002</v>
      </c>
      <c r="G1452" s="4">
        <v>47722.8</v>
      </c>
      <c r="H1452" s="5">
        <f>179 / 86400</f>
        <v>2.0717592592592593E-3</v>
      </c>
      <c r="I1452" t="s">
        <v>205</v>
      </c>
      <c r="J1452" t="s">
        <v>201</v>
      </c>
      <c r="K1452" s="5">
        <f>415 / 86400</f>
        <v>4.8032407407407407E-3</v>
      </c>
      <c r="L1452" s="5">
        <f>949 / 86400</f>
        <v>1.0983796296296297E-2</v>
      </c>
    </row>
    <row r="1453" spans="1:12" x14ac:dyDescent="0.25">
      <c r="A1453" s="3">
        <v>45696.338553240741</v>
      </c>
      <c r="B1453" t="s">
        <v>29</v>
      </c>
      <c r="C1453" s="3">
        <v>45696.588506944448</v>
      </c>
      <c r="D1453" t="s">
        <v>235</v>
      </c>
      <c r="E1453" s="4">
        <v>466.315</v>
      </c>
      <c r="F1453" s="4">
        <v>47722.8</v>
      </c>
      <c r="G1453" s="4">
        <v>48189.114999999998</v>
      </c>
      <c r="H1453" s="5">
        <f>8259 / 86400</f>
        <v>9.5590277777777774E-2</v>
      </c>
      <c r="I1453" t="s">
        <v>31</v>
      </c>
      <c r="J1453" t="s">
        <v>78</v>
      </c>
      <c r="K1453" s="5">
        <f>21595 / 86400</f>
        <v>0.24994212962962964</v>
      </c>
      <c r="L1453" s="5">
        <f>304 / 86400</f>
        <v>3.5185185185185185E-3</v>
      </c>
    </row>
    <row r="1454" spans="1:12" x14ac:dyDescent="0.25">
      <c r="A1454" s="3">
        <v>45696.59202546296</v>
      </c>
      <c r="B1454" t="s">
        <v>235</v>
      </c>
      <c r="C1454" s="3">
        <v>45696.593935185185</v>
      </c>
      <c r="D1454" t="s">
        <v>120</v>
      </c>
      <c r="E1454" s="4">
        <v>2.2050000000000001</v>
      </c>
      <c r="F1454" s="4">
        <v>48189.114999999998</v>
      </c>
      <c r="G1454" s="4">
        <v>48191.32</v>
      </c>
      <c r="H1454" s="5">
        <f>0 / 86400</f>
        <v>0</v>
      </c>
      <c r="I1454" t="s">
        <v>175</v>
      </c>
      <c r="J1454" t="s">
        <v>241</v>
      </c>
      <c r="K1454" s="5">
        <f>165 / 86400</f>
        <v>1.9097222222222222E-3</v>
      </c>
      <c r="L1454" s="5">
        <f>1164 / 86400</f>
        <v>1.3472222222222222E-2</v>
      </c>
    </row>
    <row r="1455" spans="1:12" x14ac:dyDescent="0.25">
      <c r="A1455" s="3">
        <v>45696.607407407406</v>
      </c>
      <c r="B1455" t="s">
        <v>29</v>
      </c>
      <c r="C1455" s="3">
        <v>45696.609293981484</v>
      </c>
      <c r="D1455" t="s">
        <v>490</v>
      </c>
      <c r="E1455" s="4">
        <v>1.84</v>
      </c>
      <c r="F1455" s="4">
        <v>48191.32</v>
      </c>
      <c r="G1455" s="4">
        <v>48193.16</v>
      </c>
      <c r="H1455" s="5">
        <f>39 / 86400</f>
        <v>4.5138888888888887E-4</v>
      </c>
      <c r="I1455" t="s">
        <v>59</v>
      </c>
      <c r="J1455" t="s">
        <v>229</v>
      </c>
      <c r="K1455" s="5">
        <f>163 / 86400</f>
        <v>1.8865740740740742E-3</v>
      </c>
      <c r="L1455" s="5">
        <f>445 / 86400</f>
        <v>5.1504629629629626E-3</v>
      </c>
    </row>
    <row r="1456" spans="1:12" x14ac:dyDescent="0.25">
      <c r="A1456" s="3">
        <v>45696.614444444444</v>
      </c>
      <c r="B1456" t="s">
        <v>235</v>
      </c>
      <c r="C1456" s="3">
        <v>45696.621944444443</v>
      </c>
      <c r="D1456" t="s">
        <v>499</v>
      </c>
      <c r="E1456" s="4">
        <v>23.4</v>
      </c>
      <c r="F1456" s="4">
        <v>48193.16</v>
      </c>
      <c r="G1456" s="4">
        <v>48216.56</v>
      </c>
      <c r="H1456" s="5">
        <f>60 / 86400</f>
        <v>6.9444444444444447E-4</v>
      </c>
      <c r="I1456" t="s">
        <v>67</v>
      </c>
      <c r="J1456" t="s">
        <v>500</v>
      </c>
      <c r="K1456" s="5">
        <f>648 / 86400</f>
        <v>7.4999999999999997E-3</v>
      </c>
      <c r="L1456" s="5">
        <f>73 / 86400</f>
        <v>8.4490740740740739E-4</v>
      </c>
    </row>
    <row r="1457" spans="1:12" x14ac:dyDescent="0.25">
      <c r="A1457" s="3">
        <v>45696.622789351852</v>
      </c>
      <c r="B1457" t="s">
        <v>499</v>
      </c>
      <c r="C1457" s="3">
        <v>45696.62773148148</v>
      </c>
      <c r="D1457" t="s">
        <v>501</v>
      </c>
      <c r="E1457" s="4">
        <v>3.8900000000074506</v>
      </c>
      <c r="F1457" s="4">
        <v>48216.56</v>
      </c>
      <c r="G1457" s="4">
        <v>48220.450000000004</v>
      </c>
      <c r="H1457" s="5">
        <f>139 / 86400</f>
        <v>1.6087962962962963E-3</v>
      </c>
      <c r="I1457" t="s">
        <v>41</v>
      </c>
      <c r="J1457" t="s">
        <v>163</v>
      </c>
      <c r="K1457" s="5">
        <f>427 / 86400</f>
        <v>4.9421296296296297E-3</v>
      </c>
      <c r="L1457" s="5">
        <f>5385 / 86400</f>
        <v>6.232638888888889E-2</v>
      </c>
    </row>
    <row r="1458" spans="1:12" x14ac:dyDescent="0.25">
      <c r="A1458" s="3">
        <v>45696.690057870372</v>
      </c>
      <c r="B1458" t="s">
        <v>125</v>
      </c>
      <c r="C1458" s="3">
        <v>45696.694085648152</v>
      </c>
      <c r="D1458" t="s">
        <v>499</v>
      </c>
      <c r="E1458" s="4">
        <v>4.1599999999925492</v>
      </c>
      <c r="F1458" s="4">
        <v>48220.450000000004</v>
      </c>
      <c r="G1458" s="4">
        <v>48224.61</v>
      </c>
      <c r="H1458" s="5">
        <f>20 / 86400</f>
        <v>2.3148148148148149E-4</v>
      </c>
      <c r="I1458" t="s">
        <v>41</v>
      </c>
      <c r="J1458" t="s">
        <v>345</v>
      </c>
      <c r="K1458" s="5">
        <f>347 / 86400</f>
        <v>4.0162037037037041E-3</v>
      </c>
      <c r="L1458" s="5">
        <f>6804 / 86400</f>
        <v>7.8750000000000001E-2</v>
      </c>
    </row>
    <row r="1459" spans="1:12" x14ac:dyDescent="0.25">
      <c r="A1459" s="3">
        <v>45696.772835648153</v>
      </c>
      <c r="B1459" t="s">
        <v>499</v>
      </c>
      <c r="C1459" s="3">
        <v>45696.785405092596</v>
      </c>
      <c r="D1459" t="s">
        <v>29</v>
      </c>
      <c r="E1459" s="4">
        <v>24.305</v>
      </c>
      <c r="F1459" s="4">
        <v>48224.61</v>
      </c>
      <c r="G1459" s="4">
        <v>48248.915000000001</v>
      </c>
      <c r="H1459" s="5">
        <f>279 / 86400</f>
        <v>3.2291666666666666E-3</v>
      </c>
      <c r="I1459" t="s">
        <v>144</v>
      </c>
      <c r="J1459" t="s">
        <v>64</v>
      </c>
      <c r="K1459" s="5">
        <f>1086 / 86400</f>
        <v>1.2569444444444444E-2</v>
      </c>
      <c r="L1459" s="5">
        <f>597 / 86400</f>
        <v>6.9097222222222225E-3</v>
      </c>
    </row>
    <row r="1460" spans="1:12" x14ac:dyDescent="0.25">
      <c r="A1460" s="3">
        <v>45696.792314814811</v>
      </c>
      <c r="B1460" t="s">
        <v>29</v>
      </c>
      <c r="C1460" s="3">
        <v>45696.794618055559</v>
      </c>
      <c r="D1460" t="s">
        <v>490</v>
      </c>
      <c r="E1460" s="4">
        <v>1.57</v>
      </c>
      <c r="F1460" s="4">
        <v>48248.915000000001</v>
      </c>
      <c r="G1460" s="4">
        <v>48250.485000000001</v>
      </c>
      <c r="H1460" s="5">
        <f>59 / 86400</f>
        <v>6.8287037037037036E-4</v>
      </c>
      <c r="I1460" t="s">
        <v>59</v>
      </c>
      <c r="J1460" t="s">
        <v>155</v>
      </c>
      <c r="K1460" s="5">
        <f>199 / 86400</f>
        <v>2.3032407407407407E-3</v>
      </c>
      <c r="L1460" s="5">
        <f>453 / 86400</f>
        <v>5.2430555555555555E-3</v>
      </c>
    </row>
    <row r="1461" spans="1:12" x14ac:dyDescent="0.25">
      <c r="A1461" s="3">
        <v>45696.799861111111</v>
      </c>
      <c r="B1461" t="s">
        <v>490</v>
      </c>
      <c r="C1461" s="3">
        <v>45696.803622685184</v>
      </c>
      <c r="D1461" t="s">
        <v>29</v>
      </c>
      <c r="E1461" s="4">
        <v>2.6150000000000002</v>
      </c>
      <c r="F1461" s="4">
        <v>48250.485000000001</v>
      </c>
      <c r="G1461" s="4">
        <v>48253.1</v>
      </c>
      <c r="H1461" s="5">
        <f>139 / 86400</f>
        <v>1.6087962962962963E-3</v>
      </c>
      <c r="I1461" t="s">
        <v>94</v>
      </c>
      <c r="J1461" t="s">
        <v>159</v>
      </c>
      <c r="K1461" s="5">
        <f>325 / 86400</f>
        <v>3.7615740740740739E-3</v>
      </c>
      <c r="L1461" s="5">
        <f>2423 / 86400</f>
        <v>2.8043981481481482E-2</v>
      </c>
    </row>
    <row r="1462" spans="1:12" x14ac:dyDescent="0.25">
      <c r="A1462" s="3">
        <v>45696.831666666665</v>
      </c>
      <c r="B1462" t="s">
        <v>29</v>
      </c>
      <c r="C1462" s="3">
        <v>45696.834722222222</v>
      </c>
      <c r="D1462" t="s">
        <v>120</v>
      </c>
      <c r="E1462" s="4">
        <v>3.7650000000000001</v>
      </c>
      <c r="F1462" s="4">
        <v>48253.1</v>
      </c>
      <c r="G1462" s="4">
        <v>48256.864999999998</v>
      </c>
      <c r="H1462" s="5">
        <f>19 / 86400</f>
        <v>2.199074074074074E-4</v>
      </c>
      <c r="I1462" t="s">
        <v>50</v>
      </c>
      <c r="J1462" t="s">
        <v>199</v>
      </c>
      <c r="K1462" s="5">
        <f>264 / 86400</f>
        <v>3.0555555555555557E-3</v>
      </c>
      <c r="L1462" s="5">
        <f>12620 / 86400</f>
        <v>0.14606481481481481</v>
      </c>
    </row>
    <row r="1463" spans="1:12" x14ac:dyDescent="0.25">
      <c r="A1463" s="3">
        <v>45696.980787037042</v>
      </c>
      <c r="B1463" t="s">
        <v>29</v>
      </c>
      <c r="C1463" s="3">
        <v>45696.982766203699</v>
      </c>
      <c r="D1463" t="s">
        <v>120</v>
      </c>
      <c r="E1463" s="4">
        <v>0.245</v>
      </c>
      <c r="F1463" s="4">
        <v>48256.864999999998</v>
      </c>
      <c r="G1463" s="4">
        <v>48257.11</v>
      </c>
      <c r="H1463" s="5">
        <f>99 / 86400</f>
        <v>1.1458333333333333E-3</v>
      </c>
      <c r="I1463" t="s">
        <v>85</v>
      </c>
      <c r="J1463" t="s">
        <v>136</v>
      </c>
      <c r="K1463" s="5">
        <f>171 / 86400</f>
        <v>1.9791666666666668E-3</v>
      </c>
      <c r="L1463" s="5">
        <f>1488 / 86400</f>
        <v>1.7222222222222222E-2</v>
      </c>
    </row>
    <row r="1464" spans="1:12" x14ac:dyDescent="0.25">
      <c r="A1464" s="12"/>
      <c r="B1464" s="12"/>
      <c r="C1464" s="12"/>
      <c r="D1464" s="12"/>
      <c r="E1464" s="12"/>
      <c r="F1464" s="12"/>
      <c r="G1464" s="12"/>
      <c r="H1464" s="12"/>
      <c r="I1464" s="12"/>
      <c r="J1464" s="12"/>
    </row>
    <row r="1465" spans="1:12" x14ac:dyDescent="0.25">
      <c r="A1465" s="12"/>
      <c r="B1465" s="12"/>
      <c r="C1465" s="12"/>
      <c r="D1465" s="12"/>
      <c r="E1465" s="12"/>
      <c r="F1465" s="12"/>
      <c r="G1465" s="12"/>
      <c r="H1465" s="12"/>
      <c r="I1465" s="12"/>
      <c r="J1465" s="12"/>
    </row>
    <row r="1466" spans="1:12" s="10" customFormat="1" ht="20.100000000000001" customHeight="1" x14ac:dyDescent="0.35">
      <c r="A1466" s="15" t="s">
        <v>565</v>
      </c>
      <c r="B1466" s="15"/>
      <c r="C1466" s="15"/>
      <c r="D1466" s="15"/>
      <c r="E1466" s="15"/>
      <c r="F1466" s="15"/>
      <c r="G1466" s="15"/>
      <c r="H1466" s="15"/>
      <c r="I1466" s="15"/>
      <c r="J1466" s="15"/>
    </row>
    <row r="1467" spans="1:12" x14ac:dyDescent="0.25">
      <c r="A1467" s="12"/>
      <c r="B1467" s="12"/>
      <c r="C1467" s="12"/>
      <c r="D1467" s="12"/>
      <c r="E1467" s="12"/>
      <c r="F1467" s="12"/>
      <c r="G1467" s="12"/>
      <c r="H1467" s="12"/>
      <c r="I1467" s="12"/>
      <c r="J1467" s="12"/>
    </row>
    <row r="1468" spans="1:12" ht="30" x14ac:dyDescent="0.25">
      <c r="A1468" s="2" t="s">
        <v>6</v>
      </c>
      <c r="B1468" s="2" t="s">
        <v>7</v>
      </c>
      <c r="C1468" s="2" t="s">
        <v>8</v>
      </c>
      <c r="D1468" s="2" t="s">
        <v>9</v>
      </c>
      <c r="E1468" s="2" t="s">
        <v>10</v>
      </c>
      <c r="F1468" s="2" t="s">
        <v>11</v>
      </c>
      <c r="G1468" s="2" t="s">
        <v>12</v>
      </c>
      <c r="H1468" s="2" t="s">
        <v>13</v>
      </c>
      <c r="I1468" s="2" t="s">
        <v>14</v>
      </c>
      <c r="J1468" s="2" t="s">
        <v>15</v>
      </c>
      <c r="K1468" s="2" t="s">
        <v>16</v>
      </c>
      <c r="L1468" s="2" t="s">
        <v>17</v>
      </c>
    </row>
    <row r="1469" spans="1:12" x14ac:dyDescent="0.25">
      <c r="A1469" s="3">
        <v>45696</v>
      </c>
      <c r="B1469" t="s">
        <v>122</v>
      </c>
      <c r="C1469" s="3">
        <v>45696.087106481486</v>
      </c>
      <c r="D1469" t="s">
        <v>137</v>
      </c>
      <c r="E1469" s="4">
        <v>45.973999999999997</v>
      </c>
      <c r="F1469" s="4">
        <v>57947.466</v>
      </c>
      <c r="G1469" s="4">
        <v>57993.440000000002</v>
      </c>
      <c r="H1469" s="5">
        <f>2100 / 86400</f>
        <v>2.4305555555555556E-2</v>
      </c>
      <c r="I1469" t="s">
        <v>55</v>
      </c>
      <c r="J1469" t="s">
        <v>221</v>
      </c>
      <c r="K1469" s="5">
        <f>7526 / 86400</f>
        <v>8.7106481481481479E-2</v>
      </c>
      <c r="L1469" s="5">
        <f>70 / 86400</f>
        <v>8.1018518518518516E-4</v>
      </c>
    </row>
    <row r="1470" spans="1:12" x14ac:dyDescent="0.25">
      <c r="A1470" s="3">
        <v>45696.087916666671</v>
      </c>
      <c r="B1470" t="s">
        <v>137</v>
      </c>
      <c r="C1470" s="3">
        <v>45696.088958333334</v>
      </c>
      <c r="D1470" t="s">
        <v>137</v>
      </c>
      <c r="E1470" s="4">
        <v>4.1000000000000002E-2</v>
      </c>
      <c r="F1470" s="4">
        <v>57993.440000000002</v>
      </c>
      <c r="G1470" s="4">
        <v>57993.481</v>
      </c>
      <c r="H1470" s="5">
        <f>40 / 86400</f>
        <v>4.6296296296296298E-4</v>
      </c>
      <c r="I1470" t="s">
        <v>162</v>
      </c>
      <c r="J1470" t="s">
        <v>132</v>
      </c>
      <c r="K1470" s="5">
        <f>89 / 86400</f>
        <v>1.0300925925925926E-3</v>
      </c>
      <c r="L1470" s="5">
        <f>273 / 86400</f>
        <v>3.1597222222222222E-3</v>
      </c>
    </row>
    <row r="1471" spans="1:12" x14ac:dyDescent="0.25">
      <c r="A1471" s="3">
        <v>45696.09211805556</v>
      </c>
      <c r="B1471" t="s">
        <v>137</v>
      </c>
      <c r="C1471" s="3">
        <v>45696.0940162037</v>
      </c>
      <c r="D1471" t="s">
        <v>335</v>
      </c>
      <c r="E1471" s="4">
        <v>1.1080000000000001</v>
      </c>
      <c r="F1471" s="4">
        <v>57993.481</v>
      </c>
      <c r="G1471" s="4">
        <v>57994.589</v>
      </c>
      <c r="H1471" s="5">
        <f>0 / 86400</f>
        <v>0</v>
      </c>
      <c r="I1471" t="s">
        <v>23</v>
      </c>
      <c r="J1471" t="s">
        <v>140</v>
      </c>
      <c r="K1471" s="5">
        <f>163 / 86400</f>
        <v>1.8865740740740742E-3</v>
      </c>
      <c r="L1471" s="5">
        <f>19 / 86400</f>
        <v>2.199074074074074E-4</v>
      </c>
    </row>
    <row r="1472" spans="1:12" x14ac:dyDescent="0.25">
      <c r="A1472" s="3">
        <v>45696.094236111108</v>
      </c>
      <c r="B1472" t="s">
        <v>335</v>
      </c>
      <c r="C1472" s="3">
        <v>45696.094363425931</v>
      </c>
      <c r="D1472" t="s">
        <v>335</v>
      </c>
      <c r="E1472" s="4">
        <v>0</v>
      </c>
      <c r="F1472" s="4">
        <v>57994.589</v>
      </c>
      <c r="G1472" s="4">
        <v>57994.589</v>
      </c>
      <c r="H1472" s="5">
        <f>0 / 86400</f>
        <v>0</v>
      </c>
      <c r="I1472" t="s">
        <v>133</v>
      </c>
      <c r="J1472" t="s">
        <v>133</v>
      </c>
      <c r="K1472" s="5">
        <f>11 / 86400</f>
        <v>1.273148148148148E-4</v>
      </c>
      <c r="L1472" s="5">
        <f>404 / 86400</f>
        <v>4.6759259259259263E-3</v>
      </c>
    </row>
    <row r="1473" spans="1:12" x14ac:dyDescent="0.25">
      <c r="A1473" s="3">
        <v>45696.099039351851</v>
      </c>
      <c r="B1473" t="s">
        <v>335</v>
      </c>
      <c r="C1473" s="3">
        <v>45696.101446759261</v>
      </c>
      <c r="D1473" t="s">
        <v>502</v>
      </c>
      <c r="E1473" s="4">
        <v>0.314</v>
      </c>
      <c r="F1473" s="4">
        <v>57994.589</v>
      </c>
      <c r="G1473" s="4">
        <v>57994.902999999998</v>
      </c>
      <c r="H1473" s="5">
        <f>80 / 86400</f>
        <v>9.2592592592592596E-4</v>
      </c>
      <c r="I1473" t="s">
        <v>138</v>
      </c>
      <c r="J1473" t="s">
        <v>136</v>
      </c>
      <c r="K1473" s="5">
        <f>207 / 86400</f>
        <v>2.3958333333333331E-3</v>
      </c>
      <c r="L1473" s="5">
        <f>6329 / 86400</f>
        <v>7.3252314814814812E-2</v>
      </c>
    </row>
    <row r="1474" spans="1:12" x14ac:dyDescent="0.25">
      <c r="A1474" s="3">
        <v>45696.174699074079</v>
      </c>
      <c r="B1474" t="s">
        <v>502</v>
      </c>
      <c r="C1474" s="3">
        <v>45696.176365740743</v>
      </c>
      <c r="D1474" t="s">
        <v>503</v>
      </c>
      <c r="E1474" s="4">
        <v>0.128</v>
      </c>
      <c r="F1474" s="4">
        <v>57994.902999999998</v>
      </c>
      <c r="G1474" s="4">
        <v>57995.031000000003</v>
      </c>
      <c r="H1474" s="5">
        <f>79 / 86400</f>
        <v>9.1435185185185185E-4</v>
      </c>
      <c r="I1474" t="s">
        <v>162</v>
      </c>
      <c r="J1474" t="s">
        <v>188</v>
      </c>
      <c r="K1474" s="5">
        <f>144 / 86400</f>
        <v>1.6666666666666668E-3</v>
      </c>
      <c r="L1474" s="5">
        <f>329 / 86400</f>
        <v>3.8078703703703703E-3</v>
      </c>
    </row>
    <row r="1475" spans="1:12" x14ac:dyDescent="0.25">
      <c r="A1475" s="3">
        <v>45696.180173611108</v>
      </c>
      <c r="B1475" t="s">
        <v>503</v>
      </c>
      <c r="C1475" s="3">
        <v>45696.183796296296</v>
      </c>
      <c r="D1475" t="s">
        <v>396</v>
      </c>
      <c r="E1475" s="4">
        <v>0.61399999999999999</v>
      </c>
      <c r="F1475" s="4">
        <v>57995.031000000003</v>
      </c>
      <c r="G1475" s="4">
        <v>57995.644999999997</v>
      </c>
      <c r="H1475" s="5">
        <f>120 / 86400</f>
        <v>1.3888888888888889E-3</v>
      </c>
      <c r="I1475" t="s">
        <v>138</v>
      </c>
      <c r="J1475" t="s">
        <v>90</v>
      </c>
      <c r="K1475" s="5">
        <f>313 / 86400</f>
        <v>3.6226851851851854E-3</v>
      </c>
      <c r="L1475" s="5">
        <f>118 / 86400</f>
        <v>1.3657407407407407E-3</v>
      </c>
    </row>
    <row r="1476" spans="1:12" x14ac:dyDescent="0.25">
      <c r="A1476" s="3">
        <v>45696.185162037036</v>
      </c>
      <c r="B1476" t="s">
        <v>396</v>
      </c>
      <c r="C1476" s="3">
        <v>45696.280914351853</v>
      </c>
      <c r="D1476" t="s">
        <v>359</v>
      </c>
      <c r="E1476" s="4">
        <v>43.588000000000001</v>
      </c>
      <c r="F1476" s="4">
        <v>57995.644999999997</v>
      </c>
      <c r="G1476" s="4">
        <v>58039.233</v>
      </c>
      <c r="H1476" s="5">
        <f>2639 / 86400</f>
        <v>3.0543981481481481E-2</v>
      </c>
      <c r="I1476" t="s">
        <v>78</v>
      </c>
      <c r="J1476" t="s">
        <v>94</v>
      </c>
      <c r="K1476" s="5">
        <f>8272 / 86400</f>
        <v>9.5740740740740737E-2</v>
      </c>
      <c r="L1476" s="5">
        <f>83 / 86400</f>
        <v>9.6064814814814819E-4</v>
      </c>
    </row>
    <row r="1477" spans="1:12" x14ac:dyDescent="0.25">
      <c r="A1477" s="3">
        <v>45696.281875000001</v>
      </c>
      <c r="B1477" t="s">
        <v>359</v>
      </c>
      <c r="C1477" s="3">
        <v>45696.370289351849</v>
      </c>
      <c r="D1477" t="s">
        <v>137</v>
      </c>
      <c r="E1477" s="4">
        <v>45.545000000000002</v>
      </c>
      <c r="F1477" s="4">
        <v>58039.233</v>
      </c>
      <c r="G1477" s="4">
        <v>58084.777999999998</v>
      </c>
      <c r="H1477" s="5">
        <f>2060 / 86400</f>
        <v>2.3842592592592592E-2</v>
      </c>
      <c r="I1477" t="s">
        <v>30</v>
      </c>
      <c r="J1477" t="s">
        <v>35</v>
      </c>
      <c r="K1477" s="5">
        <f>7639 / 86400</f>
        <v>8.8414351851851855E-2</v>
      </c>
      <c r="L1477" s="5">
        <f>2125 / 86400</f>
        <v>2.4594907407407409E-2</v>
      </c>
    </row>
    <row r="1478" spans="1:12" x14ac:dyDescent="0.25">
      <c r="A1478" s="3">
        <v>45696.394884259258</v>
      </c>
      <c r="B1478" t="s">
        <v>137</v>
      </c>
      <c r="C1478" s="3">
        <v>45696.455266203702</v>
      </c>
      <c r="D1478" t="s">
        <v>319</v>
      </c>
      <c r="E1478" s="4">
        <v>34.232999999999997</v>
      </c>
      <c r="F1478" s="4">
        <v>58084.777999999998</v>
      </c>
      <c r="G1478" s="4">
        <v>58119.010999999999</v>
      </c>
      <c r="H1478" s="5">
        <f>1359 / 86400</f>
        <v>1.5729166666666666E-2</v>
      </c>
      <c r="I1478" t="s">
        <v>124</v>
      </c>
      <c r="J1478" t="s">
        <v>140</v>
      </c>
      <c r="K1478" s="5">
        <f>5217 / 86400</f>
        <v>6.0381944444444446E-2</v>
      </c>
      <c r="L1478" s="5">
        <f>69 / 86400</f>
        <v>7.9861111111111116E-4</v>
      </c>
    </row>
    <row r="1479" spans="1:12" x14ac:dyDescent="0.25">
      <c r="A1479" s="3">
        <v>45696.456064814818</v>
      </c>
      <c r="B1479" t="s">
        <v>319</v>
      </c>
      <c r="C1479" s="3">
        <v>45696.460104166668</v>
      </c>
      <c r="D1479" t="s">
        <v>354</v>
      </c>
      <c r="E1479" s="4">
        <v>1.7629999999999999</v>
      </c>
      <c r="F1479" s="4">
        <v>58119.010999999999</v>
      </c>
      <c r="G1479" s="4">
        <v>58120.773999999998</v>
      </c>
      <c r="H1479" s="5">
        <f>100 / 86400</f>
        <v>1.1574074074074073E-3</v>
      </c>
      <c r="I1479" t="s">
        <v>56</v>
      </c>
      <c r="J1479" t="s">
        <v>50</v>
      </c>
      <c r="K1479" s="5">
        <f>348 / 86400</f>
        <v>4.0277777777777777E-3</v>
      </c>
      <c r="L1479" s="5">
        <f>37 / 86400</f>
        <v>4.2824074074074075E-4</v>
      </c>
    </row>
    <row r="1480" spans="1:12" x14ac:dyDescent="0.25">
      <c r="A1480" s="3">
        <v>45696.460532407407</v>
      </c>
      <c r="B1480" t="s">
        <v>354</v>
      </c>
      <c r="C1480" s="3">
        <v>45696.505694444444</v>
      </c>
      <c r="D1480" t="s">
        <v>492</v>
      </c>
      <c r="E1480" s="4">
        <v>12.74</v>
      </c>
      <c r="F1480" s="4">
        <v>58120.773999999998</v>
      </c>
      <c r="G1480" s="4">
        <v>58133.514000000003</v>
      </c>
      <c r="H1480" s="5">
        <f>1560 / 86400</f>
        <v>1.8055555555555554E-2</v>
      </c>
      <c r="I1480" t="s">
        <v>144</v>
      </c>
      <c r="J1480" t="s">
        <v>59</v>
      </c>
      <c r="K1480" s="5">
        <f>3902 / 86400</f>
        <v>4.5162037037037035E-2</v>
      </c>
      <c r="L1480" s="5">
        <f>116 / 86400</f>
        <v>1.3425925925925925E-3</v>
      </c>
    </row>
    <row r="1481" spans="1:12" x14ac:dyDescent="0.25">
      <c r="A1481" s="3">
        <v>45696.507037037038</v>
      </c>
      <c r="B1481" t="s">
        <v>492</v>
      </c>
      <c r="C1481" s="3">
        <v>45696.59070601852</v>
      </c>
      <c r="D1481" t="s">
        <v>462</v>
      </c>
      <c r="E1481" s="4">
        <v>24.635000000000002</v>
      </c>
      <c r="F1481" s="4">
        <v>58133.514000000003</v>
      </c>
      <c r="G1481" s="4">
        <v>58158.148999999998</v>
      </c>
      <c r="H1481" s="5">
        <f>3240 / 86400</f>
        <v>3.7499999999999999E-2</v>
      </c>
      <c r="I1481" t="s">
        <v>116</v>
      </c>
      <c r="J1481" t="s">
        <v>59</v>
      </c>
      <c r="K1481" s="5">
        <f>7228 / 86400</f>
        <v>8.3657407407407403E-2</v>
      </c>
      <c r="L1481" s="5">
        <f>35 / 86400</f>
        <v>4.0509259259259258E-4</v>
      </c>
    </row>
    <row r="1482" spans="1:12" x14ac:dyDescent="0.25">
      <c r="A1482" s="3">
        <v>45696.591111111113</v>
      </c>
      <c r="B1482" t="s">
        <v>462</v>
      </c>
      <c r="C1482" s="3">
        <v>45696.654664351852</v>
      </c>
      <c r="D1482" t="s">
        <v>486</v>
      </c>
      <c r="E1482" s="4">
        <v>33.61</v>
      </c>
      <c r="F1482" s="4">
        <v>58158.148999999998</v>
      </c>
      <c r="G1482" s="4">
        <v>58191.758999999998</v>
      </c>
      <c r="H1482" s="5">
        <f>1300 / 86400</f>
        <v>1.5046296296296295E-2</v>
      </c>
      <c r="I1482" t="s">
        <v>26</v>
      </c>
      <c r="J1482" t="s">
        <v>221</v>
      </c>
      <c r="K1482" s="5">
        <f>5490 / 86400</f>
        <v>6.3541666666666663E-2</v>
      </c>
      <c r="L1482" s="5">
        <f>65 / 86400</f>
        <v>7.5231481481481482E-4</v>
      </c>
    </row>
    <row r="1483" spans="1:12" x14ac:dyDescent="0.25">
      <c r="A1483" s="3">
        <v>45696.655416666668</v>
      </c>
      <c r="B1483" t="s">
        <v>486</v>
      </c>
      <c r="C1483" s="3">
        <v>45696.656990740739</v>
      </c>
      <c r="D1483" t="s">
        <v>82</v>
      </c>
      <c r="E1483" s="4">
        <v>0.373</v>
      </c>
      <c r="F1483" s="4">
        <v>58191.758999999998</v>
      </c>
      <c r="G1483" s="4">
        <v>58192.131999999998</v>
      </c>
      <c r="H1483" s="5">
        <f>39 / 86400</f>
        <v>4.5138888888888887E-4</v>
      </c>
      <c r="I1483" t="s">
        <v>221</v>
      </c>
      <c r="J1483" t="s">
        <v>85</v>
      </c>
      <c r="K1483" s="5">
        <f>135 / 86400</f>
        <v>1.5625000000000001E-3</v>
      </c>
      <c r="L1483" s="5">
        <f>154 / 86400</f>
        <v>1.7824074074074075E-3</v>
      </c>
    </row>
    <row r="1484" spans="1:12" x14ac:dyDescent="0.25">
      <c r="A1484" s="3">
        <v>45696.658773148149</v>
      </c>
      <c r="B1484" t="s">
        <v>397</v>
      </c>
      <c r="C1484" s="3">
        <v>45696.660937499997</v>
      </c>
      <c r="D1484" t="s">
        <v>82</v>
      </c>
      <c r="E1484" s="4">
        <v>0.21</v>
      </c>
      <c r="F1484" s="4">
        <v>58192.131999999998</v>
      </c>
      <c r="G1484" s="4">
        <v>58192.341999999997</v>
      </c>
      <c r="H1484" s="5">
        <f>99 / 86400</f>
        <v>1.1458333333333333E-3</v>
      </c>
      <c r="I1484" t="s">
        <v>184</v>
      </c>
      <c r="J1484" t="s">
        <v>181</v>
      </c>
      <c r="K1484" s="5">
        <f>186 / 86400</f>
        <v>2.1527777777777778E-3</v>
      </c>
      <c r="L1484" s="5">
        <f>823 / 86400</f>
        <v>9.525462962962963E-3</v>
      </c>
    </row>
    <row r="1485" spans="1:12" x14ac:dyDescent="0.25">
      <c r="A1485" s="3">
        <v>45696.670462962968</v>
      </c>
      <c r="B1485" t="s">
        <v>82</v>
      </c>
      <c r="C1485" s="3">
        <v>45696.671377314815</v>
      </c>
      <c r="D1485" t="s">
        <v>82</v>
      </c>
      <c r="E1485" s="4">
        <v>1.2E-2</v>
      </c>
      <c r="F1485" s="4">
        <v>58192.341999999997</v>
      </c>
      <c r="G1485" s="4">
        <v>58192.353999999999</v>
      </c>
      <c r="H1485" s="5">
        <f>39 / 86400</f>
        <v>4.5138888888888887E-4</v>
      </c>
      <c r="I1485" t="s">
        <v>91</v>
      </c>
      <c r="J1485" t="s">
        <v>91</v>
      </c>
      <c r="K1485" s="5">
        <f>78 / 86400</f>
        <v>9.0277777777777774E-4</v>
      </c>
      <c r="L1485" s="5">
        <f>542 / 86400</f>
        <v>6.2731481481481484E-3</v>
      </c>
    </row>
    <row r="1486" spans="1:12" x14ac:dyDescent="0.25">
      <c r="A1486" s="3">
        <v>45696.677650462967</v>
      </c>
      <c r="B1486" t="s">
        <v>82</v>
      </c>
      <c r="C1486" s="3">
        <v>45696.679131944446</v>
      </c>
      <c r="D1486" t="s">
        <v>502</v>
      </c>
      <c r="E1486" s="4">
        <v>0.24</v>
      </c>
      <c r="F1486" s="4">
        <v>58192.353999999999</v>
      </c>
      <c r="G1486" s="4">
        <v>58192.593999999997</v>
      </c>
      <c r="H1486" s="5">
        <f>0 / 86400</f>
        <v>0</v>
      </c>
      <c r="I1486" t="s">
        <v>175</v>
      </c>
      <c r="J1486" t="s">
        <v>90</v>
      </c>
      <c r="K1486" s="5">
        <f>128 / 86400</f>
        <v>1.4814814814814814E-3</v>
      </c>
      <c r="L1486" s="5">
        <f>90 / 86400</f>
        <v>1.0416666666666667E-3</v>
      </c>
    </row>
    <row r="1487" spans="1:12" x14ac:dyDescent="0.25">
      <c r="A1487" s="3">
        <v>45696.680173611108</v>
      </c>
      <c r="B1487" t="s">
        <v>502</v>
      </c>
      <c r="C1487" s="3">
        <v>45696.68105324074</v>
      </c>
      <c r="D1487" t="s">
        <v>502</v>
      </c>
      <c r="E1487" s="4">
        <v>3.2000000000000001E-2</v>
      </c>
      <c r="F1487" s="4">
        <v>58192.593999999997</v>
      </c>
      <c r="G1487" s="4">
        <v>58192.625999999997</v>
      </c>
      <c r="H1487" s="5">
        <f>59 / 86400</f>
        <v>6.8287037037037036E-4</v>
      </c>
      <c r="I1487" t="s">
        <v>136</v>
      </c>
      <c r="J1487" t="s">
        <v>132</v>
      </c>
      <c r="K1487" s="5">
        <f>76 / 86400</f>
        <v>8.7962962962962962E-4</v>
      </c>
      <c r="L1487" s="5">
        <f>1282 / 86400</f>
        <v>1.4837962962962963E-2</v>
      </c>
    </row>
    <row r="1488" spans="1:12" x14ac:dyDescent="0.25">
      <c r="A1488" s="3">
        <v>45696.695891203708</v>
      </c>
      <c r="B1488" t="s">
        <v>502</v>
      </c>
      <c r="C1488" s="3">
        <v>45696.697824074072</v>
      </c>
      <c r="D1488" t="s">
        <v>152</v>
      </c>
      <c r="E1488" s="4">
        <v>0.27900000000000003</v>
      </c>
      <c r="F1488" s="4">
        <v>58192.625999999997</v>
      </c>
      <c r="G1488" s="4">
        <v>58192.904999999999</v>
      </c>
      <c r="H1488" s="5">
        <f>40 / 86400</f>
        <v>4.6296296296296298E-4</v>
      </c>
      <c r="I1488" t="s">
        <v>94</v>
      </c>
      <c r="J1488" t="s">
        <v>146</v>
      </c>
      <c r="K1488" s="5">
        <f>167 / 86400</f>
        <v>1.9328703703703704E-3</v>
      </c>
      <c r="L1488" s="5">
        <f>536 / 86400</f>
        <v>6.2037037037037035E-3</v>
      </c>
    </row>
    <row r="1489" spans="1:12" x14ac:dyDescent="0.25">
      <c r="A1489" s="3">
        <v>45696.704027777778</v>
      </c>
      <c r="B1489" t="s">
        <v>152</v>
      </c>
      <c r="C1489" s="3">
        <v>45696.797812500001</v>
      </c>
      <c r="D1489" t="s">
        <v>182</v>
      </c>
      <c r="E1489" s="4">
        <v>40.045999999999999</v>
      </c>
      <c r="F1489" s="4">
        <v>58192.904999999999</v>
      </c>
      <c r="G1489" s="4">
        <v>58232.951000000001</v>
      </c>
      <c r="H1489" s="5">
        <f>3100 / 86400</f>
        <v>3.5879629629629629E-2</v>
      </c>
      <c r="I1489" t="s">
        <v>49</v>
      </c>
      <c r="J1489" t="s">
        <v>50</v>
      </c>
      <c r="K1489" s="5">
        <f>8103 / 86400</f>
        <v>9.3784722222222228E-2</v>
      </c>
      <c r="L1489" s="5">
        <f>44 / 86400</f>
        <v>5.0925925925925921E-4</v>
      </c>
    </row>
    <row r="1490" spans="1:12" x14ac:dyDescent="0.25">
      <c r="A1490" s="3">
        <v>45696.798321759255</v>
      </c>
      <c r="B1490" t="s">
        <v>182</v>
      </c>
      <c r="C1490" s="3">
        <v>45696.827847222223</v>
      </c>
      <c r="D1490" t="s">
        <v>318</v>
      </c>
      <c r="E1490" s="4">
        <v>8.8970000000000002</v>
      </c>
      <c r="F1490" s="4">
        <v>58232.951000000001</v>
      </c>
      <c r="G1490" s="4">
        <v>58241.847999999998</v>
      </c>
      <c r="H1490" s="5">
        <f>1159 / 86400</f>
        <v>1.3414351851851853E-2</v>
      </c>
      <c r="I1490" t="s">
        <v>481</v>
      </c>
      <c r="J1490" t="s">
        <v>47</v>
      </c>
      <c r="K1490" s="5">
        <f>2551 / 86400</f>
        <v>2.9525462962962962E-2</v>
      </c>
      <c r="L1490" s="5">
        <f>36 / 86400</f>
        <v>4.1666666666666669E-4</v>
      </c>
    </row>
    <row r="1491" spans="1:12" x14ac:dyDescent="0.25">
      <c r="A1491" s="3">
        <v>45696.828263888892</v>
      </c>
      <c r="B1491" t="s">
        <v>318</v>
      </c>
      <c r="C1491" s="3">
        <v>45696.893159722225</v>
      </c>
      <c r="D1491" t="s">
        <v>339</v>
      </c>
      <c r="E1491" s="4">
        <v>27.809000000000001</v>
      </c>
      <c r="F1491" s="4">
        <v>58241.847999999998</v>
      </c>
      <c r="G1491" s="4">
        <v>58269.656999999999</v>
      </c>
      <c r="H1491" s="5">
        <f>1899 / 86400</f>
        <v>2.1979166666666668E-2</v>
      </c>
      <c r="I1491" t="s">
        <v>103</v>
      </c>
      <c r="J1491" t="s">
        <v>50</v>
      </c>
      <c r="K1491" s="5">
        <f>5607 / 86400</f>
        <v>6.4895833333333333E-2</v>
      </c>
      <c r="L1491" s="5">
        <f>91 / 86400</f>
        <v>1.0532407407407407E-3</v>
      </c>
    </row>
    <row r="1492" spans="1:12" x14ac:dyDescent="0.25">
      <c r="A1492" s="3">
        <v>45696.894212962958</v>
      </c>
      <c r="B1492" t="s">
        <v>118</v>
      </c>
      <c r="C1492" s="3">
        <v>45696.894328703704</v>
      </c>
      <c r="D1492" t="s">
        <v>118</v>
      </c>
      <c r="E1492" s="4">
        <v>1E-3</v>
      </c>
      <c r="F1492" s="4">
        <v>58269.656999999999</v>
      </c>
      <c r="G1492" s="4">
        <v>58269.658000000003</v>
      </c>
      <c r="H1492" s="5">
        <f>0 / 86400</f>
        <v>0</v>
      </c>
      <c r="I1492" t="s">
        <v>133</v>
      </c>
      <c r="J1492" t="s">
        <v>133</v>
      </c>
      <c r="K1492" s="5">
        <f>10 / 86400</f>
        <v>1.1574074074074075E-4</v>
      </c>
      <c r="L1492" s="5">
        <f>135 / 86400</f>
        <v>1.5625000000000001E-3</v>
      </c>
    </row>
    <row r="1493" spans="1:12" x14ac:dyDescent="0.25">
      <c r="A1493" s="3">
        <v>45696.895891203705</v>
      </c>
      <c r="B1493" t="s">
        <v>339</v>
      </c>
      <c r="C1493" s="3">
        <v>45696.89634259259</v>
      </c>
      <c r="D1493" t="s">
        <v>118</v>
      </c>
      <c r="E1493" s="4">
        <v>6.0000000000000001E-3</v>
      </c>
      <c r="F1493" s="4">
        <v>58269.658000000003</v>
      </c>
      <c r="G1493" s="4">
        <v>58269.663999999997</v>
      </c>
      <c r="H1493" s="5">
        <f>19 / 86400</f>
        <v>2.199074074074074E-4</v>
      </c>
      <c r="I1493" t="s">
        <v>133</v>
      </c>
      <c r="J1493" t="s">
        <v>91</v>
      </c>
      <c r="K1493" s="5">
        <f>39 / 86400</f>
        <v>4.5138888888888887E-4</v>
      </c>
      <c r="L1493" s="5">
        <f>120 / 86400</f>
        <v>1.3888888888888889E-3</v>
      </c>
    </row>
    <row r="1494" spans="1:12" x14ac:dyDescent="0.25">
      <c r="A1494" s="3">
        <v>45696.897731481484</v>
      </c>
      <c r="B1494" t="s">
        <v>118</v>
      </c>
      <c r="C1494" s="3">
        <v>45696.898993055554</v>
      </c>
      <c r="D1494" t="s">
        <v>339</v>
      </c>
      <c r="E1494" s="4">
        <v>2E-3</v>
      </c>
      <c r="F1494" s="4">
        <v>58269.663999999997</v>
      </c>
      <c r="G1494" s="4">
        <v>58269.665999999997</v>
      </c>
      <c r="H1494" s="5">
        <f>99 / 86400</f>
        <v>1.1458333333333333E-3</v>
      </c>
      <c r="I1494" t="s">
        <v>133</v>
      </c>
      <c r="J1494" t="s">
        <v>133</v>
      </c>
      <c r="K1494" s="5">
        <f>109 / 86400</f>
        <v>1.261574074074074E-3</v>
      </c>
      <c r="L1494" s="5">
        <f>423 / 86400</f>
        <v>4.8958333333333336E-3</v>
      </c>
    </row>
    <row r="1495" spans="1:12" x14ac:dyDescent="0.25">
      <c r="A1495" s="3">
        <v>45696.90388888889</v>
      </c>
      <c r="B1495" t="s">
        <v>339</v>
      </c>
      <c r="C1495" s="3">
        <v>45696.99998842593</v>
      </c>
      <c r="D1495" t="s">
        <v>123</v>
      </c>
      <c r="E1495" s="4">
        <v>44.222999999999999</v>
      </c>
      <c r="F1495" s="4">
        <v>58269.665999999997</v>
      </c>
      <c r="G1495" s="4">
        <v>58313.889000000003</v>
      </c>
      <c r="H1495" s="5">
        <f>3199 / 86400</f>
        <v>3.7025462962962961E-2</v>
      </c>
      <c r="I1495" t="s">
        <v>43</v>
      </c>
      <c r="J1495" t="s">
        <v>94</v>
      </c>
      <c r="K1495" s="5">
        <f>8303 / 86400</f>
        <v>9.6099537037037039E-2</v>
      </c>
      <c r="L1495" s="5">
        <f>0 / 86400</f>
        <v>0</v>
      </c>
    </row>
    <row r="1496" spans="1:12" x14ac:dyDescent="0.25">
      <c r="A1496" s="12"/>
      <c r="B1496" s="12"/>
      <c r="C1496" s="12"/>
      <c r="D1496" s="12"/>
      <c r="E1496" s="12"/>
      <c r="F1496" s="12"/>
      <c r="G1496" s="12"/>
      <c r="H1496" s="12"/>
      <c r="I1496" s="12"/>
      <c r="J1496" s="12"/>
    </row>
    <row r="1497" spans="1:12" x14ac:dyDescent="0.25">
      <c r="A1497" s="12"/>
      <c r="B1497" s="12"/>
      <c r="C1497" s="12"/>
      <c r="D1497" s="12"/>
      <c r="E1497" s="12"/>
      <c r="F1497" s="12"/>
      <c r="G1497" s="12"/>
      <c r="H1497" s="12"/>
      <c r="I1497" s="12"/>
      <c r="J1497" s="12"/>
    </row>
    <row r="1498" spans="1:12" s="10" customFormat="1" ht="20.100000000000001" customHeight="1" x14ac:dyDescent="0.35">
      <c r="A1498" s="15" t="s">
        <v>566</v>
      </c>
      <c r="B1498" s="15"/>
      <c r="C1498" s="15"/>
      <c r="D1498" s="15"/>
      <c r="E1498" s="15"/>
      <c r="F1498" s="15"/>
      <c r="G1498" s="15"/>
      <c r="H1498" s="15"/>
      <c r="I1498" s="15"/>
      <c r="J1498" s="15"/>
    </row>
    <row r="1499" spans="1:12" x14ac:dyDescent="0.25">
      <c r="A1499" s="12"/>
      <c r="B1499" s="12"/>
      <c r="C1499" s="12"/>
      <c r="D1499" s="12"/>
      <c r="E1499" s="12"/>
      <c r="F1499" s="12"/>
      <c r="G1499" s="12"/>
      <c r="H1499" s="12"/>
      <c r="I1499" s="12"/>
      <c r="J1499" s="12"/>
    </row>
    <row r="1500" spans="1:12" ht="30" x14ac:dyDescent="0.25">
      <c r="A1500" s="2" t="s">
        <v>6</v>
      </c>
      <c r="B1500" s="2" t="s">
        <v>7</v>
      </c>
      <c r="C1500" s="2" t="s">
        <v>8</v>
      </c>
      <c r="D1500" s="2" t="s">
        <v>9</v>
      </c>
      <c r="E1500" s="2" t="s">
        <v>10</v>
      </c>
      <c r="F1500" s="2" t="s">
        <v>11</v>
      </c>
      <c r="G1500" s="2" t="s">
        <v>12</v>
      </c>
      <c r="H1500" s="2" t="s">
        <v>13</v>
      </c>
      <c r="I1500" s="2" t="s">
        <v>14</v>
      </c>
      <c r="J1500" s="2" t="s">
        <v>15</v>
      </c>
      <c r="K1500" s="2" t="s">
        <v>16</v>
      </c>
      <c r="L1500" s="2" t="s">
        <v>17</v>
      </c>
    </row>
    <row r="1501" spans="1:12" x14ac:dyDescent="0.25">
      <c r="A1501" s="3">
        <v>45696.013182870374</v>
      </c>
      <c r="B1501" t="s">
        <v>21</v>
      </c>
      <c r="C1501" s="3">
        <v>45696.020185185189</v>
      </c>
      <c r="D1501" t="s">
        <v>38</v>
      </c>
      <c r="E1501" s="4">
        <v>1.6120000000000001</v>
      </c>
      <c r="F1501" s="4">
        <v>60917.834000000003</v>
      </c>
      <c r="G1501" s="4">
        <v>60919.446000000004</v>
      </c>
      <c r="H1501" s="5">
        <f>139 / 86400</f>
        <v>1.6087962962962963E-3</v>
      </c>
      <c r="I1501" t="s">
        <v>165</v>
      </c>
      <c r="J1501" t="s">
        <v>85</v>
      </c>
      <c r="K1501" s="5">
        <f>604 / 86400</f>
        <v>6.9907407407407409E-3</v>
      </c>
      <c r="L1501" s="5">
        <f>12959 / 86400</f>
        <v>0.14998842592592593</v>
      </c>
    </row>
    <row r="1502" spans="1:12" x14ac:dyDescent="0.25">
      <c r="A1502" s="3">
        <v>45696.156990740739</v>
      </c>
      <c r="B1502" t="s">
        <v>38</v>
      </c>
      <c r="C1502" s="3">
        <v>45696.375428240739</v>
      </c>
      <c r="D1502" t="s">
        <v>460</v>
      </c>
      <c r="E1502" s="4">
        <v>105.77800000000001</v>
      </c>
      <c r="F1502" s="4">
        <v>60919.446000000004</v>
      </c>
      <c r="G1502" s="4">
        <v>61025.224000000002</v>
      </c>
      <c r="H1502" s="5">
        <f>5716 / 86400</f>
        <v>6.6157407407407401E-2</v>
      </c>
      <c r="I1502" t="s">
        <v>62</v>
      </c>
      <c r="J1502" t="s">
        <v>175</v>
      </c>
      <c r="K1502" s="5">
        <f>18873 / 86400</f>
        <v>0.21843750000000001</v>
      </c>
      <c r="L1502" s="5">
        <f>453 / 86400</f>
        <v>5.2430555555555555E-3</v>
      </c>
    </row>
    <row r="1503" spans="1:12" x14ac:dyDescent="0.25">
      <c r="A1503" s="3">
        <v>45696.380671296298</v>
      </c>
      <c r="B1503" t="s">
        <v>460</v>
      </c>
      <c r="C1503" s="3">
        <v>45696.640810185185</v>
      </c>
      <c r="D1503" t="s">
        <v>45</v>
      </c>
      <c r="E1503" s="4">
        <v>102.045</v>
      </c>
      <c r="F1503" s="4">
        <v>61025.224000000002</v>
      </c>
      <c r="G1503" s="4">
        <v>61127.269</v>
      </c>
      <c r="H1503" s="5">
        <f>8711 / 86400</f>
        <v>0.10082175925925926</v>
      </c>
      <c r="I1503" t="s">
        <v>97</v>
      </c>
      <c r="J1503" t="s">
        <v>28</v>
      </c>
      <c r="K1503" s="5">
        <f>22476 / 86400</f>
        <v>0.26013888888888886</v>
      </c>
      <c r="L1503" s="5">
        <f>130 / 86400</f>
        <v>1.5046296296296296E-3</v>
      </c>
    </row>
    <row r="1504" spans="1:12" x14ac:dyDescent="0.25">
      <c r="A1504" s="3">
        <v>45696.642314814817</v>
      </c>
      <c r="B1504" t="s">
        <v>45</v>
      </c>
      <c r="C1504" s="3">
        <v>45696.642754629633</v>
      </c>
      <c r="D1504" t="s">
        <v>45</v>
      </c>
      <c r="E1504" s="4">
        <v>2.1000000000000001E-2</v>
      </c>
      <c r="F1504" s="4">
        <v>61127.269</v>
      </c>
      <c r="G1504" s="4">
        <v>61127.29</v>
      </c>
      <c r="H1504" s="5">
        <f>0 / 86400</f>
        <v>0</v>
      </c>
      <c r="I1504" t="s">
        <v>136</v>
      </c>
      <c r="J1504" t="s">
        <v>132</v>
      </c>
      <c r="K1504" s="5">
        <f>37 / 86400</f>
        <v>4.2824074074074075E-4</v>
      </c>
      <c r="L1504" s="5">
        <f>580 / 86400</f>
        <v>6.7129629629629631E-3</v>
      </c>
    </row>
    <row r="1505" spans="1:12" x14ac:dyDescent="0.25">
      <c r="A1505" s="3">
        <v>45696.649467592593</v>
      </c>
      <c r="B1505" t="s">
        <v>45</v>
      </c>
      <c r="C1505" s="3">
        <v>45696.654340277775</v>
      </c>
      <c r="D1505" t="s">
        <v>152</v>
      </c>
      <c r="E1505" s="4">
        <v>1.032</v>
      </c>
      <c r="F1505" s="4">
        <v>61127.29</v>
      </c>
      <c r="G1505" s="4">
        <v>61128.322</v>
      </c>
      <c r="H1505" s="5">
        <f>179 / 86400</f>
        <v>2.0717592592592593E-3</v>
      </c>
      <c r="I1505" t="s">
        <v>184</v>
      </c>
      <c r="J1505" t="s">
        <v>162</v>
      </c>
      <c r="K1505" s="5">
        <f>421 / 86400</f>
        <v>4.8726851851851848E-3</v>
      </c>
      <c r="L1505" s="5">
        <f>394 / 86400</f>
        <v>4.5601851851851853E-3</v>
      </c>
    </row>
    <row r="1506" spans="1:12" x14ac:dyDescent="0.25">
      <c r="A1506" s="3">
        <v>45696.658900462964</v>
      </c>
      <c r="B1506" t="s">
        <v>152</v>
      </c>
      <c r="C1506" s="3">
        <v>45696.660034722227</v>
      </c>
      <c r="D1506" t="s">
        <v>152</v>
      </c>
      <c r="E1506" s="4">
        <v>1.7000000000000001E-2</v>
      </c>
      <c r="F1506" s="4">
        <v>61128.322</v>
      </c>
      <c r="G1506" s="4">
        <v>61128.339</v>
      </c>
      <c r="H1506" s="5">
        <f>79 / 86400</f>
        <v>9.1435185185185185E-4</v>
      </c>
      <c r="I1506" t="s">
        <v>133</v>
      </c>
      <c r="J1506" t="s">
        <v>91</v>
      </c>
      <c r="K1506" s="5">
        <f>97 / 86400</f>
        <v>1.1226851851851851E-3</v>
      </c>
      <c r="L1506" s="5">
        <f>2418 / 86400</f>
        <v>2.7986111111111111E-2</v>
      </c>
    </row>
    <row r="1507" spans="1:12" x14ac:dyDescent="0.25">
      <c r="A1507" s="3">
        <v>45696.688020833331</v>
      </c>
      <c r="B1507" t="s">
        <v>152</v>
      </c>
      <c r="C1507" s="3">
        <v>45696.691412037035</v>
      </c>
      <c r="D1507" t="s">
        <v>152</v>
      </c>
      <c r="E1507" s="4">
        <v>9.8000000000000004E-2</v>
      </c>
      <c r="F1507" s="4">
        <v>61128.339</v>
      </c>
      <c r="G1507" s="4">
        <v>61128.436999999998</v>
      </c>
      <c r="H1507" s="5">
        <f>239 / 86400</f>
        <v>2.7662037037037039E-3</v>
      </c>
      <c r="I1507" t="s">
        <v>59</v>
      </c>
      <c r="J1507" t="s">
        <v>91</v>
      </c>
      <c r="K1507" s="5">
        <f>293 / 86400</f>
        <v>3.3912037037037036E-3</v>
      </c>
      <c r="L1507" s="5">
        <f>104 / 86400</f>
        <v>1.2037037037037038E-3</v>
      </c>
    </row>
    <row r="1508" spans="1:12" x14ac:dyDescent="0.25">
      <c r="A1508" s="3">
        <v>45696.692615740743</v>
      </c>
      <c r="B1508" t="s">
        <v>152</v>
      </c>
      <c r="C1508" s="3">
        <v>45696.693599537037</v>
      </c>
      <c r="D1508" t="s">
        <v>504</v>
      </c>
      <c r="E1508" s="4">
        <v>1.7999999999999999E-2</v>
      </c>
      <c r="F1508" s="4">
        <v>61128.436999999998</v>
      </c>
      <c r="G1508" s="4">
        <v>61128.455000000002</v>
      </c>
      <c r="H1508" s="5">
        <f>79 / 86400</f>
        <v>9.1435185185185185E-4</v>
      </c>
      <c r="I1508" t="s">
        <v>133</v>
      </c>
      <c r="J1508" t="s">
        <v>91</v>
      </c>
      <c r="K1508" s="5">
        <f>85 / 86400</f>
        <v>9.837962962962962E-4</v>
      </c>
      <c r="L1508" s="5">
        <f>1870 / 86400</f>
        <v>2.1643518518518517E-2</v>
      </c>
    </row>
    <row r="1509" spans="1:12" x14ac:dyDescent="0.25">
      <c r="A1509" s="3">
        <v>45696.715243055558</v>
      </c>
      <c r="B1509" t="s">
        <v>504</v>
      </c>
      <c r="C1509" s="3">
        <v>45696.718148148153</v>
      </c>
      <c r="D1509" t="s">
        <v>152</v>
      </c>
      <c r="E1509" s="4">
        <v>5.8000000000000003E-2</v>
      </c>
      <c r="F1509" s="4">
        <v>61128.455000000002</v>
      </c>
      <c r="G1509" s="4">
        <v>61128.512999999999</v>
      </c>
      <c r="H1509" s="5">
        <f>211 / 86400</f>
        <v>2.4421296296296296E-3</v>
      </c>
      <c r="I1509" t="s">
        <v>136</v>
      </c>
      <c r="J1509" t="s">
        <v>91</v>
      </c>
      <c r="K1509" s="5">
        <f>251 / 86400</f>
        <v>2.9050925925925928E-3</v>
      </c>
      <c r="L1509" s="5">
        <f>27 / 86400</f>
        <v>3.1250000000000001E-4</v>
      </c>
    </row>
    <row r="1510" spans="1:12" x14ac:dyDescent="0.25">
      <c r="A1510" s="3">
        <v>45696.718460648146</v>
      </c>
      <c r="B1510" t="s">
        <v>152</v>
      </c>
      <c r="C1510" s="3">
        <v>45696.99998842593</v>
      </c>
      <c r="D1510" t="s">
        <v>125</v>
      </c>
      <c r="E1510" s="4">
        <v>127.015</v>
      </c>
      <c r="F1510" s="4">
        <v>61128.512999999999</v>
      </c>
      <c r="G1510" s="4">
        <v>61255.527999999998</v>
      </c>
      <c r="H1510" s="5">
        <f>8904 / 86400</f>
        <v>0.10305555555555555</v>
      </c>
      <c r="I1510" t="s">
        <v>124</v>
      </c>
      <c r="J1510" t="s">
        <v>94</v>
      </c>
      <c r="K1510" s="5">
        <f>24324 / 86400</f>
        <v>0.28152777777777777</v>
      </c>
      <c r="L1510" s="5">
        <f>0 / 86400</f>
        <v>0</v>
      </c>
    </row>
    <row r="1511" spans="1:12" x14ac:dyDescent="0.25">
      <c r="A1511" s="12"/>
      <c r="B1511" s="12"/>
      <c r="C1511" s="12"/>
      <c r="D1511" s="12"/>
      <c r="E1511" s="12"/>
      <c r="F1511" s="12"/>
      <c r="G1511" s="12"/>
      <c r="H1511" s="12"/>
      <c r="I1511" s="12"/>
      <c r="J1511" s="12"/>
    </row>
    <row r="1512" spans="1:12" x14ac:dyDescent="0.25">
      <c r="A1512" s="12"/>
      <c r="B1512" s="12"/>
      <c r="C1512" s="12"/>
      <c r="D1512" s="12"/>
      <c r="E1512" s="12"/>
      <c r="F1512" s="12"/>
      <c r="G1512" s="12"/>
      <c r="H1512" s="12"/>
      <c r="I1512" s="12"/>
      <c r="J1512" s="12"/>
    </row>
    <row r="1513" spans="1:12" s="10" customFormat="1" ht="20.100000000000001" customHeight="1" x14ac:dyDescent="0.35">
      <c r="A1513" s="15" t="s">
        <v>567</v>
      </c>
      <c r="B1513" s="15"/>
      <c r="C1513" s="15"/>
      <c r="D1513" s="15"/>
      <c r="E1513" s="15"/>
      <c r="F1513" s="15"/>
      <c r="G1513" s="15"/>
      <c r="H1513" s="15"/>
      <c r="I1513" s="15"/>
      <c r="J1513" s="15"/>
    </row>
    <row r="1514" spans="1:12" x14ac:dyDescent="0.25">
      <c r="A1514" s="12"/>
      <c r="B1514" s="12"/>
      <c r="C1514" s="12"/>
      <c r="D1514" s="12"/>
      <c r="E1514" s="12"/>
      <c r="F1514" s="12"/>
      <c r="G1514" s="12"/>
      <c r="H1514" s="12"/>
      <c r="I1514" s="12"/>
      <c r="J1514" s="12"/>
    </row>
    <row r="1515" spans="1:12" ht="30" x14ac:dyDescent="0.25">
      <c r="A1515" s="2" t="s">
        <v>6</v>
      </c>
      <c r="B1515" s="2" t="s">
        <v>7</v>
      </c>
      <c r="C1515" s="2" t="s">
        <v>8</v>
      </c>
      <c r="D1515" s="2" t="s">
        <v>9</v>
      </c>
      <c r="E1515" s="2" t="s">
        <v>10</v>
      </c>
      <c r="F1515" s="2" t="s">
        <v>11</v>
      </c>
      <c r="G1515" s="2" t="s">
        <v>12</v>
      </c>
      <c r="H1515" s="2" t="s">
        <v>13</v>
      </c>
      <c r="I1515" s="2" t="s">
        <v>14</v>
      </c>
      <c r="J1515" s="2" t="s">
        <v>15</v>
      </c>
      <c r="K1515" s="2" t="s">
        <v>16</v>
      </c>
      <c r="L1515" s="2" t="s">
        <v>17</v>
      </c>
    </row>
    <row r="1516" spans="1:12" x14ac:dyDescent="0.25">
      <c r="A1516" s="3">
        <v>45696</v>
      </c>
      <c r="B1516" t="s">
        <v>126</v>
      </c>
      <c r="C1516" s="3">
        <v>45696.064328703702</v>
      </c>
      <c r="D1516" t="s">
        <v>45</v>
      </c>
      <c r="E1516" s="4">
        <v>23.838000000000001</v>
      </c>
      <c r="F1516" s="4">
        <v>290756.80499999999</v>
      </c>
      <c r="G1516" s="4">
        <v>290780.64299999998</v>
      </c>
      <c r="H1516" s="5">
        <f>3060 / 86400</f>
        <v>3.5416666666666666E-2</v>
      </c>
      <c r="I1516" t="s">
        <v>81</v>
      </c>
      <c r="J1516" t="s">
        <v>24</v>
      </c>
      <c r="K1516" s="5">
        <f>5558 / 86400</f>
        <v>6.4328703703703707E-2</v>
      </c>
      <c r="L1516" s="5">
        <f>23891 / 86400</f>
        <v>0.27651620370370372</v>
      </c>
    </row>
    <row r="1517" spans="1:12" x14ac:dyDescent="0.25">
      <c r="A1517" s="3">
        <v>45696.340844907405</v>
      </c>
      <c r="B1517" t="s">
        <v>45</v>
      </c>
      <c r="C1517" s="3">
        <v>45696.350520833337</v>
      </c>
      <c r="D1517" t="s">
        <v>45</v>
      </c>
      <c r="E1517" s="4">
        <v>6.3E-2</v>
      </c>
      <c r="F1517" s="4">
        <v>290780.64299999998</v>
      </c>
      <c r="G1517" s="4">
        <v>290780.70600000001</v>
      </c>
      <c r="H1517" s="5">
        <f>699 / 86400</f>
        <v>8.0902777777777778E-3</v>
      </c>
      <c r="I1517" t="s">
        <v>136</v>
      </c>
      <c r="J1517" t="s">
        <v>133</v>
      </c>
      <c r="K1517" s="5">
        <f>836 / 86400</f>
        <v>9.6759259259259264E-3</v>
      </c>
      <c r="L1517" s="5">
        <f>13 / 86400</f>
        <v>1.5046296296296297E-4</v>
      </c>
    </row>
    <row r="1518" spans="1:12" x14ac:dyDescent="0.25">
      <c r="A1518" s="3">
        <v>45696.350671296299</v>
      </c>
      <c r="B1518" t="s">
        <v>45</v>
      </c>
      <c r="C1518" s="3">
        <v>45696.354884259257</v>
      </c>
      <c r="D1518" t="s">
        <v>45</v>
      </c>
      <c r="E1518" s="4">
        <v>0</v>
      </c>
      <c r="F1518" s="4">
        <v>290780.70600000001</v>
      </c>
      <c r="G1518" s="4">
        <v>290780.70600000001</v>
      </c>
      <c r="H1518" s="5">
        <f>359 / 86400</f>
        <v>4.1550925925925922E-3</v>
      </c>
      <c r="I1518" t="s">
        <v>133</v>
      </c>
      <c r="J1518" t="s">
        <v>133</v>
      </c>
      <c r="K1518" s="5">
        <f>364 / 86400</f>
        <v>4.2129629629629626E-3</v>
      </c>
      <c r="L1518" s="5">
        <f>911 / 86400</f>
        <v>1.0543981481481482E-2</v>
      </c>
    </row>
    <row r="1519" spans="1:12" x14ac:dyDescent="0.25">
      <c r="A1519" s="3">
        <v>45696.365428240737</v>
      </c>
      <c r="B1519" t="s">
        <v>45</v>
      </c>
      <c r="C1519" s="3">
        <v>45696.385185185187</v>
      </c>
      <c r="D1519" t="s">
        <v>397</v>
      </c>
      <c r="E1519" s="4">
        <v>0.86799999999999999</v>
      </c>
      <c r="F1519" s="4">
        <v>290780.70600000001</v>
      </c>
      <c r="G1519" s="4">
        <v>290781.57400000002</v>
      </c>
      <c r="H1519" s="5">
        <f>1340 / 86400</f>
        <v>1.5509259259259259E-2</v>
      </c>
      <c r="I1519" t="s">
        <v>287</v>
      </c>
      <c r="J1519" t="s">
        <v>132</v>
      </c>
      <c r="K1519" s="5">
        <f>1707 / 86400</f>
        <v>1.9756944444444445E-2</v>
      </c>
      <c r="L1519" s="5">
        <f>409 / 86400</f>
        <v>4.7337962962962967E-3</v>
      </c>
    </row>
    <row r="1520" spans="1:12" x14ac:dyDescent="0.25">
      <c r="A1520" s="3">
        <v>45696.389918981484</v>
      </c>
      <c r="B1520" t="s">
        <v>397</v>
      </c>
      <c r="C1520" s="3">
        <v>45696.412835648152</v>
      </c>
      <c r="D1520" t="s">
        <v>45</v>
      </c>
      <c r="E1520" s="4">
        <v>0.78400000000000003</v>
      </c>
      <c r="F1520" s="4">
        <v>290781.57400000002</v>
      </c>
      <c r="G1520" s="4">
        <v>290782.35800000001</v>
      </c>
      <c r="H1520" s="5">
        <f>1740 / 86400</f>
        <v>2.013888888888889E-2</v>
      </c>
      <c r="I1520" t="s">
        <v>168</v>
      </c>
      <c r="J1520" t="s">
        <v>91</v>
      </c>
      <c r="K1520" s="5">
        <f>1980 / 86400</f>
        <v>2.2916666666666665E-2</v>
      </c>
      <c r="L1520" s="5">
        <f>2170 / 86400</f>
        <v>2.5115740740740741E-2</v>
      </c>
    </row>
    <row r="1521" spans="1:12" x14ac:dyDescent="0.25">
      <c r="A1521" s="3">
        <v>45696.437951388885</v>
      </c>
      <c r="B1521" t="s">
        <v>45</v>
      </c>
      <c r="C1521" s="3">
        <v>45696.441203703704</v>
      </c>
      <c r="D1521" t="s">
        <v>45</v>
      </c>
      <c r="E1521" s="4">
        <v>0</v>
      </c>
      <c r="F1521" s="4">
        <v>290782.35800000001</v>
      </c>
      <c r="G1521" s="4">
        <v>290782.35800000001</v>
      </c>
      <c r="H1521" s="5">
        <f>279 / 86400</f>
        <v>3.2291666666666666E-3</v>
      </c>
      <c r="I1521" t="s">
        <v>133</v>
      </c>
      <c r="J1521" t="s">
        <v>133</v>
      </c>
      <c r="K1521" s="5">
        <f>281 / 86400</f>
        <v>3.2523148148148147E-3</v>
      </c>
      <c r="L1521" s="5">
        <f>318 / 86400</f>
        <v>3.6805555555555554E-3</v>
      </c>
    </row>
    <row r="1522" spans="1:12" x14ac:dyDescent="0.25">
      <c r="A1522" s="3">
        <v>45696.444884259261</v>
      </c>
      <c r="B1522" t="s">
        <v>45</v>
      </c>
      <c r="C1522" s="3">
        <v>45696.449282407411</v>
      </c>
      <c r="D1522" t="s">
        <v>45</v>
      </c>
      <c r="E1522" s="4">
        <v>0</v>
      </c>
      <c r="F1522" s="4">
        <v>290782.35800000001</v>
      </c>
      <c r="G1522" s="4">
        <v>290782.35800000001</v>
      </c>
      <c r="H1522" s="5">
        <f>359 / 86400</f>
        <v>4.1550925925925922E-3</v>
      </c>
      <c r="I1522" t="s">
        <v>133</v>
      </c>
      <c r="J1522" t="s">
        <v>133</v>
      </c>
      <c r="K1522" s="5">
        <f>380 / 86400</f>
        <v>4.3981481481481484E-3</v>
      </c>
      <c r="L1522" s="5">
        <f>635 / 86400</f>
        <v>7.3495370370370372E-3</v>
      </c>
    </row>
    <row r="1523" spans="1:12" x14ac:dyDescent="0.25">
      <c r="A1523" s="3">
        <v>45696.456631944442</v>
      </c>
      <c r="B1523" t="s">
        <v>45</v>
      </c>
      <c r="C1523" s="3">
        <v>45696.460312499999</v>
      </c>
      <c r="D1523" t="s">
        <v>45</v>
      </c>
      <c r="E1523" s="4">
        <v>0</v>
      </c>
      <c r="F1523" s="4">
        <v>290782.35800000001</v>
      </c>
      <c r="G1523" s="4">
        <v>290782.35800000001</v>
      </c>
      <c r="H1523" s="5">
        <f>299 / 86400</f>
        <v>3.460648148148148E-3</v>
      </c>
      <c r="I1523" t="s">
        <v>133</v>
      </c>
      <c r="J1523" t="s">
        <v>133</v>
      </c>
      <c r="K1523" s="5">
        <f>318 / 86400</f>
        <v>3.6805555555555554E-3</v>
      </c>
      <c r="L1523" s="5">
        <f>11321 / 86400</f>
        <v>0.1310300925925926</v>
      </c>
    </row>
    <row r="1524" spans="1:12" x14ac:dyDescent="0.25">
      <c r="A1524" s="3">
        <v>45696.591342592597</v>
      </c>
      <c r="B1524" t="s">
        <v>45</v>
      </c>
      <c r="C1524" s="3">
        <v>45696.99998842593</v>
      </c>
      <c r="D1524" t="s">
        <v>127</v>
      </c>
      <c r="E1524" s="4">
        <v>147.16200000000001</v>
      </c>
      <c r="F1524" s="4">
        <v>290782.35800000001</v>
      </c>
      <c r="G1524" s="4">
        <v>290929.52</v>
      </c>
      <c r="H1524" s="5">
        <f>14138 / 86400</f>
        <v>0.16363425925925926</v>
      </c>
      <c r="I1524" t="s">
        <v>128</v>
      </c>
      <c r="J1524" t="s">
        <v>24</v>
      </c>
      <c r="K1524" s="5">
        <f>35307 / 86400</f>
        <v>0.40864583333333332</v>
      </c>
      <c r="L1524" s="5">
        <f>0 / 86400</f>
        <v>0</v>
      </c>
    </row>
    <row r="1525" spans="1:12" x14ac:dyDescent="0.25">
      <c r="A1525" s="12"/>
      <c r="B1525" s="12"/>
      <c r="C1525" s="12"/>
      <c r="D1525" s="12"/>
      <c r="E1525" s="12"/>
      <c r="F1525" s="12"/>
      <c r="G1525" s="12"/>
      <c r="H1525" s="12"/>
      <c r="I1525" s="12"/>
      <c r="J1525" s="12"/>
    </row>
    <row r="1526" spans="1:12" x14ac:dyDescent="0.25">
      <c r="A1526" s="12" t="s">
        <v>130</v>
      </c>
      <c r="B1526" s="12"/>
      <c r="C1526" s="12"/>
      <c r="D1526" s="12"/>
      <c r="E1526" s="12"/>
      <c r="F1526" s="12"/>
      <c r="G1526" s="12"/>
      <c r="H1526" s="12"/>
      <c r="I1526" s="12"/>
      <c r="J1526" s="12"/>
    </row>
  </sheetData>
  <mergeCells count="262">
    <mergeCell ref="A1525:J1525"/>
    <mergeCell ref="A1526:J1526"/>
    <mergeCell ref="A1467:J1467"/>
    <mergeCell ref="A1496:J1496"/>
    <mergeCell ref="A1497:J1497"/>
    <mergeCell ref="A1498:J1498"/>
    <mergeCell ref="A1499:J1499"/>
    <mergeCell ref="A1511:J1511"/>
    <mergeCell ref="A1512:J1512"/>
    <mergeCell ref="A1513:J1513"/>
    <mergeCell ref="A1514:J1514"/>
    <mergeCell ref="A1434:J1434"/>
    <mergeCell ref="A1435:J1435"/>
    <mergeCell ref="A1445:J1445"/>
    <mergeCell ref="A1446:J1446"/>
    <mergeCell ref="A1447:J1447"/>
    <mergeCell ref="A1448:J1448"/>
    <mergeCell ref="A1464:J1464"/>
    <mergeCell ref="A1465:J1465"/>
    <mergeCell ref="A1466:J1466"/>
    <mergeCell ref="A1395:J1395"/>
    <mergeCell ref="A1396:J1396"/>
    <mergeCell ref="A1397:J1397"/>
    <mergeCell ref="A1411:J1411"/>
    <mergeCell ref="A1412:J1412"/>
    <mergeCell ref="A1413:J1413"/>
    <mergeCell ref="A1414:J1414"/>
    <mergeCell ref="A1432:J1432"/>
    <mergeCell ref="A1433:J1433"/>
    <mergeCell ref="A1364:J1364"/>
    <mergeCell ref="A1365:J1365"/>
    <mergeCell ref="A1366:J1366"/>
    <mergeCell ref="A1367:J1367"/>
    <mergeCell ref="A1380:J1380"/>
    <mergeCell ref="A1381:J1381"/>
    <mergeCell ref="A1382:J1382"/>
    <mergeCell ref="A1383:J1383"/>
    <mergeCell ref="A1394:J1394"/>
    <mergeCell ref="A1335:J1335"/>
    <mergeCell ref="A1343:J1343"/>
    <mergeCell ref="A1344:J1344"/>
    <mergeCell ref="A1345:J1345"/>
    <mergeCell ref="A1346:J1346"/>
    <mergeCell ref="A1356:J1356"/>
    <mergeCell ref="A1357:J1357"/>
    <mergeCell ref="A1358:J1358"/>
    <mergeCell ref="A1359:J1359"/>
    <mergeCell ref="A1309:J1309"/>
    <mergeCell ref="A1310:J1310"/>
    <mergeCell ref="A1321:J1321"/>
    <mergeCell ref="A1322:J1322"/>
    <mergeCell ref="A1323:J1323"/>
    <mergeCell ref="A1324:J1324"/>
    <mergeCell ref="A1332:J1332"/>
    <mergeCell ref="A1333:J1333"/>
    <mergeCell ref="A1334:J1334"/>
    <mergeCell ref="A1262:J1262"/>
    <mergeCell ref="A1263:J1263"/>
    <mergeCell ref="A1264:J1264"/>
    <mergeCell ref="A1282:J1282"/>
    <mergeCell ref="A1283:J1283"/>
    <mergeCell ref="A1284:J1284"/>
    <mergeCell ref="A1285:J1285"/>
    <mergeCell ref="A1307:J1307"/>
    <mergeCell ref="A1308:J1308"/>
    <mergeCell ref="A1234:J1234"/>
    <mergeCell ref="A1235:J1235"/>
    <mergeCell ref="A1236:J1236"/>
    <mergeCell ref="A1237:J1237"/>
    <mergeCell ref="A1248:J1248"/>
    <mergeCell ref="A1249:J1249"/>
    <mergeCell ref="A1250:J1250"/>
    <mergeCell ref="A1251:J1251"/>
    <mergeCell ref="A1261:J1261"/>
    <mergeCell ref="A1206:J1206"/>
    <mergeCell ref="A1214:J1214"/>
    <mergeCell ref="A1215:J1215"/>
    <mergeCell ref="A1216:J1216"/>
    <mergeCell ref="A1217:J1217"/>
    <mergeCell ref="A1223:J1223"/>
    <mergeCell ref="A1224:J1224"/>
    <mergeCell ref="A1225:J1225"/>
    <mergeCell ref="A1226:J1226"/>
    <mergeCell ref="A1167:J1167"/>
    <mergeCell ref="A1168:J1168"/>
    <mergeCell ref="A1179:J1179"/>
    <mergeCell ref="A1180:J1180"/>
    <mergeCell ref="A1181:J1181"/>
    <mergeCell ref="A1182:J1182"/>
    <mergeCell ref="A1203:J1203"/>
    <mergeCell ref="A1204:J1204"/>
    <mergeCell ref="A1205:J1205"/>
    <mergeCell ref="A1144:J1144"/>
    <mergeCell ref="A1145:J1145"/>
    <mergeCell ref="A1146:J1146"/>
    <mergeCell ref="A1155:J1155"/>
    <mergeCell ref="A1156:J1156"/>
    <mergeCell ref="A1157:J1157"/>
    <mergeCell ref="A1158:J1158"/>
    <mergeCell ref="A1165:J1165"/>
    <mergeCell ref="A1166:J1166"/>
    <mergeCell ref="A1102:J1102"/>
    <mergeCell ref="A1103:J1103"/>
    <mergeCell ref="A1104:J1104"/>
    <mergeCell ref="A1105:J1105"/>
    <mergeCell ref="A1128:J1128"/>
    <mergeCell ref="A1129:J1129"/>
    <mergeCell ref="A1130:J1130"/>
    <mergeCell ref="A1131:J1131"/>
    <mergeCell ref="A1143:J1143"/>
    <mergeCell ref="A1072:J1072"/>
    <mergeCell ref="A1080:J1080"/>
    <mergeCell ref="A1081:J1081"/>
    <mergeCell ref="A1082:J1082"/>
    <mergeCell ref="A1083:J1083"/>
    <mergeCell ref="A1094:J1094"/>
    <mergeCell ref="A1095:J1095"/>
    <mergeCell ref="A1096:J1096"/>
    <mergeCell ref="A1097:J1097"/>
    <mergeCell ref="A1050:J1050"/>
    <mergeCell ref="A1051:J1051"/>
    <mergeCell ref="A1054:J1054"/>
    <mergeCell ref="A1055:J1055"/>
    <mergeCell ref="A1056:J1056"/>
    <mergeCell ref="A1057:J1057"/>
    <mergeCell ref="A1069:J1069"/>
    <mergeCell ref="A1070:J1070"/>
    <mergeCell ref="A1071:J1071"/>
    <mergeCell ref="A1010:J1010"/>
    <mergeCell ref="A1011:J1011"/>
    <mergeCell ref="A1012:J1012"/>
    <mergeCell ref="A1030:J1030"/>
    <mergeCell ref="A1031:J1031"/>
    <mergeCell ref="A1032:J1032"/>
    <mergeCell ref="A1033:J1033"/>
    <mergeCell ref="A1048:J1048"/>
    <mergeCell ref="A1049:J1049"/>
    <mergeCell ref="A984:J984"/>
    <mergeCell ref="A985:J985"/>
    <mergeCell ref="A986:J986"/>
    <mergeCell ref="A987:J987"/>
    <mergeCell ref="A996:J996"/>
    <mergeCell ref="A997:J997"/>
    <mergeCell ref="A998:J998"/>
    <mergeCell ref="A999:J999"/>
    <mergeCell ref="A1009:J1009"/>
    <mergeCell ref="A943:J943"/>
    <mergeCell ref="A950:J950"/>
    <mergeCell ref="A951:J951"/>
    <mergeCell ref="A952:J952"/>
    <mergeCell ref="A953:J953"/>
    <mergeCell ref="A965:J965"/>
    <mergeCell ref="A966:J966"/>
    <mergeCell ref="A967:J967"/>
    <mergeCell ref="A968:J968"/>
    <mergeCell ref="A905:J905"/>
    <mergeCell ref="A906:J906"/>
    <mergeCell ref="A919:J919"/>
    <mergeCell ref="A920:J920"/>
    <mergeCell ref="A921:J921"/>
    <mergeCell ref="A922:J922"/>
    <mergeCell ref="A940:J940"/>
    <mergeCell ref="A941:J941"/>
    <mergeCell ref="A942:J942"/>
    <mergeCell ref="A873:J873"/>
    <mergeCell ref="A874:J874"/>
    <mergeCell ref="A875:J875"/>
    <mergeCell ref="A885:J885"/>
    <mergeCell ref="A886:J886"/>
    <mergeCell ref="A887:J887"/>
    <mergeCell ref="A888:J888"/>
    <mergeCell ref="A903:J903"/>
    <mergeCell ref="A904:J904"/>
    <mergeCell ref="A846:J846"/>
    <mergeCell ref="A847:J847"/>
    <mergeCell ref="A848:J848"/>
    <mergeCell ref="A849:J849"/>
    <mergeCell ref="A855:J855"/>
    <mergeCell ref="A856:J856"/>
    <mergeCell ref="A857:J857"/>
    <mergeCell ref="A858:J858"/>
    <mergeCell ref="A872:J872"/>
    <mergeCell ref="A809:J809"/>
    <mergeCell ref="A825:J825"/>
    <mergeCell ref="A826:J826"/>
    <mergeCell ref="A827:J827"/>
    <mergeCell ref="A828:J828"/>
    <mergeCell ref="A836:J836"/>
    <mergeCell ref="A837:J837"/>
    <mergeCell ref="A838:J838"/>
    <mergeCell ref="A839:J839"/>
    <mergeCell ref="A774:J774"/>
    <mergeCell ref="A775:J775"/>
    <mergeCell ref="A787:J787"/>
    <mergeCell ref="A788:J788"/>
    <mergeCell ref="A789:J789"/>
    <mergeCell ref="A790:J790"/>
    <mergeCell ref="A806:J806"/>
    <mergeCell ref="A807:J807"/>
    <mergeCell ref="A808:J808"/>
    <mergeCell ref="A740:J740"/>
    <mergeCell ref="A741:J741"/>
    <mergeCell ref="A742:J742"/>
    <mergeCell ref="A758:J758"/>
    <mergeCell ref="A759:J759"/>
    <mergeCell ref="A760:J760"/>
    <mergeCell ref="A761:J761"/>
    <mergeCell ref="A772:J772"/>
    <mergeCell ref="A773:J773"/>
    <mergeCell ref="A702:J702"/>
    <mergeCell ref="A703:J703"/>
    <mergeCell ref="A704:J704"/>
    <mergeCell ref="A705:J705"/>
    <mergeCell ref="A724:J724"/>
    <mergeCell ref="A725:J725"/>
    <mergeCell ref="A726:J726"/>
    <mergeCell ref="A727:J727"/>
    <mergeCell ref="A739:J739"/>
    <mergeCell ref="A176:J176"/>
    <mergeCell ref="A684:J684"/>
    <mergeCell ref="A685:J685"/>
    <mergeCell ref="A686:J686"/>
    <mergeCell ref="A687:J687"/>
    <mergeCell ref="A691:J691"/>
    <mergeCell ref="A692:J692"/>
    <mergeCell ref="A693:J693"/>
    <mergeCell ref="A694:J694"/>
    <mergeCell ref="A143:J143"/>
    <mergeCell ref="A144:J144"/>
    <mergeCell ref="A159:J159"/>
    <mergeCell ref="A160:J160"/>
    <mergeCell ref="A161:J161"/>
    <mergeCell ref="A162:J162"/>
    <mergeCell ref="A173:J173"/>
    <mergeCell ref="A174:J174"/>
    <mergeCell ref="A175:J175"/>
    <mergeCell ref="A102:J102"/>
    <mergeCell ref="A103:J103"/>
    <mergeCell ref="A104:J104"/>
    <mergeCell ref="A124:J124"/>
    <mergeCell ref="A125:J125"/>
    <mergeCell ref="A126:J126"/>
    <mergeCell ref="A127:J127"/>
    <mergeCell ref="A141:J141"/>
    <mergeCell ref="A142:J142"/>
    <mergeCell ref="A74:J74"/>
    <mergeCell ref="A75:J75"/>
    <mergeCell ref="A76:J76"/>
    <mergeCell ref="A77:J77"/>
    <mergeCell ref="A95:J95"/>
    <mergeCell ref="A96:J96"/>
    <mergeCell ref="A97:J97"/>
    <mergeCell ref="A98:J98"/>
    <mergeCell ref="A101:J101"/>
    <mergeCell ref="A1:J1"/>
    <mergeCell ref="A2:J2"/>
    <mergeCell ref="A3:J3"/>
    <mergeCell ref="A4:J4"/>
    <mergeCell ref="A5:J5"/>
    <mergeCell ref="A6:J6"/>
    <mergeCell ref="A72:J72"/>
    <mergeCell ref="A73:J7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2025-09-22T19:52:12Z</dcterms:created>
  <dcterms:modified xsi:type="dcterms:W3CDTF">2025-09-23T05:15:55Z</dcterms:modified>
</cp:coreProperties>
</file>